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dist\"/>
    </mc:Choice>
  </mc:AlternateContent>
  <xr:revisionPtr revIDLastSave="0" documentId="13_ncr:1_{D8BEC702-CA41-48B1-A6EF-29DAADBC8458}" xr6:coauthVersionLast="46" xr6:coauthVersionMax="46" xr10:uidLastSave="{00000000-0000-0000-0000-000000000000}"/>
  <bookViews>
    <workbookView xWindow="768" yWindow="768" windowWidth="17280" windowHeight="8964"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274" i="2" l="1"/>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alcChain>
</file>

<file path=xl/sharedStrings.xml><?xml version="1.0" encoding="utf-8"?>
<sst xmlns="http://schemas.openxmlformats.org/spreadsheetml/2006/main" count="3848" uniqueCount="2160">
  <si>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</si>
  <si>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</si>
  <si>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</si>
  <si>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</si>
  <si>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</si>
  <si>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</si>
  <si>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</si>
  <si>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</si>
  <si>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</si>
  <si>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</si>
  <si>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</si>
  <si>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</si>
  <si>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</si>
  <si>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</si>
  <si>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</si>
  <si>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</si>
  <si>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</si>
  <si>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</si>
  <si>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</si>
  <si>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</si>
  <si>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</si>
  <si>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</si>
  <si>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</si>
  <si>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</si>
  <si>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</si>
  <si>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</si>
  <si>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</si>
  <si>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</si>
  <si>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</si>
  <si>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</si>
  <si>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</si>
  <si>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</si>
  <si>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</si>
  <si>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</si>
  <si>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</si>
  <si>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</si>
  <si>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</si>
  <si>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</si>
  <si>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</si>
  <si>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</si>
  <si>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</si>
  <si>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</si>
  <si>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</si>
  <si>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</si>
  <si>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</si>
  <si>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</si>
  <si>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</si>
  <si>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</si>
  <si>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</si>
  <si>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</si>
  <si>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</si>
  <si>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</si>
  <si>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</si>
  <si>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</si>
  <si>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</si>
  <si>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</si>
  <si>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</si>
  <si>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</si>
  <si>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</si>
  <si>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</si>
  <si>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</si>
  <si>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</si>
  <si>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</si>
  <si>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</si>
  <si>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</si>
  <si>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</si>
  <si>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</si>
  <si>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</si>
  <si>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</si>
  <si>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</si>
  <si>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</si>
  <si>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</si>
  <si>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</si>
  <si>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</si>
  <si>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</si>
  <si>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</si>
  <si>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</si>
  <si>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</si>
  <si>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</si>
  <si>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</si>
  <si>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</si>
  <si>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</si>
  <si>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</si>
  <si>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</si>
  <si>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</si>
  <si>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</si>
  <si>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</si>
  <si>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</si>
  <si>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</si>
  <si>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</si>
  <si>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</si>
  <si>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</si>
  <si>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</si>
  <si>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</si>
  <si>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</si>
  <si>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</si>
  <si>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</si>
  <si>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</si>
  <si>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</si>
  <si>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</si>
  <si>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</si>
  <si>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</si>
  <si>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</si>
  <si>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</si>
  <si>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</si>
  <si>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</si>
  <si>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</si>
  <si>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</si>
  <si>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</si>
  <si>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</si>
  <si>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</si>
  <si>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</si>
  <si>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</si>
  <si>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</si>
  <si>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</si>
  <si>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</si>
  <si>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</si>
  <si>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</si>
  <si>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</si>
  <si>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</si>
  <si>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</si>
  <si>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</si>
  <si>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</si>
  <si>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</si>
  <si>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</si>
  <si>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</si>
  <si>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</si>
  <si>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</si>
  <si>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</si>
  <si>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</si>
  <si>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</si>
  <si>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</si>
  <si>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</si>
  <si>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</si>
  <si>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</si>
  <si>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</si>
  <si>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</si>
  <si>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</si>
  <si>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</si>
  <si>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</si>
  <si>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</si>
  <si>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</si>
  <si>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</si>
  <si>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</si>
  <si>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</si>
  <si>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</si>
  <si>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</si>
  <si>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</si>
  <si>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</si>
  <si>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</si>
  <si>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</si>
  <si>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</si>
  <si>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</si>
  <si>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</si>
  <si>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</si>
  <si>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</si>
  <si>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</si>
  <si>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</si>
  <si>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</si>
  <si>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</si>
  <si>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</si>
  <si>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</si>
  <si>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</si>
  <si>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</si>
  <si>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</si>
  <si>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</si>
  <si>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</si>
  <si>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</si>
  <si>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</si>
  <si>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</si>
  <si>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</si>
  <si>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</si>
  <si>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</si>
  <si>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</si>
  <si>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</si>
  <si>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</si>
  <si>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</si>
  <si>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</si>
  <si>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</si>
  <si>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</si>
  <si>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</si>
  <si>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</si>
  <si>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</si>
  <si>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</si>
  <si>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</si>
  <si>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</si>
  <si>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</si>
  <si>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</si>
  <si>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</si>
  <si>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</si>
  <si>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</si>
  <si>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</si>
  <si>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</si>
  <si>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</si>
  <si>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</si>
  <si>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</si>
  <si>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</si>
  <si>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</si>
  <si>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</si>
  <si>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</si>
  <si>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</si>
  <si>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</si>
  <si>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</si>
  <si>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</si>
  <si>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</si>
  <si>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</si>
  <si>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</si>
  <si>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</si>
  <si>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</si>
  <si>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</si>
  <si>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</si>
  <si>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</si>
  <si>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</si>
  <si>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</si>
  <si>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</si>
  <si>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</si>
  <si>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</si>
  <si>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</si>
  <si>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</si>
  <si>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</si>
  <si>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</si>
  <si>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</si>
  <si>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</si>
  <si>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</si>
  <si>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</si>
  <si>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</si>
  <si>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</si>
  <si>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</si>
  <si>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</si>
  <si>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</si>
  <si>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</si>
  <si>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</si>
  <si>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</si>
  <si>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</si>
  <si>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</si>
  <si>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</si>
  <si>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</si>
  <si>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</si>
  <si>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</si>
  <si>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</si>
  <si>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</si>
  <si>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</si>
  <si>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</si>
  <si>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</si>
  <si>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</si>
  <si>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</si>
  <si>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</si>
  <si>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</si>
  <si>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</si>
  <si>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</si>
  <si>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</si>
  <si>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</si>
  <si>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</si>
  <si>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</si>
  <si>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</si>
  <si>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</si>
  <si>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</si>
  <si>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</si>
  <si>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</si>
  <si>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</si>
  <si>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</si>
  <si>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</si>
  <si>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</si>
  <si>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</si>
  <si>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</si>
  <si>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</si>
  <si>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</si>
  <si>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</si>
  <si>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Lisdexamfetamine dimesylate</t>
  </si>
  <si>
    <t>Shire Canada Inc.</t>
  </si>
  <si>
    <t>SBD00311</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</si>
  <si>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</si>
  <si>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</si>
  <si>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</si>
  <si>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</si>
  <si>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</si>
  <si>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</si>
  <si>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</si>
  <si>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</si>
  <si>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</si>
  <si>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</si>
  <si>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</si>
  <si>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</si>
  <si>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</si>
  <si>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</si>
  <si>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</si>
  <si>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</si>
  <si>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</si>
  <si>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</si>
  <si>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</si>
  <si>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</si>
  <si>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</si>
  <si>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</si>
  <si>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</si>
  <si>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</si>
  <si>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</si>
  <si>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</si>
  <si>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</si>
  <si>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</si>
  <si>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</si>
  <si>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</si>
  <si>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</si>
  <si>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</si>
  <si>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</si>
  <si>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</si>
  <si>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</si>
  <si>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</si>
  <si>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</si>
  <si>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</si>
  <si>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</si>
  <si>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</si>
  <si>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</si>
  <si>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</si>
  <si>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</si>
  <si>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</si>
  <si>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</si>
  <si>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</si>
  <si>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</si>
  <si>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</si>
  <si>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</si>
  <si>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</si>
  <si>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</si>
  <si>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</si>
  <si>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</si>
  <si>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</si>
  <si>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</si>
  <si>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</si>
  <si>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</si>
  <si>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</si>
  <si>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</si>
  <si>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</si>
  <si>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</si>
  <si>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</si>
  <si>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</si>
  <si>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</si>
  <si>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</si>
  <si>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</si>
  <si>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</si>
  <si>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</si>
  <si>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</si>
  <si>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</si>
  <si>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</si>
  <si>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</si>
  <si>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</si>
  <si>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</si>
  <si>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</si>
  <si>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</si>
  <si>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</si>
  <si>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</si>
  <si>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</si>
  <si>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</si>
  <si>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</si>
  <si>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</si>
  <si>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</si>
  <si>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</si>
  <si>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</si>
  <si>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</si>
  <si>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</si>
  <si>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</si>
  <si>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</si>
  <si>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</si>
  <si>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</si>
  <si>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</si>
  <si>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</si>
  <si>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</si>
  <si>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</si>
  <si>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</si>
  <si>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</si>
  <si>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</si>
  <si>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</si>
  <si>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</si>
  <si>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</si>
  <si>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</si>
  <si>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</si>
  <si>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</si>
  <si>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</si>
  <si>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</si>
  <si>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</si>
  <si>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</si>
  <si>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</si>
  <si>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</si>
  <si>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</si>
  <si>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</si>
  <si>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</si>
  <si>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</si>
  <si>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</si>
  <si>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</si>
  <si>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</si>
  <si>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</si>
  <si>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</si>
  <si>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</si>
  <si>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</si>
  <si>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</si>
  <si>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</si>
  <si>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</si>
  <si>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</si>
  <si>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</si>
  <si>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</si>
  <si>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</si>
  <si>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</si>
  <si>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</si>
  <si>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</si>
  <si>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</si>
  <si>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</si>
  <si>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</si>
  <si>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</si>
  <si>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</si>
  <si>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</si>
  <si>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</si>
  <si>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</si>
  <si>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</si>
  <si>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</si>
  <si>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</si>
  <si>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</si>
  <si>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</si>
  <si>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</si>
  <si>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</si>
  <si>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</si>
  <si>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</si>
  <si>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</si>
  <si>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</si>
  <si>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</si>
  <si>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</si>
  <si>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</si>
  <si>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</si>
  <si>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</si>
  <si>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</si>
  <si>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</si>
  <si>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</si>
  <si>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</si>
  <si>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</si>
  <si>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</si>
  <si>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</si>
  <si>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</si>
  <si>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</si>
  <si>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</si>
  <si>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</si>
  <si>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</si>
  <si>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</si>
  <si>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</si>
  <si>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</si>
  <si>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</si>
  <si>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</si>
  <si>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</si>
  <si>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</si>
  <si>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</si>
  <si>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</si>
  <si>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</si>
  <si>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</si>
  <si>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</si>
  <si>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</si>
  <si>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</si>
  <si>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</si>
  <si>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</si>
  <si>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</si>
  <si>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</si>
  <si>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</si>
  <si>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</si>
  <si>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</si>
  <si>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</si>
  <si>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</si>
  <si>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</si>
  <si>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</si>
  <si>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</si>
  <si>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</si>
  <si>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</si>
  <si>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</si>
  <si>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</si>
  <si>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</si>
  <si>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</si>
  <si>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</si>
  <si>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</si>
  <si>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</si>
  <si>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</si>
  <si>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</si>
  <si>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</si>
  <si>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</si>
  <si>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</si>
  <si>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</si>
  <si>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</si>
  <si>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</si>
  <si>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</si>
  <si>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</si>
  <si>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</si>
  <si>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</si>
  <si>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</si>
  <si>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</si>
  <si>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</si>
  <si>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</si>
  <si>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</si>
  <si>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</si>
  <si>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</si>
  <si>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</si>
  <si>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</si>
  <si>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</si>
  <si>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</si>
  <si>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</si>
  <si>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</si>
  <si>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</si>
  <si>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</si>
  <si>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</si>
  <si>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</si>
  <si>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</si>
  <si>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</si>
  <si>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</si>
  <si>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</si>
  <si>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</si>
  <si>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</si>
  <si>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</si>
  <si>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</si>
  <si>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</si>
  <si>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</si>
  <si>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</si>
  <si>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</si>
  <si>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</si>
  <si>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</si>
  <si>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</si>
  <si>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</si>
  <si>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</si>
  <si>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</si>
  <si>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</si>
  <si>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</si>
  <si>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</si>
  <si>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</si>
  <si>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</si>
  <si>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</si>
  <si>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</si>
  <si>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</si>
  <si>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</si>
  <si>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</si>
  <si>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</si>
  <si>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</si>
  <si>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</si>
  <si>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</si>
  <si>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</si>
  <si>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</si>
  <si>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</si>
  <si>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</si>
  <si>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</si>
  <si>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</si>
  <si>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</si>
  <si>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</si>
  <si>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</si>
  <si>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</si>
  <si>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</si>
  <si>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</si>
  <si>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</si>
  <si>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</si>
  <si>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</si>
  <si>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</si>
  <si>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</si>
  <si>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</si>
  <si>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</si>
  <si>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</si>
  <si>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</si>
  <si>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</si>
  <si>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</si>
  <si>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</si>
  <si>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</si>
  <si>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</si>
  <si>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</si>
  <si>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</si>
  <si>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</si>
  <si>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</si>
  <si>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</si>
  <si>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</si>
  <si>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</si>
  <si>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</si>
  <si>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</si>
  <si>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</si>
  <si>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</si>
  <si>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</si>
  <si>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</si>
  <si>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</si>
  <si>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</si>
  <si>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</si>
  <si>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</si>
  <si>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</si>
  <si>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</si>
  <si>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</si>
  <si>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</si>
  <si>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</si>
  <si>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</si>
  <si>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</si>
  <si>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</si>
  <si>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</si>
  <si>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</si>
  <si>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</si>
  <si>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</si>
  <si>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</si>
  <si>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</si>
  <si>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</si>
  <si>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</si>
  <si>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</si>
  <si>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</si>
  <si>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</si>
  <si>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</si>
  <si>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</si>
  <si>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</si>
  <si>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</si>
  <si>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</si>
  <si>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</si>
  <si>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</si>
  <si>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</si>
  <si>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</si>
  <si>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</si>
  <si>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</si>
  <si>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</si>
  <si>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</si>
  <si>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</si>
  <si>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</si>
  <si>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</si>
  <si>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</si>
  <si>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</si>
  <si>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</si>
  <si>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</si>
  <si>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</si>
  <si>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</si>
  <si>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</si>
  <si>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</si>
  <si>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</si>
  <si>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</si>
  <si>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</si>
  <si>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</si>
  <si>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</si>
  <si>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</si>
  <si>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</si>
  <si>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</si>
  <si>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</si>
  <si>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</si>
  <si>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</si>
  <si>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</si>
  <si>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</si>
  <si>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</si>
  <si>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</si>
  <si>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</si>
  <si>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</si>
  <si>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</si>
  <si>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</si>
  <si>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</si>
  <si>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</si>
  <si>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</si>
  <si>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</si>
  <si>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</si>
  <si>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</si>
  <si>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</si>
  <si>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</si>
  <si>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</si>
  <si>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</si>
  <si>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</si>
  <si>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</si>
  <si>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</si>
  <si>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</si>
  <si>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</si>
  <si>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</si>
  <si>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</si>
  <si>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</si>
  <si>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</si>
  <si>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</si>
  <si>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</si>
  <si>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</si>
  <si>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Polidocanol</t>
  </si>
  <si>
    <t>Provensis Ltd.</t>
  </si>
  <si>
    <t>SBD00245</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</si>
  <si>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</si>
  <si>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</si>
  <si>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</si>
  <si>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</si>
  <si>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</si>
  <si>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</si>
  <si>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</si>
  <si>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</si>
  <si>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</si>
  <si>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</si>
  <si>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</si>
  <si>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</si>
  <si>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</si>
  <si>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</si>
  <si>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</si>
  <si>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</si>
  <si>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</si>
  <si>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</si>
  <si>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</si>
  <si>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</si>
  <si>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</si>
  <si>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</si>
  <si>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</si>
  <si>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</si>
  <si>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</si>
  <si>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</si>
  <si>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</si>
  <si>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</si>
  <si>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</si>
  <si>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</si>
  <si>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Ponatinib (supplied as ponatinib hydrochloride)</t>
  </si>
  <si>
    <t>ARIAD Pharmaceuticals, Inc</t>
  </si>
  <si>
    <t>SBD00251</t>
  </si>
  <si>
    <t>Solifenacin succinate</t>
  </si>
  <si>
    <t>SBD00300</t>
  </si>
  <si>
    <t>Ibrutinib</t>
  </si>
  <si>
    <t>SBD00252</t>
  </si>
  <si>
    <t>Infliximab</t>
  </si>
  <si>
    <t>Celltrion Healthcare Co. Ltd.</t>
  </si>
  <si>
    <t>SBD00253</t>
  </si>
  <si>
    <t>Guanfacine (as guanfacine hydrochloride)</t>
  </si>
  <si>
    <t>SBD00254</t>
  </si>
  <si>
    <t>Canagliflozin</t>
  </si>
  <si>
    <t>SBD00255</t>
  </si>
  <si>
    <t>Romidepsin</t>
  </si>
  <si>
    <t>SBD00256</t>
  </si>
  <si>
    <t>Empagliflozin</t>
  </si>
  <si>
    <t>SBD00257</t>
  </si>
  <si>
    <t>Telavancin hydrochloride</t>
  </si>
  <si>
    <t>Astellas Pharma Canada, Inc.</t>
  </si>
  <si>
    <t>SBD00301</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</si>
  <si>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</si>
  <si>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</si>
  <si>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</si>
  <si>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</si>
  <si>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</si>
  <si>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</si>
  <si>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</si>
  <si>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</si>
  <si>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</si>
  <si>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</si>
  <si>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</si>
  <si>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</si>
  <si>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</si>
  <si>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</si>
  <si>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</si>
  <si>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</si>
  <si>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</si>
  <si>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</si>
  <si>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</si>
  <si>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</si>
  <si>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</si>
  <si>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</si>
  <si>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</si>
  <si>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</si>
  <si>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Sugammadex sodium</t>
  </si>
  <si>
    <t>SBD00283</t>
  </si>
  <si>
    <t>Pasireotide (as pasireotide diaspartate)</t>
  </si>
  <si>
    <t>SBD00269</t>
  </si>
  <si>
    <t>Umeclidinium bromide and vilanterol trifenatate</t>
  </si>
  <si>
    <t>SBD00270</t>
  </si>
  <si>
    <t>Eslicarbazepine acetate</t>
  </si>
  <si>
    <t>SBD00271</t>
  </si>
  <si>
    <t>Ofatumumab</t>
  </si>
  <si>
    <t>SBD00273</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</si>
  <si>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</si>
  <si>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</si>
  <si>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</si>
  <si>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</si>
  <si>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</si>
  <si>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</si>
  <si>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</si>
  <si>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</si>
  <si>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</si>
  <si>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</si>
  <si>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</si>
  <si>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</si>
  <si>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</si>
  <si>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</si>
  <si>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Liraglutide</t>
  </si>
  <si>
    <t>SBD00302</t>
  </si>
  <si>
    <t>Mepolizumab</t>
  </si>
  <si>
    <t>SBD00279</t>
  </si>
  <si>
    <t>AS03-Adjuvanted H5N1 Influenza Vaccine</t>
  </si>
  <si>
    <t>ID Biomedical Corporation of Quebec</t>
  </si>
  <si>
    <t>SBD00280</t>
  </si>
  <si>
    <t>Insulin glargine</t>
  </si>
  <si>
    <t>SBD00281</t>
  </si>
  <si>
    <t>Bilastine</t>
  </si>
  <si>
    <t>Aralez Pharamaceuticals Trading DAC</t>
  </si>
  <si>
    <t>SBD00282</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</si>
  <si>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</si>
  <si>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</si>
  <si>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</si>
  <si>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</si>
  <si>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</si>
  <si>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</si>
  <si>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</si>
  <si>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</si>
  <si>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</si>
  <si>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</si>
  <si>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</si>
  <si>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</si>
  <si>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</si>
  <si>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</si>
  <si>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Velaglucerase alfa</t>
  </si>
  <si>
    <t>SBD00310</t>
  </si>
  <si>
    <t>Nivolumab</t>
  </si>
  <si>
    <t>SBD00293</t>
  </si>
  <si>
    <t>Lumacaftor and ivacaftor</t>
  </si>
  <si>
    <t>SBD00294</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</si>
  <si>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</si>
  <si>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</si>
  <si>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</si>
  <si>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</si>
  <si>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</si>
  <si>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</si>
  <si>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</si>
  <si>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</si>
  <si>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</si>
  <si>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</si>
  <si>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</si>
  <si>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</si>
  <si>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</si>
  <si>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</si>
  <si>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</si>
  <si>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Ambrisentan</t>
  </si>
  <si>
    <t>SBD00307</t>
  </si>
  <si>
    <t>Diclofenac diethylamine</t>
  </si>
  <si>
    <t>Novartis Consumer Health Canada Inc.</t>
  </si>
  <si>
    <t>SBD00308</t>
  </si>
  <si>
    <t>Pazopanib hydrochloride</t>
  </si>
  <si>
    <t>SBD00309</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</si>
  <si>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</si>
  <si>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</si>
  <si>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</si>
  <si>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</si>
  <si>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</si>
  <si>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</si>
  <si>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</si>
  <si>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</si>
  <si>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</si>
  <si>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</si>
  <si>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</si>
  <si>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</si>
  <si>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</si>
  <si>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</si>
  <si>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</si>
  <si>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</si>
  <si>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</si>
  <si>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</si>
  <si>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</si>
  <si>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</si>
  <si>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</si>
  <si>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</si>
  <si>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</si>
  <si>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</si>
  <si>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</si>
  <si>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</si>
  <si>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</si>
  <si>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</si>
  <si>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</si>
  <si>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</si>
  <si>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</si>
  <si>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Ixekizumab</t>
  </si>
  <si>
    <t>SBD00327</t>
  </si>
  <si>
    <t>Osimertinib, as osimertinib mesylate</t>
  </si>
  <si>
    <t>SBD00328</t>
  </si>
  <si>
    <t>Antihemophilic Factor VIII (Recombinant), SingleChain</t>
  </si>
  <si>
    <t>SBD00343</t>
  </si>
  <si>
    <t>Sofosbuvir&lt;br /&gt;Velpatasvir</t>
  </si>
  <si>
    <t>SBD00329</t>
  </si>
  <si>
    <t>SBD00330</t>
  </si>
  <si>
    <t>Propiverine hydrochloride</t>
  </si>
  <si>
    <t>Duchesnay Inc.</t>
  </si>
  <si>
    <t>SBD00350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</si>
  <si>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</si>
  <si>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</si>
  <si>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</si>
  <si>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</si>
  <si>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</si>
  <si>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</si>
  <si>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</si>
  <si>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</si>
  <si>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</si>
  <si>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</si>
  <si>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</si>
  <si>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</si>
  <si>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</si>
  <si>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</si>
  <si>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</si>
  <si>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</si>
  <si>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</si>
  <si>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</si>
  <si>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</si>
  <si>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</si>
  <si>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</si>
  <si>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</si>
  <si>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</si>
  <si>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</si>
  <si>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</si>
  <si>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</si>
  <si>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</si>
  <si>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</si>
  <si>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</si>
  <si>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</si>
  <si>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</si>
  <si>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</si>
  <si>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</si>
  <si>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</si>
  <si>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</si>
  <si>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</si>
  <si>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</si>
  <si>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</si>
  <si>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</si>
  <si>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</si>
  <si>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</si>
  <si>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</si>
  <si>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</si>
  <si>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</si>
  <si>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</si>
  <si>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</si>
  <si>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</si>
  <si>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</si>
  <si>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</si>
  <si>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</si>
  <si>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</si>
  <si>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</si>
  <si>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</si>
  <si>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</si>
  <si>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</si>
  <si>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</si>
  <si>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</si>
  <si>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</si>
  <si>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</si>
  <si>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</si>
  <si>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</si>
  <si>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</si>
  <si>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</si>
  <si>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</si>
  <si>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</si>
  <si>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</si>
  <si>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</si>
  <si>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</si>
  <si>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</si>
  <si>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</si>
  <si>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</si>
  <si>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</si>
  <si>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</si>
  <si>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</si>
  <si>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</si>
  <si>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</si>
  <si>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</si>
  <si>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</si>
  <si>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</si>
  <si>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</si>
  <si>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</si>
  <si>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</si>
  <si>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</si>
  <si>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</si>
  <si>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</si>
  <si>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</si>
  <si>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</si>
  <si>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</si>
  <si>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</si>
  <si>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</si>
  <si>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</si>
  <si>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</si>
  <si>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</si>
  <si>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</si>
  <si>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</si>
  <si>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</si>
  <si>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</si>
  <si>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</si>
  <si>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</si>
  <si>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</si>
  <si>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</si>
  <si>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</si>
  <si>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</si>
  <si>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</si>
  <si>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</si>
  <si>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</si>
  <si>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</si>
  <si>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</si>
  <si>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</si>
  <si>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</si>
  <si>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</si>
  <si>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</si>
  <si>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</si>
  <si>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</si>
  <si>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</si>
  <si>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</si>
  <si>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</si>
  <si>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</si>
  <si>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</si>
  <si>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</si>
  <si>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</si>
  <si>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</si>
  <si>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</si>
  <si>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</si>
  <si>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</si>
  <si>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</si>
  <si>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</si>
  <si>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</si>
  <si>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</si>
  <si>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</si>
  <si>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</si>
  <si>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</si>
  <si>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</si>
  <si>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</si>
  <si>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</si>
  <si>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</si>
  <si>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</si>
  <si>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</si>
  <si>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</si>
  <si>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</si>
  <si>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</si>
  <si>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</si>
  <si>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</si>
  <si>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</si>
  <si>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</si>
  <si>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</si>
  <si>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</si>
  <si>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</si>
  <si>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</si>
  <si>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</si>
  <si>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</si>
  <si>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</si>
  <si>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</si>
  <si>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</si>
  <si>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</si>
  <si>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</si>
  <si>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</si>
  <si>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</si>
  <si>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</si>
  <si>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</si>
  <si>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</si>
  <si>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</si>
  <si>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</si>
  <si>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</si>
  <si>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</si>
  <si>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</si>
  <si>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</si>
  <si>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</si>
  <si>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</si>
  <si>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</si>
  <si>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</si>
  <si>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</si>
  <si>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</si>
  <si>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</si>
  <si>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</si>
  <si>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</si>
  <si>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</si>
  <si>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</si>
  <si>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</si>
  <si>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</si>
  <si>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</si>
  <si>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</si>
  <si>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</si>
  <si>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</si>
  <si>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</si>
  <si>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</si>
  <si>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</si>
  <si>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</si>
  <si>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</si>
  <si>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</si>
  <si>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</si>
  <si>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</si>
  <si>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</si>
  <si>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</si>
  <si>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</si>
  <si>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</si>
  <si>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</si>
  <si>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</si>
  <si>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</si>
  <si>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</si>
  <si>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</si>
  <si>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</si>
  <si>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</si>
  <si>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</si>
  <si>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</si>
  <si>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</si>
  <si>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</si>
  <si>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</si>
  <si>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</si>
  <si>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</si>
  <si>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</si>
  <si>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</si>
  <si>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</si>
  <si>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</si>
  <si>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</si>
  <si>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</si>
  <si>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</si>
  <si>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</si>
  <si>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</si>
  <si>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</si>
  <si>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</si>
  <si>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</si>
  <si>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</si>
  <si>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</si>
  <si>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</si>
  <si>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</si>
  <si>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</si>
  <si>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</si>
  <si>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</si>
  <si>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</si>
  <si>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</si>
  <si>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</si>
  <si>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</si>
  <si>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</si>
  <si>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</si>
  <si>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</si>
  <si>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</si>
  <si>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</si>
  <si>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</si>
  <si>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</si>
  <si>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</si>
  <si>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</si>
  <si>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</si>
  <si>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</si>
  <si>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</si>
  <si>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</si>
  <si>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</si>
  <si>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</si>
  <si>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</si>
  <si>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</si>
  <si>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</si>
  <si>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</si>
  <si>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</si>
  <si>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</si>
  <si>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</si>
  <si>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</si>
  <si>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</si>
  <si>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</si>
  <si>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</si>
  <si>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</si>
  <si>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</si>
  <si>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</si>
  <si>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</si>
  <si>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</si>
  <si>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</si>
  <si>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</si>
  <si>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</si>
  <si>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</si>
  <si>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</si>
  <si>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</si>
  <si>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</si>
  <si>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</si>
  <si>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</si>
  <si>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</si>
  <si>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</si>
  <si>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</si>
  <si>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</si>
  <si>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</si>
  <si>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</si>
  <si>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</si>
  <si>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</si>
  <si>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</si>
  <si>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</si>
  <si>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</si>
  <si>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</si>
  <si>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</si>
  <si>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</si>
  <si>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</si>
  <si>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</si>
  <si>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</si>
  <si>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</si>
  <si>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</si>
  <si>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</si>
  <si>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</si>
  <si>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</si>
  <si>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</si>
  <si>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</si>
  <si>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</si>
  <si>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</si>
  <si>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</si>
  <si>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</si>
  <si>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</si>
  <si>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</si>
  <si>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</si>
  <si>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</si>
  <si>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</si>
  <si>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</si>
  <si>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</si>
  <si>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</si>
  <si>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</si>
  <si>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</si>
  <si>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</si>
  <si>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</si>
  <si>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</si>
  <si>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</si>
  <si>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</si>
  <si>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</si>
  <si>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</si>
  <si>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</si>
  <si>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</si>
  <si>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</si>
  <si>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</si>
  <si>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</si>
  <si>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</si>
  <si>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</si>
  <si>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</si>
  <si>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</si>
  <si>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</si>
  <si>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</si>
  <si>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</si>
  <si>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</si>
  <si>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</si>
  <si>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</si>
  <si>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</si>
  <si>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</si>
  <si>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</si>
  <si>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</si>
  <si>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</si>
  <si>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</si>
  <si>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</si>
  <si>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</si>
  <si>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</si>
  <si>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</si>
  <si>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</si>
  <si>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</si>
  <si>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</si>
  <si>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</si>
  <si>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</si>
  <si>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</si>
  <si>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</si>
  <si>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</si>
  <si>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</si>
  <si>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</si>
  <si>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</si>
  <si>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</si>
  <si>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</si>
  <si>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</si>
  <si>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</si>
  <si>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</si>
  <si>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</si>
  <si>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</si>
  <si>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</si>
  <si>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</si>
  <si>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</si>
  <si>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</si>
  <si>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</si>
  <si>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</si>
  <si>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</si>
  <si>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</si>
  <si>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</si>
  <si>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</si>
  <si>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</si>
  <si>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</si>
  <si>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</si>
  <si>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</si>
  <si>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</si>
  <si>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</si>
  <si>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</si>
  <si>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</si>
  <si>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</si>
  <si>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</si>
  <si>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</si>
  <si>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</si>
  <si>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</si>
  <si>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</si>
  <si>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</si>
  <si>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</si>
  <si>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</si>
  <si>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</si>
  <si>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</si>
  <si>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</si>
  <si>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</si>
  <si>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</si>
  <si>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</si>
  <si>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</si>
  <si>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</si>
  <si>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</si>
  <si>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</si>
  <si>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</si>
  <si>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</si>
  <si>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</si>
  <si>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</si>
  <si>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</si>
  <si>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</si>
  <si>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</si>
  <si>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</si>
  <si>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</si>
  <si>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</si>
  <si>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</si>
  <si>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</si>
  <si>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</si>
  <si>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</si>
  <si>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</si>
  <si>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</si>
  <si>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</si>
  <si>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</si>
  <si>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</si>
  <si>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</si>
  <si>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</si>
  <si>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</si>
  <si>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</si>
  <si>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</si>
  <si>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</si>
  <si>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</si>
  <si>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</si>
  <si>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</si>
  <si>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</si>
  <si>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</si>
  <si>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</si>
  <si>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</si>
  <si>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</si>
  <si>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</si>
  <si>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</si>
  <si>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</si>
  <si>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</si>
  <si>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</si>
  <si>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</si>
  <si>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</si>
  <si>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</si>
  <si>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</si>
  <si>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</si>
  <si>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</si>
  <si>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</si>
  <si>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</si>
  <si>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</si>
  <si>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</si>
  <si>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</si>
  <si>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</si>
  <si>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</si>
  <si>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</si>
  <si>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</si>
  <si>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</si>
  <si>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</si>
  <si>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</si>
  <si>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</si>
  <si>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</si>
  <si>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</si>
  <si>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</si>
  <si>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</si>
  <si>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</si>
  <si>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</si>
  <si>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</si>
  <si>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</si>
  <si>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</si>
  <si>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</si>
  <si>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</si>
  <si>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</si>
  <si>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</si>
  <si>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</si>
  <si>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</si>
  <si>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</si>
  <si>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</si>
  <si>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</si>
  <si>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</si>
  <si>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</si>
  <si>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</si>
  <si>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</si>
  <si>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</si>
  <si>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</si>
  <si>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</si>
  <si>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</si>
  <si>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</si>
  <si>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</si>
  <si>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</si>
  <si>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</si>
  <si>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</si>
  <si>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</si>
  <si>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</si>
  <si>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</si>
  <si>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</si>
  <si>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</si>
  <si>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</si>
  <si>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</si>
  <si>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t>
  </si>
  <si>
    <t>Unable to retrieve date from Letter PDF</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</si>
  <si>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</si>
  <si>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</si>
  <si>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</si>
  <si>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</si>
  <si>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</si>
  <si>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</si>
  <si>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</si>
  <si>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</si>
  <si>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</si>
  <si>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</si>
  <si>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https://www.accessdata.fda.gov/drugsatfda_docs/label/2020/761150s000lbl.pdf
 https://www.accessdata.fda.gov/drugsatfda_docs/appletter/2020/761150Orig1s000ltr.pdf
 https://www.accessdata.fda.gov/drugsatfda_docs/nda/2020/761150Orig1s000TOC.cfm</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</si>
  <si>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</si>
  <si>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</si>
  <si>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</si>
  <si>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</si>
  <si>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</si>
  <si>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</si>
  <si>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</si>
  <si>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</si>
  <si>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</si>
  <si>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</si>
  <si>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</si>
  <si>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</si>
  <si>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</si>
  <si>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</si>
  <si>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</si>
  <si>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</si>
  <si>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</si>
  <si>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</si>
  <si>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</si>
  <si>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</si>
  <si>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</si>
  <si>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</si>
  <si>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</si>
  <si>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</si>
  <si>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</si>
  <si>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</si>
  <si>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</si>
  <si>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</si>
  <si>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</si>
  <si>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</si>
  <si>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</si>
  <si>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</si>
  <si>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</si>
  <si>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</si>
  <si>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</si>
  <si>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</si>
  <si>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</si>
  <si>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</si>
  <si>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</si>
  <si>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</si>
  <si>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</si>
  <si>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</si>
  <si>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</si>
  <si>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</si>
  <si>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</si>
  <si>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</si>
  <si>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</si>
  <si>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</si>
  <si>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</si>
  <si>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</si>
  <si>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</si>
  <si>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</si>
  <si>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</si>
  <si>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</si>
  <si>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</si>
  <si>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</si>
  <si>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</si>
  <si>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</si>
  <si>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</si>
  <si>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</si>
  <si>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</si>
  <si>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</si>
  <si>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</si>
  <si>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</si>
  <si>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</si>
  <si>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</si>
  <si>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</si>
  <si>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</si>
  <si>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</si>
  <si>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</si>
  <si>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</si>
  <si>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</si>
  <si>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Unable to fetch data</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</si>
  <si>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</si>
  <si>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</si>
  <si>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</si>
  <si>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</si>
  <si>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</si>
  <si>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</si>
  <si>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</si>
  <si>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</si>
  <si>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</si>
  <si>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</si>
  <si>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</si>
  <si>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</si>
  <si>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</si>
  <si>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</si>
  <si>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</si>
  <si>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</si>
  <si>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</si>
  <si>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</si>
  <si>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</si>
  <si>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</si>
  <si>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</si>
  <si>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</si>
  <si>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</si>
  <si>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</si>
  <si>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</si>
  <si>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</si>
  <si>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</si>
  <si>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</si>
  <si>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</si>
  <si>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</si>
  <si>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</si>
  <si>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</si>
  <si>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</si>
  <si>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</si>
  <si>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</si>
  <si>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</si>
  <si>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</si>
  <si>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</si>
  <si>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</si>
  <si>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</si>
  <si>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</si>
  <si>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</si>
  <si>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</si>
  <si>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</si>
  <si>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</si>
  <si>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</si>
  <si>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</si>
  <si>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</si>
  <si>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</si>
  <si>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</si>
  <si>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</si>
  <si>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</si>
  <si>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</si>
  <si>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</si>
  <si>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</si>
  <si>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</si>
  <si>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</si>
  <si>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</si>
  <si>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</si>
  <si>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</si>
  <si>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</si>
  <si>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</si>
  <si>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</si>
  <si>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</si>
  <si>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</si>
  <si>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</si>
  <si>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</si>
  <si>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</si>
  <si>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</si>
  <si>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</si>
  <si>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</si>
  <si>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</si>
  <si>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</si>
  <si>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ubrogepant</t>
  </si>
  <si>
    <t>to treat acute treatment of migraine with or without aura in adultsPress ReleaseDrug Trials Snapshot</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</si>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</sst>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xf numFmtId="164" fontId="0" fillId="0" borderId="0" xfId="0" applyNumberFormat="1"/>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21"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42"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3"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84"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38"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59"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70"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191"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05"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26"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47"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107"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11"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32"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53"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74"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28"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149"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5"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5"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60"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81"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16"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37"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258"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22"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3"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4"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118"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39"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85"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50"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71"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192"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06"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27"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248"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12"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3"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108"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29"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54"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75"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96"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40"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61"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82"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17"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6"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238"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23"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119"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44"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65"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86"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30"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51"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72" Type="http://schemas.openxmlformats.org/officeDocument/2006/relationships/hyperlink" Target="https://www.fda.gov/STIC/" TargetMode="External"/><Relationship Id="rId193"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07"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28"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49"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13"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109"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34"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5"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76"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97"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0"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41"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7"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162"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83"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218"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39"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50"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24"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5"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66"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87"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10"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31"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152"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73"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194"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08"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229"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40"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14" Type="http://schemas.openxmlformats.org/officeDocument/2006/relationships/hyperlink" Target="https://www.accessdata.fda.gov/drugsatfda_docs/nda/2020/213721Orig1s000TOC.cfm" TargetMode="External"/><Relationship Id="rId35"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56"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77"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00"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8"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98"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 Id="rId121"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142"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63" Type="http://schemas.openxmlformats.org/officeDocument/2006/relationships/hyperlink" Target="https://www.fda.gov/STIC/" TargetMode="External"/><Relationship Id="rId184"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19"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30"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251"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25"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46"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67"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88"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11"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32"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53"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74"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195"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09"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20"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41"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15"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36"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57"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78"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99"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01"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22"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43"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64"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85"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9"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210"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6"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231"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52"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47"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68"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89"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12"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33"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54"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75"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196"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00"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16"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221"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42"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 Id="rId37"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58"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79"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02"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123"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44"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90"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65"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186"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11"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32"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53"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27"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48"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69"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113"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34"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80"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55"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176"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197"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01"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22"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43"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17"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8"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59"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103"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24"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70"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1"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145"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166"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87"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 Type="http://schemas.openxmlformats.org/officeDocument/2006/relationships/hyperlink" Target="https://www.accessdata.fda.gov/drugsatfda_docs/label/2020/213006s000lbl.pdf%0a%20https:/www.accessdata.fda.gov/drugsatfda_docs/appletter/2020/213006Orig1s000ltr.pdf" TargetMode="External"/><Relationship Id="rId212"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33"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254"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28"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49"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114"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60"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81"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35"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56"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177"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198"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202"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23"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44"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18"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39"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50" Type="http://schemas.openxmlformats.org/officeDocument/2006/relationships/hyperlink" Target="https://www.accessdata.fda.gov/drugsatfda_docs/appletter/2019/209500Orig1s000ltr.pdf%0a%20https:/www.accessdata.fda.gov/drugsatfda_docs/nda/2019/209500Orig1s000TOC.cfm" TargetMode="External"/><Relationship Id="rId104"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125"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46"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67"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188"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71"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92"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213"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34"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255"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40"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115"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36"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157"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178"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61"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2"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99"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03"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19"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224"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45"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30"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105"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26"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147"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68"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51"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2"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93" Type="http://schemas.openxmlformats.org/officeDocument/2006/relationships/hyperlink" Target="https://www.accessdata.fda.gov/drugsatfda_docs/label/2018/761116s000lbl.pdf%0a%20https:/www.accessdata.fda.gov/drugsatfda_docs/nda/2018/761116Orig1s000TOC.cfm" TargetMode="External"/><Relationship Id="rId189"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35"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256"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116"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137"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58"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20"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41"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2"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83"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179"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190"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204"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225"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46"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106"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27"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0"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31"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52"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73"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94"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48"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69"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4" Type="http://schemas.openxmlformats.org/officeDocument/2006/relationships/hyperlink" Target="https://www.accessdata.fda.gov/drugsatfda_docs/label/2020/761150s000lbl.pdf%0a%20https:/www.accessdata.fda.gov/drugsatfda_docs/appletter/2020/761150Orig1s000ltr.pdf%0a%20https:/www.accessdata.fda.gov/drugsatfda_docs/nda/2020/761150Orig1s000TOC.cfm" TargetMode="External"/><Relationship Id="rId180"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15"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36"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57"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heetViews>
  <sheetFormatPr defaultRowHeight="14.4" x14ac:dyDescent="0.3"/>
  <sheetData>
    <row r="1" spans="1:216" x14ac:dyDescent="0.3">
      <c r="A1" s="1" t="s">
        <v>0</v>
      </c>
      <c r="B1" s="1"/>
      <c r="C1" s="1"/>
      <c r="D1" s="1"/>
      <c r="E1" s="2" t="s">
        <v>1</v>
      </c>
      <c r="F1" s="2"/>
      <c r="G1" s="2"/>
      <c r="H1" s="2"/>
      <c r="I1" s="2"/>
      <c r="J1" s="2"/>
      <c r="K1" s="2"/>
      <c r="L1" s="2"/>
      <c r="M1" s="2"/>
      <c r="N1" s="3" t="s">
        <v>2</v>
      </c>
      <c r="O1" s="3"/>
      <c r="P1" s="3"/>
      <c r="Q1" s="3"/>
      <c r="R1" s="3"/>
      <c r="S1" s="3"/>
      <c r="T1" s="3"/>
      <c r="U1" s="3"/>
      <c r="V1" s="3"/>
      <c r="W1" s="4" t="s">
        <v>3</v>
      </c>
      <c r="X1" s="4"/>
      <c r="Y1" s="4"/>
      <c r="Z1" s="4"/>
      <c r="AA1" s="4"/>
      <c r="AB1" s="4"/>
      <c r="AC1" s="4"/>
      <c r="AD1" s="4"/>
      <c r="AE1" s="4"/>
      <c r="AF1" s="4"/>
      <c r="AG1" s="4"/>
      <c r="AH1" s="4"/>
      <c r="AI1" s="4"/>
      <c r="AJ1" s="4"/>
      <c r="AK1" s="4"/>
      <c r="AL1" s="4"/>
      <c r="AM1" s="4"/>
      <c r="AN1" s="5" t="s">
        <v>4</v>
      </c>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4" t="s">
        <v>5</v>
      </c>
      <c r="CJ1" s="4"/>
      <c r="CK1" s="4"/>
      <c r="CL1" s="4"/>
      <c r="CM1" s="4"/>
      <c r="CN1" s="4"/>
      <c r="CO1" s="4"/>
      <c r="CP1" s="4"/>
      <c r="CQ1" s="4"/>
      <c r="CR1" s="4"/>
      <c r="CS1" s="4"/>
      <c r="CT1" s="4"/>
      <c r="CU1" s="4"/>
      <c r="CV1" s="4"/>
      <c r="CW1" s="4"/>
      <c r="CX1" s="4"/>
      <c r="CY1" s="4"/>
      <c r="CZ1" s="5" t="s">
        <v>6</v>
      </c>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c r="EH1" s="5"/>
      <c r="EI1" s="5"/>
      <c r="EJ1" s="5"/>
      <c r="EK1" s="5"/>
      <c r="EL1" s="5"/>
      <c r="EM1" s="5"/>
      <c r="EN1" s="5"/>
      <c r="EO1" s="5"/>
      <c r="EP1" s="5"/>
      <c r="EQ1" s="5"/>
      <c r="ER1" s="5"/>
      <c r="ES1" s="5"/>
      <c r="ET1" s="5"/>
      <c r="EU1" s="4" t="s">
        <v>7</v>
      </c>
      <c r="EV1" s="4"/>
      <c r="EW1" s="4"/>
      <c r="EX1" s="4"/>
      <c r="EY1" s="4"/>
      <c r="EZ1" s="4"/>
      <c r="FA1" s="4"/>
      <c r="FB1" s="4"/>
      <c r="FC1" s="4"/>
      <c r="FD1" s="4"/>
      <c r="FE1" s="4"/>
      <c r="FF1" s="4"/>
      <c r="FG1" s="4"/>
      <c r="FH1" s="4"/>
      <c r="FI1" s="4"/>
      <c r="FJ1" s="4"/>
      <c r="FK1" s="4"/>
      <c r="FL1" s="5" t="s">
        <v>8</v>
      </c>
      <c r="FM1" s="5"/>
      <c r="FN1" s="5"/>
      <c r="FO1" s="5"/>
      <c r="FP1" s="5"/>
      <c r="FQ1" s="5"/>
      <c r="FR1" s="5"/>
      <c r="FS1" s="5"/>
      <c r="FT1" s="5"/>
      <c r="FU1" s="5"/>
      <c r="FV1" s="5"/>
      <c r="FW1" s="5"/>
      <c r="FX1" s="5"/>
      <c r="FY1" s="5"/>
      <c r="FZ1" s="5"/>
      <c r="GA1" s="5"/>
      <c r="GB1" s="5"/>
      <c r="GC1" s="5"/>
      <c r="GD1" s="5"/>
      <c r="GE1" s="5"/>
      <c r="GF1" s="5"/>
      <c r="GG1" s="5"/>
      <c r="GH1" s="5"/>
      <c r="GI1" s="5"/>
      <c r="GJ1" s="5"/>
      <c r="GK1" s="5"/>
      <c r="GL1" s="5"/>
      <c r="GM1" s="5"/>
      <c r="GN1" s="5"/>
      <c r="GO1" s="5"/>
      <c r="GP1" s="5"/>
      <c r="GQ1" s="5"/>
      <c r="GR1" s="5"/>
      <c r="GS1" s="5"/>
      <c r="GT1" s="5"/>
      <c r="GU1" s="5"/>
      <c r="GV1" s="5"/>
      <c r="GW1" s="5"/>
      <c r="GX1" s="5"/>
      <c r="GY1" s="5"/>
      <c r="GZ1" s="5"/>
      <c r="HA1" s="5"/>
      <c r="HB1" s="5"/>
      <c r="HC1" s="5"/>
      <c r="HD1" s="5"/>
      <c r="HE1" s="5"/>
      <c r="HF1" s="5"/>
      <c r="HG1" s="6"/>
      <c r="HH1" s="6"/>
    </row>
    <row r="2" spans="1:216" x14ac:dyDescent="0.3">
      <c r="A2" s="7" t="s">
        <v>9</v>
      </c>
      <c r="B2" s="7" t="s">
        <v>10</v>
      </c>
      <c r="C2" s="7" t="s">
        <v>11</v>
      </c>
      <c r="D2" s="7" t="s">
        <v>12</v>
      </c>
      <c r="E2" s="7" t="s">
        <v>13</v>
      </c>
      <c r="F2" s="7" t="s">
        <v>14</v>
      </c>
      <c r="G2" s="7" t="s">
        <v>15</v>
      </c>
      <c r="H2" s="7" t="s">
        <v>16</v>
      </c>
      <c r="I2" s="7" t="s">
        <v>17</v>
      </c>
      <c r="J2" s="7" t="s">
        <v>18</v>
      </c>
      <c r="K2" s="7" t="s">
        <v>19</v>
      </c>
      <c r="L2" s="7" t="s">
        <v>20</v>
      </c>
      <c r="M2" s="7" t="s">
        <v>21</v>
      </c>
      <c r="N2" s="7" t="s">
        <v>22</v>
      </c>
      <c r="O2" s="7" t="s">
        <v>15</v>
      </c>
      <c r="P2" s="7" t="s">
        <v>23</v>
      </c>
      <c r="Q2" s="7" t="s">
        <v>24</v>
      </c>
      <c r="R2" s="7" t="s">
        <v>25</v>
      </c>
      <c r="S2" s="7" t="s">
        <v>26</v>
      </c>
      <c r="T2" s="7" t="s">
        <v>27</v>
      </c>
      <c r="U2" s="7" t="s">
        <v>28</v>
      </c>
      <c r="V2" s="7" t="s">
        <v>16</v>
      </c>
      <c r="W2" s="7" t="s">
        <v>29</v>
      </c>
      <c r="X2" s="7" t="s">
        <v>30</v>
      </c>
      <c r="Y2" s="7" t="s">
        <v>31</v>
      </c>
      <c r="Z2" s="7" t="s">
        <v>32</v>
      </c>
      <c r="AA2" s="7" t="s">
        <v>33</v>
      </c>
      <c r="AB2" s="7" t="s">
        <v>34</v>
      </c>
      <c r="AC2" s="7" t="s">
        <v>35</v>
      </c>
      <c r="AD2" s="7" t="s">
        <v>36</v>
      </c>
      <c r="AE2" s="7" t="s">
        <v>37</v>
      </c>
      <c r="AF2" s="7" t="s">
        <v>28</v>
      </c>
      <c r="AG2" s="7" t="s">
        <v>38</v>
      </c>
      <c r="AH2" s="7" t="s">
        <v>39</v>
      </c>
      <c r="AI2" s="7" t="s">
        <v>40</v>
      </c>
      <c r="AJ2" s="7" t="s">
        <v>41</v>
      </c>
      <c r="AK2" s="7" t="s">
        <v>26</v>
      </c>
      <c r="AL2" s="7" t="s">
        <v>16</v>
      </c>
      <c r="AM2" s="7" t="s">
        <v>42</v>
      </c>
      <c r="AN2" s="7" t="s">
        <v>29</v>
      </c>
      <c r="AO2" s="7" t="s">
        <v>43</v>
      </c>
      <c r="AP2" s="7" t="s">
        <v>44</v>
      </c>
      <c r="AQ2" s="7" t="s">
        <v>45</v>
      </c>
      <c r="AR2" s="7" t="s">
        <v>40</v>
      </c>
      <c r="AS2" s="7" t="s">
        <v>46</v>
      </c>
      <c r="AT2" s="7" t="s">
        <v>47</v>
      </c>
      <c r="AU2" s="7" t="s">
        <v>48</v>
      </c>
      <c r="AV2" s="7" t="s">
        <v>30</v>
      </c>
      <c r="AW2" s="7" t="s">
        <v>49</v>
      </c>
      <c r="AX2" s="7" t="s">
        <v>50</v>
      </c>
      <c r="AY2" s="7" t="s">
        <v>51</v>
      </c>
      <c r="AZ2" s="7" t="s">
        <v>31</v>
      </c>
      <c r="BA2" s="7" t="s">
        <v>52</v>
      </c>
      <c r="BB2" s="7" t="s">
        <v>53</v>
      </c>
      <c r="BC2" s="7" t="s">
        <v>54</v>
      </c>
      <c r="BD2" s="7" t="s">
        <v>55</v>
      </c>
      <c r="BE2" s="7" t="s">
        <v>56</v>
      </c>
      <c r="BF2" s="7" t="s">
        <v>28</v>
      </c>
      <c r="BG2" s="7" t="s">
        <v>41</v>
      </c>
      <c r="BH2" s="7" t="s">
        <v>57</v>
      </c>
      <c r="BI2" s="7" t="s">
        <v>58</v>
      </c>
      <c r="BJ2" s="7" t="s">
        <v>59</v>
      </c>
      <c r="BK2" s="7" t="s">
        <v>60</v>
      </c>
      <c r="BL2" s="7" t="s">
        <v>61</v>
      </c>
      <c r="BM2" s="7" t="s">
        <v>42</v>
      </c>
      <c r="BN2" s="7" t="s">
        <v>62</v>
      </c>
      <c r="BO2" s="7" t="s">
        <v>63</v>
      </c>
      <c r="BP2" s="7" t="s">
        <v>64</v>
      </c>
      <c r="BQ2" s="7" t="s">
        <v>65</v>
      </c>
      <c r="BR2" s="7" t="s">
        <v>66</v>
      </c>
      <c r="BS2" s="7" t="s">
        <v>67</v>
      </c>
      <c r="BT2" s="7" t="s">
        <v>68</v>
      </c>
      <c r="BU2" s="7" t="s">
        <v>69</v>
      </c>
      <c r="BV2" s="7" t="s">
        <v>70</v>
      </c>
      <c r="BW2" s="7" t="s">
        <v>71</v>
      </c>
      <c r="BX2" s="7" t="s">
        <v>27</v>
      </c>
      <c r="BY2" s="7" t="s">
        <v>35</v>
      </c>
      <c r="BZ2" s="7" t="s">
        <v>72</v>
      </c>
      <c r="CA2" s="7" t="s">
        <v>73</v>
      </c>
      <c r="CB2" s="7" t="s">
        <v>74</v>
      </c>
      <c r="CC2" s="7" t="s">
        <v>22</v>
      </c>
      <c r="CD2" s="7" t="s">
        <v>75</v>
      </c>
      <c r="CE2" s="7" t="s">
        <v>76</v>
      </c>
      <c r="CF2" s="7" t="s">
        <v>77</v>
      </c>
      <c r="CG2" s="7" t="s">
        <v>78</v>
      </c>
      <c r="CH2" s="7" t="s">
        <v>79</v>
      </c>
      <c r="CI2" s="7" t="s">
        <v>29</v>
      </c>
      <c r="CJ2" s="7" t="s">
        <v>30</v>
      </c>
      <c r="CK2" s="7" t="s">
        <v>31</v>
      </c>
      <c r="CL2" s="7" t="s">
        <v>32</v>
      </c>
      <c r="CM2" s="7" t="s">
        <v>33</v>
      </c>
      <c r="CN2" s="7" t="s">
        <v>34</v>
      </c>
      <c r="CO2" s="7" t="s">
        <v>35</v>
      </c>
      <c r="CP2" s="7" t="s">
        <v>36</v>
      </c>
      <c r="CQ2" s="7" t="s">
        <v>37</v>
      </c>
      <c r="CR2" s="7" t="s">
        <v>28</v>
      </c>
      <c r="CS2" s="7" t="s">
        <v>38</v>
      </c>
      <c r="CT2" s="7" t="s">
        <v>39</v>
      </c>
      <c r="CU2" s="7" t="s">
        <v>40</v>
      </c>
      <c r="CV2" s="7" t="s">
        <v>41</v>
      </c>
      <c r="CW2" s="7" t="s">
        <v>26</v>
      </c>
      <c r="CX2" s="7" t="s">
        <v>16</v>
      </c>
      <c r="CY2" s="7" t="s">
        <v>42</v>
      </c>
      <c r="CZ2" s="7" t="s">
        <v>29</v>
      </c>
      <c r="DA2" s="7" t="s">
        <v>43</v>
      </c>
      <c r="DB2" s="7" t="s">
        <v>44</v>
      </c>
      <c r="DC2" s="7" t="s">
        <v>45</v>
      </c>
      <c r="DD2" s="7" t="s">
        <v>40</v>
      </c>
      <c r="DE2" s="7" t="s">
        <v>46</v>
      </c>
      <c r="DF2" s="7" t="s">
        <v>47</v>
      </c>
      <c r="DG2" s="7" t="s">
        <v>48</v>
      </c>
      <c r="DH2" s="7" t="s">
        <v>30</v>
      </c>
      <c r="DI2" s="7" t="s">
        <v>49</v>
      </c>
      <c r="DJ2" s="7" t="s">
        <v>50</v>
      </c>
      <c r="DK2" s="7" t="s">
        <v>51</v>
      </c>
      <c r="DL2" s="7" t="s">
        <v>31</v>
      </c>
      <c r="DM2" s="7" t="s">
        <v>52</v>
      </c>
      <c r="DN2" s="7" t="s">
        <v>53</v>
      </c>
      <c r="DO2" s="7" t="s">
        <v>54</v>
      </c>
      <c r="DP2" s="7" t="s">
        <v>55</v>
      </c>
      <c r="DQ2" s="7" t="s">
        <v>56</v>
      </c>
      <c r="DR2" s="7" t="s">
        <v>28</v>
      </c>
      <c r="DS2" s="7" t="s">
        <v>41</v>
      </c>
      <c r="DT2" s="7" t="s">
        <v>57</v>
      </c>
      <c r="DU2" s="7" t="s">
        <v>58</v>
      </c>
      <c r="DV2" s="7" t="s">
        <v>59</v>
      </c>
      <c r="DW2" s="7" t="s">
        <v>60</v>
      </c>
      <c r="DX2" s="7" t="s">
        <v>61</v>
      </c>
      <c r="DY2" s="7" t="s">
        <v>42</v>
      </c>
      <c r="DZ2" s="7" t="s">
        <v>62</v>
      </c>
      <c r="EA2" s="7" t="s">
        <v>63</v>
      </c>
      <c r="EB2" s="7" t="s">
        <v>64</v>
      </c>
      <c r="EC2" s="7" t="s">
        <v>65</v>
      </c>
      <c r="ED2" s="7" t="s">
        <v>66</v>
      </c>
      <c r="EE2" s="7" t="s">
        <v>67</v>
      </c>
      <c r="EF2" s="7" t="s">
        <v>68</v>
      </c>
      <c r="EG2" s="7" t="s">
        <v>69</v>
      </c>
      <c r="EH2" s="7" t="s">
        <v>70</v>
      </c>
      <c r="EI2" s="7" t="s">
        <v>71</v>
      </c>
      <c r="EJ2" s="7" t="s">
        <v>27</v>
      </c>
      <c r="EK2" s="7" t="s">
        <v>35</v>
      </c>
      <c r="EL2" s="7" t="s">
        <v>72</v>
      </c>
      <c r="EM2" s="7" t="s">
        <v>73</v>
      </c>
      <c r="EN2" s="7" t="s">
        <v>74</v>
      </c>
      <c r="EO2" s="7" t="s">
        <v>22</v>
      </c>
      <c r="EP2" s="7" t="s">
        <v>75</v>
      </c>
      <c r="EQ2" s="7" t="s">
        <v>76</v>
      </c>
      <c r="ER2" s="7" t="s">
        <v>77</v>
      </c>
      <c r="ES2" s="7" t="s">
        <v>78</v>
      </c>
      <c r="ET2" s="7" t="s">
        <v>79</v>
      </c>
      <c r="EU2" s="7" t="s">
        <v>29</v>
      </c>
      <c r="EV2" s="7" t="s">
        <v>30</v>
      </c>
      <c r="EW2" s="7" t="s">
        <v>31</v>
      </c>
      <c r="EX2" s="7" t="s">
        <v>32</v>
      </c>
      <c r="EY2" s="7" t="s">
        <v>33</v>
      </c>
      <c r="EZ2" s="7" t="s">
        <v>34</v>
      </c>
      <c r="FA2" s="7" t="s">
        <v>35</v>
      </c>
      <c r="FB2" s="7" t="s">
        <v>36</v>
      </c>
      <c r="FC2" s="7" t="s">
        <v>37</v>
      </c>
      <c r="FD2" s="7" t="s">
        <v>28</v>
      </c>
      <c r="FE2" s="7" t="s">
        <v>38</v>
      </c>
      <c r="FF2" s="7" t="s">
        <v>39</v>
      </c>
      <c r="FG2" s="7" t="s">
        <v>40</v>
      </c>
      <c r="FH2" s="7" t="s">
        <v>41</v>
      </c>
      <c r="FI2" s="7" t="s">
        <v>26</v>
      </c>
      <c r="FJ2" s="7" t="s">
        <v>16</v>
      </c>
      <c r="FK2" s="7" t="s">
        <v>42</v>
      </c>
      <c r="FL2" s="7" t="s">
        <v>29</v>
      </c>
      <c r="FM2" s="7" t="s">
        <v>43</v>
      </c>
      <c r="FN2" s="7" t="s">
        <v>44</v>
      </c>
      <c r="FO2" s="7" t="s">
        <v>45</v>
      </c>
      <c r="FP2" s="7" t="s">
        <v>40</v>
      </c>
      <c r="FQ2" s="7" t="s">
        <v>46</v>
      </c>
      <c r="FR2" s="7" t="s">
        <v>47</v>
      </c>
      <c r="FS2" s="7" t="s">
        <v>48</v>
      </c>
      <c r="FT2" s="7" t="s">
        <v>30</v>
      </c>
      <c r="FU2" s="7" t="s">
        <v>49</v>
      </c>
      <c r="FV2" s="7" t="s">
        <v>50</v>
      </c>
      <c r="FW2" s="7" t="s">
        <v>51</v>
      </c>
      <c r="FX2" s="7" t="s">
        <v>31</v>
      </c>
      <c r="FY2" s="7" t="s">
        <v>52</v>
      </c>
      <c r="FZ2" s="7" t="s">
        <v>53</v>
      </c>
      <c r="GA2" s="7" t="s">
        <v>54</v>
      </c>
      <c r="GB2" s="7" t="s">
        <v>55</v>
      </c>
      <c r="GC2" s="7" t="s">
        <v>56</v>
      </c>
      <c r="GD2" s="7" t="s">
        <v>28</v>
      </c>
      <c r="GE2" s="7" t="s">
        <v>41</v>
      </c>
      <c r="GF2" s="7" t="s">
        <v>57</v>
      </c>
      <c r="GG2" s="7" t="s">
        <v>58</v>
      </c>
      <c r="GH2" s="7" t="s">
        <v>59</v>
      </c>
      <c r="GI2" s="7" t="s">
        <v>60</v>
      </c>
      <c r="GJ2" s="7" t="s">
        <v>61</v>
      </c>
      <c r="GK2" s="7" t="s">
        <v>42</v>
      </c>
      <c r="GL2" s="7" t="s">
        <v>62</v>
      </c>
      <c r="GM2" s="7" t="s">
        <v>63</v>
      </c>
      <c r="GN2" s="7" t="s">
        <v>64</v>
      </c>
      <c r="GO2" s="7" t="s">
        <v>65</v>
      </c>
      <c r="GP2" s="7" t="s">
        <v>66</v>
      </c>
      <c r="GQ2" s="7" t="s">
        <v>67</v>
      </c>
      <c r="GR2" s="7" t="s">
        <v>68</v>
      </c>
      <c r="GS2" s="7" t="s">
        <v>69</v>
      </c>
      <c r="GT2" s="7" t="s">
        <v>70</v>
      </c>
      <c r="GU2" s="7" t="s">
        <v>71</v>
      </c>
      <c r="GV2" s="7" t="s">
        <v>27</v>
      </c>
      <c r="GW2" s="7" t="s">
        <v>35</v>
      </c>
      <c r="GX2" s="7" t="s">
        <v>72</v>
      </c>
      <c r="GY2" s="7" t="s">
        <v>73</v>
      </c>
      <c r="GZ2" s="7" t="s">
        <v>74</v>
      </c>
      <c r="HA2" s="7" t="s">
        <v>22</v>
      </c>
      <c r="HB2" s="7" t="s">
        <v>75</v>
      </c>
      <c r="HC2" s="7" t="s">
        <v>76</v>
      </c>
      <c r="HD2" s="7" t="s">
        <v>77</v>
      </c>
      <c r="HE2" s="7" t="s">
        <v>78</v>
      </c>
      <c r="HF2" s="7" t="s">
        <v>79</v>
      </c>
      <c r="HG2" s="6"/>
      <c r="HH2" s="6"/>
    </row>
    <row r="3" spans="1:216" x14ac:dyDescent="0.3">
      <c r="A3" s="8" t="str">
        <f>HYPERLINK("https://hpr-rps.hres.ca/reg-content/summary-basis-decision-detailOne.php?lang=en&amp;linkID=SBD00001", "Abilify")</f>
        <v>Abilify</v>
      </c>
      <c r="B3" s="6" t="s">
        <v>80</v>
      </c>
      <c r="C3" s="6" t="s">
        <v>81</v>
      </c>
      <c r="D3" s="6" t="s">
        <v>82</v>
      </c>
      <c r="E3" s="6"/>
      <c r="F3" s="6"/>
      <c r="G3" s="6"/>
      <c r="H3" s="6">
        <v>39500</v>
      </c>
      <c r="I3" s="6"/>
      <c r="J3" s="6"/>
      <c r="K3" s="6"/>
      <c r="L3" s="6"/>
      <c r="M3" s="6"/>
      <c r="N3" s="6"/>
      <c r="O3" s="6"/>
      <c r="P3" s="6"/>
      <c r="Q3" s="6"/>
      <c r="R3" s="6"/>
      <c r="S3" s="6"/>
      <c r="T3" s="6"/>
      <c r="U3" s="6"/>
      <c r="V3" s="6"/>
      <c r="W3" s="6"/>
      <c r="X3" s="6"/>
      <c r="Y3" s="6"/>
      <c r="Z3" s="6"/>
      <c r="AA3" s="6"/>
      <c r="AB3" s="6"/>
      <c r="AC3" s="6"/>
      <c r="AD3" s="6"/>
      <c r="AE3" s="6"/>
      <c r="AF3" s="6">
        <v>39549</v>
      </c>
      <c r="AG3" s="6"/>
      <c r="AH3" s="6"/>
      <c r="AI3" s="6"/>
      <c r="AJ3" s="6"/>
      <c r="AK3" s="6"/>
      <c r="AL3" s="6"/>
      <c r="AM3" s="6"/>
      <c r="AN3" s="6"/>
      <c r="AO3" s="6"/>
      <c r="AP3" s="6"/>
      <c r="AQ3" s="6"/>
      <c r="AR3" s="6"/>
      <c r="AS3" s="6">
        <v>39832</v>
      </c>
      <c r="AT3" s="6"/>
      <c r="AU3" s="6"/>
      <c r="AV3" s="6">
        <v>39860</v>
      </c>
      <c r="AW3" s="6"/>
      <c r="AX3" s="6">
        <v>39847</v>
      </c>
      <c r="AY3" s="6"/>
      <c r="AZ3" s="6">
        <v>39843</v>
      </c>
      <c r="BA3" s="6"/>
      <c r="BB3" s="6"/>
      <c r="BC3" s="6"/>
      <c r="BD3" s="6"/>
      <c r="BE3" s="6">
        <v>39882</v>
      </c>
      <c r="BF3" s="6"/>
      <c r="BG3" s="6"/>
      <c r="BH3" s="6"/>
      <c r="BI3" s="6"/>
      <c r="BJ3" s="6"/>
      <c r="BK3" s="6"/>
      <c r="BL3" s="6"/>
      <c r="BM3" s="6"/>
      <c r="BN3" s="6"/>
      <c r="BO3" s="6"/>
      <c r="BP3" s="6"/>
      <c r="BQ3" s="6"/>
      <c r="BR3" s="6"/>
      <c r="BS3" s="6"/>
      <c r="BT3" s="6"/>
      <c r="BU3" s="6"/>
      <c r="BV3" s="6"/>
      <c r="BW3" s="6"/>
      <c r="BX3" s="6"/>
      <c r="BY3" s="6">
        <v>39938</v>
      </c>
      <c r="BZ3" s="6"/>
      <c r="CA3" s="6"/>
      <c r="CB3" s="6"/>
      <c r="CC3" s="6"/>
      <c r="CD3" s="6"/>
      <c r="CE3" s="6"/>
      <c r="CF3" s="6"/>
      <c r="CG3" s="6"/>
      <c r="CH3" s="6"/>
      <c r="CI3" s="6"/>
      <c r="CJ3" s="6"/>
      <c r="CK3" s="6"/>
      <c r="CL3" s="6"/>
      <c r="CM3" s="6"/>
      <c r="CN3" s="6"/>
      <c r="CO3" s="6"/>
      <c r="CP3" s="6"/>
      <c r="CQ3" s="6"/>
      <c r="CR3" s="6">
        <v>39967</v>
      </c>
      <c r="CS3" s="6"/>
      <c r="CT3" s="6"/>
      <c r="CU3" s="6"/>
      <c r="CV3" s="6"/>
      <c r="CW3" s="6"/>
      <c r="CX3" s="6"/>
      <c r="CY3" s="6"/>
      <c r="CZ3" s="6"/>
      <c r="DA3" s="6"/>
      <c r="DB3" s="6"/>
      <c r="DC3" s="6"/>
      <c r="DD3" s="6">
        <v>39989</v>
      </c>
      <c r="DE3" s="6"/>
      <c r="DF3" s="6"/>
      <c r="DG3" s="6"/>
      <c r="DH3" s="6"/>
      <c r="DI3" s="6"/>
      <c r="DJ3" s="6"/>
      <c r="DK3" s="6"/>
      <c r="DL3" s="6">
        <v>39993</v>
      </c>
      <c r="DM3" s="6"/>
      <c r="DN3" s="6"/>
      <c r="DO3" s="6"/>
      <c r="DP3" s="6"/>
      <c r="DQ3" s="6"/>
      <c r="DR3" s="6"/>
      <c r="DS3" s="6"/>
      <c r="DT3" s="6"/>
      <c r="DU3" s="6"/>
      <c r="DV3" s="6"/>
      <c r="DW3" s="6"/>
      <c r="DX3" s="6"/>
      <c r="DY3" s="6">
        <v>40003</v>
      </c>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row>
    <row r="4" spans="1:216" x14ac:dyDescent="0.3">
      <c r="A4" s="8" t="str">
        <f>HYPERLINK("https://hpr-rps.hres.ca/reg-content/summary-basis-decision-detailOne.php?lang=en&amp;linkID=SBD00002", "Actemra TM")</f>
        <v>Actemra TM</v>
      </c>
      <c r="B4" s="6" t="s">
        <v>83</v>
      </c>
      <c r="C4" s="6" t="s">
        <v>84</v>
      </c>
      <c r="D4" s="6" t="s">
        <v>85</v>
      </c>
      <c r="E4" s="6">
        <v>39427</v>
      </c>
      <c r="F4" s="6"/>
      <c r="G4" s="6"/>
      <c r="H4" s="6">
        <v>39547</v>
      </c>
      <c r="I4" s="6"/>
      <c r="J4" s="6"/>
      <c r="K4" s="6"/>
      <c r="L4" s="6"/>
      <c r="M4" s="6"/>
      <c r="N4" s="6"/>
      <c r="O4" s="6"/>
      <c r="P4" s="6"/>
      <c r="Q4" s="6"/>
      <c r="R4" s="6"/>
      <c r="S4" s="6"/>
      <c r="T4" s="6"/>
      <c r="U4" s="6"/>
      <c r="V4" s="6"/>
      <c r="W4" s="6"/>
      <c r="X4" s="6"/>
      <c r="Y4" s="6"/>
      <c r="Z4" s="6"/>
      <c r="AA4" s="6"/>
      <c r="AB4" s="6"/>
      <c r="AC4" s="6"/>
      <c r="AD4" s="6"/>
      <c r="AE4" s="6"/>
      <c r="AF4" s="6">
        <v>39588</v>
      </c>
      <c r="AG4" s="6"/>
      <c r="AH4" s="6"/>
      <c r="AI4" s="6"/>
      <c r="AJ4" s="6"/>
      <c r="AK4" s="6"/>
      <c r="AL4" s="6"/>
      <c r="AM4" s="6"/>
      <c r="AN4" s="6"/>
      <c r="AO4" s="6">
        <v>39762</v>
      </c>
      <c r="AP4" s="6"/>
      <c r="AQ4" s="6"/>
      <c r="AR4" s="6"/>
      <c r="AS4" s="6"/>
      <c r="AT4" s="6"/>
      <c r="AU4" s="6"/>
      <c r="AV4" s="6">
        <v>39906</v>
      </c>
      <c r="AW4" s="6"/>
      <c r="AX4" s="6">
        <v>39906</v>
      </c>
      <c r="AY4" s="6"/>
      <c r="AZ4" s="6"/>
      <c r="BA4" s="6"/>
      <c r="BB4" s="6"/>
      <c r="BC4" s="6"/>
      <c r="BD4" s="6"/>
      <c r="BE4" s="6"/>
      <c r="BF4" s="6"/>
      <c r="BG4" s="6"/>
      <c r="BH4" s="6"/>
      <c r="BI4" s="6"/>
      <c r="BJ4" s="6"/>
      <c r="BK4" s="6"/>
      <c r="BL4" s="6"/>
      <c r="BM4" s="6"/>
      <c r="BN4" s="6"/>
      <c r="BO4" s="6"/>
      <c r="BP4" s="6"/>
      <c r="BQ4" s="6"/>
      <c r="BR4" s="6"/>
      <c r="BS4" s="6"/>
      <c r="BT4" s="6"/>
      <c r="BU4" s="6"/>
      <c r="BV4" s="6"/>
      <c r="BW4" s="6"/>
      <c r="BX4" s="6"/>
      <c r="BY4" s="6">
        <v>40021</v>
      </c>
      <c r="BZ4" s="6"/>
      <c r="CA4" s="6"/>
      <c r="CB4" s="6"/>
      <c r="CC4" s="6"/>
      <c r="CD4" s="6"/>
      <c r="CE4" s="6"/>
      <c r="CF4" s="6"/>
      <c r="CG4" s="6"/>
      <c r="CH4" s="6"/>
      <c r="CI4" s="6"/>
      <c r="CJ4" s="6"/>
      <c r="CK4" s="6"/>
      <c r="CL4" s="6"/>
      <c r="CM4" s="6"/>
      <c r="CN4" s="6"/>
      <c r="CO4" s="6"/>
      <c r="CP4" s="6"/>
      <c r="CQ4" s="6"/>
      <c r="CR4" s="6">
        <v>40034</v>
      </c>
      <c r="CS4" s="6"/>
      <c r="CT4" s="6"/>
      <c r="CU4" s="6"/>
      <c r="CV4" s="6"/>
      <c r="CW4" s="6"/>
      <c r="CX4" s="6"/>
      <c r="CY4" s="6"/>
      <c r="CZ4" s="6"/>
      <c r="DA4" s="6"/>
      <c r="DB4" s="6"/>
      <c r="DC4" s="6"/>
      <c r="DD4" s="6">
        <v>40297</v>
      </c>
      <c r="DE4" s="6"/>
      <c r="DF4" s="6"/>
      <c r="DG4" s="6"/>
      <c r="DH4" s="6">
        <v>40298</v>
      </c>
      <c r="DI4" s="6"/>
      <c r="DJ4" s="6">
        <v>40298</v>
      </c>
      <c r="DK4" s="6"/>
      <c r="DL4" s="6">
        <v>40298</v>
      </c>
      <c r="DM4" s="6"/>
      <c r="DN4" s="6"/>
      <c r="DO4" s="6"/>
      <c r="DP4" s="6"/>
      <c r="DQ4" s="6"/>
      <c r="DR4" s="6"/>
      <c r="DS4" s="6"/>
      <c r="DT4" s="6"/>
      <c r="DU4" s="6"/>
      <c r="DV4" s="6"/>
      <c r="DW4" s="6"/>
      <c r="DX4" s="6"/>
      <c r="DY4" s="6">
        <v>40298</v>
      </c>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row>
    <row r="5" spans="1:216" x14ac:dyDescent="0.3">
      <c r="A5" s="8" t="str">
        <f>HYPERLINK("https://hpr-rps.hres.ca/reg-content/summary-basis-decision-detailOne.php?lang=en&amp;linkID=SBD00003", "Afinitor")</f>
        <v>Afinitor</v>
      </c>
      <c r="B5" s="6" t="s">
        <v>86</v>
      </c>
      <c r="C5" s="6" t="s">
        <v>87</v>
      </c>
      <c r="D5" s="6" t="s">
        <v>88</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row>
    <row r="6" spans="1:216" x14ac:dyDescent="0.3">
      <c r="A6" s="8" t="str">
        <f>HYPERLINK("https://hpr-rps.hres.ca/reg-content/summary-basis-decision-detailOne.php?lang=en&amp;linkID=SBD00004", "Aloxi ®")</f>
        <v>Aloxi ®</v>
      </c>
      <c r="B6" s="6" t="s">
        <v>89</v>
      </c>
      <c r="C6" s="6" t="s">
        <v>90</v>
      </c>
      <c r="D6" s="6" t="s">
        <v>91</v>
      </c>
      <c r="E6" s="6">
        <v>39107</v>
      </c>
      <c r="F6" s="6"/>
      <c r="G6" s="6"/>
      <c r="H6" s="6">
        <v>40633</v>
      </c>
      <c r="I6" s="6"/>
      <c r="J6" s="6"/>
      <c r="K6" s="6"/>
      <c r="L6" s="6"/>
      <c r="M6" s="6"/>
      <c r="N6" s="6"/>
      <c r="O6" s="6"/>
      <c r="P6" s="6"/>
      <c r="Q6" s="6"/>
      <c r="R6" s="6"/>
      <c r="S6" s="6"/>
      <c r="T6" s="6"/>
      <c r="U6" s="6"/>
      <c r="V6" s="6"/>
      <c r="W6" s="6"/>
      <c r="X6" s="6"/>
      <c r="Y6" s="6"/>
      <c r="Z6" s="6"/>
      <c r="AA6" s="6"/>
      <c r="AB6" s="6"/>
      <c r="AC6" s="6"/>
      <c r="AD6" s="6"/>
      <c r="AE6" s="6"/>
      <c r="AF6" s="6">
        <v>40683</v>
      </c>
      <c r="AG6" s="6"/>
      <c r="AH6" s="6"/>
      <c r="AI6" s="6"/>
      <c r="AJ6" s="6"/>
      <c r="AK6" s="6"/>
      <c r="AL6" s="6"/>
      <c r="AM6" s="6"/>
      <c r="AN6" s="6"/>
      <c r="AO6" s="6"/>
      <c r="AP6" s="6"/>
      <c r="AQ6" s="6"/>
      <c r="AR6" s="6">
        <v>40975</v>
      </c>
      <c r="AS6" s="6">
        <v>40949</v>
      </c>
      <c r="AT6" s="6"/>
      <c r="AU6" s="6"/>
      <c r="AV6" s="6">
        <v>40976</v>
      </c>
      <c r="AW6" s="6"/>
      <c r="AX6" s="6">
        <v>40924</v>
      </c>
      <c r="AY6" s="6"/>
      <c r="AZ6" s="6">
        <v>40977</v>
      </c>
      <c r="BA6" s="6"/>
      <c r="BB6" s="6"/>
      <c r="BC6" s="6"/>
      <c r="BD6" s="6"/>
      <c r="BE6" s="6"/>
      <c r="BF6" s="6"/>
      <c r="BG6" s="6"/>
      <c r="BH6" s="6"/>
      <c r="BI6" s="6"/>
      <c r="BJ6" s="6"/>
      <c r="BK6" s="6"/>
      <c r="BL6" s="6"/>
      <c r="BM6" s="6">
        <v>40982</v>
      </c>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row>
    <row r="7" spans="1:216" x14ac:dyDescent="0.3">
      <c r="A7" s="8" t="str">
        <f>HYPERLINK("https://hpr-rps.hres.ca/reg-content/summary-basis-decision-detailOne.php?lang=en&amp;linkID=SBD00005", "Alrex ®")</f>
        <v>Alrex ®</v>
      </c>
      <c r="B7" s="6" t="s">
        <v>92</v>
      </c>
      <c r="C7" s="6" t="s">
        <v>93</v>
      </c>
      <c r="D7" s="6" t="s">
        <v>94</v>
      </c>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row>
    <row r="8" spans="1:216" x14ac:dyDescent="0.3">
      <c r="A8" s="8" t="str">
        <f>HYPERLINK("https://hpr-rps.hres.ca/reg-content/summary-basis-decision-detailOne.php?lang=en&amp;linkID=SBD00006", "Altargo TM")</f>
        <v>Altargo TM</v>
      </c>
      <c r="B8" s="6" t="s">
        <v>95</v>
      </c>
      <c r="C8" s="6" t="s">
        <v>96</v>
      </c>
      <c r="D8" s="6" t="s">
        <v>97</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row>
    <row r="9" spans="1:216" x14ac:dyDescent="0.3">
      <c r="A9" s="8" t="str">
        <f>HYPERLINK("https://hpr-rps.hres.ca/reg-content/summary-basis-decision-detailOne.php?lang=en&amp;linkID=SBD00007", "Alvesco ®")</f>
        <v>Alvesco ®</v>
      </c>
      <c r="B9" s="6" t="s">
        <v>98</v>
      </c>
      <c r="C9" s="6" t="s">
        <v>99</v>
      </c>
      <c r="D9" s="6" t="s">
        <v>100</v>
      </c>
      <c r="E9" s="6">
        <v>37687</v>
      </c>
      <c r="F9" s="6"/>
      <c r="G9" s="6"/>
      <c r="H9" s="6"/>
      <c r="I9" s="6"/>
      <c r="J9" s="6"/>
      <c r="K9" s="6"/>
      <c r="L9" s="6"/>
      <c r="M9" s="6"/>
      <c r="N9" s="6">
        <v>37698</v>
      </c>
      <c r="O9" s="6"/>
      <c r="P9" s="6"/>
      <c r="Q9" s="6"/>
      <c r="R9" s="6"/>
      <c r="S9" s="6">
        <v>37725</v>
      </c>
      <c r="T9" s="6"/>
      <c r="U9" s="6"/>
      <c r="V9" s="6">
        <v>37762</v>
      </c>
      <c r="W9" s="6"/>
      <c r="X9" s="6"/>
      <c r="Y9" s="6"/>
      <c r="Z9" s="6">
        <v>37816</v>
      </c>
      <c r="AA9" s="6"/>
      <c r="AB9" s="6"/>
      <c r="AC9" s="6">
        <v>37832</v>
      </c>
      <c r="AD9" s="6">
        <v>38015</v>
      </c>
      <c r="AE9" s="6"/>
      <c r="AF9" s="6">
        <v>37833</v>
      </c>
      <c r="AG9" s="6"/>
      <c r="AH9" s="6"/>
      <c r="AI9" s="6"/>
      <c r="AJ9" s="6"/>
      <c r="AK9" s="6"/>
      <c r="AL9" s="6"/>
      <c r="AM9" s="6"/>
      <c r="AN9" s="6"/>
      <c r="AO9" s="6"/>
      <c r="AP9" s="6"/>
      <c r="AQ9" s="6"/>
      <c r="AR9" s="6">
        <v>38573</v>
      </c>
      <c r="AS9" s="6"/>
      <c r="AT9" s="6"/>
      <c r="AU9" s="6"/>
      <c r="AV9" s="6">
        <v>38574</v>
      </c>
      <c r="AW9" s="6"/>
      <c r="AX9" s="6"/>
      <c r="AY9" s="6"/>
      <c r="AZ9" s="6">
        <v>38551</v>
      </c>
      <c r="BA9" s="6"/>
      <c r="BB9" s="6"/>
      <c r="BC9" s="6"/>
      <c r="BD9" s="6"/>
      <c r="BE9" s="6"/>
      <c r="BF9" s="6"/>
      <c r="BG9" s="6"/>
      <c r="BH9" s="6"/>
      <c r="BI9" s="6"/>
      <c r="BJ9" s="6"/>
      <c r="BK9" s="6"/>
      <c r="BL9" s="6"/>
      <c r="BM9" s="6">
        <v>38582</v>
      </c>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row>
    <row r="10" spans="1:216" x14ac:dyDescent="0.3">
      <c r="A10" s="8" t="str">
        <f>HYPERLINK("https://hpr-rps.hres.ca/reg-content/summary-basis-decision-detailOne.php?lang=en&amp;linkID=SBD00008", "Apidra TM")</f>
        <v>Apidra TM</v>
      </c>
      <c r="B10" s="6" t="s">
        <v>101</v>
      </c>
      <c r="C10" s="6" t="s">
        <v>102</v>
      </c>
      <c r="D10" s="6" t="s">
        <v>103</v>
      </c>
      <c r="E10" s="6"/>
      <c r="F10" s="6"/>
      <c r="G10" s="6"/>
      <c r="H10" s="6">
        <v>37929</v>
      </c>
      <c r="I10" s="6"/>
      <c r="J10" s="6"/>
      <c r="K10" s="6"/>
      <c r="L10" s="6"/>
      <c r="M10" s="6"/>
      <c r="N10" s="6"/>
      <c r="O10" s="6"/>
      <c r="P10" s="6"/>
      <c r="Q10" s="6"/>
      <c r="R10" s="6"/>
      <c r="S10" s="6"/>
      <c r="T10" s="6"/>
      <c r="U10" s="6"/>
      <c r="V10" s="6"/>
      <c r="W10" s="6"/>
      <c r="X10" s="6"/>
      <c r="Y10" s="6"/>
      <c r="Z10" s="6"/>
      <c r="AA10" s="6"/>
      <c r="AB10" s="6"/>
      <c r="AC10" s="6"/>
      <c r="AD10" s="6"/>
      <c r="AE10" s="6"/>
      <c r="AF10" s="6">
        <v>37999</v>
      </c>
      <c r="AG10" s="6"/>
      <c r="AH10" s="6"/>
      <c r="AI10" s="6"/>
      <c r="AJ10" s="6"/>
      <c r="AK10" s="6"/>
      <c r="AL10" s="6"/>
      <c r="AM10" s="6"/>
      <c r="AN10" s="6"/>
      <c r="AO10" s="6"/>
      <c r="AP10" s="6"/>
      <c r="AQ10" s="6"/>
      <c r="AR10" s="6">
        <v>38812</v>
      </c>
      <c r="AS10" s="6"/>
      <c r="AT10" s="6"/>
      <c r="AU10" s="6"/>
      <c r="AV10" s="6">
        <v>38807</v>
      </c>
      <c r="AW10" s="6"/>
      <c r="AX10" s="6"/>
      <c r="AY10" s="6"/>
      <c r="AZ10" s="6">
        <v>38805</v>
      </c>
      <c r="BA10" s="6"/>
      <c r="BB10" s="6"/>
      <c r="BC10" s="6"/>
      <c r="BD10" s="6"/>
      <c r="BE10" s="6"/>
      <c r="BF10" s="6"/>
      <c r="BG10" s="6"/>
      <c r="BH10" s="6"/>
      <c r="BI10" s="6"/>
      <c r="BJ10" s="6"/>
      <c r="BK10" s="6"/>
      <c r="BL10" s="6"/>
      <c r="BM10" s="6">
        <v>38819</v>
      </c>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row>
    <row r="11" spans="1:216" x14ac:dyDescent="0.3">
      <c r="A11" s="8" t="str">
        <f>HYPERLINK("https://hpr-rps.hres.ca/reg-content/summary-basis-decision-detailOne.php?lang=en&amp;linkID=SBD00009", "Aptivus ®")</f>
        <v>Aptivus ®</v>
      </c>
      <c r="B11" s="6" t="s">
        <v>104</v>
      </c>
      <c r="C11" s="6" t="s">
        <v>105</v>
      </c>
      <c r="D11" s="6" t="s">
        <v>106</v>
      </c>
      <c r="E11" s="6">
        <v>37971</v>
      </c>
      <c r="F11" s="6"/>
      <c r="G11" s="6"/>
      <c r="H11" s="6"/>
      <c r="I11" s="6"/>
      <c r="J11" s="6"/>
      <c r="K11" s="6"/>
      <c r="L11" s="6"/>
      <c r="M11" s="6"/>
      <c r="N11" s="6">
        <v>37977</v>
      </c>
      <c r="O11" s="6"/>
      <c r="P11" s="6"/>
      <c r="Q11" s="6"/>
      <c r="R11" s="6"/>
      <c r="S11" s="6">
        <v>37994</v>
      </c>
      <c r="T11" s="6"/>
      <c r="U11" s="6"/>
      <c r="V11" s="6">
        <v>38013</v>
      </c>
      <c r="W11" s="6"/>
      <c r="X11" s="6"/>
      <c r="Y11" s="6"/>
      <c r="Z11" s="6">
        <v>38041</v>
      </c>
      <c r="AA11" s="6"/>
      <c r="AB11" s="6"/>
      <c r="AC11" s="6">
        <v>38062</v>
      </c>
      <c r="AD11" s="6"/>
      <c r="AE11" s="6"/>
      <c r="AF11" s="6">
        <v>38075</v>
      </c>
      <c r="AG11" s="6"/>
      <c r="AH11" s="6"/>
      <c r="AI11" s="6"/>
      <c r="AJ11" s="6"/>
      <c r="AK11" s="6"/>
      <c r="AL11" s="6"/>
      <c r="AM11" s="6"/>
      <c r="AN11" s="6"/>
      <c r="AO11" s="6">
        <v>38306</v>
      </c>
      <c r="AP11" s="6"/>
      <c r="AQ11" s="6"/>
      <c r="AR11" s="6">
        <v>38593</v>
      </c>
      <c r="AS11" s="6"/>
      <c r="AT11" s="6"/>
      <c r="AU11" s="6"/>
      <c r="AV11" s="6">
        <v>38524</v>
      </c>
      <c r="AW11" s="6"/>
      <c r="AX11" s="6"/>
      <c r="AY11" s="6"/>
      <c r="AZ11" s="6">
        <v>38602</v>
      </c>
      <c r="BA11" s="6"/>
      <c r="BB11" s="6"/>
      <c r="BC11" s="6"/>
      <c r="BD11" s="6"/>
      <c r="BE11" s="6"/>
      <c r="BF11" s="6"/>
      <c r="BG11" s="6"/>
      <c r="BH11" s="6"/>
      <c r="BI11" s="6"/>
      <c r="BJ11" s="6"/>
      <c r="BK11" s="6"/>
      <c r="BL11" s="6"/>
      <c r="BM11" s="6">
        <v>38604</v>
      </c>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row>
    <row r="12" spans="1:216" x14ac:dyDescent="0.3">
      <c r="A12" s="8" t="str">
        <f>HYPERLINK("https://hpr-rps.hres.ca/reg-content/summary-basis-decision-detailOne.php?lang=en&amp;linkID=SBD00010", "Arepanrix TM")</f>
        <v>Arepanrix TM</v>
      </c>
      <c r="B12" s="6" t="s">
        <v>107</v>
      </c>
      <c r="C12" s="6" t="s">
        <v>108</v>
      </c>
      <c r="D12" s="6" t="s">
        <v>109</v>
      </c>
      <c r="E12" s="6">
        <v>39112</v>
      </c>
      <c r="F12" s="6"/>
      <c r="G12" s="6"/>
      <c r="H12" s="6"/>
      <c r="I12" s="6"/>
      <c r="J12" s="6"/>
      <c r="K12" s="6">
        <v>40043</v>
      </c>
      <c r="L12" s="6"/>
      <c r="M12" s="6"/>
      <c r="N12" s="6"/>
      <c r="O12" s="6"/>
      <c r="P12" s="6"/>
      <c r="Q12" s="6"/>
      <c r="R12" s="6"/>
      <c r="S12" s="6"/>
      <c r="T12" s="6"/>
      <c r="U12" s="6"/>
      <c r="V12" s="6"/>
      <c r="W12" s="6"/>
      <c r="X12" s="6"/>
      <c r="Y12" s="6">
        <v>40086</v>
      </c>
      <c r="Z12" s="6"/>
      <c r="AA12" s="6"/>
      <c r="AB12" s="6"/>
      <c r="AC12" s="6"/>
      <c r="AD12" s="6"/>
      <c r="AE12" s="6"/>
      <c r="AF12" s="6">
        <v>40058</v>
      </c>
      <c r="AG12" s="6"/>
      <c r="AH12" s="6"/>
      <c r="AI12" s="6"/>
      <c r="AJ12" s="6"/>
      <c r="AK12" s="6"/>
      <c r="AL12" s="6">
        <v>40070</v>
      </c>
      <c r="AM12" s="6"/>
      <c r="AN12" s="6"/>
      <c r="AO12" s="6">
        <v>40086</v>
      </c>
      <c r="AP12" s="6"/>
      <c r="AQ12" s="6"/>
      <c r="AR12" s="6">
        <v>40014</v>
      </c>
      <c r="AS12" s="6"/>
      <c r="AT12" s="6"/>
      <c r="AU12" s="6"/>
      <c r="AV12" s="6">
        <v>40107</v>
      </c>
      <c r="AW12" s="6"/>
      <c r="AX12" s="6"/>
      <c r="AY12" s="6"/>
      <c r="AZ12" s="6">
        <v>40107</v>
      </c>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v>40099</v>
      </c>
      <c r="CE12" s="6">
        <v>40107</v>
      </c>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row>
    <row r="13" spans="1:216" x14ac:dyDescent="0.3">
      <c r="A13" s="8" t="str">
        <f>HYPERLINK("https://hpr-rps.hres.ca/reg-content/summary-basis-decision-detailOne.php?lang=en&amp;linkID=SBD00011", "Atriance TM")</f>
        <v>Atriance TM</v>
      </c>
      <c r="B13" s="6" t="s">
        <v>110</v>
      </c>
      <c r="C13" s="6" t="s">
        <v>96</v>
      </c>
      <c r="D13" s="6" t="s">
        <v>111</v>
      </c>
      <c r="E13" s="6"/>
      <c r="F13" s="6"/>
      <c r="G13" s="6"/>
      <c r="H13" s="6"/>
      <c r="I13" s="6"/>
      <c r="J13" s="6"/>
      <c r="K13" s="6"/>
      <c r="L13" s="6"/>
      <c r="M13" s="6"/>
      <c r="N13" s="6">
        <v>38546</v>
      </c>
      <c r="O13" s="6"/>
      <c r="P13" s="6"/>
      <c r="Q13" s="6"/>
      <c r="R13" s="6"/>
      <c r="S13" s="6"/>
      <c r="T13" s="6">
        <v>38582</v>
      </c>
      <c r="U13" s="6"/>
      <c r="V13" s="6">
        <v>38623</v>
      </c>
      <c r="W13" s="6"/>
      <c r="X13" s="6"/>
      <c r="Y13" s="6"/>
      <c r="Z13" s="6">
        <v>38674</v>
      </c>
      <c r="AA13" s="6"/>
      <c r="AB13" s="6"/>
      <c r="AC13" s="6">
        <v>38733</v>
      </c>
      <c r="AD13" s="6"/>
      <c r="AE13" s="6"/>
      <c r="AF13" s="6">
        <v>38779</v>
      </c>
      <c r="AG13" s="6"/>
      <c r="AH13" s="6"/>
      <c r="AI13" s="6"/>
      <c r="AJ13" s="6"/>
      <c r="AK13" s="6"/>
      <c r="AL13" s="6"/>
      <c r="AM13" s="6"/>
      <c r="AN13" s="6"/>
      <c r="AO13" s="6"/>
      <c r="AP13" s="6"/>
      <c r="AQ13" s="6"/>
      <c r="AR13" s="6"/>
      <c r="AS13" s="6"/>
      <c r="AT13" s="6"/>
      <c r="AU13" s="6"/>
      <c r="AV13" s="6">
        <v>39070</v>
      </c>
      <c r="AW13" s="6"/>
      <c r="AX13" s="6"/>
      <c r="AY13" s="6"/>
      <c r="AZ13" s="6">
        <v>39056</v>
      </c>
      <c r="BA13" s="6"/>
      <c r="BB13" s="6"/>
      <c r="BC13" s="6"/>
      <c r="BD13" s="6"/>
      <c r="BE13" s="6"/>
      <c r="BF13" s="6"/>
      <c r="BG13" s="6"/>
      <c r="BH13" s="6"/>
      <c r="BI13" s="6"/>
      <c r="BJ13" s="6"/>
      <c r="BK13" s="6"/>
      <c r="BL13" s="6"/>
      <c r="BM13" s="6"/>
      <c r="BN13" s="6"/>
      <c r="BO13" s="6"/>
      <c r="BP13" s="6"/>
      <c r="BQ13" s="6"/>
      <c r="BR13" s="6"/>
      <c r="BS13" s="6"/>
      <c r="BT13" s="6">
        <v>39073</v>
      </c>
      <c r="BU13" s="6"/>
      <c r="BV13" s="6"/>
      <c r="BW13" s="6"/>
      <c r="BX13" s="6"/>
      <c r="BY13" s="6">
        <v>39149</v>
      </c>
      <c r="BZ13" s="6"/>
      <c r="CA13" s="6"/>
      <c r="CB13" s="6"/>
      <c r="CC13" s="6"/>
      <c r="CD13" s="6"/>
      <c r="CE13" s="6"/>
      <c r="CF13" s="6"/>
      <c r="CG13" s="6"/>
      <c r="CH13" s="6"/>
      <c r="CI13" s="6"/>
      <c r="CJ13" s="6"/>
      <c r="CK13" s="6"/>
      <c r="CL13" s="6"/>
      <c r="CM13" s="6"/>
      <c r="CN13" s="6"/>
      <c r="CO13" s="6"/>
      <c r="CP13" s="6"/>
      <c r="CQ13" s="6"/>
      <c r="CR13" s="6">
        <v>39156</v>
      </c>
      <c r="CS13" s="6"/>
      <c r="CT13" s="6"/>
      <c r="CU13" s="6"/>
      <c r="CV13" s="6"/>
      <c r="CW13" s="6"/>
      <c r="CX13" s="6"/>
      <c r="CY13" s="6"/>
      <c r="CZ13" s="6"/>
      <c r="DA13" s="6"/>
      <c r="DB13" s="6"/>
      <c r="DC13" s="6"/>
      <c r="DD13" s="6">
        <v>39295</v>
      </c>
      <c r="DE13" s="6"/>
      <c r="DF13" s="6"/>
      <c r="DG13" s="6"/>
      <c r="DH13" s="6">
        <v>39287</v>
      </c>
      <c r="DI13" s="6"/>
      <c r="DJ13" s="6"/>
      <c r="DK13" s="6"/>
      <c r="DL13" s="6"/>
      <c r="DM13" s="6"/>
      <c r="DN13" s="6"/>
      <c r="DO13" s="6"/>
      <c r="DP13" s="6"/>
      <c r="DQ13" s="6"/>
      <c r="DR13" s="6"/>
      <c r="DS13" s="6"/>
      <c r="DT13" s="6"/>
      <c r="DU13" s="6"/>
      <c r="DV13" s="6"/>
      <c r="DW13" s="6">
        <v>39304</v>
      </c>
      <c r="DX13" s="6"/>
      <c r="DY13" s="6"/>
      <c r="DZ13" s="6"/>
      <c r="EA13" s="6"/>
      <c r="EB13" s="6"/>
      <c r="EC13" s="6"/>
      <c r="ED13" s="6"/>
      <c r="EE13" s="6"/>
      <c r="EF13" s="6"/>
      <c r="EG13" s="6"/>
      <c r="EH13" s="6"/>
      <c r="EI13" s="6"/>
      <c r="EJ13" s="6"/>
      <c r="EK13" s="6">
        <v>39317</v>
      </c>
      <c r="EL13" s="6"/>
      <c r="EM13" s="6"/>
      <c r="EN13" s="6"/>
      <c r="EO13" s="6"/>
      <c r="EP13" s="6"/>
      <c r="EQ13" s="6"/>
      <c r="ER13" s="6"/>
      <c r="ES13" s="6"/>
      <c r="ET13" s="6"/>
      <c r="EU13" s="6"/>
      <c r="EV13" s="6"/>
      <c r="EW13" s="6"/>
      <c r="EX13" s="6"/>
      <c r="EY13" s="6">
        <v>39345</v>
      </c>
      <c r="EZ13" s="6"/>
      <c r="FA13" s="6"/>
      <c r="FB13" s="6"/>
      <c r="FC13" s="6"/>
      <c r="FD13" s="6"/>
      <c r="FE13" s="6"/>
      <c r="FF13" s="6"/>
      <c r="FG13" s="6">
        <v>39345</v>
      </c>
      <c r="FH13" s="6"/>
      <c r="FI13" s="6"/>
      <c r="FJ13" s="6"/>
      <c r="FK13" s="6"/>
      <c r="FL13" s="6"/>
      <c r="FM13" s="6"/>
      <c r="FN13" s="6"/>
      <c r="FO13" s="6"/>
      <c r="FP13" s="6"/>
      <c r="FQ13" s="6"/>
      <c r="FR13" s="6"/>
      <c r="FS13" s="6">
        <v>39347</v>
      </c>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row>
    <row r="14" spans="1:216" x14ac:dyDescent="0.3">
      <c r="A14" s="8" t="str">
        <f>HYPERLINK("https://hpr-rps.hres.ca/reg-content/summary-basis-decision-detailOne.php?lang=en&amp;linkID=SBD00012", "Avamys TM")</f>
        <v>Avamys TM</v>
      </c>
      <c r="B14" s="6" t="s">
        <v>112</v>
      </c>
      <c r="C14" s="6" t="s">
        <v>96</v>
      </c>
      <c r="D14" s="6" t="s">
        <v>113</v>
      </c>
      <c r="E14" s="6">
        <v>38854</v>
      </c>
      <c r="F14" s="6"/>
      <c r="G14" s="6"/>
      <c r="H14" s="6">
        <v>38922</v>
      </c>
      <c r="I14" s="6"/>
      <c r="J14" s="6"/>
      <c r="K14" s="6"/>
      <c r="L14" s="6"/>
      <c r="M14" s="6"/>
      <c r="N14" s="6"/>
      <c r="O14" s="6"/>
      <c r="P14" s="6"/>
      <c r="Q14" s="6"/>
      <c r="R14" s="6"/>
      <c r="S14" s="6"/>
      <c r="T14" s="6"/>
      <c r="U14" s="6"/>
      <c r="V14" s="6"/>
      <c r="W14" s="6"/>
      <c r="X14" s="6"/>
      <c r="Y14" s="6"/>
      <c r="Z14" s="6">
        <v>38968</v>
      </c>
      <c r="AA14" s="6"/>
      <c r="AB14" s="6"/>
      <c r="AC14" s="6">
        <v>38972</v>
      </c>
      <c r="AD14" s="6"/>
      <c r="AE14" s="6"/>
      <c r="AF14" s="6">
        <v>39010</v>
      </c>
      <c r="AG14" s="6"/>
      <c r="AH14" s="6"/>
      <c r="AI14" s="6"/>
      <c r="AJ14" s="6"/>
      <c r="AK14" s="6"/>
      <c r="AL14" s="6"/>
      <c r="AM14" s="6"/>
      <c r="AN14" s="6"/>
      <c r="AO14" s="6"/>
      <c r="AP14" s="6"/>
      <c r="AQ14" s="6"/>
      <c r="AR14" s="6">
        <v>39304</v>
      </c>
      <c r="AS14" s="6"/>
      <c r="AT14" s="6"/>
      <c r="AU14" s="6"/>
      <c r="AV14" s="6">
        <v>39304</v>
      </c>
      <c r="AW14" s="6"/>
      <c r="AX14" s="6"/>
      <c r="AY14" s="6"/>
      <c r="AZ14" s="6">
        <v>39304</v>
      </c>
      <c r="BA14" s="6"/>
      <c r="BB14" s="6"/>
      <c r="BC14" s="6"/>
      <c r="BD14" s="6"/>
      <c r="BE14" s="6"/>
      <c r="BF14" s="6"/>
      <c r="BG14" s="6"/>
      <c r="BH14" s="6"/>
      <c r="BI14" s="6"/>
      <c r="BJ14" s="6"/>
      <c r="BK14" s="6"/>
      <c r="BL14" s="6"/>
      <c r="BM14" s="6">
        <v>39308</v>
      </c>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row>
    <row r="15" spans="1:216" x14ac:dyDescent="0.3">
      <c r="A15" s="8" t="str">
        <f>HYPERLINK("https://hpr-rps.hres.ca/reg-content/summary-basis-decision-detailOne.php?lang=en&amp;linkID=SBD00013", "Avastin ®")</f>
        <v>Avastin ®</v>
      </c>
      <c r="B15" s="6" t="s">
        <v>114</v>
      </c>
      <c r="C15" s="6" t="s">
        <v>84</v>
      </c>
      <c r="D15" s="6" t="s">
        <v>115</v>
      </c>
      <c r="E15" s="6"/>
      <c r="F15" s="6"/>
      <c r="G15" s="6"/>
      <c r="H15" s="6">
        <v>37929</v>
      </c>
      <c r="I15" s="6"/>
      <c r="J15" s="6"/>
      <c r="K15" s="6"/>
      <c r="L15" s="6"/>
      <c r="M15" s="6"/>
      <c r="N15" s="6"/>
      <c r="O15" s="6"/>
      <c r="P15" s="6"/>
      <c r="Q15" s="6"/>
      <c r="R15" s="6"/>
      <c r="S15" s="6"/>
      <c r="T15" s="6"/>
      <c r="U15" s="6"/>
      <c r="V15" s="6"/>
      <c r="W15" s="6"/>
      <c r="X15" s="6"/>
      <c r="Y15" s="6"/>
      <c r="Z15" s="6"/>
      <c r="AA15" s="6"/>
      <c r="AB15" s="6"/>
      <c r="AC15" s="6"/>
      <c r="AD15" s="6"/>
      <c r="AE15" s="6"/>
      <c r="AF15" s="6">
        <v>37999</v>
      </c>
      <c r="AG15" s="6"/>
      <c r="AH15" s="6"/>
      <c r="AI15" s="6"/>
      <c r="AJ15" s="6"/>
      <c r="AK15" s="6"/>
      <c r="AL15" s="6"/>
      <c r="AM15" s="6"/>
      <c r="AN15" s="6"/>
      <c r="AO15" s="6"/>
      <c r="AP15" s="6"/>
      <c r="AQ15" s="6"/>
      <c r="AR15" s="6">
        <v>38812</v>
      </c>
      <c r="AS15" s="6"/>
      <c r="AT15" s="6"/>
      <c r="AU15" s="6"/>
      <c r="AV15" s="6">
        <v>38807</v>
      </c>
      <c r="AW15" s="6"/>
      <c r="AX15" s="6"/>
      <c r="AY15" s="6"/>
      <c r="AZ15" s="6">
        <v>38805</v>
      </c>
      <c r="BA15" s="6"/>
      <c r="BB15" s="6"/>
      <c r="BC15" s="6"/>
      <c r="BD15" s="6"/>
      <c r="BE15" s="6"/>
      <c r="BF15" s="6"/>
      <c r="BG15" s="6"/>
      <c r="BH15" s="6"/>
      <c r="BI15" s="6"/>
      <c r="BJ15" s="6"/>
      <c r="BK15" s="6"/>
      <c r="BL15" s="6"/>
      <c r="BM15" s="6">
        <v>38819</v>
      </c>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row>
    <row r="16" spans="1:216" x14ac:dyDescent="0.3">
      <c r="A16" s="8" t="str">
        <f>HYPERLINK("https://hpr-rps.hres.ca/reg-content/summary-basis-decision-detailOne.php?lang=en&amp;linkID=SBD00014", "Azilect ®")</f>
        <v>Azilect ®</v>
      </c>
      <c r="B16" s="6" t="s">
        <v>116</v>
      </c>
      <c r="C16" s="6" t="s">
        <v>117</v>
      </c>
      <c r="D16" s="6" t="s">
        <v>118</v>
      </c>
      <c r="E16" s="6"/>
      <c r="F16" s="6"/>
      <c r="G16" s="6"/>
      <c r="H16" s="6"/>
      <c r="I16" s="6"/>
      <c r="J16" s="6"/>
      <c r="K16" s="6"/>
      <c r="L16" s="6"/>
      <c r="M16" s="6"/>
      <c r="N16" s="6"/>
      <c r="O16" s="6"/>
      <c r="P16" s="6"/>
      <c r="Q16" s="6"/>
      <c r="R16" s="6"/>
      <c r="S16" s="6"/>
      <c r="T16" s="6"/>
      <c r="U16" s="6"/>
      <c r="V16" s="6"/>
      <c r="W16" s="6"/>
      <c r="X16" s="6"/>
      <c r="Y16" s="6"/>
      <c r="Z16" s="6">
        <v>37928</v>
      </c>
      <c r="AA16" s="6"/>
      <c r="AB16" s="6"/>
      <c r="AC16" s="6">
        <v>37945</v>
      </c>
      <c r="AD16" s="6"/>
      <c r="AE16" s="6"/>
      <c r="AF16" s="6">
        <v>37951</v>
      </c>
      <c r="AG16" s="6"/>
      <c r="AH16" s="6"/>
      <c r="AI16" s="6"/>
      <c r="AJ16" s="6"/>
      <c r="AK16" s="6"/>
      <c r="AL16" s="6"/>
      <c r="AM16" s="6"/>
      <c r="AN16" s="6"/>
      <c r="AO16" s="6"/>
      <c r="AP16" s="6"/>
      <c r="AQ16" s="6"/>
      <c r="AR16" s="6"/>
      <c r="AS16" s="6"/>
      <c r="AT16" s="6"/>
      <c r="AU16" s="6"/>
      <c r="AV16" s="6">
        <v>38253</v>
      </c>
      <c r="AW16" s="6"/>
      <c r="AX16" s="6"/>
      <c r="AY16" s="6"/>
      <c r="AZ16" s="6">
        <v>38343</v>
      </c>
      <c r="BA16" s="6"/>
      <c r="BB16" s="6"/>
      <c r="BC16" s="6"/>
      <c r="BD16" s="6"/>
      <c r="BE16" s="6"/>
      <c r="BF16" s="6"/>
      <c r="BG16" s="6"/>
      <c r="BH16" s="6"/>
      <c r="BI16" s="6"/>
      <c r="BJ16" s="6"/>
      <c r="BK16" s="6"/>
      <c r="BL16" s="6"/>
      <c r="BM16" s="6"/>
      <c r="BN16" s="6"/>
      <c r="BO16" s="6"/>
      <c r="BP16" s="6"/>
      <c r="BQ16" s="6"/>
      <c r="BR16" s="6"/>
      <c r="BS16" s="6"/>
      <c r="BT16" s="6">
        <v>38345</v>
      </c>
      <c r="BU16" s="6"/>
      <c r="BV16" s="6"/>
      <c r="BW16" s="6"/>
      <c r="BX16" s="6"/>
      <c r="BY16" s="6">
        <v>38457</v>
      </c>
      <c r="BZ16" s="6"/>
      <c r="CA16" s="6"/>
      <c r="CB16" s="6"/>
      <c r="CC16" s="6"/>
      <c r="CD16" s="6"/>
      <c r="CE16" s="6"/>
      <c r="CF16" s="6"/>
      <c r="CG16" s="6"/>
      <c r="CH16" s="6"/>
      <c r="CI16" s="6"/>
      <c r="CJ16" s="6"/>
      <c r="CK16" s="6"/>
      <c r="CL16" s="6"/>
      <c r="CM16" s="6"/>
      <c r="CN16" s="6"/>
      <c r="CO16" s="6"/>
      <c r="CP16" s="6"/>
      <c r="CQ16" s="6"/>
      <c r="CR16" s="6">
        <v>38488</v>
      </c>
      <c r="CS16" s="6"/>
      <c r="CT16" s="6"/>
      <c r="CU16" s="6"/>
      <c r="CV16" s="6"/>
      <c r="CW16" s="6"/>
      <c r="CX16" s="6"/>
      <c r="CY16" s="6"/>
      <c r="CZ16" s="6"/>
      <c r="DA16" s="6"/>
      <c r="DB16" s="6"/>
      <c r="DC16" s="6"/>
      <c r="DD16" s="6"/>
      <c r="DE16" s="6"/>
      <c r="DF16" s="6"/>
      <c r="DG16" s="6"/>
      <c r="DH16" s="6"/>
      <c r="DI16" s="6"/>
      <c r="DJ16" s="6"/>
      <c r="DK16" s="6"/>
      <c r="DL16" s="6">
        <v>38527</v>
      </c>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v>38636</v>
      </c>
      <c r="ES16" s="6"/>
      <c r="ET16" s="6"/>
      <c r="EU16" s="6"/>
      <c r="EV16" s="6"/>
      <c r="EW16" s="6"/>
      <c r="EX16" s="6"/>
      <c r="EY16" s="6"/>
      <c r="EZ16" s="6"/>
      <c r="FA16" s="6"/>
      <c r="FB16" s="6"/>
      <c r="FC16" s="6"/>
      <c r="FD16" s="6">
        <v>38687</v>
      </c>
      <c r="FE16" s="6"/>
      <c r="FF16" s="6"/>
      <c r="FG16" s="6"/>
      <c r="FH16" s="6"/>
      <c r="FI16" s="6"/>
      <c r="FJ16" s="6"/>
      <c r="FK16" s="6"/>
      <c r="FL16" s="6"/>
      <c r="FM16" s="6"/>
      <c r="FN16" s="6"/>
      <c r="FO16" s="6"/>
      <c r="FP16" s="6"/>
      <c r="FQ16" s="6"/>
      <c r="FR16" s="6"/>
      <c r="FS16" s="6"/>
      <c r="FT16" s="6">
        <v>38855</v>
      </c>
      <c r="FU16" s="6"/>
      <c r="FV16" s="6">
        <v>38896</v>
      </c>
      <c r="FW16" s="6"/>
      <c r="FX16" s="6">
        <v>38938</v>
      </c>
      <c r="FY16" s="6"/>
      <c r="FZ16" s="6"/>
      <c r="GA16" s="6"/>
      <c r="GB16" s="6"/>
      <c r="GC16" s="6">
        <v>38937</v>
      </c>
      <c r="GD16" s="6"/>
      <c r="GE16" s="6"/>
      <c r="GF16" s="6"/>
      <c r="GG16" s="6"/>
      <c r="GH16" s="6"/>
      <c r="GI16" s="6"/>
      <c r="GJ16" s="6"/>
      <c r="GK16" s="6">
        <v>38946</v>
      </c>
      <c r="GL16" s="6"/>
      <c r="GM16" s="6"/>
      <c r="GN16" s="6"/>
      <c r="GO16" s="6"/>
      <c r="GP16" s="6"/>
      <c r="GQ16" s="6"/>
      <c r="GR16" s="6"/>
      <c r="GS16" s="6"/>
      <c r="GT16" s="6"/>
      <c r="GU16" s="6"/>
      <c r="GV16" s="6"/>
      <c r="GW16" s="6"/>
      <c r="GX16" s="6"/>
      <c r="GY16" s="6"/>
      <c r="GZ16" s="6"/>
      <c r="HA16" s="6"/>
      <c r="HB16" s="6"/>
      <c r="HC16" s="6"/>
      <c r="HD16" s="6"/>
      <c r="HE16" s="6"/>
      <c r="HF16" s="6"/>
      <c r="HG16" s="6"/>
      <c r="HH16" s="6"/>
    </row>
    <row r="17" spans="1:216" x14ac:dyDescent="0.3">
      <c r="A17" s="8" t="str">
        <f>HYPERLINK("https://hpr-rps.hres.ca/reg-content/summary-basis-decision-detailOne.php?lang=en&amp;linkID=SBD00015", "Banzel TM")</f>
        <v>Banzel TM</v>
      </c>
      <c r="B17" s="6" t="s">
        <v>119</v>
      </c>
      <c r="C17" s="6" t="s">
        <v>90</v>
      </c>
      <c r="D17" s="6" t="s">
        <v>120</v>
      </c>
      <c r="E17" s="6">
        <v>40211</v>
      </c>
      <c r="F17" s="6"/>
      <c r="G17" s="6"/>
      <c r="H17" s="6">
        <v>40365</v>
      </c>
      <c r="I17" s="6"/>
      <c r="J17" s="6"/>
      <c r="K17" s="6"/>
      <c r="L17" s="6"/>
      <c r="M17" s="6"/>
      <c r="N17" s="6"/>
      <c r="O17" s="6"/>
      <c r="P17" s="6"/>
      <c r="Q17" s="6"/>
      <c r="R17" s="6"/>
      <c r="S17" s="6"/>
      <c r="T17" s="6"/>
      <c r="U17" s="6"/>
      <c r="V17" s="6"/>
      <c r="W17" s="6"/>
      <c r="X17" s="6"/>
      <c r="Y17" s="6"/>
      <c r="Z17" s="6"/>
      <c r="AA17" s="6"/>
      <c r="AB17" s="6"/>
      <c r="AC17" s="6"/>
      <c r="AD17" s="6"/>
      <c r="AE17" s="6"/>
      <c r="AF17" s="6">
        <v>40415</v>
      </c>
      <c r="AG17" s="6"/>
      <c r="AH17" s="6"/>
      <c r="AI17" s="6"/>
      <c r="AJ17" s="6"/>
      <c r="AK17" s="6"/>
      <c r="AL17" s="6"/>
      <c r="AM17" s="6"/>
      <c r="AN17" s="6"/>
      <c r="AO17" s="6"/>
      <c r="AP17" s="6"/>
      <c r="AQ17" s="6"/>
      <c r="AR17" s="6">
        <v>40714</v>
      </c>
      <c r="AS17" s="6">
        <v>40702</v>
      </c>
      <c r="AT17" s="6"/>
      <c r="AU17" s="6"/>
      <c r="AV17" s="6">
        <v>40708</v>
      </c>
      <c r="AW17" s="6"/>
      <c r="AX17" s="6"/>
      <c r="AY17" s="6"/>
      <c r="AZ17" s="6">
        <v>40709</v>
      </c>
      <c r="BA17" s="6"/>
      <c r="BB17" s="6"/>
      <c r="BC17" s="6"/>
      <c r="BD17" s="6"/>
      <c r="BE17" s="6"/>
      <c r="BF17" s="6"/>
      <c r="BG17" s="6"/>
      <c r="BH17" s="6"/>
      <c r="BI17" s="6"/>
      <c r="BJ17" s="6"/>
      <c r="BK17" s="6"/>
      <c r="BL17" s="6"/>
      <c r="BM17" s="6">
        <v>40716</v>
      </c>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row>
    <row r="18" spans="1:216" x14ac:dyDescent="0.3">
      <c r="A18" s="8" t="str">
        <f>HYPERLINK("https://hpr-rps.hres.ca/reg-content/summary-basis-decision-detailOne.php?lang=en&amp;linkID=SBD00016", "Baraclude")</f>
        <v>Baraclude</v>
      </c>
      <c r="B18" s="6" t="s">
        <v>121</v>
      </c>
      <c r="C18" s="6" t="s">
        <v>81</v>
      </c>
      <c r="D18" s="6" t="s">
        <v>122</v>
      </c>
      <c r="E18" s="6"/>
      <c r="F18" s="6"/>
      <c r="G18" s="6"/>
      <c r="H18" s="6">
        <v>38666</v>
      </c>
      <c r="I18" s="6"/>
      <c r="J18" s="6"/>
      <c r="K18" s="6"/>
      <c r="L18" s="6"/>
      <c r="M18" s="6"/>
      <c r="N18" s="6"/>
      <c r="O18" s="6"/>
      <c r="P18" s="6"/>
      <c r="Q18" s="6"/>
      <c r="R18" s="6"/>
      <c r="S18" s="6"/>
      <c r="T18" s="6"/>
      <c r="U18" s="6"/>
      <c r="V18" s="6"/>
      <c r="W18" s="6"/>
      <c r="X18" s="6"/>
      <c r="Y18" s="6"/>
      <c r="Z18" s="6"/>
      <c r="AA18" s="6"/>
      <c r="AB18" s="6"/>
      <c r="AC18" s="6"/>
      <c r="AD18" s="6"/>
      <c r="AE18" s="6"/>
      <c r="AF18" s="6">
        <v>38705</v>
      </c>
      <c r="AG18" s="6"/>
      <c r="AH18" s="6"/>
      <c r="AI18" s="6"/>
      <c r="AJ18" s="6"/>
      <c r="AK18" s="6"/>
      <c r="AL18" s="6"/>
      <c r="AM18" s="6"/>
      <c r="AN18" s="6"/>
      <c r="AO18" s="6"/>
      <c r="AP18" s="6"/>
      <c r="AQ18" s="6"/>
      <c r="AR18" s="6">
        <v>38884</v>
      </c>
      <c r="AS18" s="6">
        <v>38882</v>
      </c>
      <c r="AT18" s="6"/>
      <c r="AU18" s="6"/>
      <c r="AV18" s="6">
        <v>38882</v>
      </c>
      <c r="AW18" s="6"/>
      <c r="AX18" s="6"/>
      <c r="AY18" s="6"/>
      <c r="AZ18" s="6">
        <v>38883</v>
      </c>
      <c r="BA18" s="6"/>
      <c r="BB18" s="6"/>
      <c r="BC18" s="6"/>
      <c r="BD18" s="6"/>
      <c r="BE18" s="6"/>
      <c r="BF18" s="6"/>
      <c r="BG18" s="6"/>
      <c r="BH18" s="6"/>
      <c r="BI18" s="6"/>
      <c r="BJ18" s="6"/>
      <c r="BK18" s="6"/>
      <c r="BL18" s="6"/>
      <c r="BM18" s="6">
        <v>38884</v>
      </c>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row>
    <row r="19" spans="1:216" x14ac:dyDescent="0.3">
      <c r="A19" s="8" t="str">
        <f>HYPERLINK("https://hpr-rps.hres.ca/reg-content/summary-basis-decision-detailOne.php?lang=en&amp;linkID=SBD00017", "Benlysta TM")</f>
        <v>Benlysta TM</v>
      </c>
      <c r="B19" s="6" t="s">
        <v>123</v>
      </c>
      <c r="C19" s="6" t="s">
        <v>96</v>
      </c>
      <c r="D19" s="6" t="s">
        <v>124</v>
      </c>
      <c r="E19" s="6">
        <v>40211</v>
      </c>
      <c r="F19" s="6"/>
      <c r="G19" s="6"/>
      <c r="H19" s="6">
        <v>40365</v>
      </c>
      <c r="I19" s="6"/>
      <c r="J19" s="6"/>
      <c r="K19" s="6"/>
      <c r="L19" s="6"/>
      <c r="M19" s="6"/>
      <c r="N19" s="6"/>
      <c r="O19" s="6"/>
      <c r="P19" s="6"/>
      <c r="Q19" s="6"/>
      <c r="R19" s="6"/>
      <c r="S19" s="6"/>
      <c r="T19" s="6"/>
      <c r="U19" s="6"/>
      <c r="V19" s="6"/>
      <c r="W19" s="6"/>
      <c r="X19" s="6"/>
      <c r="Y19" s="6"/>
      <c r="Z19" s="6"/>
      <c r="AA19" s="6"/>
      <c r="AB19" s="6"/>
      <c r="AC19" s="6"/>
      <c r="AD19" s="6"/>
      <c r="AE19" s="6"/>
      <c r="AF19" s="6">
        <v>40415</v>
      </c>
      <c r="AG19" s="6"/>
      <c r="AH19" s="6"/>
      <c r="AI19" s="6"/>
      <c r="AJ19" s="6"/>
      <c r="AK19" s="6"/>
      <c r="AL19" s="6"/>
      <c r="AM19" s="6"/>
      <c r="AN19" s="6"/>
      <c r="AO19" s="6"/>
      <c r="AP19" s="6"/>
      <c r="AQ19" s="6"/>
      <c r="AR19" s="6">
        <v>40714</v>
      </c>
      <c r="AS19" s="6">
        <v>40702</v>
      </c>
      <c r="AT19" s="6"/>
      <c r="AU19" s="6"/>
      <c r="AV19" s="6">
        <v>40708</v>
      </c>
      <c r="AW19" s="6"/>
      <c r="AX19" s="6"/>
      <c r="AY19" s="6"/>
      <c r="AZ19" s="6">
        <v>40709</v>
      </c>
      <c r="BA19" s="6"/>
      <c r="BB19" s="6"/>
      <c r="BC19" s="6"/>
      <c r="BD19" s="6"/>
      <c r="BE19" s="6"/>
      <c r="BF19" s="6"/>
      <c r="BG19" s="6"/>
      <c r="BH19" s="6"/>
      <c r="BI19" s="6"/>
      <c r="BJ19" s="6"/>
      <c r="BK19" s="6"/>
      <c r="BL19" s="6"/>
      <c r="BM19" s="6">
        <v>40716</v>
      </c>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row>
    <row r="20" spans="1:216" x14ac:dyDescent="0.3">
      <c r="A20" s="8" t="str">
        <f>HYPERLINK("https://hpr-rps.hres.ca/reg-content/summary-basis-decision-detailOne.php?lang=en&amp;linkID=SBD00018", "Berinert ®")</f>
        <v>Berinert ®</v>
      </c>
      <c r="B20" s="6" t="s">
        <v>125</v>
      </c>
      <c r="C20" s="6" t="s">
        <v>126</v>
      </c>
      <c r="D20" s="6" t="s">
        <v>127</v>
      </c>
      <c r="E20" s="6">
        <v>39524</v>
      </c>
      <c r="F20" s="6"/>
      <c r="G20" s="6"/>
      <c r="H20" s="6">
        <v>39545</v>
      </c>
      <c r="I20" s="6"/>
      <c r="J20" s="6"/>
      <c r="K20" s="6"/>
      <c r="L20" s="6"/>
      <c r="M20" s="6"/>
      <c r="N20" s="6"/>
      <c r="O20" s="6"/>
      <c r="P20" s="6"/>
      <c r="Q20" s="6"/>
      <c r="R20" s="6"/>
      <c r="S20" s="6"/>
      <c r="T20" s="6"/>
      <c r="U20" s="6"/>
      <c r="V20" s="6"/>
      <c r="W20" s="6"/>
      <c r="X20" s="6"/>
      <c r="Y20" s="6"/>
      <c r="Z20" s="6"/>
      <c r="AA20" s="6"/>
      <c r="AB20" s="6"/>
      <c r="AC20" s="6"/>
      <c r="AD20" s="6"/>
      <c r="AE20" s="6"/>
      <c r="AF20" s="6">
        <v>39597</v>
      </c>
      <c r="AG20" s="6"/>
      <c r="AH20" s="6"/>
      <c r="AI20" s="6"/>
      <c r="AJ20" s="6"/>
      <c r="AK20" s="6"/>
      <c r="AL20" s="6"/>
      <c r="AM20" s="6"/>
      <c r="AN20" s="6"/>
      <c r="AO20" s="6"/>
      <c r="AP20" s="6"/>
      <c r="AQ20" s="6"/>
      <c r="AR20" s="6"/>
      <c r="AS20" s="6"/>
      <c r="AT20" s="6"/>
      <c r="AU20" s="6"/>
      <c r="AV20" s="6">
        <v>39883</v>
      </c>
      <c r="AW20" s="6"/>
      <c r="AX20" s="6"/>
      <c r="AY20" s="6"/>
      <c r="AZ20" s="6">
        <v>39897</v>
      </c>
      <c r="BA20" s="6"/>
      <c r="BB20" s="6"/>
      <c r="BC20" s="6"/>
      <c r="BD20" s="6"/>
      <c r="BE20" s="6"/>
      <c r="BF20" s="6"/>
      <c r="BG20" s="6"/>
      <c r="BH20" s="6"/>
      <c r="BI20" s="6"/>
      <c r="BJ20" s="6"/>
      <c r="BK20" s="6"/>
      <c r="BL20" s="6"/>
      <c r="BM20" s="6"/>
      <c r="BN20" s="6"/>
      <c r="BO20" s="6"/>
      <c r="BP20" s="6"/>
      <c r="BQ20" s="6"/>
      <c r="BR20" s="6"/>
      <c r="BS20" s="6"/>
      <c r="BT20" s="6">
        <v>39897</v>
      </c>
      <c r="BU20" s="6"/>
      <c r="BV20" s="6"/>
      <c r="BW20" s="6"/>
      <c r="BX20" s="6"/>
      <c r="BY20" s="6">
        <v>39983</v>
      </c>
      <c r="BZ20" s="6"/>
      <c r="CA20" s="6"/>
      <c r="CB20" s="6"/>
      <c r="CC20" s="6"/>
      <c r="CD20" s="6"/>
      <c r="CE20" s="6"/>
      <c r="CF20" s="6"/>
      <c r="CG20" s="6"/>
      <c r="CH20" s="6"/>
      <c r="CI20" s="6"/>
      <c r="CJ20" s="6"/>
      <c r="CK20" s="6"/>
      <c r="CL20" s="6"/>
      <c r="CM20" s="6"/>
      <c r="CN20" s="6"/>
      <c r="CO20" s="6"/>
      <c r="CP20" s="6"/>
      <c r="CQ20" s="6"/>
      <c r="CR20" s="6">
        <v>40023</v>
      </c>
      <c r="CS20" s="6"/>
      <c r="CT20" s="6"/>
      <c r="CU20" s="6"/>
      <c r="CV20" s="6"/>
      <c r="CW20" s="6"/>
      <c r="CX20" s="6"/>
      <c r="CY20" s="6"/>
      <c r="CZ20" s="6"/>
      <c r="DA20" s="6"/>
      <c r="DB20" s="6"/>
      <c r="DC20" s="6"/>
      <c r="DD20" s="6">
        <v>40326</v>
      </c>
      <c r="DE20" s="6"/>
      <c r="DF20" s="6"/>
      <c r="DG20" s="6"/>
      <c r="DH20" s="6">
        <v>40247</v>
      </c>
      <c r="DI20" s="6"/>
      <c r="DJ20" s="6"/>
      <c r="DK20" s="6"/>
      <c r="DL20" s="6">
        <v>40326</v>
      </c>
      <c r="DM20" s="6"/>
      <c r="DN20" s="6"/>
      <c r="DO20" s="6"/>
      <c r="DP20" s="6"/>
      <c r="DQ20" s="6"/>
      <c r="DR20" s="6"/>
      <c r="DS20" s="6"/>
      <c r="DT20" s="6"/>
      <c r="DU20" s="6"/>
      <c r="DV20" s="6"/>
      <c r="DW20" s="6"/>
      <c r="DX20" s="6"/>
      <c r="DY20" s="6">
        <v>40329</v>
      </c>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row>
    <row r="21" spans="1:216" x14ac:dyDescent="0.3">
      <c r="A21" s="8" t="str">
        <f>HYPERLINK("https://hpr-rps.hres.ca/reg-content/summary-basis-decision-detailOne.php?lang=en&amp;linkID=SBD00019", "Besivance TM")</f>
        <v>Besivance TM</v>
      </c>
      <c r="B21" s="6" t="s">
        <v>128</v>
      </c>
      <c r="C21" s="6" t="s">
        <v>129</v>
      </c>
      <c r="D21" s="6" t="s">
        <v>130</v>
      </c>
      <c r="E21" s="6">
        <v>39352</v>
      </c>
      <c r="F21" s="6"/>
      <c r="G21" s="6"/>
      <c r="H21" s="6">
        <v>39755</v>
      </c>
      <c r="I21" s="6"/>
      <c r="J21" s="6"/>
      <c r="K21" s="6"/>
      <c r="L21" s="6"/>
      <c r="M21" s="6"/>
      <c r="N21" s="6"/>
      <c r="O21" s="6"/>
      <c r="P21" s="6"/>
      <c r="Q21" s="6"/>
      <c r="R21" s="6"/>
      <c r="S21" s="6"/>
      <c r="T21" s="6"/>
      <c r="U21" s="6"/>
      <c r="V21" s="6"/>
      <c r="W21" s="6"/>
      <c r="X21" s="6"/>
      <c r="Y21" s="6"/>
      <c r="Z21" s="6"/>
      <c r="AA21" s="6"/>
      <c r="AB21" s="6"/>
      <c r="AC21" s="6"/>
      <c r="AD21" s="6"/>
      <c r="AE21" s="6"/>
      <c r="AF21" s="6">
        <v>39811</v>
      </c>
      <c r="AG21" s="6"/>
      <c r="AH21" s="6"/>
      <c r="AI21" s="6"/>
      <c r="AJ21" s="6"/>
      <c r="AK21" s="6"/>
      <c r="AL21" s="6"/>
      <c r="AM21" s="6"/>
      <c r="AN21" s="6"/>
      <c r="AO21" s="6"/>
      <c r="AP21" s="6"/>
      <c r="AQ21" s="6"/>
      <c r="AR21" s="6">
        <v>40109</v>
      </c>
      <c r="AS21" s="6"/>
      <c r="AT21" s="6"/>
      <c r="AU21" s="6"/>
      <c r="AV21" s="6">
        <v>40107</v>
      </c>
      <c r="AW21" s="6"/>
      <c r="AX21" s="6"/>
      <c r="AY21" s="6"/>
      <c r="AZ21" s="6">
        <v>40109</v>
      </c>
      <c r="BA21" s="6"/>
      <c r="BB21" s="6"/>
      <c r="BC21" s="6"/>
      <c r="BD21" s="6"/>
      <c r="BE21" s="6"/>
      <c r="BF21" s="6"/>
      <c r="BG21" s="6"/>
      <c r="BH21" s="6"/>
      <c r="BI21" s="6"/>
      <c r="BJ21" s="6"/>
      <c r="BK21" s="6"/>
      <c r="BL21" s="6"/>
      <c r="BM21" s="6">
        <v>40109</v>
      </c>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row>
    <row r="22" spans="1:216" x14ac:dyDescent="0.3">
      <c r="A22" s="8" t="str">
        <f>HYPERLINK("https://hpr-rps.hres.ca/reg-content/summary-basis-decision-detailOne.php?lang=en&amp;linkID=SBD00020", "Bexxar TM")</f>
        <v>Bexxar TM</v>
      </c>
      <c r="B22" s="6" t="s">
        <v>131</v>
      </c>
      <c r="C22" s="6" t="s">
        <v>96</v>
      </c>
      <c r="D22" s="6" t="s">
        <v>132</v>
      </c>
      <c r="E22" s="6"/>
      <c r="F22" s="6"/>
      <c r="G22" s="6"/>
      <c r="H22" s="6">
        <v>38666</v>
      </c>
      <c r="I22" s="6"/>
      <c r="J22" s="6"/>
      <c r="K22" s="6"/>
      <c r="L22" s="6"/>
      <c r="M22" s="6"/>
      <c r="N22" s="6"/>
      <c r="O22" s="6"/>
      <c r="P22" s="6"/>
      <c r="Q22" s="6"/>
      <c r="R22" s="6"/>
      <c r="S22" s="6"/>
      <c r="T22" s="6"/>
      <c r="U22" s="6"/>
      <c r="V22" s="6"/>
      <c r="W22" s="6"/>
      <c r="X22" s="6"/>
      <c r="Y22" s="6"/>
      <c r="Z22" s="6"/>
      <c r="AA22" s="6"/>
      <c r="AB22" s="6"/>
      <c r="AC22" s="6"/>
      <c r="AD22" s="6"/>
      <c r="AE22" s="6"/>
      <c r="AF22" s="6">
        <v>38705</v>
      </c>
      <c r="AG22" s="6"/>
      <c r="AH22" s="6"/>
      <c r="AI22" s="6"/>
      <c r="AJ22" s="6"/>
      <c r="AK22" s="6"/>
      <c r="AL22" s="6"/>
      <c r="AM22" s="6"/>
      <c r="AN22" s="6"/>
      <c r="AO22" s="6"/>
      <c r="AP22" s="6"/>
      <c r="AQ22" s="6"/>
      <c r="AR22" s="6">
        <v>38884</v>
      </c>
      <c r="AS22" s="6">
        <v>38882</v>
      </c>
      <c r="AT22" s="6"/>
      <c r="AU22" s="6"/>
      <c r="AV22" s="6">
        <v>38882</v>
      </c>
      <c r="AW22" s="6"/>
      <c r="AX22" s="6"/>
      <c r="AY22" s="6"/>
      <c r="AZ22" s="6">
        <v>38883</v>
      </c>
      <c r="BA22" s="6"/>
      <c r="BB22" s="6"/>
      <c r="BC22" s="6"/>
      <c r="BD22" s="6"/>
      <c r="BE22" s="6"/>
      <c r="BF22" s="6"/>
      <c r="BG22" s="6"/>
      <c r="BH22" s="6"/>
      <c r="BI22" s="6"/>
      <c r="BJ22" s="6"/>
      <c r="BK22" s="6"/>
      <c r="BL22" s="6"/>
      <c r="BM22" s="6">
        <v>38884</v>
      </c>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row>
    <row r="23" spans="1:216" x14ac:dyDescent="0.3">
      <c r="A23" s="8" t="str">
        <f>HYPERLINK("https://hpr-rps.hres.ca/reg-content/summary-basis-decision-detailOne.php?lang=en&amp;linkID=SBD00027", "Cayston TM")</f>
        <v>Cayston TM</v>
      </c>
      <c r="B23" s="6" t="s">
        <v>133</v>
      </c>
      <c r="C23" s="6" t="s">
        <v>134</v>
      </c>
      <c r="D23" s="6" t="s">
        <v>135</v>
      </c>
      <c r="E23" s="6">
        <v>37687</v>
      </c>
      <c r="F23" s="6"/>
      <c r="G23" s="6"/>
      <c r="H23" s="6"/>
      <c r="I23" s="6"/>
      <c r="J23" s="6"/>
      <c r="K23" s="6"/>
      <c r="L23" s="6"/>
      <c r="M23" s="6"/>
      <c r="N23" s="6">
        <v>37698</v>
      </c>
      <c r="O23" s="6"/>
      <c r="P23" s="6"/>
      <c r="Q23" s="6"/>
      <c r="R23" s="6"/>
      <c r="S23" s="6">
        <v>37725</v>
      </c>
      <c r="T23" s="6"/>
      <c r="U23" s="6"/>
      <c r="V23" s="6">
        <v>37762</v>
      </c>
      <c r="W23" s="6"/>
      <c r="X23" s="6"/>
      <c r="Y23" s="6"/>
      <c r="Z23" s="6">
        <v>37816</v>
      </c>
      <c r="AA23" s="6"/>
      <c r="AB23" s="6"/>
      <c r="AC23" s="6">
        <v>37832</v>
      </c>
      <c r="AD23" s="6">
        <v>38015</v>
      </c>
      <c r="AE23" s="6"/>
      <c r="AF23" s="6">
        <v>37833</v>
      </c>
      <c r="AG23" s="6"/>
      <c r="AH23" s="6"/>
      <c r="AI23" s="6"/>
      <c r="AJ23" s="6"/>
      <c r="AK23" s="6"/>
      <c r="AL23" s="6"/>
      <c r="AM23" s="6"/>
      <c r="AN23" s="6"/>
      <c r="AO23" s="6"/>
      <c r="AP23" s="6"/>
      <c r="AQ23" s="6"/>
      <c r="AR23" s="6">
        <v>38573</v>
      </c>
      <c r="AS23" s="6"/>
      <c r="AT23" s="6"/>
      <c r="AU23" s="6"/>
      <c r="AV23" s="6">
        <v>38574</v>
      </c>
      <c r="AW23" s="6"/>
      <c r="AX23" s="6"/>
      <c r="AY23" s="6"/>
      <c r="AZ23" s="6">
        <v>38551</v>
      </c>
      <c r="BA23" s="6"/>
      <c r="BB23" s="6"/>
      <c r="BC23" s="6"/>
      <c r="BD23" s="6"/>
      <c r="BE23" s="6"/>
      <c r="BF23" s="6"/>
      <c r="BG23" s="6"/>
      <c r="BH23" s="6"/>
      <c r="BI23" s="6"/>
      <c r="BJ23" s="6"/>
      <c r="BK23" s="6"/>
      <c r="BL23" s="6"/>
      <c r="BM23" s="6">
        <v>38582</v>
      </c>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row>
    <row r="24" spans="1:216" x14ac:dyDescent="0.3">
      <c r="A24" s="8" t="str">
        <f>HYPERLINK("https://hpr-rps.hres.ca/reg-content/summary-basis-decision-detailOne.php?lang=en&amp;linkID=SBD00021", "Brilinta ®")</f>
        <v>Brilinta ®</v>
      </c>
      <c r="B24" s="6" t="s">
        <v>136</v>
      </c>
      <c r="C24" s="6" t="s">
        <v>137</v>
      </c>
      <c r="D24" s="6" t="s">
        <v>138</v>
      </c>
      <c r="E24" s="6">
        <v>40101</v>
      </c>
      <c r="F24" s="6"/>
      <c r="G24" s="6"/>
      <c r="H24" s="6"/>
      <c r="I24" s="6"/>
      <c r="J24" s="6"/>
      <c r="K24" s="6"/>
      <c r="L24" s="6"/>
      <c r="M24" s="6"/>
      <c r="N24" s="6">
        <v>40096</v>
      </c>
      <c r="O24" s="6"/>
      <c r="P24" s="6"/>
      <c r="Q24" s="6"/>
      <c r="R24" s="6"/>
      <c r="S24" s="6">
        <v>40191</v>
      </c>
      <c r="T24" s="6"/>
      <c r="U24" s="6"/>
      <c r="V24" s="6">
        <v>40217</v>
      </c>
      <c r="W24" s="6"/>
      <c r="X24" s="6"/>
      <c r="Y24" s="6"/>
      <c r="Z24" s="6"/>
      <c r="AA24" s="6"/>
      <c r="AB24" s="6"/>
      <c r="AC24" s="6"/>
      <c r="AD24" s="6"/>
      <c r="AE24" s="6"/>
      <c r="AF24" s="6">
        <v>40242</v>
      </c>
      <c r="AG24" s="6"/>
      <c r="AH24" s="6"/>
      <c r="AI24" s="6"/>
      <c r="AJ24" s="6"/>
      <c r="AK24" s="6"/>
      <c r="AL24" s="6"/>
      <c r="AM24" s="6"/>
      <c r="AN24" s="6"/>
      <c r="AO24" s="6"/>
      <c r="AP24" s="6"/>
      <c r="AQ24" s="6"/>
      <c r="AR24" s="6"/>
      <c r="AS24" s="6">
        <v>40369</v>
      </c>
      <c r="AT24" s="6"/>
      <c r="AU24" s="6"/>
      <c r="AV24" s="6">
        <v>40374</v>
      </c>
      <c r="AW24" s="6"/>
      <c r="AX24" s="6">
        <v>40402</v>
      </c>
      <c r="AY24" s="6"/>
      <c r="AZ24" s="6">
        <v>40403</v>
      </c>
      <c r="BA24" s="6"/>
      <c r="BB24" s="6"/>
      <c r="BC24" s="6"/>
      <c r="BD24" s="6"/>
      <c r="BE24" s="6"/>
      <c r="BF24" s="6"/>
      <c r="BG24" s="6"/>
      <c r="BH24" s="6"/>
      <c r="BI24" s="6"/>
      <c r="BJ24" s="6"/>
      <c r="BK24" s="6"/>
      <c r="BL24" s="6"/>
      <c r="BM24" s="6"/>
      <c r="BN24" s="6"/>
      <c r="BO24" s="6"/>
      <c r="BP24" s="6">
        <v>40400</v>
      </c>
      <c r="BQ24" s="6"/>
      <c r="BR24" s="6"/>
      <c r="BS24" s="6"/>
      <c r="BT24" s="6"/>
      <c r="BU24" s="6"/>
      <c r="BV24" s="6"/>
      <c r="BW24" s="6"/>
      <c r="BX24" s="6"/>
      <c r="BY24" s="6">
        <v>40487</v>
      </c>
      <c r="BZ24" s="6"/>
      <c r="CA24" s="6"/>
      <c r="CB24" s="6"/>
      <c r="CC24" s="6"/>
      <c r="CD24" s="6"/>
      <c r="CE24" s="6"/>
      <c r="CF24" s="6"/>
      <c r="CG24" s="6"/>
      <c r="CH24" s="6"/>
      <c r="CI24" s="6"/>
      <c r="CJ24" s="6"/>
      <c r="CK24" s="6"/>
      <c r="CL24" s="6"/>
      <c r="CM24" s="6"/>
      <c r="CN24" s="6"/>
      <c r="CO24" s="6"/>
      <c r="CP24" s="6"/>
      <c r="CQ24" s="6"/>
      <c r="CR24" s="6">
        <v>40514</v>
      </c>
      <c r="CS24" s="6"/>
      <c r="CT24" s="6"/>
      <c r="CU24" s="6"/>
      <c r="CV24" s="6"/>
      <c r="CW24" s="6"/>
      <c r="CX24" s="6"/>
      <c r="CY24" s="6"/>
      <c r="CZ24" s="6"/>
      <c r="DA24" s="6"/>
      <c r="DB24" s="6"/>
      <c r="DC24" s="6"/>
      <c r="DD24" s="6">
        <v>40689</v>
      </c>
      <c r="DE24" s="6">
        <v>40638</v>
      </c>
      <c r="DF24" s="6"/>
      <c r="DG24" s="6"/>
      <c r="DH24" s="6">
        <v>40687</v>
      </c>
      <c r="DI24" s="6"/>
      <c r="DJ24" s="6"/>
      <c r="DK24" s="6"/>
      <c r="DL24" s="6">
        <v>40687</v>
      </c>
      <c r="DM24" s="6"/>
      <c r="DN24" s="6"/>
      <c r="DO24" s="6"/>
      <c r="DP24" s="6"/>
      <c r="DQ24" s="6"/>
      <c r="DR24" s="6"/>
      <c r="DS24" s="6"/>
      <c r="DT24" s="6"/>
      <c r="DU24" s="6"/>
      <c r="DV24" s="6"/>
      <c r="DW24" s="6"/>
      <c r="DX24" s="6"/>
      <c r="DY24" s="6">
        <v>40693</v>
      </c>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row>
    <row r="25" spans="1:216" x14ac:dyDescent="0.3">
      <c r="A25" s="8" t="str">
        <f>HYPERLINK("https://hpr-rps.hres.ca/reg-content/summary-basis-decision-detailOne.php?lang=en&amp;linkID=SBD00022", "Byetta TM")</f>
        <v>Byetta TM</v>
      </c>
      <c r="B25" s="6" t="s">
        <v>139</v>
      </c>
      <c r="C25" s="6" t="s">
        <v>140</v>
      </c>
      <c r="D25" s="6" t="s">
        <v>141</v>
      </c>
      <c r="E25" s="6"/>
      <c r="F25" s="6"/>
      <c r="G25" s="6"/>
      <c r="H25" s="6">
        <v>38666</v>
      </c>
      <c r="I25" s="6"/>
      <c r="J25" s="6"/>
      <c r="K25" s="6"/>
      <c r="L25" s="6"/>
      <c r="M25" s="6"/>
      <c r="N25" s="6"/>
      <c r="O25" s="6"/>
      <c r="P25" s="6"/>
      <c r="Q25" s="6"/>
      <c r="R25" s="6"/>
      <c r="S25" s="6"/>
      <c r="T25" s="6"/>
      <c r="U25" s="6"/>
      <c r="V25" s="6"/>
      <c r="W25" s="6"/>
      <c r="X25" s="6"/>
      <c r="Y25" s="6"/>
      <c r="Z25" s="6"/>
      <c r="AA25" s="6"/>
      <c r="AB25" s="6"/>
      <c r="AC25" s="6"/>
      <c r="AD25" s="6"/>
      <c r="AE25" s="6"/>
      <c r="AF25" s="6">
        <v>38705</v>
      </c>
      <c r="AG25" s="6"/>
      <c r="AH25" s="6"/>
      <c r="AI25" s="6"/>
      <c r="AJ25" s="6"/>
      <c r="AK25" s="6"/>
      <c r="AL25" s="6"/>
      <c r="AM25" s="6"/>
      <c r="AN25" s="6"/>
      <c r="AO25" s="6"/>
      <c r="AP25" s="6"/>
      <c r="AQ25" s="6"/>
      <c r="AR25" s="6">
        <v>38884</v>
      </c>
      <c r="AS25" s="6">
        <v>38882</v>
      </c>
      <c r="AT25" s="6"/>
      <c r="AU25" s="6"/>
      <c r="AV25" s="6">
        <v>38882</v>
      </c>
      <c r="AW25" s="6"/>
      <c r="AX25" s="6"/>
      <c r="AY25" s="6"/>
      <c r="AZ25" s="6">
        <v>38883</v>
      </c>
      <c r="BA25" s="6"/>
      <c r="BB25" s="6"/>
      <c r="BC25" s="6"/>
      <c r="BD25" s="6"/>
      <c r="BE25" s="6"/>
      <c r="BF25" s="6"/>
      <c r="BG25" s="6"/>
      <c r="BH25" s="6"/>
      <c r="BI25" s="6"/>
      <c r="BJ25" s="6"/>
      <c r="BK25" s="6"/>
      <c r="BL25" s="6"/>
      <c r="BM25" s="6">
        <v>38884</v>
      </c>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row>
    <row r="26" spans="1:216" x14ac:dyDescent="0.3">
      <c r="A26" s="8" t="str">
        <f>HYPERLINK("https://hpr-rps.hres.ca/reg-content/summary-basis-decision-detailOne.php?lang=en&amp;linkID=SBD00030", "Champix")</f>
        <v>Champix</v>
      </c>
      <c r="B26" s="6" t="s">
        <v>142</v>
      </c>
      <c r="C26" s="6" t="s">
        <v>143</v>
      </c>
      <c r="D26" s="6" t="s">
        <v>144</v>
      </c>
      <c r="E26" s="6">
        <v>40101</v>
      </c>
      <c r="F26" s="6"/>
      <c r="G26" s="6"/>
      <c r="H26" s="6"/>
      <c r="I26" s="6"/>
      <c r="J26" s="6"/>
      <c r="K26" s="6"/>
      <c r="L26" s="6"/>
      <c r="M26" s="6"/>
      <c r="N26" s="6">
        <v>40096</v>
      </c>
      <c r="O26" s="6"/>
      <c r="P26" s="6"/>
      <c r="Q26" s="6"/>
      <c r="R26" s="6"/>
      <c r="S26" s="6">
        <v>40191</v>
      </c>
      <c r="T26" s="6"/>
      <c r="U26" s="6"/>
      <c r="V26" s="6">
        <v>40217</v>
      </c>
      <c r="W26" s="6"/>
      <c r="X26" s="6"/>
      <c r="Y26" s="6"/>
      <c r="Z26" s="6"/>
      <c r="AA26" s="6"/>
      <c r="AB26" s="6"/>
      <c r="AC26" s="6"/>
      <c r="AD26" s="6"/>
      <c r="AE26" s="6"/>
      <c r="AF26" s="6">
        <v>40242</v>
      </c>
      <c r="AG26" s="6"/>
      <c r="AH26" s="6"/>
      <c r="AI26" s="6"/>
      <c r="AJ26" s="6"/>
      <c r="AK26" s="6"/>
      <c r="AL26" s="6"/>
      <c r="AM26" s="6"/>
      <c r="AN26" s="6"/>
      <c r="AO26" s="6"/>
      <c r="AP26" s="6"/>
      <c r="AQ26" s="6"/>
      <c r="AR26" s="6"/>
      <c r="AS26" s="6">
        <v>40369</v>
      </c>
      <c r="AT26" s="6"/>
      <c r="AU26" s="6"/>
      <c r="AV26" s="6">
        <v>40374</v>
      </c>
      <c r="AW26" s="6"/>
      <c r="AX26" s="6">
        <v>40402</v>
      </c>
      <c r="AY26" s="6"/>
      <c r="AZ26" s="6">
        <v>40403</v>
      </c>
      <c r="BA26" s="6"/>
      <c r="BB26" s="6"/>
      <c r="BC26" s="6"/>
      <c r="BD26" s="6"/>
      <c r="BE26" s="6"/>
      <c r="BF26" s="6"/>
      <c r="BG26" s="6"/>
      <c r="BH26" s="6"/>
      <c r="BI26" s="6"/>
      <c r="BJ26" s="6"/>
      <c r="BK26" s="6"/>
      <c r="BL26" s="6"/>
      <c r="BM26" s="6"/>
      <c r="BN26" s="6"/>
      <c r="BO26" s="6"/>
      <c r="BP26" s="6">
        <v>40400</v>
      </c>
      <c r="BQ26" s="6"/>
      <c r="BR26" s="6"/>
      <c r="BS26" s="6"/>
      <c r="BT26" s="6"/>
      <c r="BU26" s="6"/>
      <c r="BV26" s="6"/>
      <c r="BW26" s="6"/>
      <c r="BX26" s="6"/>
      <c r="BY26" s="6">
        <v>40487</v>
      </c>
      <c r="BZ26" s="6"/>
      <c r="CA26" s="6"/>
      <c r="CB26" s="6"/>
      <c r="CC26" s="6"/>
      <c r="CD26" s="6"/>
      <c r="CE26" s="6"/>
      <c r="CF26" s="6"/>
      <c r="CG26" s="6"/>
      <c r="CH26" s="6"/>
      <c r="CI26" s="6"/>
      <c r="CJ26" s="6"/>
      <c r="CK26" s="6"/>
      <c r="CL26" s="6"/>
      <c r="CM26" s="6"/>
      <c r="CN26" s="6"/>
      <c r="CO26" s="6"/>
      <c r="CP26" s="6"/>
      <c r="CQ26" s="6"/>
      <c r="CR26" s="6">
        <v>40514</v>
      </c>
      <c r="CS26" s="6"/>
      <c r="CT26" s="6"/>
      <c r="CU26" s="6"/>
      <c r="CV26" s="6"/>
      <c r="CW26" s="6"/>
      <c r="CX26" s="6"/>
      <c r="CY26" s="6"/>
      <c r="CZ26" s="6"/>
      <c r="DA26" s="6"/>
      <c r="DB26" s="6"/>
      <c r="DC26" s="6"/>
      <c r="DD26" s="6">
        <v>40689</v>
      </c>
      <c r="DE26" s="6">
        <v>40638</v>
      </c>
      <c r="DF26" s="6"/>
      <c r="DG26" s="6"/>
      <c r="DH26" s="6">
        <v>40687</v>
      </c>
      <c r="DI26" s="6"/>
      <c r="DJ26" s="6"/>
      <c r="DK26" s="6"/>
      <c r="DL26" s="6">
        <v>40687</v>
      </c>
      <c r="DM26" s="6"/>
      <c r="DN26" s="6"/>
      <c r="DO26" s="6"/>
      <c r="DP26" s="6"/>
      <c r="DQ26" s="6"/>
      <c r="DR26" s="6"/>
      <c r="DS26" s="6"/>
      <c r="DT26" s="6"/>
      <c r="DU26" s="6"/>
      <c r="DV26" s="6"/>
      <c r="DW26" s="6"/>
      <c r="DX26" s="6"/>
      <c r="DY26" s="6">
        <v>40693</v>
      </c>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row>
    <row r="27" spans="1:216" x14ac:dyDescent="0.3">
      <c r="A27" s="8" t="str">
        <f>HYPERLINK("https://hpr-rps.hres.ca/reg-content/summary-basis-decision-detailOne.php?lang=en&amp;linkID=SBD00023", "Campral ®")</f>
        <v>Campral ®</v>
      </c>
      <c r="B27" s="6" t="s">
        <v>145</v>
      </c>
      <c r="C27" s="6" t="s">
        <v>146</v>
      </c>
      <c r="D27" s="6" t="s">
        <v>147</v>
      </c>
      <c r="E27" s="6"/>
      <c r="F27" s="6"/>
      <c r="G27" s="6"/>
      <c r="H27" s="6"/>
      <c r="I27" s="6"/>
      <c r="J27" s="6"/>
      <c r="K27" s="6"/>
      <c r="L27" s="6"/>
      <c r="M27" s="6"/>
      <c r="N27" s="6">
        <v>38673</v>
      </c>
      <c r="O27" s="6"/>
      <c r="P27" s="6"/>
      <c r="Q27" s="6"/>
      <c r="R27" s="6"/>
      <c r="S27" s="6"/>
      <c r="T27" s="6">
        <v>38708</v>
      </c>
      <c r="U27" s="6"/>
      <c r="V27" s="6">
        <v>38709</v>
      </c>
      <c r="W27" s="6"/>
      <c r="X27" s="6"/>
      <c r="Y27" s="6"/>
      <c r="Z27" s="6">
        <v>38765</v>
      </c>
      <c r="AA27" s="6"/>
      <c r="AB27" s="6"/>
      <c r="AC27" s="6">
        <v>38810</v>
      </c>
      <c r="AD27" s="6"/>
      <c r="AE27" s="6"/>
      <c r="AF27" s="6">
        <v>39225</v>
      </c>
      <c r="AG27" s="6"/>
      <c r="AH27" s="6"/>
      <c r="AI27" s="6"/>
      <c r="AJ27" s="6"/>
      <c r="AK27" s="6"/>
      <c r="AL27" s="6"/>
      <c r="AM27" s="6"/>
      <c r="AN27" s="6"/>
      <c r="AO27" s="6"/>
      <c r="AP27" s="6"/>
      <c r="AQ27" s="6"/>
      <c r="AR27" s="6">
        <v>39139</v>
      </c>
      <c r="AS27" s="6">
        <v>39225</v>
      </c>
      <c r="AT27" s="6"/>
      <c r="AU27" s="6"/>
      <c r="AV27" s="6">
        <v>39225</v>
      </c>
      <c r="AW27" s="6"/>
      <c r="AX27" s="6"/>
      <c r="AY27" s="6"/>
      <c r="AZ27" s="6">
        <v>39225</v>
      </c>
      <c r="BA27" s="6"/>
      <c r="BB27" s="6"/>
      <c r="BC27" s="6"/>
      <c r="BD27" s="6"/>
      <c r="BE27" s="6"/>
      <c r="BF27" s="6"/>
      <c r="BG27" s="6"/>
      <c r="BH27" s="6"/>
      <c r="BI27" s="6"/>
      <c r="BJ27" s="6"/>
      <c r="BK27" s="6"/>
      <c r="BL27" s="6"/>
      <c r="BM27" s="6">
        <v>39157</v>
      </c>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row>
    <row r="28" spans="1:216" x14ac:dyDescent="0.3">
      <c r="A28" s="8" t="str">
        <f>HYPERLINK("https://hpr-rps.hres.ca/reg-content/summary-basis-decision-detailOne.php?lang=en&amp;linkID=SBD00024", "Cantrace TM")</f>
        <v>Cantrace TM</v>
      </c>
      <c r="B28" s="6" t="s">
        <v>148</v>
      </c>
      <c r="C28" s="6" t="s">
        <v>149</v>
      </c>
      <c r="D28" s="6" t="s">
        <v>150</v>
      </c>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row>
    <row r="29" spans="1:216" x14ac:dyDescent="0.3">
      <c r="A29" s="8" t="str">
        <f>HYPERLINK("https://hpr-rps.hres.ca/reg-content/summary-basis-decision-detailOne.php?lang=en&amp;linkID=SBD00025", "Caprelsa ®")</f>
        <v>Caprelsa ®</v>
      </c>
      <c r="B29" s="6" t="s">
        <v>151</v>
      </c>
      <c r="C29" s="6" t="s">
        <v>137</v>
      </c>
      <c r="D29" s="6" t="s">
        <v>152</v>
      </c>
      <c r="E29" s="6">
        <v>39315</v>
      </c>
      <c r="F29" s="6"/>
      <c r="G29" s="6">
        <v>39315</v>
      </c>
      <c r="H29" s="6">
        <v>39381</v>
      </c>
      <c r="I29" s="6"/>
      <c r="J29" s="6"/>
      <c r="K29" s="6"/>
      <c r="L29" s="6"/>
      <c r="M29" s="6"/>
      <c r="N29" s="6"/>
      <c r="O29" s="6"/>
      <c r="P29" s="6"/>
      <c r="Q29" s="6"/>
      <c r="R29" s="6"/>
      <c r="S29" s="6"/>
      <c r="T29" s="6"/>
      <c r="U29" s="6"/>
      <c r="V29" s="6"/>
      <c r="W29" s="6"/>
      <c r="X29" s="6"/>
      <c r="Y29" s="6"/>
      <c r="Z29" s="6"/>
      <c r="AA29" s="6"/>
      <c r="AB29" s="6"/>
      <c r="AC29" s="6"/>
      <c r="AD29" s="6"/>
      <c r="AE29" s="6"/>
      <c r="AF29" s="6">
        <v>39408</v>
      </c>
      <c r="AG29" s="6"/>
      <c r="AH29" s="6"/>
      <c r="AI29" s="6"/>
      <c r="AJ29" s="6"/>
      <c r="AK29" s="6"/>
      <c r="AL29" s="6"/>
      <c r="AM29" s="6"/>
      <c r="AN29" s="6"/>
      <c r="AO29" s="6"/>
      <c r="AP29" s="6"/>
      <c r="AQ29" s="6"/>
      <c r="AR29" s="6">
        <v>39605</v>
      </c>
      <c r="AS29" s="6">
        <v>39588</v>
      </c>
      <c r="AT29" s="6"/>
      <c r="AU29" s="6"/>
      <c r="AV29" s="6">
        <v>39409</v>
      </c>
      <c r="AW29" s="6"/>
      <c r="AX29" s="6"/>
      <c r="AY29" s="6"/>
      <c r="AZ29" s="6">
        <v>39647</v>
      </c>
      <c r="BA29" s="6"/>
      <c r="BB29" s="6"/>
      <c r="BC29" s="6"/>
      <c r="BD29" s="6"/>
      <c r="BE29" s="6"/>
      <c r="BF29" s="6"/>
      <c r="BG29" s="6"/>
      <c r="BH29" s="6"/>
      <c r="BI29" s="6"/>
      <c r="BJ29" s="6"/>
      <c r="BK29" s="6">
        <v>39608</v>
      </c>
      <c r="BL29" s="6">
        <v>39652</v>
      </c>
      <c r="BM29" s="6"/>
      <c r="BN29" s="6"/>
      <c r="BO29" s="6"/>
      <c r="BP29" s="6"/>
      <c r="BQ29" s="6"/>
      <c r="BR29" s="6"/>
      <c r="BS29" s="6"/>
      <c r="BT29" s="6"/>
      <c r="BU29" s="6"/>
      <c r="BV29" s="6"/>
      <c r="BW29" s="6"/>
      <c r="BX29" s="6"/>
      <c r="BY29" s="6">
        <v>39625</v>
      </c>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6"/>
      <c r="GX29" s="6"/>
      <c r="GY29" s="6"/>
      <c r="GZ29" s="6"/>
      <c r="HA29" s="6"/>
      <c r="HB29" s="6"/>
      <c r="HC29" s="6"/>
      <c r="HD29" s="6"/>
      <c r="HE29" s="6"/>
      <c r="HF29" s="6"/>
      <c r="HG29" s="6"/>
      <c r="HH29" s="6"/>
    </row>
    <row r="30" spans="1:216" x14ac:dyDescent="0.3">
      <c r="A30" s="8" t="str">
        <f>HYPERLINK("https://hpr-rps.hres.ca/reg-content/summary-basis-decision-detailOne.php?lang=en&amp;linkID=SBD00026", "Catena ®")</f>
        <v>Catena ®</v>
      </c>
      <c r="B30" s="6" t="s">
        <v>153</v>
      </c>
      <c r="C30" s="6" t="s">
        <v>154</v>
      </c>
      <c r="D30" s="6" t="s">
        <v>155</v>
      </c>
      <c r="E30" s="6">
        <v>39315</v>
      </c>
      <c r="F30" s="6"/>
      <c r="G30" s="6">
        <v>39315</v>
      </c>
      <c r="H30" s="6">
        <v>39381</v>
      </c>
      <c r="I30" s="6"/>
      <c r="J30" s="6"/>
      <c r="K30" s="6"/>
      <c r="L30" s="6"/>
      <c r="M30" s="6"/>
      <c r="N30" s="6"/>
      <c r="O30" s="6"/>
      <c r="P30" s="6"/>
      <c r="Q30" s="6"/>
      <c r="R30" s="6"/>
      <c r="S30" s="6"/>
      <c r="T30" s="6"/>
      <c r="U30" s="6"/>
      <c r="V30" s="6"/>
      <c r="W30" s="6"/>
      <c r="X30" s="6"/>
      <c r="Y30" s="6"/>
      <c r="Z30" s="6"/>
      <c r="AA30" s="6"/>
      <c r="AB30" s="6"/>
      <c r="AC30" s="6"/>
      <c r="AD30" s="6"/>
      <c r="AE30" s="6"/>
      <c r="AF30" s="6">
        <v>39408</v>
      </c>
      <c r="AG30" s="6"/>
      <c r="AH30" s="6"/>
      <c r="AI30" s="6"/>
      <c r="AJ30" s="6"/>
      <c r="AK30" s="6"/>
      <c r="AL30" s="6"/>
      <c r="AM30" s="6"/>
      <c r="AN30" s="6"/>
      <c r="AO30" s="6"/>
      <c r="AP30" s="6"/>
      <c r="AQ30" s="6"/>
      <c r="AR30" s="6">
        <v>39605</v>
      </c>
      <c r="AS30" s="6">
        <v>39588</v>
      </c>
      <c r="AT30" s="6"/>
      <c r="AU30" s="6"/>
      <c r="AV30" s="6">
        <v>39409</v>
      </c>
      <c r="AW30" s="6"/>
      <c r="AX30" s="6"/>
      <c r="AY30" s="6"/>
      <c r="AZ30" s="6">
        <v>39647</v>
      </c>
      <c r="BA30" s="6"/>
      <c r="BB30" s="6"/>
      <c r="BC30" s="6"/>
      <c r="BD30" s="6"/>
      <c r="BE30" s="6"/>
      <c r="BF30" s="6"/>
      <c r="BG30" s="6"/>
      <c r="BH30" s="6"/>
      <c r="BI30" s="6"/>
      <c r="BJ30" s="6"/>
      <c r="BK30" s="6">
        <v>39608</v>
      </c>
      <c r="BL30" s="6">
        <v>39652</v>
      </c>
      <c r="BM30" s="6"/>
      <c r="BN30" s="6"/>
      <c r="BO30" s="6"/>
      <c r="BP30" s="6"/>
      <c r="BQ30" s="6"/>
      <c r="BR30" s="6"/>
      <c r="BS30" s="6"/>
      <c r="BT30" s="6"/>
      <c r="BU30" s="6"/>
      <c r="BV30" s="6"/>
      <c r="BW30" s="6"/>
      <c r="BX30" s="6"/>
      <c r="BY30" s="6">
        <v>39625</v>
      </c>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6"/>
      <c r="GX30" s="6"/>
      <c r="GY30" s="6"/>
      <c r="GZ30" s="6"/>
      <c r="HA30" s="6"/>
      <c r="HB30" s="6"/>
      <c r="HC30" s="6"/>
      <c r="HD30" s="6"/>
      <c r="HE30" s="6"/>
      <c r="HF30" s="6"/>
      <c r="HG30" s="6"/>
      <c r="HH30" s="6"/>
    </row>
    <row r="31" spans="1:216" x14ac:dyDescent="0.3">
      <c r="A31" s="8" t="str">
        <f>HYPERLINK("https://hpr-rps.hres.ca/reg-content/summary-basis-decision-detailOne.php?lang=en&amp;linkID=SBD00028", "Celsentri")</f>
        <v>Celsentri</v>
      </c>
      <c r="B31" s="6" t="s">
        <v>156</v>
      </c>
      <c r="C31" s="6" t="s">
        <v>143</v>
      </c>
      <c r="D31" s="6" t="s">
        <v>157</v>
      </c>
      <c r="E31" s="6">
        <v>39106</v>
      </c>
      <c r="F31" s="6"/>
      <c r="G31" s="6"/>
      <c r="H31" s="6"/>
      <c r="I31" s="6"/>
      <c r="J31" s="6"/>
      <c r="K31" s="6"/>
      <c r="L31" s="6"/>
      <c r="M31" s="6"/>
      <c r="N31" s="6">
        <v>39111</v>
      </c>
      <c r="O31" s="6"/>
      <c r="P31" s="6"/>
      <c r="Q31" s="6"/>
      <c r="R31" s="6"/>
      <c r="S31" s="6">
        <v>39139</v>
      </c>
      <c r="T31" s="6"/>
      <c r="U31" s="6"/>
      <c r="V31" s="6">
        <v>39142</v>
      </c>
      <c r="W31" s="6"/>
      <c r="X31" s="6"/>
      <c r="Y31" s="6"/>
      <c r="Z31" s="6"/>
      <c r="AA31" s="6"/>
      <c r="AB31" s="6"/>
      <c r="AC31" s="6"/>
      <c r="AD31" s="6"/>
      <c r="AE31" s="6"/>
      <c r="AF31" s="6">
        <v>39169</v>
      </c>
      <c r="AG31" s="6"/>
      <c r="AH31" s="6"/>
      <c r="AI31" s="6"/>
      <c r="AJ31" s="6"/>
      <c r="AK31" s="6"/>
      <c r="AL31" s="6"/>
      <c r="AM31" s="6"/>
      <c r="AN31" s="6"/>
      <c r="AO31" s="6"/>
      <c r="AP31" s="6"/>
      <c r="AQ31" s="6"/>
      <c r="AR31" s="6">
        <v>39343</v>
      </c>
      <c r="AS31" s="6">
        <v>39316</v>
      </c>
      <c r="AT31" s="6"/>
      <c r="AU31" s="6"/>
      <c r="AV31" s="6">
        <v>39342</v>
      </c>
      <c r="AW31" s="6"/>
      <c r="AX31" s="6"/>
      <c r="AY31" s="6"/>
      <c r="AZ31" s="6">
        <v>39339</v>
      </c>
      <c r="BA31" s="6"/>
      <c r="BB31" s="6"/>
      <c r="BC31" s="6"/>
      <c r="BD31" s="6"/>
      <c r="BE31" s="6"/>
      <c r="BF31" s="6"/>
      <c r="BG31" s="6"/>
      <c r="BH31" s="6"/>
      <c r="BI31" s="6"/>
      <c r="BJ31" s="6"/>
      <c r="BK31" s="6"/>
      <c r="BL31" s="6"/>
      <c r="BM31" s="6">
        <v>39346</v>
      </c>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row>
    <row r="32" spans="1:216" x14ac:dyDescent="0.3">
      <c r="A32" s="8" t="str">
        <f>HYPERLINK("https://hpr-rps.hres.ca/reg-content/summary-basis-decision-detailOne.php?lang=en&amp;linkID=SBD00029", "Cervarix TM")</f>
        <v>Cervarix TM</v>
      </c>
      <c r="B32" s="6" t="s">
        <v>158</v>
      </c>
      <c r="C32" s="6" t="s">
        <v>96</v>
      </c>
      <c r="D32" s="6" t="s">
        <v>159</v>
      </c>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v>38861</v>
      </c>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v>39014</v>
      </c>
      <c r="BQ32" s="6"/>
      <c r="BR32" s="6"/>
      <c r="BS32" s="6"/>
      <c r="BT32" s="6"/>
      <c r="BU32" s="6"/>
      <c r="BV32" s="6"/>
      <c r="BW32" s="6"/>
      <c r="BX32" s="6"/>
      <c r="BY32" s="6">
        <v>39101</v>
      </c>
      <c r="BZ32" s="6"/>
      <c r="CA32" s="6"/>
      <c r="CB32" s="6"/>
      <c r="CC32" s="6"/>
      <c r="CD32" s="6"/>
      <c r="CE32" s="6"/>
      <c r="CF32" s="6"/>
      <c r="CG32" s="6"/>
      <c r="CH32" s="6"/>
      <c r="CI32" s="6"/>
      <c r="CJ32" s="6"/>
      <c r="CK32" s="6"/>
      <c r="CL32" s="6"/>
      <c r="CM32" s="6"/>
      <c r="CN32" s="6"/>
      <c r="CO32" s="6"/>
      <c r="CP32" s="6"/>
      <c r="CQ32" s="6"/>
      <c r="CR32" s="6">
        <v>39142</v>
      </c>
      <c r="CS32" s="6"/>
      <c r="CT32" s="6"/>
      <c r="CU32" s="6"/>
      <c r="CV32" s="6"/>
      <c r="CW32" s="6"/>
      <c r="CX32" s="6"/>
      <c r="CY32" s="6"/>
      <c r="CZ32" s="6"/>
      <c r="DA32" s="6">
        <v>39374</v>
      </c>
      <c r="DB32" s="6"/>
      <c r="DC32" s="6"/>
      <c r="DD32" s="6"/>
      <c r="DE32" s="6"/>
      <c r="DF32" s="6"/>
      <c r="DG32" s="6"/>
      <c r="DH32" s="6"/>
      <c r="DI32" s="6"/>
      <c r="DJ32" s="6"/>
      <c r="DK32" s="6"/>
      <c r="DL32" s="6">
        <v>39423</v>
      </c>
      <c r="DM32" s="6"/>
      <c r="DN32" s="6"/>
      <c r="DO32" s="6"/>
      <c r="DP32" s="6"/>
      <c r="DQ32" s="6"/>
      <c r="DR32" s="6"/>
      <c r="DS32" s="6"/>
      <c r="DT32" s="6"/>
      <c r="DU32" s="6"/>
      <c r="DV32" s="6"/>
      <c r="DW32" s="6"/>
      <c r="DX32" s="6"/>
      <c r="DY32" s="6"/>
      <c r="DZ32" s="6"/>
      <c r="EA32" s="6"/>
      <c r="EB32" s="6"/>
      <c r="EC32" s="6"/>
      <c r="ED32" s="6"/>
      <c r="EE32" s="6"/>
      <c r="EF32" s="6">
        <v>39436</v>
      </c>
      <c r="EG32" s="6"/>
      <c r="EH32" s="6"/>
      <c r="EI32" s="6"/>
      <c r="EJ32" s="6"/>
      <c r="EK32" s="6"/>
      <c r="EL32" s="6"/>
      <c r="EM32" s="6"/>
      <c r="EN32" s="6"/>
      <c r="EO32" s="6"/>
      <c r="EP32" s="6"/>
      <c r="EQ32" s="6"/>
      <c r="ER32" s="6"/>
      <c r="ES32" s="6"/>
      <c r="ET32" s="6"/>
      <c r="EU32" s="6"/>
      <c r="EV32" s="6"/>
      <c r="EW32" s="6"/>
      <c r="EX32" s="6"/>
      <c r="EY32" s="6"/>
      <c r="EZ32" s="6"/>
      <c r="FA32" s="6"/>
      <c r="FB32" s="6"/>
      <c r="FC32" s="6"/>
      <c r="FD32" s="6">
        <v>39584</v>
      </c>
      <c r="FE32" s="6"/>
      <c r="FF32" s="6"/>
      <c r="FG32" s="6"/>
      <c r="FH32" s="6">
        <v>39527</v>
      </c>
      <c r="FI32" s="6"/>
      <c r="FJ32" s="6"/>
      <c r="FK32" s="6"/>
      <c r="FL32" s="6"/>
      <c r="FM32" s="6"/>
      <c r="FN32" s="6"/>
      <c r="FO32" s="6"/>
      <c r="FP32" s="6"/>
      <c r="FQ32" s="6"/>
      <c r="FR32" s="6"/>
      <c r="FS32" s="6"/>
      <c r="FT32" s="6">
        <v>39650</v>
      </c>
      <c r="FU32" s="6"/>
      <c r="FV32" s="6"/>
      <c r="FW32" s="6"/>
      <c r="FX32" s="6">
        <v>39736</v>
      </c>
      <c r="FY32" s="6"/>
      <c r="FZ32" s="6"/>
      <c r="GA32" s="6"/>
      <c r="GB32" s="6"/>
      <c r="GC32" s="6"/>
      <c r="GD32" s="6"/>
      <c r="GE32" s="6"/>
      <c r="GF32" s="6"/>
      <c r="GG32" s="6"/>
      <c r="GH32" s="6"/>
      <c r="GI32" s="6"/>
      <c r="GJ32" s="6"/>
      <c r="GK32" s="6"/>
      <c r="GL32" s="6"/>
      <c r="GM32" s="6"/>
      <c r="GN32" s="6"/>
      <c r="GO32" s="6"/>
      <c r="GP32" s="6"/>
      <c r="GQ32" s="6"/>
      <c r="GR32" s="6">
        <v>39737</v>
      </c>
      <c r="GS32" s="6"/>
      <c r="GT32" s="6"/>
      <c r="GU32" s="6"/>
      <c r="GV32" s="6"/>
      <c r="GW32" s="6"/>
      <c r="GX32" s="6"/>
      <c r="GY32" s="6"/>
      <c r="GZ32" s="6"/>
      <c r="HA32" s="6"/>
      <c r="HB32" s="6"/>
      <c r="HC32" s="6"/>
      <c r="HD32" s="6"/>
      <c r="HE32" s="6"/>
      <c r="HF32" s="6"/>
      <c r="HG32" s="6"/>
      <c r="HH32" s="6"/>
    </row>
    <row r="33" spans="1:216" x14ac:dyDescent="0.3">
      <c r="A33" s="8" t="str">
        <f>HYPERLINK("https://hpr-rps.hres.ca/reg-content/summary-basis-decision-detailOne.php?lang=en&amp;linkID=SBD00031", "Colesevalam hydrochloride (Lodalis)")</f>
        <v>Colesevalam hydrochloride (Lodalis)</v>
      </c>
      <c r="B33" s="6" t="s">
        <v>160</v>
      </c>
      <c r="C33" s="6" t="s">
        <v>161</v>
      </c>
      <c r="D33" s="6" t="s">
        <v>162</v>
      </c>
      <c r="E33" s="6">
        <v>38217</v>
      </c>
      <c r="F33" s="6"/>
      <c r="G33" s="6"/>
      <c r="H33" s="6">
        <v>38251</v>
      </c>
      <c r="I33" s="6"/>
      <c r="J33" s="6"/>
      <c r="K33" s="6"/>
      <c r="L33" s="6"/>
      <c r="M33" s="6"/>
      <c r="N33" s="6"/>
      <c r="O33" s="6"/>
      <c r="P33" s="6"/>
      <c r="Q33" s="6"/>
      <c r="R33" s="6"/>
      <c r="S33" s="6"/>
      <c r="T33" s="6"/>
      <c r="U33" s="6"/>
      <c r="V33" s="6"/>
      <c r="W33" s="6"/>
      <c r="X33" s="6"/>
      <c r="Y33" s="6"/>
      <c r="Z33" s="6">
        <v>38303</v>
      </c>
      <c r="AA33" s="6"/>
      <c r="AB33" s="6"/>
      <c r="AC33" s="6">
        <v>38343</v>
      </c>
      <c r="AD33" s="6"/>
      <c r="AE33" s="6"/>
      <c r="AF33" s="6">
        <v>38385</v>
      </c>
      <c r="AG33" s="6"/>
      <c r="AH33" s="6"/>
      <c r="AI33" s="6"/>
      <c r="AJ33" s="6"/>
      <c r="AK33" s="6"/>
      <c r="AL33" s="6"/>
      <c r="AM33" s="6"/>
      <c r="AN33" s="6"/>
      <c r="AO33" s="6"/>
      <c r="AP33" s="6"/>
      <c r="AQ33" s="6"/>
      <c r="AR33" s="6">
        <v>38653</v>
      </c>
      <c r="AS33" s="6">
        <v>38638</v>
      </c>
      <c r="AT33" s="6"/>
      <c r="AU33" s="6"/>
      <c r="AV33" s="6">
        <v>38586</v>
      </c>
      <c r="AW33" s="6"/>
      <c r="AX33" s="6"/>
      <c r="AY33" s="6"/>
      <c r="AZ33" s="6">
        <v>38629</v>
      </c>
      <c r="BA33" s="6"/>
      <c r="BB33" s="6"/>
      <c r="BC33" s="6"/>
      <c r="BD33" s="6"/>
      <c r="BE33" s="6"/>
      <c r="BF33" s="6"/>
      <c r="BG33" s="6"/>
      <c r="BH33" s="6"/>
      <c r="BI33" s="6"/>
      <c r="BJ33" s="6"/>
      <c r="BK33" s="6"/>
      <c r="BL33" s="6"/>
      <c r="BM33" s="6">
        <v>38677</v>
      </c>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row>
    <row r="34" spans="1:216" x14ac:dyDescent="0.3">
      <c r="A34" s="8" t="str">
        <f>HYPERLINK("https://hpr-rps.hres.ca/reg-content/summary-basis-decision-detailOne.php?lang=en&amp;linkID=SBD00032", "Cimzia TM")</f>
        <v>Cimzia TM</v>
      </c>
      <c r="B34" s="6" t="s">
        <v>163</v>
      </c>
      <c r="C34" s="6" t="s">
        <v>164</v>
      </c>
      <c r="D34" s="6" t="s">
        <v>165</v>
      </c>
      <c r="E34" s="6">
        <v>39317</v>
      </c>
      <c r="F34" s="6"/>
      <c r="G34" s="6"/>
      <c r="H34" s="6">
        <v>39519</v>
      </c>
      <c r="I34" s="6"/>
      <c r="J34" s="6"/>
      <c r="K34" s="6"/>
      <c r="L34" s="6"/>
      <c r="M34" s="6"/>
      <c r="N34" s="6"/>
      <c r="O34" s="6"/>
      <c r="P34" s="6"/>
      <c r="Q34" s="6"/>
      <c r="R34" s="6"/>
      <c r="S34" s="6"/>
      <c r="T34" s="6"/>
      <c r="U34" s="6"/>
      <c r="V34" s="6"/>
      <c r="W34" s="6"/>
      <c r="X34" s="6"/>
      <c r="Y34" s="6"/>
      <c r="Z34" s="6"/>
      <c r="AA34" s="6"/>
      <c r="AB34" s="6"/>
      <c r="AC34" s="6"/>
      <c r="AD34" s="6"/>
      <c r="AE34" s="6"/>
      <c r="AF34" s="6">
        <v>39563</v>
      </c>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v>39708</v>
      </c>
      <c r="BQ34" s="6"/>
      <c r="BR34" s="6"/>
      <c r="BS34" s="6"/>
      <c r="BT34" s="6"/>
      <c r="BU34" s="6"/>
      <c r="BV34" s="6"/>
      <c r="BW34" s="6"/>
      <c r="BX34" s="6"/>
      <c r="BY34" s="6">
        <v>39736</v>
      </c>
      <c r="BZ34" s="6"/>
      <c r="CA34" s="6"/>
      <c r="CB34" s="6"/>
      <c r="CC34" s="6"/>
      <c r="CD34" s="6"/>
      <c r="CE34" s="6"/>
      <c r="CF34" s="6"/>
      <c r="CG34" s="6"/>
      <c r="CH34" s="6"/>
      <c r="CI34" s="6"/>
      <c r="CJ34" s="6"/>
      <c r="CK34" s="6"/>
      <c r="CL34" s="6"/>
      <c r="CM34" s="6"/>
      <c r="CN34" s="6"/>
      <c r="CO34" s="6"/>
      <c r="CP34" s="6"/>
      <c r="CQ34" s="6"/>
      <c r="CR34" s="6">
        <v>39738</v>
      </c>
      <c r="CS34" s="6"/>
      <c r="CT34" s="6"/>
      <c r="CU34" s="6"/>
      <c r="CV34" s="6"/>
      <c r="CW34" s="6"/>
      <c r="CX34" s="6"/>
      <c r="CY34" s="6"/>
      <c r="CZ34" s="6"/>
      <c r="DA34" s="6"/>
      <c r="DB34" s="6"/>
      <c r="DC34" s="6"/>
      <c r="DD34" s="6">
        <v>40015</v>
      </c>
      <c r="DE34" s="6"/>
      <c r="DF34" s="6"/>
      <c r="DG34" s="6"/>
      <c r="DH34" s="6">
        <v>40021</v>
      </c>
      <c r="DI34" s="6"/>
      <c r="DJ34" s="6"/>
      <c r="DK34" s="6"/>
      <c r="DL34" s="6">
        <v>40032</v>
      </c>
      <c r="DM34" s="6"/>
      <c r="DN34" s="6"/>
      <c r="DO34" s="6"/>
      <c r="DP34" s="6"/>
      <c r="DQ34" s="6"/>
      <c r="DR34" s="6"/>
      <c r="DS34" s="6"/>
      <c r="DT34" s="6"/>
      <c r="DU34" s="6"/>
      <c r="DV34" s="6"/>
      <c r="DW34" s="6"/>
      <c r="DX34" s="6"/>
      <c r="DY34" s="6">
        <v>40037</v>
      </c>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row>
    <row r="35" spans="1:216" x14ac:dyDescent="0.3">
      <c r="A35" s="8" t="str">
        <f>HYPERLINK("https://hpr-rps.hres.ca/reg-content/summary-basis-decision-detailOne.php?lang=en&amp;linkID=SBD00033", "Civanex MC")</f>
        <v>Civanex MC</v>
      </c>
      <c r="B35" s="6" t="s">
        <v>166</v>
      </c>
      <c r="C35" s="6" t="s">
        <v>167</v>
      </c>
      <c r="D35" s="6" t="s">
        <v>168</v>
      </c>
      <c r="E35" s="6">
        <v>39464</v>
      </c>
      <c r="F35" s="6"/>
      <c r="G35" s="6"/>
      <c r="H35" s="6">
        <v>39751</v>
      </c>
      <c r="I35" s="6"/>
      <c r="J35" s="6"/>
      <c r="K35" s="6"/>
      <c r="L35" s="6"/>
      <c r="M35" s="6"/>
      <c r="N35" s="6"/>
      <c r="O35" s="6"/>
      <c r="P35" s="6"/>
      <c r="Q35" s="6"/>
      <c r="R35" s="6"/>
      <c r="S35" s="6"/>
      <c r="T35" s="6"/>
      <c r="U35" s="6"/>
      <c r="V35" s="6"/>
      <c r="W35" s="6"/>
      <c r="X35" s="6"/>
      <c r="Y35" s="6"/>
      <c r="Z35" s="6"/>
      <c r="AA35" s="6"/>
      <c r="AB35" s="6"/>
      <c r="AC35" s="6"/>
      <c r="AD35" s="6"/>
      <c r="AE35" s="6"/>
      <c r="AF35" s="6">
        <v>39801</v>
      </c>
      <c r="AG35" s="6"/>
      <c r="AH35" s="6"/>
      <c r="AI35" s="6"/>
      <c r="AJ35" s="6"/>
      <c r="AK35" s="6"/>
      <c r="AL35" s="6"/>
      <c r="AM35" s="6"/>
      <c r="AN35" s="6"/>
      <c r="AO35" s="6"/>
      <c r="AP35" s="6"/>
      <c r="AQ35" s="6"/>
      <c r="AR35" s="6"/>
      <c r="AS35" s="6"/>
      <c r="AT35" s="6"/>
      <c r="AU35" s="6"/>
      <c r="AV35" s="6">
        <v>40099</v>
      </c>
      <c r="AW35" s="6"/>
      <c r="AX35" s="6">
        <v>39996</v>
      </c>
      <c r="AY35" s="6"/>
      <c r="AZ35" s="6"/>
      <c r="BA35" s="6"/>
      <c r="BB35" s="6"/>
      <c r="BC35" s="6"/>
      <c r="BD35" s="6"/>
      <c r="BE35" s="6"/>
      <c r="BF35" s="6"/>
      <c r="BG35" s="6"/>
      <c r="BH35" s="6"/>
      <c r="BI35" s="6"/>
      <c r="BJ35" s="6"/>
      <c r="BK35" s="6"/>
      <c r="BL35" s="6"/>
      <c r="BM35" s="6"/>
      <c r="BN35" s="6"/>
      <c r="BO35" s="6"/>
      <c r="BP35" s="6"/>
      <c r="BQ35" s="6"/>
      <c r="BR35" s="6"/>
      <c r="BS35" s="6"/>
      <c r="BT35" s="6">
        <v>40101</v>
      </c>
      <c r="BU35" s="6"/>
      <c r="BV35" s="6"/>
      <c r="BW35" s="6"/>
      <c r="BX35" s="6"/>
      <c r="BY35" s="6">
        <v>40210</v>
      </c>
      <c r="BZ35" s="6"/>
      <c r="CA35" s="6"/>
      <c r="CB35" s="6"/>
      <c r="CC35" s="6"/>
      <c r="CD35" s="6"/>
      <c r="CE35" s="6"/>
      <c r="CF35" s="6"/>
      <c r="CG35" s="6"/>
      <c r="CH35" s="6"/>
      <c r="CI35" s="6"/>
      <c r="CJ35" s="6"/>
      <c r="CK35" s="6"/>
      <c r="CL35" s="6"/>
      <c r="CM35" s="6"/>
      <c r="CN35" s="6"/>
      <c r="CO35" s="6"/>
      <c r="CP35" s="6"/>
      <c r="CQ35" s="6"/>
      <c r="CR35" s="6">
        <v>40228</v>
      </c>
      <c r="CS35" s="6"/>
      <c r="CT35" s="6"/>
      <c r="CU35" s="6"/>
      <c r="CV35" s="6"/>
      <c r="CW35" s="6"/>
      <c r="CX35" s="6"/>
      <c r="CY35" s="6"/>
      <c r="CZ35" s="6"/>
      <c r="DA35" s="6"/>
      <c r="DB35" s="6"/>
      <c r="DC35" s="6"/>
      <c r="DD35" s="6">
        <v>40371</v>
      </c>
      <c r="DE35" s="6"/>
      <c r="DF35" s="6"/>
      <c r="DG35" s="6"/>
      <c r="DH35" s="6"/>
      <c r="DI35" s="6"/>
      <c r="DJ35" s="6"/>
      <c r="DK35" s="6"/>
      <c r="DL35" s="6">
        <v>40367</v>
      </c>
      <c r="DM35" s="6"/>
      <c r="DN35" s="6"/>
      <c r="DO35" s="6"/>
      <c r="DP35" s="6"/>
      <c r="DQ35" s="6"/>
      <c r="DR35" s="6"/>
      <c r="DS35" s="6"/>
      <c r="DT35" s="6"/>
      <c r="DU35" s="6"/>
      <c r="DV35" s="6"/>
      <c r="DW35" s="6"/>
      <c r="DX35" s="6"/>
      <c r="DY35" s="6">
        <v>40374</v>
      </c>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row>
    <row r="36" spans="1:216" x14ac:dyDescent="0.3">
      <c r="A36" s="8" t="str">
        <f>HYPERLINK("https://hpr-rps.hres.ca/reg-content/summary-basis-decision-detailOne.php?lang=en&amp;linkID=SBD00034", "Cleviprex TM")</f>
        <v>Cleviprex TM</v>
      </c>
      <c r="B36" s="6" t="s">
        <v>169</v>
      </c>
      <c r="C36" s="6" t="s">
        <v>170</v>
      </c>
      <c r="D36" s="6" t="s">
        <v>171</v>
      </c>
      <c r="E36" s="6"/>
      <c r="F36" s="6"/>
      <c r="G36" s="6"/>
      <c r="H36" s="6">
        <v>39728</v>
      </c>
      <c r="I36" s="6"/>
      <c r="J36" s="6"/>
      <c r="K36" s="6"/>
      <c r="L36" s="6"/>
      <c r="M36" s="6"/>
      <c r="N36" s="6"/>
      <c r="O36" s="6"/>
      <c r="P36" s="6"/>
      <c r="Q36" s="6"/>
      <c r="R36" s="6"/>
      <c r="S36" s="6"/>
      <c r="T36" s="6"/>
      <c r="U36" s="6"/>
      <c r="V36" s="6"/>
      <c r="W36" s="6"/>
      <c r="X36" s="6"/>
      <c r="Y36" s="6"/>
      <c r="Z36" s="6">
        <v>39766</v>
      </c>
      <c r="AA36" s="6"/>
      <c r="AB36" s="6"/>
      <c r="AC36" s="6">
        <v>39778</v>
      </c>
      <c r="AD36" s="6"/>
      <c r="AE36" s="6"/>
      <c r="AF36" s="6">
        <v>39818</v>
      </c>
      <c r="AG36" s="6"/>
      <c r="AH36" s="6"/>
      <c r="AI36" s="6"/>
      <c r="AJ36" s="6"/>
      <c r="AK36" s="6"/>
      <c r="AL36" s="6"/>
      <c r="AM36" s="6"/>
      <c r="AN36" s="6"/>
      <c r="AO36" s="6"/>
      <c r="AP36" s="6"/>
      <c r="AQ36" s="6"/>
      <c r="AR36" s="6"/>
      <c r="AS36" s="6"/>
      <c r="AT36" s="6"/>
      <c r="AU36" s="6"/>
      <c r="AV36" s="6">
        <v>40113</v>
      </c>
      <c r="AW36" s="6"/>
      <c r="AX36" s="6"/>
      <c r="AY36" s="6"/>
      <c r="AZ36" s="6">
        <v>40114</v>
      </c>
      <c r="BA36" s="6"/>
      <c r="BB36" s="6"/>
      <c r="BC36" s="6"/>
      <c r="BD36" s="6"/>
      <c r="BE36" s="6"/>
      <c r="BF36" s="6"/>
      <c r="BG36" s="6"/>
      <c r="BH36" s="6"/>
      <c r="BI36" s="6"/>
      <c r="BJ36" s="6"/>
      <c r="BK36" s="6"/>
      <c r="BL36" s="6"/>
      <c r="BM36" s="6"/>
      <c r="BN36" s="6"/>
      <c r="BO36" s="6"/>
      <c r="BP36" s="6"/>
      <c r="BQ36" s="6"/>
      <c r="BR36" s="6"/>
      <c r="BS36" s="6"/>
      <c r="BT36" s="6">
        <v>40116</v>
      </c>
      <c r="BU36" s="6"/>
      <c r="BV36" s="6"/>
      <c r="BW36" s="6"/>
      <c r="BX36" s="6"/>
      <c r="BY36" s="6">
        <v>40203</v>
      </c>
      <c r="BZ36" s="6"/>
      <c r="CA36" s="6"/>
      <c r="CB36" s="6"/>
      <c r="CC36" s="6"/>
      <c r="CD36" s="6"/>
      <c r="CE36" s="6"/>
      <c r="CF36" s="6"/>
      <c r="CG36" s="6"/>
      <c r="CH36" s="6"/>
      <c r="CI36" s="6"/>
      <c r="CJ36" s="6"/>
      <c r="CK36" s="6"/>
      <c r="CL36" s="6"/>
      <c r="CM36" s="6"/>
      <c r="CN36" s="6"/>
      <c r="CO36" s="6"/>
      <c r="CP36" s="6"/>
      <c r="CQ36" s="6"/>
      <c r="CR36" s="6">
        <v>40253</v>
      </c>
      <c r="CS36" s="6"/>
      <c r="CT36" s="6"/>
      <c r="CU36" s="6"/>
      <c r="CV36" s="6"/>
      <c r="CW36" s="6"/>
      <c r="CX36" s="6"/>
      <c r="CY36" s="6"/>
      <c r="CZ36" s="6"/>
      <c r="DA36" s="6"/>
      <c r="DB36" s="6"/>
      <c r="DC36" s="6"/>
      <c r="DD36" s="6">
        <v>40628</v>
      </c>
      <c r="DE36" s="6"/>
      <c r="DF36" s="6"/>
      <c r="DG36" s="6"/>
      <c r="DH36" s="6">
        <v>40611</v>
      </c>
      <c r="DI36" s="6"/>
      <c r="DJ36" s="6"/>
      <c r="DK36" s="6"/>
      <c r="DL36" s="6">
        <v>40406</v>
      </c>
      <c r="DM36" s="6"/>
      <c r="DN36" s="6"/>
      <c r="DO36" s="6"/>
      <c r="DP36" s="6"/>
      <c r="DQ36" s="6"/>
      <c r="DR36" s="6"/>
      <c r="DS36" s="6"/>
      <c r="DT36" s="6"/>
      <c r="DU36" s="6"/>
      <c r="DV36" s="6"/>
      <c r="DW36" s="6"/>
      <c r="DX36" s="6"/>
      <c r="DY36" s="6">
        <v>40648</v>
      </c>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row>
    <row r="37" spans="1:216" x14ac:dyDescent="0.3">
      <c r="A37" s="8" t="str">
        <f>HYPERLINK("https://hpr-rps.hres.ca/reg-content/summary-basis-decision-detailOne.php?lang=en&amp;linkID=SBD00035", "Clolar ®")</f>
        <v>Clolar ®</v>
      </c>
      <c r="B37" s="6" t="s">
        <v>172</v>
      </c>
      <c r="C37" s="6" t="s">
        <v>161</v>
      </c>
      <c r="D37" s="6" t="s">
        <v>173</v>
      </c>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row>
    <row r="38" spans="1:216" x14ac:dyDescent="0.3">
      <c r="A38" s="8" t="str">
        <f>HYPERLINK("https://hpr-rps.hres.ca/reg-content/summary-basis-decision-detailOne.php?lang=en&amp;linkID=SBD00040", "Cymbalta TM")</f>
        <v>Cymbalta TM</v>
      </c>
      <c r="B38" s="6" t="s">
        <v>174</v>
      </c>
      <c r="C38" s="6" t="s">
        <v>140</v>
      </c>
      <c r="D38" s="6" t="s">
        <v>175</v>
      </c>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row>
    <row r="39" spans="1:216" x14ac:dyDescent="0.3">
      <c r="A39" s="8" t="str">
        <f>HYPERLINK("https://hpr-rps.hres.ca/reg-content/summary-basis-decision-detailOne.php?lang=en&amp;linkID=SBD00037", "Coversyl ®")</f>
        <v>Coversyl ®</v>
      </c>
      <c r="B39" s="6" t="s">
        <v>176</v>
      </c>
      <c r="C39" s="6" t="s">
        <v>177</v>
      </c>
      <c r="D39" s="6" t="s">
        <v>178</v>
      </c>
      <c r="E39" s="6"/>
      <c r="F39" s="6"/>
      <c r="G39" s="6"/>
      <c r="H39" s="6">
        <v>38153</v>
      </c>
      <c r="I39" s="6"/>
      <c r="J39" s="6"/>
      <c r="K39" s="6"/>
      <c r="L39" s="6"/>
      <c r="M39" s="6"/>
      <c r="N39" s="6"/>
      <c r="O39" s="6"/>
      <c r="P39" s="6"/>
      <c r="Q39" s="6"/>
      <c r="R39" s="6"/>
      <c r="S39" s="6"/>
      <c r="T39" s="6"/>
      <c r="U39" s="6"/>
      <c r="V39" s="6"/>
      <c r="W39" s="6"/>
      <c r="X39" s="6"/>
      <c r="Y39" s="6"/>
      <c r="Z39" s="6">
        <v>38197</v>
      </c>
      <c r="AA39" s="6"/>
      <c r="AB39" s="6"/>
      <c r="AC39" s="6">
        <v>38243</v>
      </c>
      <c r="AD39" s="6"/>
      <c r="AE39" s="6"/>
      <c r="AF39" s="6">
        <v>38287</v>
      </c>
      <c r="AG39" s="6"/>
      <c r="AH39" s="6"/>
      <c r="AI39" s="6"/>
      <c r="AJ39" s="6"/>
      <c r="AK39" s="6"/>
      <c r="AL39" s="6"/>
      <c r="AM39" s="6"/>
      <c r="AN39" s="6"/>
      <c r="AO39" s="6"/>
      <c r="AP39" s="6"/>
      <c r="AQ39" s="6"/>
      <c r="AR39" s="6"/>
      <c r="AS39" s="6">
        <v>38482</v>
      </c>
      <c r="AT39" s="6"/>
      <c r="AU39" s="6"/>
      <c r="AV39" s="6">
        <v>38537</v>
      </c>
      <c r="AW39" s="6"/>
      <c r="AX39" s="6"/>
      <c r="AY39" s="6"/>
      <c r="AZ39" s="6">
        <v>38572</v>
      </c>
      <c r="BA39" s="6"/>
      <c r="BB39" s="6"/>
      <c r="BC39" s="6"/>
      <c r="BD39" s="6"/>
      <c r="BE39" s="6">
        <v>38580</v>
      </c>
      <c r="BF39" s="6"/>
      <c r="BG39" s="6"/>
      <c r="BH39" s="6"/>
      <c r="BI39" s="6"/>
      <c r="BJ39" s="6"/>
      <c r="BK39" s="6"/>
      <c r="BL39" s="6"/>
      <c r="BM39" s="6">
        <v>38587</v>
      </c>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DZ39" s="6"/>
      <c r="EA39" s="6"/>
      <c r="EB39" s="6"/>
      <c r="EC39" s="6"/>
      <c r="ED39" s="6"/>
      <c r="EE39" s="6"/>
      <c r="EF39" s="6"/>
      <c r="EG39" s="6"/>
      <c r="EH39" s="6"/>
      <c r="EI39" s="6"/>
      <c r="EJ39" s="6"/>
      <c r="EK39" s="6"/>
      <c r="EL39" s="6"/>
      <c r="EM39" s="6"/>
      <c r="EN39" s="6"/>
      <c r="EO39" s="6"/>
      <c r="EP39" s="6"/>
      <c r="EQ39" s="6"/>
      <c r="ER39" s="6"/>
      <c r="ES39" s="6"/>
      <c r="ET39" s="6"/>
      <c r="EU39" s="6"/>
      <c r="EV39" s="6"/>
      <c r="EW39" s="6"/>
      <c r="EX39" s="6"/>
      <c r="EY39" s="6"/>
      <c r="EZ39" s="6"/>
      <c r="FA39" s="6"/>
      <c r="FB39" s="6"/>
      <c r="FC39" s="6"/>
      <c r="FD39" s="6"/>
      <c r="FE39" s="6"/>
      <c r="FF39" s="6"/>
      <c r="FG39" s="6"/>
      <c r="FH39" s="6"/>
      <c r="FI39" s="6"/>
      <c r="FJ39" s="6"/>
      <c r="FK39" s="6"/>
      <c r="FL39" s="6"/>
      <c r="FM39" s="6"/>
      <c r="FN39" s="6"/>
      <c r="FO39" s="6"/>
      <c r="FP39" s="6"/>
      <c r="FQ39" s="6"/>
      <c r="FR39" s="6"/>
      <c r="FS39" s="6"/>
      <c r="FT39" s="6"/>
      <c r="FU39" s="6"/>
      <c r="FV39" s="6"/>
      <c r="FW39" s="6"/>
      <c r="FX39" s="6"/>
      <c r="FY39" s="6"/>
      <c r="FZ39" s="6"/>
      <c r="GA39" s="6"/>
      <c r="GB39" s="6"/>
      <c r="GC39" s="6"/>
      <c r="GD39" s="6"/>
      <c r="GE39" s="6"/>
      <c r="GF39" s="6"/>
      <c r="GG39" s="6"/>
      <c r="GH39" s="6"/>
      <c r="GI39" s="6"/>
      <c r="GJ39" s="6"/>
      <c r="GK39" s="6"/>
      <c r="GL39" s="6"/>
      <c r="GM39" s="6"/>
      <c r="GN39" s="6"/>
      <c r="GO39" s="6"/>
      <c r="GP39" s="6"/>
      <c r="GQ39" s="6"/>
      <c r="GR39" s="6"/>
      <c r="GS39" s="6"/>
      <c r="GT39" s="6"/>
      <c r="GU39" s="6"/>
      <c r="GV39" s="6"/>
      <c r="GW39" s="6"/>
      <c r="GX39" s="6"/>
      <c r="GY39" s="6"/>
      <c r="GZ39" s="6"/>
      <c r="HA39" s="6"/>
      <c r="HB39" s="6"/>
      <c r="HC39" s="6"/>
      <c r="HD39" s="6"/>
      <c r="HE39" s="6"/>
      <c r="HF39" s="6"/>
      <c r="HG39" s="6"/>
      <c r="HH39" s="6"/>
    </row>
    <row r="40" spans="1:216" x14ac:dyDescent="0.3">
      <c r="A40" s="8" t="str">
        <f>HYPERLINK("https://hpr-rps.hres.ca/reg-content/summary-basis-decision-detailOne.php?lang=en&amp;linkID=SBD00039", "Cubicin ®")</f>
        <v>Cubicin ®</v>
      </c>
      <c r="B40" s="6" t="s">
        <v>179</v>
      </c>
      <c r="C40" s="6" t="s">
        <v>180</v>
      </c>
      <c r="D40" s="6" t="s">
        <v>181</v>
      </c>
      <c r="E40" s="6"/>
      <c r="F40" s="6"/>
      <c r="G40" s="6"/>
      <c r="H40" s="6"/>
      <c r="I40" s="6"/>
      <c r="J40" s="6"/>
      <c r="K40" s="6"/>
      <c r="L40" s="6"/>
      <c r="M40" s="6"/>
      <c r="N40" s="6"/>
      <c r="O40" s="6"/>
      <c r="P40" s="6"/>
      <c r="Q40" s="6"/>
      <c r="R40" s="6"/>
      <c r="S40" s="6"/>
      <c r="T40" s="6"/>
      <c r="U40" s="6"/>
      <c r="V40" s="6"/>
      <c r="W40" s="6"/>
      <c r="X40" s="6">
        <v>39114</v>
      </c>
      <c r="Y40" s="6">
        <v>39099</v>
      </c>
      <c r="Z40" s="6">
        <v>38715</v>
      </c>
      <c r="AA40" s="6">
        <v>39120</v>
      </c>
      <c r="AB40" s="6"/>
      <c r="AC40" s="6">
        <v>38755</v>
      </c>
      <c r="AD40" s="6"/>
      <c r="AE40" s="6"/>
      <c r="AF40" s="6">
        <v>38799</v>
      </c>
      <c r="AG40" s="6"/>
      <c r="AH40" s="6"/>
      <c r="AI40" s="6">
        <v>39030</v>
      </c>
      <c r="AJ40" s="6"/>
      <c r="AK40" s="6"/>
      <c r="AL40" s="6"/>
      <c r="AM40" s="6">
        <v>39349</v>
      </c>
      <c r="AN40" s="6"/>
      <c r="AO40" s="6"/>
      <c r="AP40" s="6"/>
      <c r="AQ40" s="6"/>
      <c r="AR40" s="6">
        <v>39344</v>
      </c>
      <c r="AS40" s="6"/>
      <c r="AT40" s="6"/>
      <c r="AU40" s="6"/>
      <c r="AV40" s="6">
        <v>39199</v>
      </c>
      <c r="AW40" s="6"/>
      <c r="AX40" s="6"/>
      <c r="AY40" s="6"/>
      <c r="AZ40" s="6">
        <v>39345</v>
      </c>
      <c r="BA40" s="6"/>
      <c r="BB40" s="6"/>
      <c r="BC40" s="6"/>
      <c r="BD40" s="6"/>
      <c r="BE40" s="6"/>
      <c r="BF40" s="6">
        <v>39199</v>
      </c>
      <c r="BG40" s="6"/>
      <c r="BH40" s="6"/>
      <c r="BI40" s="6"/>
      <c r="BJ40" s="6"/>
      <c r="BK40" s="6"/>
      <c r="BL40" s="6"/>
      <c r="BM40" s="6"/>
      <c r="BN40" s="6"/>
      <c r="BO40" s="6"/>
      <c r="BP40" s="6"/>
      <c r="BQ40" s="6"/>
      <c r="BR40" s="6"/>
      <c r="BS40" s="6"/>
      <c r="BT40" s="6"/>
      <c r="BU40" s="6"/>
      <c r="BV40" s="6"/>
      <c r="BW40" s="6"/>
      <c r="BX40" s="6"/>
      <c r="BY40" s="6">
        <v>39192</v>
      </c>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v>39114</v>
      </c>
      <c r="EW40" s="6">
        <v>39099</v>
      </c>
      <c r="EX40" s="6"/>
      <c r="EY40" s="6">
        <v>39120</v>
      </c>
      <c r="EZ40" s="6"/>
      <c r="FA40" s="6">
        <v>39192</v>
      </c>
      <c r="FB40" s="6"/>
      <c r="FC40" s="6"/>
      <c r="FD40" s="6">
        <v>38820</v>
      </c>
      <c r="FE40" s="6"/>
      <c r="FF40" s="6"/>
      <c r="FG40" s="6">
        <v>39029</v>
      </c>
      <c r="FH40" s="6"/>
      <c r="FI40" s="6"/>
      <c r="FJ40" s="6"/>
      <c r="FK40" s="6">
        <v>39349</v>
      </c>
      <c r="FL40" s="6"/>
      <c r="FM40" s="6"/>
      <c r="FN40" s="6"/>
      <c r="FO40" s="6"/>
      <c r="FP40" s="6">
        <v>39344</v>
      </c>
      <c r="FQ40" s="6"/>
      <c r="FR40" s="6"/>
      <c r="FS40" s="6"/>
      <c r="FT40" s="6">
        <v>39343</v>
      </c>
      <c r="FU40" s="6"/>
      <c r="FV40" s="6"/>
      <c r="FW40" s="6"/>
      <c r="FX40" s="6">
        <v>39345</v>
      </c>
      <c r="FY40" s="6"/>
      <c r="FZ40" s="6"/>
      <c r="GA40" s="6"/>
      <c r="GB40" s="6"/>
      <c r="GC40" s="6"/>
      <c r="GD40" s="6">
        <v>39199</v>
      </c>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row>
    <row r="41" spans="1:216" x14ac:dyDescent="0.3">
      <c r="A41" s="8" t="str">
        <f>HYPERLINK("https://hpr-rps.hres.ca/reg-content/summary-basis-decision-detailOne.php?lang=en&amp;linkID=SBD00051", "Eloxatin ®")</f>
        <v>Eloxatin ®</v>
      </c>
      <c r="B41" s="6" t="s">
        <v>182</v>
      </c>
      <c r="C41" s="6" t="s">
        <v>102</v>
      </c>
      <c r="D41" s="6" t="s">
        <v>183</v>
      </c>
      <c r="E41" s="6">
        <v>38930</v>
      </c>
      <c r="F41" s="6"/>
      <c r="G41" s="6"/>
      <c r="H41" s="6"/>
      <c r="I41" s="6"/>
      <c r="J41" s="6"/>
      <c r="K41" s="6"/>
      <c r="L41" s="6"/>
      <c r="M41" s="6"/>
      <c r="N41" s="6">
        <v>39006</v>
      </c>
      <c r="O41" s="6"/>
      <c r="P41" s="6"/>
      <c r="Q41" s="6"/>
      <c r="R41" s="6"/>
      <c r="S41" s="6">
        <v>39038</v>
      </c>
      <c r="T41" s="6"/>
      <c r="U41" s="6"/>
      <c r="V41" s="6">
        <v>39041</v>
      </c>
      <c r="W41" s="6"/>
      <c r="X41" s="6"/>
      <c r="Y41" s="6"/>
      <c r="Z41" s="6"/>
      <c r="AA41" s="6"/>
      <c r="AB41" s="6"/>
      <c r="AC41" s="6"/>
      <c r="AD41" s="6"/>
      <c r="AE41" s="6"/>
      <c r="AF41" s="6">
        <v>39073</v>
      </c>
      <c r="AG41" s="6"/>
      <c r="AH41" s="6"/>
      <c r="AI41" s="6"/>
      <c r="AJ41" s="6"/>
      <c r="AK41" s="6"/>
      <c r="AL41" s="6"/>
      <c r="AM41" s="6"/>
      <c r="AN41" s="6"/>
      <c r="AO41" s="6"/>
      <c r="AP41" s="6"/>
      <c r="AQ41" s="6"/>
      <c r="AR41" s="6">
        <v>39246</v>
      </c>
      <c r="AS41" s="6"/>
      <c r="AT41" s="6"/>
      <c r="AU41" s="6"/>
      <c r="AV41" s="6">
        <v>39237</v>
      </c>
      <c r="AW41" s="6"/>
      <c r="AX41" s="6">
        <v>39196</v>
      </c>
      <c r="AY41" s="6"/>
      <c r="AZ41" s="6">
        <v>39248</v>
      </c>
      <c r="BA41" s="6"/>
      <c r="BB41" s="6"/>
      <c r="BC41" s="6"/>
      <c r="BD41" s="6"/>
      <c r="BE41" s="6"/>
      <c r="BF41" s="6"/>
      <c r="BG41" s="6"/>
      <c r="BH41" s="6"/>
      <c r="BI41" s="6"/>
      <c r="BJ41" s="6"/>
      <c r="BK41" s="6"/>
      <c r="BL41" s="6"/>
      <c r="BM41" s="6">
        <v>39248</v>
      </c>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row>
    <row r="42" spans="1:216" x14ac:dyDescent="0.3">
      <c r="A42" s="8" t="str">
        <f>HYPERLINK("https://hpr-rps.hres.ca/reg-content/summary-basis-decision-detailOne.php?lang=en&amp;linkID=SBD00041", "Daxas TM")</f>
        <v>Daxas TM</v>
      </c>
      <c r="B42" s="6" t="s">
        <v>184</v>
      </c>
      <c r="C42" s="6" t="s">
        <v>185</v>
      </c>
      <c r="D42" s="6" t="s">
        <v>186</v>
      </c>
      <c r="E42" s="6"/>
      <c r="F42" s="6"/>
      <c r="G42" s="6"/>
      <c r="H42" s="6">
        <v>39349</v>
      </c>
      <c r="I42" s="6"/>
      <c r="J42" s="6"/>
      <c r="K42" s="6"/>
      <c r="L42" s="6"/>
      <c r="M42" s="6"/>
      <c r="N42" s="6"/>
      <c r="O42" s="6"/>
      <c r="P42" s="6"/>
      <c r="Q42" s="6"/>
      <c r="R42" s="6"/>
      <c r="S42" s="6"/>
      <c r="T42" s="6"/>
      <c r="U42" s="6"/>
      <c r="V42" s="6"/>
      <c r="W42" s="6"/>
      <c r="X42" s="6"/>
      <c r="Y42" s="6"/>
      <c r="Z42" s="6"/>
      <c r="AA42" s="6"/>
      <c r="AB42" s="6"/>
      <c r="AC42" s="6"/>
      <c r="AD42" s="6"/>
      <c r="AE42" s="6"/>
      <c r="AF42" s="6">
        <v>39400</v>
      </c>
      <c r="AG42" s="6"/>
      <c r="AH42" s="6"/>
      <c r="AI42" s="6"/>
      <c r="AJ42" s="6"/>
      <c r="AK42" s="6"/>
      <c r="AL42" s="6"/>
      <c r="AM42" s="6"/>
      <c r="AN42" s="6"/>
      <c r="AO42" s="6"/>
      <c r="AP42" s="6"/>
      <c r="AQ42" s="6"/>
      <c r="AR42" s="6"/>
      <c r="AS42" s="6"/>
      <c r="AT42" s="6"/>
      <c r="AU42" s="6"/>
      <c r="AV42" s="6">
        <v>39638</v>
      </c>
      <c r="AW42" s="6"/>
      <c r="AX42" s="6"/>
      <c r="AY42" s="6"/>
      <c r="AZ42" s="6"/>
      <c r="BA42" s="6"/>
      <c r="BB42" s="6"/>
      <c r="BC42" s="6"/>
      <c r="BD42" s="6"/>
      <c r="BE42" s="6"/>
      <c r="BF42" s="6"/>
      <c r="BG42" s="6"/>
      <c r="BH42" s="6"/>
      <c r="BI42" s="6"/>
      <c r="BJ42" s="6"/>
      <c r="BK42" s="6"/>
      <c r="BL42" s="6"/>
      <c r="BM42" s="6"/>
      <c r="BN42" s="6"/>
      <c r="BO42" s="6"/>
      <c r="BP42" s="6">
        <v>39644</v>
      </c>
      <c r="BQ42" s="6"/>
      <c r="BR42" s="6"/>
      <c r="BS42" s="6"/>
      <c r="BT42" s="6"/>
      <c r="BU42" s="6"/>
      <c r="BV42" s="6"/>
      <c r="BW42" s="6"/>
      <c r="BX42" s="6"/>
      <c r="BY42" s="6">
        <v>39730</v>
      </c>
      <c r="BZ42" s="6"/>
      <c r="CA42" s="6"/>
      <c r="CB42" s="6"/>
      <c r="CC42" s="6"/>
      <c r="CD42" s="6"/>
      <c r="CE42" s="6"/>
      <c r="CF42" s="6"/>
      <c r="CG42" s="6"/>
      <c r="CH42" s="6"/>
      <c r="CI42" s="6"/>
      <c r="CJ42" s="6"/>
      <c r="CK42" s="6"/>
      <c r="CL42" s="6"/>
      <c r="CM42" s="6"/>
      <c r="CN42" s="6"/>
      <c r="CO42" s="6"/>
      <c r="CP42" s="6"/>
      <c r="CQ42" s="6"/>
      <c r="CR42" s="6">
        <v>39758</v>
      </c>
      <c r="CS42" s="6"/>
      <c r="CT42" s="6"/>
      <c r="CU42" s="6"/>
      <c r="CV42" s="6"/>
      <c r="CW42" s="6"/>
      <c r="CX42" s="6"/>
      <c r="CY42" s="6"/>
      <c r="CZ42" s="6"/>
      <c r="DA42" s="6"/>
      <c r="DB42" s="6"/>
      <c r="DC42" s="6"/>
      <c r="DD42" s="6">
        <v>40056</v>
      </c>
      <c r="DE42" s="6"/>
      <c r="DF42" s="6"/>
      <c r="DG42" s="6"/>
      <c r="DH42" s="6">
        <v>40056</v>
      </c>
      <c r="DI42" s="6"/>
      <c r="DJ42" s="6"/>
      <c r="DK42" s="6"/>
      <c r="DL42" s="6">
        <v>40045</v>
      </c>
      <c r="DM42" s="6"/>
      <c r="DN42" s="6"/>
      <c r="DO42" s="6"/>
      <c r="DP42" s="6"/>
      <c r="DQ42" s="6"/>
      <c r="DR42" s="6"/>
      <c r="DS42" s="6"/>
      <c r="DT42" s="6"/>
      <c r="DU42" s="6"/>
      <c r="DV42" s="6"/>
      <c r="DW42" s="6"/>
      <c r="DX42" s="6"/>
      <c r="DY42" s="6">
        <v>40058</v>
      </c>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row>
    <row r="43" spans="1:216" x14ac:dyDescent="0.3">
      <c r="A43" s="8" t="str">
        <f>HYPERLINK("https://hpr-rps.hres.ca/reg-content/summary-basis-decision-detailOne.php?lang=en&amp;linkID=SBD00042", "Dexilant TM")</f>
        <v>Dexilant TM</v>
      </c>
      <c r="B43" s="6" t="s">
        <v>187</v>
      </c>
      <c r="C43" s="6" t="s">
        <v>188</v>
      </c>
      <c r="D43" s="6" t="s">
        <v>189</v>
      </c>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row>
    <row r="44" spans="1:216" x14ac:dyDescent="0.3">
      <c r="A44" s="8" t="str">
        <f>HYPERLINK("https://hpr-rps.hres.ca/reg-content/summary-basis-decision-detailOne.php?lang=en&amp;linkID=SBD00043", "Dificid TM")</f>
        <v>Dificid TM</v>
      </c>
      <c r="B44" s="6" t="s">
        <v>190</v>
      </c>
      <c r="C44" s="6" t="s">
        <v>191</v>
      </c>
      <c r="D44" s="6" t="s">
        <v>192</v>
      </c>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row>
    <row r="45" spans="1:216" x14ac:dyDescent="0.3">
      <c r="A45" s="8" t="str">
        <f>HYPERLINK("https://hpr-rps.hres.ca/reg-content/summary-basis-decision-detailOne.php?lang=en&amp;linkID=SBD00047", "Effient TM")</f>
        <v>Effient TM</v>
      </c>
      <c r="B45" s="6" t="s">
        <v>193</v>
      </c>
      <c r="C45" s="6" t="s">
        <v>140</v>
      </c>
      <c r="D45" s="6" t="s">
        <v>194</v>
      </c>
      <c r="E45" s="6">
        <v>40781</v>
      </c>
      <c r="F45" s="6"/>
      <c r="G45" s="6"/>
      <c r="H45" s="6"/>
      <c r="I45" s="6"/>
      <c r="J45" s="6"/>
      <c r="K45" s="6"/>
      <c r="L45" s="6"/>
      <c r="M45" s="6"/>
      <c r="N45" s="6">
        <v>40799</v>
      </c>
      <c r="O45" s="6"/>
      <c r="P45" s="6"/>
      <c r="Q45" s="6"/>
      <c r="R45" s="6"/>
      <c r="S45" s="6">
        <v>40829</v>
      </c>
      <c r="T45" s="6"/>
      <c r="U45" s="6"/>
      <c r="V45" s="6">
        <v>40849</v>
      </c>
      <c r="W45" s="6"/>
      <c r="X45" s="6"/>
      <c r="Y45" s="6"/>
      <c r="Z45" s="6"/>
      <c r="AA45" s="6"/>
      <c r="AB45" s="6"/>
      <c r="AC45" s="6"/>
      <c r="AD45" s="6"/>
      <c r="AE45" s="6"/>
      <c r="AF45" s="6">
        <v>40891</v>
      </c>
      <c r="AG45" s="6"/>
      <c r="AH45" s="6"/>
      <c r="AI45" s="6"/>
      <c r="AJ45" s="6"/>
      <c r="AK45" s="6"/>
      <c r="AL45" s="6"/>
      <c r="AM45" s="6"/>
      <c r="AN45" s="6"/>
      <c r="AO45" s="6"/>
      <c r="AP45" s="6"/>
      <c r="AQ45" s="6"/>
      <c r="AR45" s="6">
        <v>41059</v>
      </c>
      <c r="AS45" s="6"/>
      <c r="AT45" s="6"/>
      <c r="AU45" s="6"/>
      <c r="AV45" s="6">
        <v>41019</v>
      </c>
      <c r="AW45" s="6"/>
      <c r="AX45" s="6"/>
      <c r="AY45" s="6"/>
      <c r="AZ45" s="6">
        <v>41064</v>
      </c>
      <c r="BA45" s="6"/>
      <c r="BB45" s="6"/>
      <c r="BC45" s="6"/>
      <c r="BD45" s="6"/>
      <c r="BE45" s="6"/>
      <c r="BF45" s="6"/>
      <c r="BG45" s="6"/>
      <c r="BH45" s="6"/>
      <c r="BI45" s="6"/>
      <c r="BJ45" s="6"/>
      <c r="BK45" s="6"/>
      <c r="BL45" s="6"/>
      <c r="BM45" s="6">
        <v>41067</v>
      </c>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row>
    <row r="46" spans="1:216" x14ac:dyDescent="0.3">
      <c r="A46" s="8" t="str">
        <f>HYPERLINK("https://hpr-rps.hres.ca/reg-content/summary-basis-decision-detailOne.php?lang=en&amp;linkID=SBD00044", "Doribax")</f>
        <v>Doribax</v>
      </c>
      <c r="B46" s="6" t="s">
        <v>195</v>
      </c>
      <c r="C46" s="6" t="s">
        <v>196</v>
      </c>
      <c r="D46" s="6" t="s">
        <v>197</v>
      </c>
      <c r="E46" s="6"/>
      <c r="F46" s="6"/>
      <c r="G46" s="6"/>
      <c r="H46" s="6">
        <v>39349</v>
      </c>
      <c r="I46" s="6"/>
      <c r="J46" s="6"/>
      <c r="K46" s="6"/>
      <c r="L46" s="6"/>
      <c r="M46" s="6"/>
      <c r="N46" s="6"/>
      <c r="O46" s="6"/>
      <c r="P46" s="6"/>
      <c r="Q46" s="6"/>
      <c r="R46" s="6"/>
      <c r="S46" s="6"/>
      <c r="T46" s="6"/>
      <c r="U46" s="6"/>
      <c r="V46" s="6"/>
      <c r="W46" s="6"/>
      <c r="X46" s="6"/>
      <c r="Y46" s="6"/>
      <c r="Z46" s="6"/>
      <c r="AA46" s="6"/>
      <c r="AB46" s="6"/>
      <c r="AC46" s="6"/>
      <c r="AD46" s="6"/>
      <c r="AE46" s="6"/>
      <c r="AF46" s="6">
        <v>39400</v>
      </c>
      <c r="AG46" s="6"/>
      <c r="AH46" s="6"/>
      <c r="AI46" s="6"/>
      <c r="AJ46" s="6"/>
      <c r="AK46" s="6"/>
      <c r="AL46" s="6"/>
      <c r="AM46" s="6"/>
      <c r="AN46" s="6"/>
      <c r="AO46" s="6"/>
      <c r="AP46" s="6"/>
      <c r="AQ46" s="6"/>
      <c r="AR46" s="6"/>
      <c r="AS46" s="6"/>
      <c r="AT46" s="6"/>
      <c r="AU46" s="6"/>
      <c r="AV46" s="6">
        <v>39638</v>
      </c>
      <c r="AW46" s="6"/>
      <c r="AX46" s="6"/>
      <c r="AY46" s="6"/>
      <c r="AZ46" s="6"/>
      <c r="BA46" s="6"/>
      <c r="BB46" s="6"/>
      <c r="BC46" s="6"/>
      <c r="BD46" s="6"/>
      <c r="BE46" s="6"/>
      <c r="BF46" s="6"/>
      <c r="BG46" s="6"/>
      <c r="BH46" s="6"/>
      <c r="BI46" s="6"/>
      <c r="BJ46" s="6"/>
      <c r="BK46" s="6"/>
      <c r="BL46" s="6"/>
      <c r="BM46" s="6"/>
      <c r="BN46" s="6"/>
      <c r="BO46" s="6"/>
      <c r="BP46" s="6">
        <v>39644</v>
      </c>
      <c r="BQ46" s="6"/>
      <c r="BR46" s="6"/>
      <c r="BS46" s="6"/>
      <c r="BT46" s="6"/>
      <c r="BU46" s="6"/>
      <c r="BV46" s="6"/>
      <c r="BW46" s="6"/>
      <c r="BX46" s="6"/>
      <c r="BY46" s="6">
        <v>39730</v>
      </c>
      <c r="BZ46" s="6"/>
      <c r="CA46" s="6"/>
      <c r="CB46" s="6"/>
      <c r="CC46" s="6"/>
      <c r="CD46" s="6"/>
      <c r="CE46" s="6"/>
      <c r="CF46" s="6"/>
      <c r="CG46" s="6"/>
      <c r="CH46" s="6"/>
      <c r="CI46" s="6"/>
      <c r="CJ46" s="6"/>
      <c r="CK46" s="6"/>
      <c r="CL46" s="6"/>
      <c r="CM46" s="6"/>
      <c r="CN46" s="6"/>
      <c r="CO46" s="6"/>
      <c r="CP46" s="6"/>
      <c r="CQ46" s="6"/>
      <c r="CR46" s="6">
        <v>39758</v>
      </c>
      <c r="CS46" s="6"/>
      <c r="CT46" s="6"/>
      <c r="CU46" s="6"/>
      <c r="CV46" s="6"/>
      <c r="CW46" s="6"/>
      <c r="CX46" s="6"/>
      <c r="CY46" s="6"/>
      <c r="CZ46" s="6"/>
      <c r="DA46" s="6"/>
      <c r="DB46" s="6"/>
      <c r="DC46" s="6"/>
      <c r="DD46" s="6">
        <v>40056</v>
      </c>
      <c r="DE46" s="6"/>
      <c r="DF46" s="6"/>
      <c r="DG46" s="6"/>
      <c r="DH46" s="6">
        <v>40056</v>
      </c>
      <c r="DI46" s="6"/>
      <c r="DJ46" s="6"/>
      <c r="DK46" s="6"/>
      <c r="DL46" s="6">
        <v>40045</v>
      </c>
      <c r="DM46" s="6"/>
      <c r="DN46" s="6"/>
      <c r="DO46" s="6"/>
      <c r="DP46" s="6"/>
      <c r="DQ46" s="6"/>
      <c r="DR46" s="6"/>
      <c r="DS46" s="6"/>
      <c r="DT46" s="6"/>
      <c r="DU46" s="6"/>
      <c r="DV46" s="6"/>
      <c r="DW46" s="6"/>
      <c r="DX46" s="6"/>
      <c r="DY46" s="6">
        <v>40058</v>
      </c>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row>
    <row r="47" spans="1:216" x14ac:dyDescent="0.3">
      <c r="A47" s="8" t="str">
        <f>HYPERLINK("https://hpr-rps.hres.ca/reg-content/summary-basis-decision-detailOne.php?lang=en&amp;linkID=SBD00045", "Edarbi")</f>
        <v>Edarbi</v>
      </c>
      <c r="B47" s="6" t="s">
        <v>198</v>
      </c>
      <c r="C47" s="6" t="s">
        <v>188</v>
      </c>
      <c r="D47" s="6" t="s">
        <v>199</v>
      </c>
      <c r="E47" s="6">
        <v>40556</v>
      </c>
      <c r="F47" s="6"/>
      <c r="G47" s="6"/>
      <c r="H47" s="6">
        <v>40630</v>
      </c>
      <c r="I47" s="6"/>
      <c r="J47" s="6"/>
      <c r="K47" s="6"/>
      <c r="L47" s="6"/>
      <c r="M47" s="6"/>
      <c r="N47" s="6"/>
      <c r="O47" s="6"/>
      <c r="P47" s="6"/>
      <c r="Q47" s="6"/>
      <c r="R47" s="6"/>
      <c r="S47" s="6"/>
      <c r="T47" s="6"/>
      <c r="U47" s="6"/>
      <c r="V47" s="6"/>
      <c r="W47" s="6"/>
      <c r="X47" s="6"/>
      <c r="Y47" s="6"/>
      <c r="Z47" s="6"/>
      <c r="AA47" s="6"/>
      <c r="AB47" s="6"/>
      <c r="AC47" s="6"/>
      <c r="AD47" s="6"/>
      <c r="AE47" s="6"/>
      <c r="AF47" s="6">
        <v>40676</v>
      </c>
      <c r="AG47" s="6"/>
      <c r="AH47" s="6"/>
      <c r="AI47" s="6"/>
      <c r="AJ47" s="6"/>
      <c r="AK47" s="6"/>
      <c r="AL47" s="6"/>
      <c r="AM47" s="6"/>
      <c r="AN47" s="6"/>
      <c r="AO47" s="6"/>
      <c r="AP47" s="6"/>
      <c r="AQ47" s="6"/>
      <c r="AR47" s="6">
        <v>40969</v>
      </c>
      <c r="AS47" s="6">
        <v>40855</v>
      </c>
      <c r="AT47" s="6"/>
      <c r="AU47" s="6"/>
      <c r="AV47" s="6">
        <v>40975</v>
      </c>
      <c r="AW47" s="6"/>
      <c r="AX47" s="6"/>
      <c r="AY47" s="6"/>
      <c r="AZ47" s="6">
        <v>40975</v>
      </c>
      <c r="BA47" s="6"/>
      <c r="BB47" s="6"/>
      <c r="BC47" s="6"/>
      <c r="BD47" s="6"/>
      <c r="BE47" s="6"/>
      <c r="BF47" s="6"/>
      <c r="BG47" s="6"/>
      <c r="BH47" s="6"/>
      <c r="BI47" s="6"/>
      <c r="BJ47" s="6"/>
      <c r="BK47" s="6"/>
      <c r="BL47" s="6"/>
      <c r="BM47" s="6">
        <v>40969</v>
      </c>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row>
    <row r="48" spans="1:216" x14ac:dyDescent="0.3">
      <c r="A48" s="8" t="str">
        <f>HYPERLINK("https://hpr-rps.hres.ca/reg-content/summary-basis-decision-detailOne.php?lang=en&amp;linkID=SBD00046", "Edurant TM")</f>
        <v>Edurant TM</v>
      </c>
      <c r="B48" s="6" t="s">
        <v>200</v>
      </c>
      <c r="C48" s="6" t="s">
        <v>201</v>
      </c>
      <c r="D48" s="6" t="s">
        <v>202</v>
      </c>
      <c r="E48" s="6">
        <v>40781</v>
      </c>
      <c r="F48" s="6"/>
      <c r="G48" s="6"/>
      <c r="H48" s="6"/>
      <c r="I48" s="6"/>
      <c r="J48" s="6"/>
      <c r="K48" s="6"/>
      <c r="L48" s="6"/>
      <c r="M48" s="6"/>
      <c r="N48" s="6">
        <v>40799</v>
      </c>
      <c r="O48" s="6"/>
      <c r="P48" s="6"/>
      <c r="Q48" s="6"/>
      <c r="R48" s="6"/>
      <c r="S48" s="6">
        <v>40829</v>
      </c>
      <c r="T48" s="6"/>
      <c r="U48" s="6"/>
      <c r="V48" s="6">
        <v>40849</v>
      </c>
      <c r="W48" s="6"/>
      <c r="X48" s="6"/>
      <c r="Y48" s="6"/>
      <c r="Z48" s="6"/>
      <c r="AA48" s="6"/>
      <c r="AB48" s="6"/>
      <c r="AC48" s="6"/>
      <c r="AD48" s="6"/>
      <c r="AE48" s="6"/>
      <c r="AF48" s="6">
        <v>40891</v>
      </c>
      <c r="AG48" s="6"/>
      <c r="AH48" s="6"/>
      <c r="AI48" s="6"/>
      <c r="AJ48" s="6"/>
      <c r="AK48" s="6"/>
      <c r="AL48" s="6"/>
      <c r="AM48" s="6"/>
      <c r="AN48" s="6"/>
      <c r="AO48" s="6"/>
      <c r="AP48" s="6"/>
      <c r="AQ48" s="6"/>
      <c r="AR48" s="6">
        <v>41059</v>
      </c>
      <c r="AS48" s="6"/>
      <c r="AT48" s="6"/>
      <c r="AU48" s="6"/>
      <c r="AV48" s="6">
        <v>41019</v>
      </c>
      <c r="AW48" s="6"/>
      <c r="AX48" s="6"/>
      <c r="AY48" s="6"/>
      <c r="AZ48" s="6">
        <v>41064</v>
      </c>
      <c r="BA48" s="6"/>
      <c r="BB48" s="6"/>
      <c r="BC48" s="6"/>
      <c r="BD48" s="6"/>
      <c r="BE48" s="6"/>
      <c r="BF48" s="6"/>
      <c r="BG48" s="6"/>
      <c r="BH48" s="6"/>
      <c r="BI48" s="6"/>
      <c r="BJ48" s="6"/>
      <c r="BK48" s="6"/>
      <c r="BL48" s="6"/>
      <c r="BM48" s="6">
        <v>41067</v>
      </c>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row>
    <row r="49" spans="1:216" x14ac:dyDescent="0.3">
      <c r="A49" s="8" t="str">
        <f>HYPERLINK("https://hpr-rps.hres.ca/reg-content/summary-basis-decision-detailOne.php?lang=en&amp;linkID=SBD00048", "Efracea ®")</f>
        <v>Efracea ®</v>
      </c>
      <c r="B49" s="6" t="s">
        <v>203</v>
      </c>
      <c r="C49" s="6" t="s">
        <v>204</v>
      </c>
      <c r="D49" s="6" t="s">
        <v>205</v>
      </c>
      <c r="E49" s="6"/>
      <c r="F49" s="6"/>
      <c r="G49" s="6"/>
      <c r="H49" s="6">
        <v>40514</v>
      </c>
      <c r="I49" s="6"/>
      <c r="J49" s="6"/>
      <c r="K49" s="6"/>
      <c r="L49" s="6"/>
      <c r="M49" s="6"/>
      <c r="N49" s="6"/>
      <c r="O49" s="6"/>
      <c r="P49" s="6"/>
      <c r="Q49" s="6"/>
      <c r="R49" s="6"/>
      <c r="S49" s="6"/>
      <c r="T49" s="6"/>
      <c r="U49" s="6"/>
      <c r="V49" s="6"/>
      <c r="W49" s="6"/>
      <c r="X49" s="6"/>
      <c r="Y49" s="6"/>
      <c r="Z49" s="6"/>
      <c r="AA49" s="6"/>
      <c r="AB49" s="6"/>
      <c r="AC49" s="6"/>
      <c r="AD49" s="6"/>
      <c r="AE49" s="6"/>
      <c r="AF49" s="6">
        <v>40567</v>
      </c>
      <c r="AG49" s="6"/>
      <c r="AH49" s="6"/>
      <c r="AI49" s="6"/>
      <c r="AJ49" s="6"/>
      <c r="AK49" s="6"/>
      <c r="AL49" s="6"/>
      <c r="AM49" s="6"/>
      <c r="AN49" s="6"/>
      <c r="AO49" s="6"/>
      <c r="AP49" s="6"/>
      <c r="AQ49" s="6"/>
      <c r="AR49" s="6">
        <v>40851</v>
      </c>
      <c r="AS49" s="6">
        <v>40840</v>
      </c>
      <c r="AT49" s="6"/>
      <c r="AU49" s="6"/>
      <c r="AV49" s="6">
        <v>40850</v>
      </c>
      <c r="AW49" s="6"/>
      <c r="AX49" s="6"/>
      <c r="AY49" s="6"/>
      <c r="AZ49" s="6">
        <v>40855</v>
      </c>
      <c r="BA49" s="6"/>
      <c r="BB49" s="6"/>
      <c r="BC49" s="6"/>
      <c r="BD49" s="6"/>
      <c r="BE49" s="6"/>
      <c r="BF49" s="6"/>
      <c r="BG49" s="6"/>
      <c r="BH49" s="6"/>
      <c r="BI49" s="6"/>
      <c r="BJ49" s="6"/>
      <c r="BK49" s="6"/>
      <c r="BL49" s="6"/>
      <c r="BM49" s="6">
        <v>40861</v>
      </c>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row>
    <row r="50" spans="1:216" x14ac:dyDescent="0.3">
      <c r="A50" s="8" t="str">
        <f>HYPERLINK("https://hpr-rps.hres.ca/reg-content/summary-basis-decision-detailOne.php?lang=en&amp;linkID=SBD00049", "Elaprase TM")</f>
        <v>Elaprase TM</v>
      </c>
      <c r="B50" s="6" t="s">
        <v>206</v>
      </c>
      <c r="C50" s="6" t="s">
        <v>207</v>
      </c>
      <c r="D50" s="6" t="s">
        <v>208</v>
      </c>
      <c r="E50" s="6"/>
      <c r="F50" s="6"/>
      <c r="G50" s="6"/>
      <c r="H50" s="6"/>
      <c r="I50" s="6"/>
      <c r="J50" s="6"/>
      <c r="K50" s="6"/>
      <c r="L50" s="6"/>
      <c r="M50" s="6"/>
      <c r="N50" s="6">
        <v>38979</v>
      </c>
      <c r="O50" s="6"/>
      <c r="P50" s="6"/>
      <c r="Q50" s="6"/>
      <c r="R50" s="6"/>
      <c r="S50" s="6">
        <v>38993</v>
      </c>
      <c r="T50" s="6"/>
      <c r="U50" s="6"/>
      <c r="V50" s="6">
        <v>39035</v>
      </c>
      <c r="W50" s="6"/>
      <c r="X50" s="6"/>
      <c r="Y50" s="6"/>
      <c r="Z50" s="6"/>
      <c r="AA50" s="6"/>
      <c r="AB50" s="6"/>
      <c r="AC50" s="6"/>
      <c r="AD50" s="6"/>
      <c r="AE50" s="6"/>
      <c r="AF50" s="6">
        <v>39066</v>
      </c>
      <c r="AG50" s="6"/>
      <c r="AH50" s="6"/>
      <c r="AI50" s="6"/>
      <c r="AJ50" s="6"/>
      <c r="AK50" s="6"/>
      <c r="AL50" s="6"/>
      <c r="AM50" s="6"/>
      <c r="AN50" s="6"/>
      <c r="AO50" s="6"/>
      <c r="AP50" s="6"/>
      <c r="AQ50" s="6"/>
      <c r="AR50" s="6">
        <v>39239</v>
      </c>
      <c r="AS50" s="6"/>
      <c r="AT50" s="6"/>
      <c r="AU50" s="6"/>
      <c r="AV50" s="6">
        <v>39244</v>
      </c>
      <c r="AW50" s="6"/>
      <c r="AX50" s="6"/>
      <c r="AY50" s="6"/>
      <c r="AZ50" s="6">
        <v>39246</v>
      </c>
      <c r="BA50" s="6"/>
      <c r="BB50" s="6"/>
      <c r="BC50" s="6"/>
      <c r="BD50" s="6"/>
      <c r="BE50" s="6"/>
      <c r="BF50" s="6"/>
      <c r="BG50" s="6"/>
      <c r="BH50" s="6"/>
      <c r="BI50" s="6"/>
      <c r="BJ50" s="6"/>
      <c r="BK50" s="6"/>
      <c r="BL50" s="6"/>
      <c r="BM50" s="6">
        <v>39246</v>
      </c>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row>
    <row r="51" spans="1:216" x14ac:dyDescent="0.3">
      <c r="A51" s="8" t="str">
        <f>HYPERLINK("https://hpr-rps.hres.ca/reg-content/summary-basis-decision-detailOne.php?lang=en&amp;linkID=SBD00050", "Eliquis")</f>
        <v>Eliquis</v>
      </c>
      <c r="B51" s="6" t="s">
        <v>209</v>
      </c>
      <c r="C51" s="6" t="s">
        <v>81</v>
      </c>
      <c r="D51" s="6" t="s">
        <v>210</v>
      </c>
      <c r="E51" s="6">
        <v>40456</v>
      </c>
      <c r="F51" s="6"/>
      <c r="G51" s="6"/>
      <c r="H51" s="6"/>
      <c r="I51" s="6"/>
      <c r="J51" s="6"/>
      <c r="K51" s="6"/>
      <c r="L51" s="6"/>
      <c r="M51" s="6"/>
      <c r="N51" s="6"/>
      <c r="O51" s="6"/>
      <c r="P51" s="6"/>
      <c r="Q51" s="6"/>
      <c r="R51" s="6"/>
      <c r="S51" s="6"/>
      <c r="T51" s="6"/>
      <c r="U51" s="6"/>
      <c r="V51" s="6"/>
      <c r="W51" s="6"/>
      <c r="X51" s="6"/>
      <c r="Y51" s="6"/>
      <c r="Z51" s="6"/>
      <c r="AA51" s="6"/>
      <c r="AB51" s="6"/>
      <c r="AC51" s="6"/>
      <c r="AD51" s="6"/>
      <c r="AE51" s="6"/>
      <c r="AF51" s="6">
        <v>40508</v>
      </c>
      <c r="AG51" s="6"/>
      <c r="AH51" s="6"/>
      <c r="AI51" s="6"/>
      <c r="AJ51" s="6"/>
      <c r="AK51" s="6"/>
      <c r="AL51" s="6"/>
      <c r="AM51" s="6"/>
      <c r="AN51" s="6"/>
      <c r="AO51" s="6"/>
      <c r="AP51" s="6"/>
      <c r="AQ51" s="6"/>
      <c r="AR51" s="6">
        <v>40886</v>
      </c>
      <c r="AS51" s="6">
        <v>40704</v>
      </c>
      <c r="AT51" s="6"/>
      <c r="AU51" s="6"/>
      <c r="AV51" s="6">
        <v>40886</v>
      </c>
      <c r="AW51" s="6"/>
      <c r="AX51" s="6"/>
      <c r="AY51" s="6"/>
      <c r="AZ51" s="6">
        <v>40891</v>
      </c>
      <c r="BA51" s="6"/>
      <c r="BB51" s="6"/>
      <c r="BC51" s="6"/>
      <c r="BD51" s="6"/>
      <c r="BE51" s="6"/>
      <c r="BF51" s="6"/>
      <c r="BG51" s="6"/>
      <c r="BH51" s="6"/>
      <c r="BI51" s="6"/>
      <c r="BJ51" s="6"/>
      <c r="BK51" s="6"/>
      <c r="BL51" s="6"/>
      <c r="BM51" s="6">
        <v>40893</v>
      </c>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row>
    <row r="52" spans="1:216" x14ac:dyDescent="0.3">
      <c r="A52" s="8" t="str">
        <f>HYPERLINK("https://hpr-rps.hres.ca/reg-content/summary-basis-decision-detailOne.php?lang=en&amp;linkID=SBD00052", "Emend TM")</f>
        <v>Emend TM</v>
      </c>
      <c r="B52" s="6" t="s">
        <v>211</v>
      </c>
      <c r="C52" s="6" t="s">
        <v>212</v>
      </c>
      <c r="D52" s="6" t="s">
        <v>213</v>
      </c>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v>37698</v>
      </c>
      <c r="AG52" s="6"/>
      <c r="AH52" s="6"/>
      <c r="AI52" s="6"/>
      <c r="AJ52" s="6"/>
      <c r="AK52" s="6"/>
      <c r="AL52" s="6"/>
      <c r="AM52" s="6"/>
      <c r="AN52" s="6"/>
      <c r="AO52" s="6"/>
      <c r="AP52" s="6"/>
      <c r="AQ52" s="6"/>
      <c r="AR52" s="6"/>
      <c r="AS52" s="6"/>
      <c r="AT52" s="6"/>
      <c r="AU52" s="6"/>
      <c r="AV52" s="6">
        <v>37924</v>
      </c>
      <c r="AW52" s="6"/>
      <c r="AX52" s="6"/>
      <c r="AY52" s="6"/>
      <c r="AZ52" s="6">
        <v>38044</v>
      </c>
      <c r="BA52" s="6"/>
      <c r="BB52" s="6"/>
      <c r="BC52" s="6"/>
      <c r="BD52" s="6"/>
      <c r="BE52" s="6"/>
      <c r="BF52" s="6"/>
      <c r="BG52" s="6"/>
      <c r="BH52" s="6"/>
      <c r="BI52" s="6"/>
      <c r="BJ52" s="6"/>
      <c r="BK52" s="6"/>
      <c r="BL52" s="6"/>
      <c r="BM52" s="6"/>
      <c r="BN52" s="6"/>
      <c r="BO52" s="6"/>
      <c r="BP52" s="6"/>
      <c r="BQ52" s="6"/>
      <c r="BR52" s="6"/>
      <c r="BS52" s="6"/>
      <c r="BT52" s="6">
        <v>38061</v>
      </c>
      <c r="BU52" s="6"/>
      <c r="BV52" s="6"/>
      <c r="BW52" s="6"/>
      <c r="BX52" s="6"/>
      <c r="BY52" s="6">
        <v>38145</v>
      </c>
      <c r="BZ52" s="6"/>
      <c r="CA52" s="6"/>
      <c r="CB52" s="6"/>
      <c r="CC52" s="6"/>
      <c r="CD52" s="6"/>
      <c r="CE52" s="6"/>
      <c r="CF52" s="6"/>
      <c r="CG52" s="6"/>
      <c r="CH52" s="6"/>
      <c r="CI52" s="6"/>
      <c r="CJ52" s="6"/>
      <c r="CK52" s="6"/>
      <c r="CL52" s="6"/>
      <c r="CM52" s="6"/>
      <c r="CN52" s="6"/>
      <c r="CO52" s="6"/>
      <c r="CP52" s="6"/>
      <c r="CQ52" s="6"/>
      <c r="CR52" s="6">
        <v>38190</v>
      </c>
      <c r="CS52" s="6"/>
      <c r="CT52" s="6"/>
      <c r="CU52" s="6"/>
      <c r="CV52" s="6"/>
      <c r="CW52" s="6"/>
      <c r="CX52" s="6"/>
      <c r="CY52" s="6"/>
      <c r="CZ52" s="6"/>
      <c r="DA52" s="6"/>
      <c r="DB52" s="6"/>
      <c r="DC52" s="6"/>
      <c r="DD52" s="6"/>
      <c r="DE52" s="6"/>
      <c r="DF52" s="6"/>
      <c r="DG52" s="6"/>
      <c r="DH52" s="6"/>
      <c r="DI52" s="6"/>
      <c r="DJ52" s="6"/>
      <c r="DK52" s="6"/>
      <c r="DL52" s="6">
        <v>38363</v>
      </c>
      <c r="DM52" s="6"/>
      <c r="DN52" s="6"/>
      <c r="DO52" s="6"/>
      <c r="DP52" s="6"/>
      <c r="DQ52" s="6"/>
      <c r="DR52" s="6"/>
      <c r="DS52" s="6"/>
      <c r="DT52" s="6"/>
      <c r="DU52" s="6"/>
      <c r="DV52" s="6"/>
      <c r="DW52" s="6"/>
      <c r="DX52" s="6"/>
      <c r="DY52" s="6"/>
      <c r="DZ52" s="6"/>
      <c r="EA52" s="6"/>
      <c r="EB52" s="6"/>
      <c r="EC52" s="6"/>
      <c r="ED52" s="6"/>
      <c r="EE52" s="6">
        <v>38365</v>
      </c>
      <c r="EF52" s="6"/>
      <c r="EG52" s="6"/>
      <c r="EH52" s="6"/>
      <c r="EI52" s="6"/>
      <c r="EJ52" s="6">
        <v>38737</v>
      </c>
      <c r="EK52" s="6"/>
      <c r="EL52" s="6"/>
      <c r="EM52" s="6"/>
      <c r="EN52" s="6"/>
      <c r="EO52" s="6">
        <v>38453</v>
      </c>
      <c r="EP52" s="6"/>
      <c r="EQ52" s="6"/>
      <c r="ER52" s="6"/>
      <c r="ES52" s="6"/>
      <c r="ET52" s="6"/>
      <c r="EU52" s="6"/>
      <c r="EV52" s="6"/>
      <c r="EW52" s="6"/>
      <c r="EX52" s="6"/>
      <c r="EY52" s="6"/>
      <c r="EZ52" s="6"/>
      <c r="FA52" s="6"/>
      <c r="FB52" s="6"/>
      <c r="FC52" s="6"/>
      <c r="FD52" s="6">
        <v>39022</v>
      </c>
      <c r="FE52" s="6"/>
      <c r="FF52" s="6"/>
      <c r="FG52" s="6"/>
      <c r="FH52" s="6"/>
      <c r="FI52" s="6"/>
      <c r="FJ52" s="6"/>
      <c r="FK52" s="6"/>
      <c r="FL52" s="6"/>
      <c r="FM52" s="6"/>
      <c r="FN52" s="6"/>
      <c r="FO52" s="6"/>
      <c r="FP52" s="6">
        <v>39310</v>
      </c>
      <c r="FQ52" s="6"/>
      <c r="FR52" s="6"/>
      <c r="FS52" s="6"/>
      <c r="FT52" s="6">
        <v>39309</v>
      </c>
      <c r="FU52" s="6"/>
      <c r="FV52" s="6">
        <v>39129</v>
      </c>
      <c r="FW52" s="6"/>
      <c r="FX52" s="6">
        <v>39259</v>
      </c>
      <c r="FY52" s="6"/>
      <c r="FZ52" s="6"/>
      <c r="GA52" s="6"/>
      <c r="GB52" s="6"/>
      <c r="GC52" s="6"/>
      <c r="GD52" s="6"/>
      <c r="GE52" s="6"/>
      <c r="GF52" s="6"/>
      <c r="GG52" s="6"/>
      <c r="GH52" s="6"/>
      <c r="GI52" s="6"/>
      <c r="GJ52" s="6"/>
      <c r="GK52" s="6">
        <v>39318</v>
      </c>
      <c r="GL52" s="6"/>
      <c r="GM52" s="6"/>
      <c r="GN52" s="6"/>
      <c r="GO52" s="6"/>
      <c r="GP52" s="6"/>
      <c r="GQ52" s="6"/>
      <c r="GR52" s="6"/>
      <c r="GS52" s="6"/>
      <c r="GT52" s="6"/>
      <c r="GU52" s="6"/>
      <c r="GV52" s="6"/>
      <c r="GW52" s="6"/>
      <c r="GX52" s="6"/>
      <c r="GY52" s="6"/>
      <c r="GZ52" s="6"/>
      <c r="HA52" s="6"/>
      <c r="HB52" s="6"/>
      <c r="HC52" s="6"/>
      <c r="HD52" s="6"/>
      <c r="HE52" s="6"/>
      <c r="HF52" s="6"/>
      <c r="HG52" s="6"/>
      <c r="HH52" s="6"/>
    </row>
    <row r="53" spans="1:216" x14ac:dyDescent="0.3">
      <c r="A53" s="8" t="str">
        <f>HYPERLINK("https://hpr-rps.hres.ca/reg-content/summary-basis-decision-detailOne.php?lang=en&amp;linkID=SBD00053", "Emend ®")</f>
        <v>Emend ®</v>
      </c>
      <c r="B53" s="6" t="s">
        <v>214</v>
      </c>
      <c r="C53" s="6" t="s">
        <v>212</v>
      </c>
      <c r="D53" s="6" t="s">
        <v>215</v>
      </c>
      <c r="E53" s="6">
        <v>38217</v>
      </c>
      <c r="F53" s="6"/>
      <c r="G53" s="6"/>
      <c r="H53" s="6">
        <v>38251</v>
      </c>
      <c r="I53" s="6"/>
      <c r="J53" s="6"/>
      <c r="K53" s="6"/>
      <c r="L53" s="6"/>
      <c r="M53" s="6"/>
      <c r="N53" s="6"/>
      <c r="O53" s="6"/>
      <c r="P53" s="6"/>
      <c r="Q53" s="6"/>
      <c r="R53" s="6"/>
      <c r="S53" s="6"/>
      <c r="T53" s="6"/>
      <c r="U53" s="6"/>
      <c r="V53" s="6"/>
      <c r="W53" s="6"/>
      <c r="X53" s="6"/>
      <c r="Y53" s="6"/>
      <c r="Z53" s="6">
        <v>38303</v>
      </c>
      <c r="AA53" s="6"/>
      <c r="AB53" s="6"/>
      <c r="AC53" s="6">
        <v>38343</v>
      </c>
      <c r="AD53" s="6"/>
      <c r="AE53" s="6"/>
      <c r="AF53" s="6">
        <v>38385</v>
      </c>
      <c r="AG53" s="6"/>
      <c r="AH53" s="6"/>
      <c r="AI53" s="6"/>
      <c r="AJ53" s="6"/>
      <c r="AK53" s="6"/>
      <c r="AL53" s="6"/>
      <c r="AM53" s="6"/>
      <c r="AN53" s="6"/>
      <c r="AO53" s="6"/>
      <c r="AP53" s="6"/>
      <c r="AQ53" s="6"/>
      <c r="AR53" s="6">
        <v>38653</v>
      </c>
      <c r="AS53" s="6">
        <v>38638</v>
      </c>
      <c r="AT53" s="6"/>
      <c r="AU53" s="6"/>
      <c r="AV53" s="6">
        <v>38586</v>
      </c>
      <c r="AW53" s="6"/>
      <c r="AX53" s="6"/>
      <c r="AY53" s="6"/>
      <c r="AZ53" s="6">
        <v>38629</v>
      </c>
      <c r="BA53" s="6"/>
      <c r="BB53" s="6"/>
      <c r="BC53" s="6"/>
      <c r="BD53" s="6"/>
      <c r="BE53" s="6"/>
      <c r="BF53" s="6"/>
      <c r="BG53" s="6"/>
      <c r="BH53" s="6"/>
      <c r="BI53" s="6"/>
      <c r="BJ53" s="6"/>
      <c r="BK53" s="6"/>
      <c r="BL53" s="6"/>
      <c r="BM53" s="6">
        <v>38677</v>
      </c>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row>
    <row r="54" spans="1:216" x14ac:dyDescent="0.3">
      <c r="A54" s="8" t="str">
        <f>HYPERLINK("https://hpr-rps.hres.ca/reg-content/summary-basis-decision-detailOne.php?lang=en&amp;linkID=SBD00054", "Emtriva TM")</f>
        <v>Emtriva TM</v>
      </c>
      <c r="B54" s="6" t="s">
        <v>216</v>
      </c>
      <c r="C54" s="6" t="s">
        <v>217</v>
      </c>
      <c r="D54" s="6" t="s">
        <v>218</v>
      </c>
      <c r="E54" s="6">
        <v>38217</v>
      </c>
      <c r="F54" s="6"/>
      <c r="G54" s="6"/>
      <c r="H54" s="6">
        <v>38251</v>
      </c>
      <c r="I54" s="6"/>
      <c r="J54" s="6"/>
      <c r="K54" s="6"/>
      <c r="L54" s="6"/>
      <c r="M54" s="6"/>
      <c r="N54" s="6"/>
      <c r="O54" s="6"/>
      <c r="P54" s="6"/>
      <c r="Q54" s="6"/>
      <c r="R54" s="6"/>
      <c r="S54" s="6"/>
      <c r="T54" s="6"/>
      <c r="U54" s="6"/>
      <c r="V54" s="6"/>
      <c r="W54" s="6"/>
      <c r="X54" s="6"/>
      <c r="Y54" s="6"/>
      <c r="Z54" s="6">
        <v>38303</v>
      </c>
      <c r="AA54" s="6"/>
      <c r="AB54" s="6"/>
      <c r="AC54" s="6">
        <v>38343</v>
      </c>
      <c r="AD54" s="6"/>
      <c r="AE54" s="6"/>
      <c r="AF54" s="6">
        <v>38385</v>
      </c>
      <c r="AG54" s="6"/>
      <c r="AH54" s="6"/>
      <c r="AI54" s="6"/>
      <c r="AJ54" s="6"/>
      <c r="AK54" s="6"/>
      <c r="AL54" s="6"/>
      <c r="AM54" s="6"/>
      <c r="AN54" s="6"/>
      <c r="AO54" s="6"/>
      <c r="AP54" s="6"/>
      <c r="AQ54" s="6"/>
      <c r="AR54" s="6">
        <v>38653</v>
      </c>
      <c r="AS54" s="6">
        <v>38638</v>
      </c>
      <c r="AT54" s="6"/>
      <c r="AU54" s="6"/>
      <c r="AV54" s="6">
        <v>38586</v>
      </c>
      <c r="AW54" s="6"/>
      <c r="AX54" s="6"/>
      <c r="AY54" s="6"/>
      <c r="AZ54" s="6">
        <v>38629</v>
      </c>
      <c r="BA54" s="6"/>
      <c r="BB54" s="6"/>
      <c r="BC54" s="6"/>
      <c r="BD54" s="6"/>
      <c r="BE54" s="6"/>
      <c r="BF54" s="6"/>
      <c r="BG54" s="6"/>
      <c r="BH54" s="6"/>
      <c r="BI54" s="6"/>
      <c r="BJ54" s="6"/>
      <c r="BK54" s="6"/>
      <c r="BL54" s="6"/>
      <c r="BM54" s="6">
        <v>38677</v>
      </c>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row>
    <row r="55" spans="1:216" x14ac:dyDescent="0.3">
      <c r="A55" s="8" t="str">
        <f>HYPERLINK("https://hpr-rps.hres.ca/reg-content/summary-basis-decision-detailOne.php?lang=en&amp;linkID=SBD00055", "Enablex ®")</f>
        <v>Enablex ®</v>
      </c>
      <c r="B55" s="6" t="s">
        <v>219</v>
      </c>
      <c r="C55" s="6" t="s">
        <v>220</v>
      </c>
      <c r="D55" s="6" t="s">
        <v>221</v>
      </c>
      <c r="E55" s="6"/>
      <c r="F55" s="6"/>
      <c r="G55" s="6"/>
      <c r="H55" s="6">
        <v>37883</v>
      </c>
      <c r="I55" s="6"/>
      <c r="J55" s="6"/>
      <c r="K55" s="6"/>
      <c r="L55" s="6"/>
      <c r="M55" s="6"/>
      <c r="N55" s="6"/>
      <c r="O55" s="6"/>
      <c r="P55" s="6"/>
      <c r="Q55" s="6"/>
      <c r="R55" s="6"/>
      <c r="S55" s="6"/>
      <c r="T55" s="6"/>
      <c r="U55" s="6"/>
      <c r="V55" s="6"/>
      <c r="W55" s="6"/>
      <c r="X55" s="6"/>
      <c r="Y55" s="6"/>
      <c r="Z55" s="6"/>
      <c r="AA55" s="6"/>
      <c r="AB55" s="6"/>
      <c r="AC55" s="6"/>
      <c r="AD55" s="6"/>
      <c r="AE55" s="6"/>
      <c r="AF55" s="6">
        <v>37917</v>
      </c>
      <c r="AG55" s="6"/>
      <c r="AH55" s="6"/>
      <c r="AI55" s="6"/>
      <c r="AJ55" s="6"/>
      <c r="AK55" s="6"/>
      <c r="AL55" s="6"/>
      <c r="AM55" s="6"/>
      <c r="AN55" s="6"/>
      <c r="AO55" s="6"/>
      <c r="AP55" s="6"/>
      <c r="AQ55" s="6"/>
      <c r="AR55" s="6"/>
      <c r="AS55" s="6">
        <v>38176</v>
      </c>
      <c r="AT55" s="6"/>
      <c r="AU55" s="6"/>
      <c r="AV55" s="6">
        <v>38203</v>
      </c>
      <c r="AW55" s="6"/>
      <c r="AX55" s="6"/>
      <c r="AY55" s="6"/>
      <c r="AZ55" s="6">
        <v>38301</v>
      </c>
      <c r="BA55" s="6"/>
      <c r="BB55" s="6"/>
      <c r="BC55" s="6"/>
      <c r="BD55" s="6"/>
      <c r="BE55" s="6"/>
      <c r="BF55" s="6"/>
      <c r="BG55" s="6"/>
      <c r="BH55" s="6"/>
      <c r="BI55" s="6"/>
      <c r="BJ55" s="6"/>
      <c r="BK55" s="6"/>
      <c r="BL55" s="6"/>
      <c r="BM55" s="6"/>
      <c r="BN55" s="6"/>
      <c r="BO55" s="6"/>
      <c r="BP55" s="6">
        <v>38261</v>
      </c>
      <c r="BQ55" s="6"/>
      <c r="BR55" s="6"/>
      <c r="BS55" s="6"/>
      <c r="BT55" s="6"/>
      <c r="BU55" s="6"/>
      <c r="BV55" s="6"/>
      <c r="BW55" s="6"/>
      <c r="BX55" s="6"/>
      <c r="BY55" s="6">
        <v>38345</v>
      </c>
      <c r="BZ55" s="6"/>
      <c r="CA55" s="6"/>
      <c r="CB55" s="6"/>
      <c r="CC55" s="6"/>
      <c r="CD55" s="6"/>
      <c r="CE55" s="6"/>
      <c r="CF55" s="6"/>
      <c r="CG55" s="6"/>
      <c r="CH55" s="6"/>
      <c r="CI55" s="6"/>
      <c r="CJ55" s="6"/>
      <c r="CK55" s="6"/>
      <c r="CL55" s="6"/>
      <c r="CM55" s="6"/>
      <c r="CN55" s="6"/>
      <c r="CO55" s="6"/>
      <c r="CP55" s="6"/>
      <c r="CQ55" s="6"/>
      <c r="CR55" s="6">
        <v>38366</v>
      </c>
      <c r="CS55" s="6"/>
      <c r="CT55" s="6"/>
      <c r="CU55" s="6"/>
      <c r="CV55" s="6"/>
      <c r="CW55" s="6"/>
      <c r="CX55" s="6"/>
      <c r="CY55" s="6"/>
      <c r="CZ55" s="6"/>
      <c r="DA55" s="6"/>
      <c r="DB55" s="6"/>
      <c r="DC55" s="6"/>
      <c r="DD55" s="6">
        <v>38664</v>
      </c>
      <c r="DE55" s="6">
        <v>38658</v>
      </c>
      <c r="DF55" s="6"/>
      <c r="DG55" s="6"/>
      <c r="DH55" s="6">
        <v>38545</v>
      </c>
      <c r="DI55" s="6"/>
      <c r="DJ55" s="6"/>
      <c r="DK55" s="6"/>
      <c r="DL55" s="6">
        <v>38666</v>
      </c>
      <c r="DM55" s="6"/>
      <c r="DN55" s="6"/>
      <c r="DO55" s="6"/>
      <c r="DP55" s="6"/>
      <c r="DQ55" s="6"/>
      <c r="DR55" s="6"/>
      <c r="DS55" s="6"/>
      <c r="DT55" s="6"/>
      <c r="DU55" s="6"/>
      <c r="DV55" s="6"/>
      <c r="DW55" s="6"/>
      <c r="DX55" s="6"/>
      <c r="DY55" s="6">
        <v>38670</v>
      </c>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6"/>
      <c r="GX55" s="6"/>
      <c r="GY55" s="6"/>
      <c r="GZ55" s="6"/>
      <c r="HA55" s="6"/>
      <c r="HB55" s="6"/>
      <c r="HC55" s="6"/>
      <c r="HD55" s="6"/>
      <c r="HE55" s="6"/>
      <c r="HF55" s="6"/>
      <c r="HG55" s="6"/>
      <c r="HH55" s="6"/>
    </row>
    <row r="56" spans="1:216" x14ac:dyDescent="0.3">
      <c r="A56" s="8" t="str">
        <f>HYPERLINK("https://hpr-rps.hres.ca/reg-content/summary-basis-decision-detailOne.php?lang=en&amp;linkID=SBD00056", "Eraxis")</f>
        <v>Eraxis</v>
      </c>
      <c r="B56" s="6" t="s">
        <v>222</v>
      </c>
      <c r="C56" s="6" t="s">
        <v>143</v>
      </c>
      <c r="D56" s="6" t="s">
        <v>223</v>
      </c>
      <c r="E56" s="6"/>
      <c r="F56" s="6"/>
      <c r="G56" s="6"/>
      <c r="H56" s="6">
        <v>37883</v>
      </c>
      <c r="I56" s="6"/>
      <c r="J56" s="6"/>
      <c r="K56" s="6"/>
      <c r="L56" s="6"/>
      <c r="M56" s="6"/>
      <c r="N56" s="6"/>
      <c r="O56" s="6"/>
      <c r="P56" s="6"/>
      <c r="Q56" s="6"/>
      <c r="R56" s="6"/>
      <c r="S56" s="6"/>
      <c r="T56" s="6"/>
      <c r="U56" s="6"/>
      <c r="V56" s="6"/>
      <c r="W56" s="6"/>
      <c r="X56" s="6"/>
      <c r="Y56" s="6"/>
      <c r="Z56" s="6"/>
      <c r="AA56" s="6"/>
      <c r="AB56" s="6"/>
      <c r="AC56" s="6"/>
      <c r="AD56" s="6"/>
      <c r="AE56" s="6"/>
      <c r="AF56" s="6">
        <v>37917</v>
      </c>
      <c r="AG56" s="6"/>
      <c r="AH56" s="6"/>
      <c r="AI56" s="6"/>
      <c r="AJ56" s="6"/>
      <c r="AK56" s="6"/>
      <c r="AL56" s="6"/>
      <c r="AM56" s="6"/>
      <c r="AN56" s="6"/>
      <c r="AO56" s="6"/>
      <c r="AP56" s="6"/>
      <c r="AQ56" s="6"/>
      <c r="AR56" s="6"/>
      <c r="AS56" s="6">
        <v>38176</v>
      </c>
      <c r="AT56" s="6"/>
      <c r="AU56" s="6"/>
      <c r="AV56" s="6">
        <v>38203</v>
      </c>
      <c r="AW56" s="6"/>
      <c r="AX56" s="6"/>
      <c r="AY56" s="6"/>
      <c r="AZ56" s="6">
        <v>38301</v>
      </c>
      <c r="BA56" s="6"/>
      <c r="BB56" s="6"/>
      <c r="BC56" s="6"/>
      <c r="BD56" s="6"/>
      <c r="BE56" s="6"/>
      <c r="BF56" s="6"/>
      <c r="BG56" s="6"/>
      <c r="BH56" s="6"/>
      <c r="BI56" s="6"/>
      <c r="BJ56" s="6"/>
      <c r="BK56" s="6"/>
      <c r="BL56" s="6"/>
      <c r="BM56" s="6"/>
      <c r="BN56" s="6"/>
      <c r="BO56" s="6"/>
      <c r="BP56" s="6">
        <v>38261</v>
      </c>
      <c r="BQ56" s="6"/>
      <c r="BR56" s="6"/>
      <c r="BS56" s="6"/>
      <c r="BT56" s="6"/>
      <c r="BU56" s="6"/>
      <c r="BV56" s="6"/>
      <c r="BW56" s="6"/>
      <c r="BX56" s="6"/>
      <c r="BY56" s="6">
        <v>38345</v>
      </c>
      <c r="BZ56" s="6"/>
      <c r="CA56" s="6"/>
      <c r="CB56" s="6"/>
      <c r="CC56" s="6"/>
      <c r="CD56" s="6"/>
      <c r="CE56" s="6"/>
      <c r="CF56" s="6"/>
      <c r="CG56" s="6"/>
      <c r="CH56" s="6"/>
      <c r="CI56" s="6"/>
      <c r="CJ56" s="6"/>
      <c r="CK56" s="6"/>
      <c r="CL56" s="6"/>
      <c r="CM56" s="6"/>
      <c r="CN56" s="6"/>
      <c r="CO56" s="6"/>
      <c r="CP56" s="6"/>
      <c r="CQ56" s="6"/>
      <c r="CR56" s="6">
        <v>38366</v>
      </c>
      <c r="CS56" s="6"/>
      <c r="CT56" s="6"/>
      <c r="CU56" s="6"/>
      <c r="CV56" s="6"/>
      <c r="CW56" s="6"/>
      <c r="CX56" s="6"/>
      <c r="CY56" s="6"/>
      <c r="CZ56" s="6"/>
      <c r="DA56" s="6"/>
      <c r="DB56" s="6"/>
      <c r="DC56" s="6"/>
      <c r="DD56" s="6">
        <v>38664</v>
      </c>
      <c r="DE56" s="6">
        <v>38658</v>
      </c>
      <c r="DF56" s="6"/>
      <c r="DG56" s="6"/>
      <c r="DH56" s="6">
        <v>38545</v>
      </c>
      <c r="DI56" s="6"/>
      <c r="DJ56" s="6"/>
      <c r="DK56" s="6"/>
      <c r="DL56" s="6">
        <v>38666</v>
      </c>
      <c r="DM56" s="6"/>
      <c r="DN56" s="6"/>
      <c r="DO56" s="6"/>
      <c r="DP56" s="6"/>
      <c r="DQ56" s="6"/>
      <c r="DR56" s="6"/>
      <c r="DS56" s="6"/>
      <c r="DT56" s="6"/>
      <c r="DU56" s="6"/>
      <c r="DV56" s="6"/>
      <c r="DW56" s="6"/>
      <c r="DX56" s="6"/>
      <c r="DY56" s="6">
        <v>38670</v>
      </c>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6"/>
      <c r="GX56" s="6"/>
      <c r="GY56" s="6"/>
      <c r="GZ56" s="6"/>
      <c r="HA56" s="6"/>
      <c r="HB56" s="6"/>
      <c r="HC56" s="6"/>
      <c r="HD56" s="6"/>
      <c r="HE56" s="6"/>
      <c r="HF56" s="6"/>
      <c r="HG56" s="6"/>
      <c r="HH56" s="6"/>
    </row>
    <row r="57" spans="1:216" x14ac:dyDescent="0.3">
      <c r="A57" s="8" t="str">
        <f>HYPERLINK("https://hpr-rps.hres.ca/reg-content/summary-basis-decision-detailOne.php?lang=en&amp;linkID=SBD00069", "Ilaris")</f>
        <v>Ilaris</v>
      </c>
      <c r="B57" s="6" t="s">
        <v>224</v>
      </c>
      <c r="C57" s="6" t="s">
        <v>87</v>
      </c>
      <c r="D57" s="6" t="s">
        <v>225</v>
      </c>
      <c r="E57" s="6">
        <v>39857</v>
      </c>
      <c r="F57" s="6"/>
      <c r="G57" s="6"/>
      <c r="H57" s="6"/>
      <c r="I57" s="6"/>
      <c r="J57" s="6"/>
      <c r="K57" s="6"/>
      <c r="L57" s="6"/>
      <c r="M57" s="6"/>
      <c r="N57" s="6">
        <v>39946</v>
      </c>
      <c r="O57" s="6"/>
      <c r="P57" s="6"/>
      <c r="Q57" s="6"/>
      <c r="R57" s="6"/>
      <c r="S57" s="6">
        <v>39966</v>
      </c>
      <c r="T57" s="6"/>
      <c r="U57" s="6"/>
      <c r="V57" s="6">
        <v>39994</v>
      </c>
      <c r="W57" s="6"/>
      <c r="X57" s="6"/>
      <c r="Y57" s="6"/>
      <c r="Z57" s="6"/>
      <c r="AA57" s="6"/>
      <c r="AB57" s="6"/>
      <c r="AC57" s="6"/>
      <c r="AD57" s="6"/>
      <c r="AE57" s="6"/>
      <c r="AF57" s="6">
        <v>40025</v>
      </c>
      <c r="AG57" s="6"/>
      <c r="AH57" s="6"/>
      <c r="AI57" s="6"/>
      <c r="AJ57" s="6"/>
      <c r="AK57" s="6"/>
      <c r="AL57" s="6"/>
      <c r="AM57" s="6"/>
      <c r="AN57" s="6"/>
      <c r="AO57" s="6"/>
      <c r="AP57" s="6"/>
      <c r="AQ57" s="6"/>
      <c r="AR57" s="6">
        <v>40235</v>
      </c>
      <c r="AS57" s="6"/>
      <c r="AT57" s="6"/>
      <c r="AU57" s="6"/>
      <c r="AV57" s="6">
        <v>40226</v>
      </c>
      <c r="AW57" s="6"/>
      <c r="AX57" s="6">
        <v>40235</v>
      </c>
      <c r="AY57" s="6"/>
      <c r="AZ57" s="6">
        <v>40235</v>
      </c>
      <c r="BA57" s="6"/>
      <c r="BB57" s="6"/>
      <c r="BC57" s="6"/>
      <c r="BD57" s="6"/>
      <c r="BE57" s="6"/>
      <c r="BF57" s="6"/>
      <c r="BG57" s="6"/>
      <c r="BH57" s="6"/>
      <c r="BI57" s="6"/>
      <c r="BJ57" s="6"/>
      <c r="BK57" s="6"/>
      <c r="BL57" s="6"/>
      <c r="BM57" s="6">
        <v>40235</v>
      </c>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row>
    <row r="58" spans="1:216" x14ac:dyDescent="0.3">
      <c r="A58" s="8" t="str">
        <f>HYPERLINK("https://hpr-rps.hres.ca/reg-content/summary-basis-decision-detailOne.php?lang=en&amp;linkID=SBD00057", "Erbitux")</f>
        <v>Erbitux</v>
      </c>
      <c r="B58" s="6" t="s">
        <v>226</v>
      </c>
      <c r="C58" s="6" t="s">
        <v>227</v>
      </c>
      <c r="D58" s="6" t="s">
        <v>228</v>
      </c>
      <c r="E58" s="6">
        <v>39857</v>
      </c>
      <c r="F58" s="6"/>
      <c r="G58" s="6"/>
      <c r="H58" s="6"/>
      <c r="I58" s="6"/>
      <c r="J58" s="6"/>
      <c r="K58" s="6"/>
      <c r="L58" s="6"/>
      <c r="M58" s="6"/>
      <c r="N58" s="6">
        <v>39946</v>
      </c>
      <c r="O58" s="6"/>
      <c r="P58" s="6"/>
      <c r="Q58" s="6"/>
      <c r="R58" s="6"/>
      <c r="S58" s="6">
        <v>39966</v>
      </c>
      <c r="T58" s="6"/>
      <c r="U58" s="6"/>
      <c r="V58" s="6">
        <v>39994</v>
      </c>
      <c r="W58" s="6"/>
      <c r="X58" s="6"/>
      <c r="Y58" s="6"/>
      <c r="Z58" s="6"/>
      <c r="AA58" s="6"/>
      <c r="AB58" s="6"/>
      <c r="AC58" s="6"/>
      <c r="AD58" s="6"/>
      <c r="AE58" s="6"/>
      <c r="AF58" s="6">
        <v>40025</v>
      </c>
      <c r="AG58" s="6"/>
      <c r="AH58" s="6"/>
      <c r="AI58" s="6"/>
      <c r="AJ58" s="6"/>
      <c r="AK58" s="6"/>
      <c r="AL58" s="6"/>
      <c r="AM58" s="6"/>
      <c r="AN58" s="6"/>
      <c r="AO58" s="6"/>
      <c r="AP58" s="6"/>
      <c r="AQ58" s="6"/>
      <c r="AR58" s="6">
        <v>40235</v>
      </c>
      <c r="AS58" s="6"/>
      <c r="AT58" s="6"/>
      <c r="AU58" s="6"/>
      <c r="AV58" s="6">
        <v>40226</v>
      </c>
      <c r="AW58" s="6"/>
      <c r="AX58" s="6">
        <v>40235</v>
      </c>
      <c r="AY58" s="6"/>
      <c r="AZ58" s="6">
        <v>40235</v>
      </c>
      <c r="BA58" s="6"/>
      <c r="BB58" s="6"/>
      <c r="BC58" s="6"/>
      <c r="BD58" s="6"/>
      <c r="BE58" s="6"/>
      <c r="BF58" s="6"/>
      <c r="BG58" s="6"/>
      <c r="BH58" s="6"/>
      <c r="BI58" s="6"/>
      <c r="BJ58" s="6"/>
      <c r="BK58" s="6"/>
      <c r="BL58" s="6"/>
      <c r="BM58" s="6">
        <v>40235</v>
      </c>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row>
    <row r="59" spans="1:216" x14ac:dyDescent="0.3">
      <c r="A59" s="8" t="str">
        <f>HYPERLINK("https://hpr-rps.hres.ca/reg-content/summary-basis-decision-detailOne.php?lang=en&amp;linkID=SBD00058", "Exelon Patch")</f>
        <v>Exelon Patch</v>
      </c>
      <c r="B59" s="6" t="s">
        <v>229</v>
      </c>
      <c r="C59" s="6" t="s">
        <v>87</v>
      </c>
      <c r="D59" s="6" t="s">
        <v>230</v>
      </c>
      <c r="E59" s="6">
        <v>39857</v>
      </c>
      <c r="F59" s="6"/>
      <c r="G59" s="6"/>
      <c r="H59" s="6"/>
      <c r="I59" s="6"/>
      <c r="J59" s="6"/>
      <c r="K59" s="6"/>
      <c r="L59" s="6"/>
      <c r="M59" s="6"/>
      <c r="N59" s="6">
        <v>39946</v>
      </c>
      <c r="O59" s="6"/>
      <c r="P59" s="6"/>
      <c r="Q59" s="6"/>
      <c r="R59" s="6"/>
      <c r="S59" s="6">
        <v>39966</v>
      </c>
      <c r="T59" s="6"/>
      <c r="U59" s="6"/>
      <c r="V59" s="6">
        <v>39994</v>
      </c>
      <c r="W59" s="6"/>
      <c r="X59" s="6"/>
      <c r="Y59" s="6"/>
      <c r="Z59" s="6"/>
      <c r="AA59" s="6"/>
      <c r="AB59" s="6"/>
      <c r="AC59" s="6"/>
      <c r="AD59" s="6"/>
      <c r="AE59" s="6"/>
      <c r="AF59" s="6">
        <v>40025</v>
      </c>
      <c r="AG59" s="6"/>
      <c r="AH59" s="6"/>
      <c r="AI59" s="6"/>
      <c r="AJ59" s="6"/>
      <c r="AK59" s="6"/>
      <c r="AL59" s="6"/>
      <c r="AM59" s="6"/>
      <c r="AN59" s="6"/>
      <c r="AO59" s="6"/>
      <c r="AP59" s="6"/>
      <c r="AQ59" s="6"/>
      <c r="AR59" s="6">
        <v>40235</v>
      </c>
      <c r="AS59" s="6"/>
      <c r="AT59" s="6"/>
      <c r="AU59" s="6"/>
      <c r="AV59" s="6">
        <v>40226</v>
      </c>
      <c r="AW59" s="6"/>
      <c r="AX59" s="6">
        <v>40235</v>
      </c>
      <c r="AY59" s="6"/>
      <c r="AZ59" s="6">
        <v>40235</v>
      </c>
      <c r="BA59" s="6"/>
      <c r="BB59" s="6"/>
      <c r="BC59" s="6"/>
      <c r="BD59" s="6"/>
      <c r="BE59" s="6"/>
      <c r="BF59" s="6"/>
      <c r="BG59" s="6"/>
      <c r="BH59" s="6"/>
      <c r="BI59" s="6"/>
      <c r="BJ59" s="6"/>
      <c r="BK59" s="6"/>
      <c r="BL59" s="6"/>
      <c r="BM59" s="6">
        <v>40235</v>
      </c>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row>
    <row r="60" spans="1:216" x14ac:dyDescent="0.3">
      <c r="A60" s="8" t="str">
        <f>HYPERLINK("https://hpr-rps.hres.ca/reg-content/summary-basis-decision-detailOne.php?lang=en&amp;linkID=SBD00070", "Incivek TM")</f>
        <v>Incivek TM</v>
      </c>
      <c r="B60" s="6" t="s">
        <v>231</v>
      </c>
      <c r="C60" s="6" t="s">
        <v>232</v>
      </c>
      <c r="D60" s="6" t="s">
        <v>233</v>
      </c>
      <c r="E60" s="6">
        <v>39827</v>
      </c>
      <c r="F60" s="6"/>
      <c r="G60" s="6"/>
      <c r="H60" s="6">
        <v>40165</v>
      </c>
      <c r="I60" s="6"/>
      <c r="J60" s="6"/>
      <c r="K60" s="6"/>
      <c r="L60" s="6"/>
      <c r="M60" s="6"/>
      <c r="N60" s="6"/>
      <c r="O60" s="6"/>
      <c r="P60" s="6"/>
      <c r="Q60" s="6"/>
      <c r="R60" s="6"/>
      <c r="S60" s="6"/>
      <c r="T60" s="6"/>
      <c r="U60" s="6"/>
      <c r="V60" s="6"/>
      <c r="W60" s="6"/>
      <c r="X60" s="6"/>
      <c r="Y60" s="6"/>
      <c r="Z60" s="6">
        <v>40213</v>
      </c>
      <c r="AA60" s="6"/>
      <c r="AB60" s="6"/>
      <c r="AC60" s="6">
        <v>40227</v>
      </c>
      <c r="AD60" s="6"/>
      <c r="AE60" s="6"/>
      <c r="AF60" s="6">
        <v>40269</v>
      </c>
      <c r="AG60" s="6"/>
      <c r="AH60" s="6"/>
      <c r="AI60" s="6"/>
      <c r="AJ60" s="6"/>
      <c r="AK60" s="6"/>
      <c r="AL60" s="6"/>
      <c r="AM60" s="6"/>
      <c r="AN60" s="6"/>
      <c r="AO60" s="6"/>
      <c r="AP60" s="6"/>
      <c r="AQ60" s="6"/>
      <c r="AR60" s="6">
        <v>40569</v>
      </c>
      <c r="AS60" s="6"/>
      <c r="AT60" s="6"/>
      <c r="AU60" s="6"/>
      <c r="AV60" s="6">
        <v>40569</v>
      </c>
      <c r="AW60" s="6"/>
      <c r="AX60" s="6"/>
      <c r="AY60" s="6"/>
      <c r="AZ60" s="6">
        <v>40569</v>
      </c>
      <c r="BA60" s="6"/>
      <c r="BB60" s="6"/>
      <c r="BC60" s="6"/>
      <c r="BD60" s="6"/>
      <c r="BE60" s="6"/>
      <c r="BF60" s="6"/>
      <c r="BG60" s="6"/>
      <c r="BH60" s="6"/>
      <c r="BI60" s="6"/>
      <c r="BJ60" s="6"/>
      <c r="BK60" s="6"/>
      <c r="BL60" s="6"/>
      <c r="BM60" s="6"/>
      <c r="BN60" s="6"/>
      <c r="BO60" s="6"/>
      <c r="BP60" s="6"/>
      <c r="BQ60" s="6"/>
      <c r="BR60" s="6"/>
      <c r="BS60" s="6"/>
      <c r="BT60" s="6">
        <v>40569</v>
      </c>
      <c r="BU60" s="6"/>
      <c r="BV60" s="6"/>
      <c r="BW60" s="6"/>
      <c r="BX60" s="6"/>
      <c r="BY60" s="6">
        <v>40569</v>
      </c>
      <c r="BZ60" s="6"/>
      <c r="CA60" s="6"/>
      <c r="CB60" s="6"/>
      <c r="CC60" s="6"/>
      <c r="CD60" s="6"/>
      <c r="CE60" s="6"/>
      <c r="CF60" s="6"/>
      <c r="CG60" s="6"/>
      <c r="CH60" s="6"/>
      <c r="CI60" s="6"/>
      <c r="CJ60" s="6"/>
      <c r="CK60" s="6"/>
      <c r="CL60" s="6"/>
      <c r="CM60" s="6"/>
      <c r="CN60" s="6"/>
      <c r="CO60" s="6"/>
      <c r="CP60" s="6"/>
      <c r="CQ60" s="6"/>
      <c r="CR60" s="6">
        <v>40735</v>
      </c>
      <c r="CS60" s="6"/>
      <c r="CT60" s="6"/>
      <c r="CU60" s="6"/>
      <c r="CV60" s="6"/>
      <c r="CW60" s="6"/>
      <c r="CX60" s="6"/>
      <c r="CY60" s="6"/>
      <c r="CZ60" s="6"/>
      <c r="DA60" s="6"/>
      <c r="DB60" s="6"/>
      <c r="DC60" s="6"/>
      <c r="DD60" s="6">
        <v>40884</v>
      </c>
      <c r="DE60" s="6"/>
      <c r="DF60" s="6"/>
      <c r="DG60" s="6"/>
      <c r="DH60" s="6">
        <v>40883</v>
      </c>
      <c r="DI60" s="6"/>
      <c r="DJ60" s="6"/>
      <c r="DK60" s="6"/>
      <c r="DL60" s="6">
        <v>40884</v>
      </c>
      <c r="DM60" s="6"/>
      <c r="DN60" s="6"/>
      <c r="DO60" s="6"/>
      <c r="DP60" s="6"/>
      <c r="DQ60" s="6"/>
      <c r="DR60" s="6"/>
      <c r="DS60" s="6"/>
      <c r="DT60" s="6"/>
      <c r="DU60" s="6"/>
      <c r="DV60" s="6"/>
      <c r="DW60" s="6"/>
      <c r="DX60" s="6"/>
      <c r="DY60" s="6">
        <v>40885</v>
      </c>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row>
    <row r="61" spans="1:216" x14ac:dyDescent="0.3">
      <c r="A61" s="8" t="str">
        <f>HYPERLINK("https://hpr-rps.hres.ca/reg-content/summary-basis-decision-detailOne.php?lang=en&amp;linkID=SBD00059", "Exjade")</f>
        <v>Exjade</v>
      </c>
      <c r="B61" s="6" t="s">
        <v>234</v>
      </c>
      <c r="C61" s="6" t="s">
        <v>235</v>
      </c>
      <c r="D61" s="6" t="s">
        <v>236</v>
      </c>
      <c r="E61" s="6">
        <v>39583</v>
      </c>
      <c r="F61" s="6"/>
      <c r="G61" s="6"/>
      <c r="H61" s="6">
        <v>39601</v>
      </c>
      <c r="I61" s="6"/>
      <c r="J61" s="6"/>
      <c r="K61" s="6"/>
      <c r="L61" s="6"/>
      <c r="M61" s="6"/>
      <c r="N61" s="6"/>
      <c r="O61" s="6"/>
      <c r="P61" s="6"/>
      <c r="Q61" s="6"/>
      <c r="R61" s="6"/>
      <c r="S61" s="6"/>
      <c r="T61" s="6"/>
      <c r="U61" s="6"/>
      <c r="V61" s="6"/>
      <c r="W61" s="6"/>
      <c r="X61" s="6"/>
      <c r="Y61" s="6"/>
      <c r="Z61" s="6"/>
      <c r="AA61" s="6"/>
      <c r="AB61" s="6"/>
      <c r="AC61" s="6"/>
      <c r="AD61" s="6"/>
      <c r="AE61" s="6"/>
      <c r="AF61" s="6">
        <v>39647</v>
      </c>
      <c r="AG61" s="6"/>
      <c r="AH61" s="6"/>
      <c r="AI61" s="6"/>
      <c r="AJ61" s="6"/>
      <c r="AK61" s="6"/>
      <c r="AL61" s="6"/>
      <c r="AM61" s="6"/>
      <c r="AN61" s="6"/>
      <c r="AO61" s="6"/>
      <c r="AP61" s="6"/>
      <c r="AQ61" s="6"/>
      <c r="AR61" s="6"/>
      <c r="AS61" s="6"/>
      <c r="AT61" s="6"/>
      <c r="AU61" s="6"/>
      <c r="AV61" s="6">
        <v>39947</v>
      </c>
      <c r="AW61" s="6"/>
      <c r="AX61" s="6"/>
      <c r="AY61" s="6"/>
      <c r="AZ61" s="6">
        <v>39947</v>
      </c>
      <c r="BA61" s="6"/>
      <c r="BB61" s="6"/>
      <c r="BC61" s="6"/>
      <c r="BD61" s="6"/>
      <c r="BE61" s="6"/>
      <c r="BF61" s="6"/>
      <c r="BG61" s="6"/>
      <c r="BH61" s="6"/>
      <c r="BI61" s="6"/>
      <c r="BJ61" s="6"/>
      <c r="BK61" s="6"/>
      <c r="BL61" s="6"/>
      <c r="BM61" s="6"/>
      <c r="BN61" s="6"/>
      <c r="BO61" s="6"/>
      <c r="BP61" s="6"/>
      <c r="BQ61" s="6"/>
      <c r="BR61" s="6"/>
      <c r="BS61" s="6"/>
      <c r="BT61" s="6">
        <v>39947</v>
      </c>
      <c r="BU61" s="6"/>
      <c r="BV61" s="6"/>
      <c r="BW61" s="6"/>
      <c r="BX61" s="6"/>
      <c r="BY61" s="6">
        <v>40007</v>
      </c>
      <c r="BZ61" s="6"/>
      <c r="CA61" s="6"/>
      <c r="CB61" s="6"/>
      <c r="CC61" s="6"/>
      <c r="CD61" s="6"/>
      <c r="CE61" s="6"/>
      <c r="CF61" s="6"/>
      <c r="CG61" s="6"/>
      <c r="CH61" s="6"/>
      <c r="CI61" s="6"/>
      <c r="CJ61" s="6"/>
      <c r="CK61" s="6"/>
      <c r="CL61" s="6"/>
      <c r="CM61" s="6"/>
      <c r="CN61" s="6"/>
      <c r="CO61" s="6"/>
      <c r="CP61" s="6"/>
      <c r="CQ61" s="6"/>
      <c r="CR61" s="6">
        <v>40030</v>
      </c>
      <c r="CS61" s="6"/>
      <c r="CT61" s="6"/>
      <c r="CU61" s="6"/>
      <c r="CV61" s="6"/>
      <c r="CW61" s="6"/>
      <c r="CX61" s="6"/>
      <c r="CY61" s="6"/>
      <c r="CZ61" s="6"/>
      <c r="DA61" s="6"/>
      <c r="DB61" s="6"/>
      <c r="DC61" s="6"/>
      <c r="DD61" s="6">
        <v>40115</v>
      </c>
      <c r="DE61" s="6"/>
      <c r="DF61" s="6"/>
      <c r="DG61" s="6"/>
      <c r="DH61" s="6">
        <v>40088</v>
      </c>
      <c r="DI61" s="6"/>
      <c r="DJ61" s="6"/>
      <c r="DK61" s="6"/>
      <c r="DL61" s="6">
        <v>40122</v>
      </c>
      <c r="DM61" s="6"/>
      <c r="DN61" s="6"/>
      <c r="DO61" s="6"/>
      <c r="DP61" s="6"/>
      <c r="DQ61" s="6"/>
      <c r="DR61" s="6"/>
      <c r="DS61" s="6"/>
      <c r="DT61" s="6"/>
      <c r="DU61" s="6"/>
      <c r="DV61" s="6"/>
      <c r="DW61" s="6"/>
      <c r="DX61" s="6"/>
      <c r="DY61" s="6">
        <v>40133</v>
      </c>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row>
    <row r="62" spans="1:216" x14ac:dyDescent="0.3">
      <c r="A62" s="8" t="str">
        <f>HYPERLINK("https://hpr-rps.hres.ca/reg-content/summary-basis-decision-detailOne.php?lang=en&amp;linkID=SBD00060", "Fampyra TM")</f>
        <v>Fampyra TM</v>
      </c>
      <c r="B62" s="6" t="s">
        <v>237</v>
      </c>
      <c r="C62" s="6" t="s">
        <v>238</v>
      </c>
      <c r="D62" s="6" t="s">
        <v>239</v>
      </c>
      <c r="E62" s="6">
        <v>39583</v>
      </c>
      <c r="F62" s="6"/>
      <c r="G62" s="6"/>
      <c r="H62" s="6">
        <v>39601</v>
      </c>
      <c r="I62" s="6"/>
      <c r="J62" s="6"/>
      <c r="K62" s="6"/>
      <c r="L62" s="6"/>
      <c r="M62" s="6"/>
      <c r="N62" s="6"/>
      <c r="O62" s="6"/>
      <c r="P62" s="6"/>
      <c r="Q62" s="6"/>
      <c r="R62" s="6"/>
      <c r="S62" s="6"/>
      <c r="T62" s="6"/>
      <c r="U62" s="6"/>
      <c r="V62" s="6"/>
      <c r="W62" s="6"/>
      <c r="X62" s="6"/>
      <c r="Y62" s="6"/>
      <c r="Z62" s="6"/>
      <c r="AA62" s="6"/>
      <c r="AB62" s="6"/>
      <c r="AC62" s="6"/>
      <c r="AD62" s="6"/>
      <c r="AE62" s="6"/>
      <c r="AF62" s="6">
        <v>39647</v>
      </c>
      <c r="AG62" s="6"/>
      <c r="AH62" s="6"/>
      <c r="AI62" s="6"/>
      <c r="AJ62" s="6"/>
      <c r="AK62" s="6"/>
      <c r="AL62" s="6"/>
      <c r="AM62" s="6"/>
      <c r="AN62" s="6"/>
      <c r="AO62" s="6"/>
      <c r="AP62" s="6"/>
      <c r="AQ62" s="6"/>
      <c r="AR62" s="6"/>
      <c r="AS62" s="6"/>
      <c r="AT62" s="6"/>
      <c r="AU62" s="6"/>
      <c r="AV62" s="6">
        <v>39947</v>
      </c>
      <c r="AW62" s="6"/>
      <c r="AX62" s="6"/>
      <c r="AY62" s="6"/>
      <c r="AZ62" s="6">
        <v>39947</v>
      </c>
      <c r="BA62" s="6"/>
      <c r="BB62" s="6"/>
      <c r="BC62" s="6"/>
      <c r="BD62" s="6"/>
      <c r="BE62" s="6"/>
      <c r="BF62" s="6"/>
      <c r="BG62" s="6"/>
      <c r="BH62" s="6"/>
      <c r="BI62" s="6"/>
      <c r="BJ62" s="6"/>
      <c r="BK62" s="6"/>
      <c r="BL62" s="6"/>
      <c r="BM62" s="6"/>
      <c r="BN62" s="6"/>
      <c r="BO62" s="6"/>
      <c r="BP62" s="6"/>
      <c r="BQ62" s="6"/>
      <c r="BR62" s="6"/>
      <c r="BS62" s="6"/>
      <c r="BT62" s="6">
        <v>39947</v>
      </c>
      <c r="BU62" s="6"/>
      <c r="BV62" s="6"/>
      <c r="BW62" s="6"/>
      <c r="BX62" s="6"/>
      <c r="BY62" s="6">
        <v>40007</v>
      </c>
      <c r="BZ62" s="6"/>
      <c r="CA62" s="6"/>
      <c r="CB62" s="6"/>
      <c r="CC62" s="6"/>
      <c r="CD62" s="6"/>
      <c r="CE62" s="6"/>
      <c r="CF62" s="6"/>
      <c r="CG62" s="6"/>
      <c r="CH62" s="6"/>
      <c r="CI62" s="6"/>
      <c r="CJ62" s="6"/>
      <c r="CK62" s="6"/>
      <c r="CL62" s="6"/>
      <c r="CM62" s="6"/>
      <c r="CN62" s="6"/>
      <c r="CO62" s="6"/>
      <c r="CP62" s="6"/>
      <c r="CQ62" s="6"/>
      <c r="CR62" s="6">
        <v>40030</v>
      </c>
      <c r="CS62" s="6"/>
      <c r="CT62" s="6"/>
      <c r="CU62" s="6"/>
      <c r="CV62" s="6"/>
      <c r="CW62" s="6"/>
      <c r="CX62" s="6"/>
      <c r="CY62" s="6"/>
      <c r="CZ62" s="6"/>
      <c r="DA62" s="6"/>
      <c r="DB62" s="6"/>
      <c r="DC62" s="6"/>
      <c r="DD62" s="6">
        <v>40115</v>
      </c>
      <c r="DE62" s="6"/>
      <c r="DF62" s="6"/>
      <c r="DG62" s="6"/>
      <c r="DH62" s="6">
        <v>40088</v>
      </c>
      <c r="DI62" s="6"/>
      <c r="DJ62" s="6"/>
      <c r="DK62" s="6"/>
      <c r="DL62" s="6">
        <v>40122</v>
      </c>
      <c r="DM62" s="6"/>
      <c r="DN62" s="6"/>
      <c r="DO62" s="6"/>
      <c r="DP62" s="6"/>
      <c r="DQ62" s="6"/>
      <c r="DR62" s="6"/>
      <c r="DS62" s="6"/>
      <c r="DT62" s="6"/>
      <c r="DU62" s="6"/>
      <c r="DV62" s="6"/>
      <c r="DW62" s="6"/>
      <c r="DX62" s="6"/>
      <c r="DY62" s="6">
        <v>40133</v>
      </c>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6"/>
      <c r="GX62" s="6"/>
      <c r="GY62" s="6"/>
      <c r="GZ62" s="6"/>
      <c r="HA62" s="6"/>
      <c r="HB62" s="6"/>
      <c r="HC62" s="6"/>
      <c r="HD62" s="6"/>
      <c r="HE62" s="6"/>
      <c r="HF62" s="6"/>
      <c r="HG62" s="6"/>
      <c r="HH62" s="6"/>
    </row>
    <row r="63" spans="1:216" x14ac:dyDescent="0.3">
      <c r="A63" s="8" t="str">
        <f>HYPERLINK("https://hpr-rps.hres.ca/reg-content/summary-basis-decision-detailOne.php?lang=en&amp;linkID=SBD00061", "Feraheme")</f>
        <v>Feraheme</v>
      </c>
      <c r="B63" s="6" t="s">
        <v>240</v>
      </c>
      <c r="C63" s="6" t="s">
        <v>241</v>
      </c>
      <c r="D63" s="6" t="s">
        <v>242</v>
      </c>
      <c r="E63" s="6">
        <v>37893</v>
      </c>
      <c r="F63" s="6"/>
      <c r="G63" s="6"/>
      <c r="H63" s="6"/>
      <c r="I63" s="6"/>
      <c r="J63" s="6"/>
      <c r="K63" s="6"/>
      <c r="L63" s="6"/>
      <c r="M63" s="6"/>
      <c r="N63" s="6">
        <v>37895</v>
      </c>
      <c r="O63" s="6"/>
      <c r="P63" s="6"/>
      <c r="Q63" s="6"/>
      <c r="R63" s="6"/>
      <c r="S63" s="6">
        <v>37909</v>
      </c>
      <c r="T63" s="6"/>
      <c r="U63" s="6"/>
      <c r="V63" s="6">
        <v>37949</v>
      </c>
      <c r="W63" s="6"/>
      <c r="X63" s="6"/>
      <c r="Y63" s="6"/>
      <c r="Z63" s="6"/>
      <c r="AA63" s="6"/>
      <c r="AB63" s="6"/>
      <c r="AC63" s="6"/>
      <c r="AD63" s="6"/>
      <c r="AE63" s="6"/>
      <c r="AF63" s="6">
        <v>37979</v>
      </c>
      <c r="AG63" s="6"/>
      <c r="AH63" s="6"/>
      <c r="AI63" s="6"/>
      <c r="AJ63" s="6"/>
      <c r="AK63" s="6"/>
      <c r="AL63" s="6"/>
      <c r="AM63" s="6"/>
      <c r="AN63" s="6"/>
      <c r="AO63" s="6">
        <v>38377</v>
      </c>
      <c r="AP63" s="6"/>
      <c r="AQ63" s="6"/>
      <c r="AR63" s="6">
        <v>38594</v>
      </c>
      <c r="AS63" s="6"/>
      <c r="AT63" s="6"/>
      <c r="AU63" s="6"/>
      <c r="AV63" s="6">
        <v>38601</v>
      </c>
      <c r="AW63" s="6"/>
      <c r="AX63" s="6"/>
      <c r="AY63" s="6"/>
      <c r="AZ63" s="6">
        <v>38602</v>
      </c>
      <c r="BA63" s="6"/>
      <c r="BB63" s="6"/>
      <c r="BC63" s="6"/>
      <c r="BD63" s="6"/>
      <c r="BE63" s="6"/>
      <c r="BF63" s="6"/>
      <c r="BG63" s="6"/>
      <c r="BH63" s="6"/>
      <c r="BI63" s="6"/>
      <c r="BJ63" s="6"/>
      <c r="BK63" s="6"/>
      <c r="BL63" s="6"/>
      <c r="BM63" s="6">
        <v>38604</v>
      </c>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row>
    <row r="64" spans="1:216" x14ac:dyDescent="0.3">
      <c r="A64" s="8" t="str">
        <f>HYPERLINK("https://hpr-rps.hres.ca/reg-content/summary-basis-decision-detailOne.php?lang=en&amp;linkID=SBD00062", "Finacea ®")</f>
        <v>Finacea ®</v>
      </c>
      <c r="B64" s="6" t="s">
        <v>243</v>
      </c>
      <c r="C64" s="6" t="s">
        <v>244</v>
      </c>
      <c r="D64" s="6" t="s">
        <v>245</v>
      </c>
      <c r="E64" s="6"/>
      <c r="F64" s="6"/>
      <c r="G64" s="6"/>
      <c r="H64" s="6">
        <v>38194</v>
      </c>
      <c r="I64" s="6"/>
      <c r="J64" s="6"/>
      <c r="K64" s="6"/>
      <c r="L64" s="6"/>
      <c r="M64" s="6"/>
      <c r="N64" s="6"/>
      <c r="O64" s="6"/>
      <c r="P64" s="6"/>
      <c r="Q64" s="6"/>
      <c r="R64" s="6"/>
      <c r="S64" s="6"/>
      <c r="T64" s="6"/>
      <c r="U64" s="6"/>
      <c r="V64" s="6"/>
      <c r="W64" s="6"/>
      <c r="X64" s="6"/>
      <c r="Y64" s="6"/>
      <c r="Z64" s="6">
        <v>38233</v>
      </c>
      <c r="AA64" s="6"/>
      <c r="AB64" s="6"/>
      <c r="AC64" s="6"/>
      <c r="AD64" s="6"/>
      <c r="AE64" s="6"/>
      <c r="AF64" s="6">
        <v>38300</v>
      </c>
      <c r="AG64" s="6"/>
      <c r="AH64" s="6"/>
      <c r="AI64" s="6"/>
      <c r="AJ64" s="6">
        <v>38251</v>
      </c>
      <c r="AK64" s="6"/>
      <c r="AL64" s="6"/>
      <c r="AM64" s="6"/>
      <c r="AN64" s="6"/>
      <c r="AO64" s="6"/>
      <c r="AP64" s="6"/>
      <c r="AQ64" s="6"/>
      <c r="AR64" s="6"/>
      <c r="AS64" s="6"/>
      <c r="AT64" s="6"/>
      <c r="AU64" s="6"/>
      <c r="AV64" s="6">
        <v>38569</v>
      </c>
      <c r="AW64" s="6"/>
      <c r="AX64" s="6"/>
      <c r="AY64" s="6"/>
      <c r="AZ64" s="6">
        <v>38560</v>
      </c>
      <c r="BA64" s="6"/>
      <c r="BB64" s="6"/>
      <c r="BC64" s="6"/>
      <c r="BD64" s="6"/>
      <c r="BE64" s="6">
        <v>38595</v>
      </c>
      <c r="BF64" s="6"/>
      <c r="BG64" s="6"/>
      <c r="BH64" s="6"/>
      <c r="BI64" s="6"/>
      <c r="BJ64" s="6"/>
      <c r="BK64" s="6"/>
      <c r="BL64" s="6"/>
      <c r="BM64" s="6">
        <v>38596</v>
      </c>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6"/>
      <c r="GX64" s="6"/>
      <c r="GY64" s="6"/>
      <c r="GZ64" s="6"/>
      <c r="HA64" s="6"/>
      <c r="HB64" s="6"/>
      <c r="HC64" s="6"/>
      <c r="HD64" s="6"/>
      <c r="HE64" s="6"/>
      <c r="HF64" s="6"/>
      <c r="HG64" s="6"/>
      <c r="HH64" s="6"/>
    </row>
    <row r="65" spans="1:216" x14ac:dyDescent="0.3">
      <c r="A65" s="8" t="str">
        <f>HYPERLINK("https://hpr-rps.hres.ca/reg-content/summary-basis-decision-detailOne.php?lang=en&amp;linkID=SBD00063", "Firmagon ® ")</f>
        <v xml:space="preserve">Firmagon ® </v>
      </c>
      <c r="B65" s="6" t="s">
        <v>246</v>
      </c>
      <c r="C65" s="6" t="s">
        <v>247</v>
      </c>
      <c r="D65" s="6" t="s">
        <v>248</v>
      </c>
      <c r="E65" s="6">
        <v>39583</v>
      </c>
      <c r="F65" s="6"/>
      <c r="G65" s="6"/>
      <c r="H65" s="6">
        <v>39601</v>
      </c>
      <c r="I65" s="6"/>
      <c r="J65" s="6"/>
      <c r="K65" s="6"/>
      <c r="L65" s="6"/>
      <c r="M65" s="6"/>
      <c r="N65" s="6"/>
      <c r="O65" s="6"/>
      <c r="P65" s="6"/>
      <c r="Q65" s="6"/>
      <c r="R65" s="6"/>
      <c r="S65" s="6"/>
      <c r="T65" s="6"/>
      <c r="U65" s="6"/>
      <c r="V65" s="6"/>
      <c r="W65" s="6"/>
      <c r="X65" s="6"/>
      <c r="Y65" s="6"/>
      <c r="Z65" s="6"/>
      <c r="AA65" s="6"/>
      <c r="AB65" s="6"/>
      <c r="AC65" s="6"/>
      <c r="AD65" s="6"/>
      <c r="AE65" s="6"/>
      <c r="AF65" s="6">
        <v>39647</v>
      </c>
      <c r="AG65" s="6"/>
      <c r="AH65" s="6"/>
      <c r="AI65" s="6"/>
      <c r="AJ65" s="6"/>
      <c r="AK65" s="6"/>
      <c r="AL65" s="6"/>
      <c r="AM65" s="6"/>
      <c r="AN65" s="6"/>
      <c r="AO65" s="6"/>
      <c r="AP65" s="6"/>
      <c r="AQ65" s="6"/>
      <c r="AR65" s="6"/>
      <c r="AS65" s="6"/>
      <c r="AT65" s="6"/>
      <c r="AU65" s="6"/>
      <c r="AV65" s="6">
        <v>39947</v>
      </c>
      <c r="AW65" s="6"/>
      <c r="AX65" s="6"/>
      <c r="AY65" s="6"/>
      <c r="AZ65" s="6">
        <v>39947</v>
      </c>
      <c r="BA65" s="6"/>
      <c r="BB65" s="6"/>
      <c r="BC65" s="6"/>
      <c r="BD65" s="6"/>
      <c r="BE65" s="6"/>
      <c r="BF65" s="6"/>
      <c r="BG65" s="6"/>
      <c r="BH65" s="6"/>
      <c r="BI65" s="6"/>
      <c r="BJ65" s="6"/>
      <c r="BK65" s="6"/>
      <c r="BL65" s="6"/>
      <c r="BM65" s="6"/>
      <c r="BN65" s="6"/>
      <c r="BO65" s="6"/>
      <c r="BP65" s="6"/>
      <c r="BQ65" s="6"/>
      <c r="BR65" s="6"/>
      <c r="BS65" s="6"/>
      <c r="BT65" s="6">
        <v>39947</v>
      </c>
      <c r="BU65" s="6"/>
      <c r="BV65" s="6"/>
      <c r="BW65" s="6"/>
      <c r="BX65" s="6"/>
      <c r="BY65" s="6">
        <v>40007</v>
      </c>
      <c r="BZ65" s="6"/>
      <c r="CA65" s="6"/>
      <c r="CB65" s="6"/>
      <c r="CC65" s="6"/>
      <c r="CD65" s="6"/>
      <c r="CE65" s="6"/>
      <c r="CF65" s="6"/>
      <c r="CG65" s="6"/>
      <c r="CH65" s="6"/>
      <c r="CI65" s="6"/>
      <c r="CJ65" s="6"/>
      <c r="CK65" s="6"/>
      <c r="CL65" s="6"/>
      <c r="CM65" s="6"/>
      <c r="CN65" s="6"/>
      <c r="CO65" s="6"/>
      <c r="CP65" s="6"/>
      <c r="CQ65" s="6"/>
      <c r="CR65" s="6">
        <v>40030</v>
      </c>
      <c r="CS65" s="6"/>
      <c r="CT65" s="6"/>
      <c r="CU65" s="6"/>
      <c r="CV65" s="6"/>
      <c r="CW65" s="6"/>
      <c r="CX65" s="6"/>
      <c r="CY65" s="6"/>
      <c r="CZ65" s="6"/>
      <c r="DA65" s="6"/>
      <c r="DB65" s="6"/>
      <c r="DC65" s="6"/>
      <c r="DD65" s="6">
        <v>40115</v>
      </c>
      <c r="DE65" s="6"/>
      <c r="DF65" s="6"/>
      <c r="DG65" s="6"/>
      <c r="DH65" s="6">
        <v>40088</v>
      </c>
      <c r="DI65" s="6"/>
      <c r="DJ65" s="6"/>
      <c r="DK65" s="6"/>
      <c r="DL65" s="6">
        <v>40122</v>
      </c>
      <c r="DM65" s="6"/>
      <c r="DN65" s="6"/>
      <c r="DO65" s="6"/>
      <c r="DP65" s="6"/>
      <c r="DQ65" s="6"/>
      <c r="DR65" s="6"/>
      <c r="DS65" s="6"/>
      <c r="DT65" s="6"/>
      <c r="DU65" s="6"/>
      <c r="DV65" s="6"/>
      <c r="DW65" s="6"/>
      <c r="DX65" s="6"/>
      <c r="DY65" s="6">
        <v>40133</v>
      </c>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row>
    <row r="66" spans="1:216" x14ac:dyDescent="0.3">
      <c r="A66" s="8" t="str">
        <f>HYPERLINK("https://hpr-rps.hres.ca/reg-content/summary-basis-decision-detailOne.php?lang=en&amp;linkID=SBD00064", "Flumist ®")</f>
        <v>Flumist ®</v>
      </c>
      <c r="B66" s="6" t="s">
        <v>249</v>
      </c>
      <c r="C66" s="6" t="s">
        <v>250</v>
      </c>
      <c r="D66" s="6" t="s">
        <v>251</v>
      </c>
      <c r="E66" s="6">
        <v>39583</v>
      </c>
      <c r="F66" s="6"/>
      <c r="G66" s="6"/>
      <c r="H66" s="6">
        <v>39601</v>
      </c>
      <c r="I66" s="6"/>
      <c r="J66" s="6"/>
      <c r="K66" s="6"/>
      <c r="L66" s="6"/>
      <c r="M66" s="6"/>
      <c r="N66" s="6"/>
      <c r="O66" s="6"/>
      <c r="P66" s="6"/>
      <c r="Q66" s="6"/>
      <c r="R66" s="6"/>
      <c r="S66" s="6"/>
      <c r="T66" s="6"/>
      <c r="U66" s="6"/>
      <c r="V66" s="6"/>
      <c r="W66" s="6"/>
      <c r="X66" s="6"/>
      <c r="Y66" s="6"/>
      <c r="Z66" s="6"/>
      <c r="AA66" s="6"/>
      <c r="AB66" s="6"/>
      <c r="AC66" s="6"/>
      <c r="AD66" s="6"/>
      <c r="AE66" s="6"/>
      <c r="AF66" s="6">
        <v>39647</v>
      </c>
      <c r="AG66" s="6"/>
      <c r="AH66" s="6"/>
      <c r="AI66" s="6"/>
      <c r="AJ66" s="6"/>
      <c r="AK66" s="6"/>
      <c r="AL66" s="6"/>
      <c r="AM66" s="6"/>
      <c r="AN66" s="6"/>
      <c r="AO66" s="6"/>
      <c r="AP66" s="6"/>
      <c r="AQ66" s="6"/>
      <c r="AR66" s="6"/>
      <c r="AS66" s="6"/>
      <c r="AT66" s="6"/>
      <c r="AU66" s="6"/>
      <c r="AV66" s="6">
        <v>39947</v>
      </c>
      <c r="AW66" s="6"/>
      <c r="AX66" s="6"/>
      <c r="AY66" s="6"/>
      <c r="AZ66" s="6">
        <v>39947</v>
      </c>
      <c r="BA66" s="6"/>
      <c r="BB66" s="6"/>
      <c r="BC66" s="6"/>
      <c r="BD66" s="6"/>
      <c r="BE66" s="6"/>
      <c r="BF66" s="6"/>
      <c r="BG66" s="6"/>
      <c r="BH66" s="6"/>
      <c r="BI66" s="6"/>
      <c r="BJ66" s="6"/>
      <c r="BK66" s="6"/>
      <c r="BL66" s="6"/>
      <c r="BM66" s="6"/>
      <c r="BN66" s="6"/>
      <c r="BO66" s="6"/>
      <c r="BP66" s="6"/>
      <c r="BQ66" s="6"/>
      <c r="BR66" s="6"/>
      <c r="BS66" s="6"/>
      <c r="BT66" s="6">
        <v>39947</v>
      </c>
      <c r="BU66" s="6"/>
      <c r="BV66" s="6"/>
      <c r="BW66" s="6"/>
      <c r="BX66" s="6"/>
      <c r="BY66" s="6">
        <v>40007</v>
      </c>
      <c r="BZ66" s="6"/>
      <c r="CA66" s="6"/>
      <c r="CB66" s="6"/>
      <c r="CC66" s="6"/>
      <c r="CD66" s="6"/>
      <c r="CE66" s="6"/>
      <c r="CF66" s="6"/>
      <c r="CG66" s="6"/>
      <c r="CH66" s="6"/>
      <c r="CI66" s="6"/>
      <c r="CJ66" s="6"/>
      <c r="CK66" s="6"/>
      <c r="CL66" s="6"/>
      <c r="CM66" s="6"/>
      <c r="CN66" s="6"/>
      <c r="CO66" s="6"/>
      <c r="CP66" s="6"/>
      <c r="CQ66" s="6"/>
      <c r="CR66" s="6">
        <v>40030</v>
      </c>
      <c r="CS66" s="6"/>
      <c r="CT66" s="6"/>
      <c r="CU66" s="6"/>
      <c r="CV66" s="6"/>
      <c r="CW66" s="6"/>
      <c r="CX66" s="6"/>
      <c r="CY66" s="6"/>
      <c r="CZ66" s="6"/>
      <c r="DA66" s="6"/>
      <c r="DB66" s="6"/>
      <c r="DC66" s="6"/>
      <c r="DD66" s="6">
        <v>40115</v>
      </c>
      <c r="DE66" s="6"/>
      <c r="DF66" s="6"/>
      <c r="DG66" s="6"/>
      <c r="DH66" s="6">
        <v>40088</v>
      </c>
      <c r="DI66" s="6"/>
      <c r="DJ66" s="6"/>
      <c r="DK66" s="6"/>
      <c r="DL66" s="6">
        <v>40122</v>
      </c>
      <c r="DM66" s="6"/>
      <c r="DN66" s="6"/>
      <c r="DO66" s="6"/>
      <c r="DP66" s="6"/>
      <c r="DQ66" s="6"/>
      <c r="DR66" s="6"/>
      <c r="DS66" s="6"/>
      <c r="DT66" s="6"/>
      <c r="DU66" s="6"/>
      <c r="DV66" s="6"/>
      <c r="DW66" s="6"/>
      <c r="DX66" s="6"/>
      <c r="DY66" s="6">
        <v>40133</v>
      </c>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row>
    <row r="67" spans="1:216" x14ac:dyDescent="0.3">
      <c r="A67" s="8" t="str">
        <f>HYPERLINK("https://hpr-rps.hres.ca/reg-content/summary-basis-decision-detailOne.php?lang=en&amp;linkID=SBD00065", "Fosrenol ®")</f>
        <v>Fosrenol ®</v>
      </c>
      <c r="B67" s="6" t="s">
        <v>252</v>
      </c>
      <c r="C67" s="6" t="s">
        <v>253</v>
      </c>
      <c r="D67" s="6" t="s">
        <v>254</v>
      </c>
      <c r="E67" s="6">
        <v>39583</v>
      </c>
      <c r="F67" s="6"/>
      <c r="G67" s="6"/>
      <c r="H67" s="6">
        <v>39601</v>
      </c>
      <c r="I67" s="6"/>
      <c r="J67" s="6"/>
      <c r="K67" s="6"/>
      <c r="L67" s="6"/>
      <c r="M67" s="6"/>
      <c r="N67" s="6"/>
      <c r="O67" s="6"/>
      <c r="P67" s="6"/>
      <c r="Q67" s="6"/>
      <c r="R67" s="6"/>
      <c r="S67" s="6"/>
      <c r="T67" s="6"/>
      <c r="U67" s="6"/>
      <c r="V67" s="6"/>
      <c r="W67" s="6"/>
      <c r="X67" s="6"/>
      <c r="Y67" s="6"/>
      <c r="Z67" s="6"/>
      <c r="AA67" s="6"/>
      <c r="AB67" s="6"/>
      <c r="AC67" s="6"/>
      <c r="AD67" s="6"/>
      <c r="AE67" s="6"/>
      <c r="AF67" s="6">
        <v>39647</v>
      </c>
      <c r="AG67" s="6"/>
      <c r="AH67" s="6"/>
      <c r="AI67" s="6"/>
      <c r="AJ67" s="6"/>
      <c r="AK67" s="6"/>
      <c r="AL67" s="6"/>
      <c r="AM67" s="6"/>
      <c r="AN67" s="6"/>
      <c r="AO67" s="6"/>
      <c r="AP67" s="6"/>
      <c r="AQ67" s="6"/>
      <c r="AR67" s="6"/>
      <c r="AS67" s="6"/>
      <c r="AT67" s="6"/>
      <c r="AU67" s="6"/>
      <c r="AV67" s="6">
        <v>39947</v>
      </c>
      <c r="AW67" s="6"/>
      <c r="AX67" s="6"/>
      <c r="AY67" s="6"/>
      <c r="AZ67" s="6">
        <v>39947</v>
      </c>
      <c r="BA67" s="6"/>
      <c r="BB67" s="6"/>
      <c r="BC67" s="6"/>
      <c r="BD67" s="6"/>
      <c r="BE67" s="6"/>
      <c r="BF67" s="6"/>
      <c r="BG67" s="6"/>
      <c r="BH67" s="6"/>
      <c r="BI67" s="6"/>
      <c r="BJ67" s="6"/>
      <c r="BK67" s="6"/>
      <c r="BL67" s="6"/>
      <c r="BM67" s="6"/>
      <c r="BN67" s="6"/>
      <c r="BO67" s="6"/>
      <c r="BP67" s="6"/>
      <c r="BQ67" s="6"/>
      <c r="BR67" s="6"/>
      <c r="BS67" s="6"/>
      <c r="BT67" s="6">
        <v>39947</v>
      </c>
      <c r="BU67" s="6"/>
      <c r="BV67" s="6"/>
      <c r="BW67" s="6"/>
      <c r="BX67" s="6"/>
      <c r="BY67" s="6">
        <v>40007</v>
      </c>
      <c r="BZ67" s="6"/>
      <c r="CA67" s="6"/>
      <c r="CB67" s="6"/>
      <c r="CC67" s="6"/>
      <c r="CD67" s="6"/>
      <c r="CE67" s="6"/>
      <c r="CF67" s="6"/>
      <c r="CG67" s="6"/>
      <c r="CH67" s="6"/>
      <c r="CI67" s="6"/>
      <c r="CJ67" s="6"/>
      <c r="CK67" s="6"/>
      <c r="CL67" s="6"/>
      <c r="CM67" s="6"/>
      <c r="CN67" s="6"/>
      <c r="CO67" s="6"/>
      <c r="CP67" s="6"/>
      <c r="CQ67" s="6"/>
      <c r="CR67" s="6">
        <v>40030</v>
      </c>
      <c r="CS67" s="6"/>
      <c r="CT67" s="6"/>
      <c r="CU67" s="6"/>
      <c r="CV67" s="6"/>
      <c r="CW67" s="6"/>
      <c r="CX67" s="6"/>
      <c r="CY67" s="6"/>
      <c r="CZ67" s="6"/>
      <c r="DA67" s="6"/>
      <c r="DB67" s="6"/>
      <c r="DC67" s="6"/>
      <c r="DD67" s="6">
        <v>40115</v>
      </c>
      <c r="DE67" s="6"/>
      <c r="DF67" s="6"/>
      <c r="DG67" s="6"/>
      <c r="DH67" s="6">
        <v>40088</v>
      </c>
      <c r="DI67" s="6"/>
      <c r="DJ67" s="6"/>
      <c r="DK67" s="6"/>
      <c r="DL67" s="6">
        <v>40122</v>
      </c>
      <c r="DM67" s="6"/>
      <c r="DN67" s="6"/>
      <c r="DO67" s="6"/>
      <c r="DP67" s="6"/>
      <c r="DQ67" s="6"/>
      <c r="DR67" s="6"/>
      <c r="DS67" s="6"/>
      <c r="DT67" s="6"/>
      <c r="DU67" s="6"/>
      <c r="DV67" s="6"/>
      <c r="DW67" s="6"/>
      <c r="DX67" s="6"/>
      <c r="DY67" s="6">
        <v>40133</v>
      </c>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row>
    <row r="68" spans="1:216" x14ac:dyDescent="0.3">
      <c r="A68" s="8" t="str">
        <f>HYPERLINK("https://hpr-rps.hres.ca/reg-content/summary-basis-decision-detailOne.php?lang=en&amp;linkID=SBD00066", "Gardasil TM")</f>
        <v>Gardasil TM</v>
      </c>
      <c r="B68" s="6" t="s">
        <v>255</v>
      </c>
      <c r="C68" s="6" t="s">
        <v>212</v>
      </c>
      <c r="D68" s="6" t="s">
        <v>256</v>
      </c>
      <c r="E68" s="6">
        <v>39315</v>
      </c>
      <c r="F68" s="6"/>
      <c r="G68" s="6">
        <v>39315</v>
      </c>
      <c r="H68" s="6">
        <v>39381</v>
      </c>
      <c r="I68" s="6"/>
      <c r="J68" s="6"/>
      <c r="K68" s="6"/>
      <c r="L68" s="6"/>
      <c r="M68" s="6"/>
      <c r="N68" s="6"/>
      <c r="O68" s="6"/>
      <c r="P68" s="6"/>
      <c r="Q68" s="6"/>
      <c r="R68" s="6"/>
      <c r="S68" s="6"/>
      <c r="T68" s="6"/>
      <c r="U68" s="6"/>
      <c r="V68" s="6"/>
      <c r="W68" s="6"/>
      <c r="X68" s="6"/>
      <c r="Y68" s="6"/>
      <c r="Z68" s="6"/>
      <c r="AA68" s="6"/>
      <c r="AB68" s="6"/>
      <c r="AC68" s="6"/>
      <c r="AD68" s="6"/>
      <c r="AE68" s="6"/>
      <c r="AF68" s="6">
        <v>39408</v>
      </c>
      <c r="AG68" s="6"/>
      <c r="AH68" s="6"/>
      <c r="AI68" s="6"/>
      <c r="AJ68" s="6"/>
      <c r="AK68" s="6"/>
      <c r="AL68" s="6"/>
      <c r="AM68" s="6"/>
      <c r="AN68" s="6"/>
      <c r="AO68" s="6"/>
      <c r="AP68" s="6"/>
      <c r="AQ68" s="6"/>
      <c r="AR68" s="6">
        <v>39605</v>
      </c>
      <c r="AS68" s="6">
        <v>39588</v>
      </c>
      <c r="AT68" s="6"/>
      <c r="AU68" s="6"/>
      <c r="AV68" s="6">
        <v>39409</v>
      </c>
      <c r="AW68" s="6"/>
      <c r="AX68" s="6"/>
      <c r="AY68" s="6"/>
      <c r="AZ68" s="6">
        <v>39647</v>
      </c>
      <c r="BA68" s="6"/>
      <c r="BB68" s="6"/>
      <c r="BC68" s="6"/>
      <c r="BD68" s="6"/>
      <c r="BE68" s="6"/>
      <c r="BF68" s="6"/>
      <c r="BG68" s="6"/>
      <c r="BH68" s="6"/>
      <c r="BI68" s="6"/>
      <c r="BJ68" s="6"/>
      <c r="BK68" s="6">
        <v>39608</v>
      </c>
      <c r="BL68" s="6">
        <v>39652</v>
      </c>
      <c r="BM68" s="6"/>
      <c r="BN68" s="6"/>
      <c r="BO68" s="6"/>
      <c r="BP68" s="6"/>
      <c r="BQ68" s="6"/>
      <c r="BR68" s="6"/>
      <c r="BS68" s="6"/>
      <c r="BT68" s="6"/>
      <c r="BU68" s="6"/>
      <c r="BV68" s="6"/>
      <c r="BW68" s="6"/>
      <c r="BX68" s="6"/>
      <c r="BY68" s="6">
        <v>39625</v>
      </c>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row>
    <row r="69" spans="1:216" x14ac:dyDescent="0.3">
      <c r="A69" s="8" t="str">
        <f>HYPERLINK("https://hpr-rps.hres.ca/reg-content/summary-basis-decision-detailOne.php?lang=en&amp;linkID=SBD00067", "Gilenya")</f>
        <v>Gilenya</v>
      </c>
      <c r="B69" s="6" t="s">
        <v>257</v>
      </c>
      <c r="C69" s="6" t="s">
        <v>87</v>
      </c>
      <c r="D69" s="6" t="s">
        <v>258</v>
      </c>
      <c r="E69" s="6"/>
      <c r="F69" s="6"/>
      <c r="G69" s="6"/>
      <c r="H69" s="6"/>
      <c r="I69" s="6"/>
      <c r="J69" s="6"/>
      <c r="K69" s="6"/>
      <c r="L69" s="6"/>
      <c r="M69" s="6"/>
      <c r="N69" s="6">
        <v>40448</v>
      </c>
      <c r="O69" s="6"/>
      <c r="P69" s="6"/>
      <c r="Q69" s="6"/>
      <c r="R69" s="6"/>
      <c r="S69" s="6"/>
      <c r="T69" s="6">
        <v>40498</v>
      </c>
      <c r="U69" s="6"/>
      <c r="V69" s="6">
        <v>40543</v>
      </c>
      <c r="W69" s="6"/>
      <c r="X69" s="6"/>
      <c r="Y69" s="6"/>
      <c r="Z69" s="6"/>
      <c r="AA69" s="6"/>
      <c r="AB69" s="6"/>
      <c r="AC69" s="6"/>
      <c r="AD69" s="6"/>
      <c r="AE69" s="6"/>
      <c r="AF69" s="6">
        <v>40592</v>
      </c>
      <c r="AG69" s="6"/>
      <c r="AH69" s="6"/>
      <c r="AI69" s="6"/>
      <c r="AJ69" s="6"/>
      <c r="AK69" s="6"/>
      <c r="AL69" s="6"/>
      <c r="AM69" s="6"/>
      <c r="AN69" s="6"/>
      <c r="AO69" s="6"/>
      <c r="AP69" s="6"/>
      <c r="AQ69" s="6"/>
      <c r="AR69" s="6">
        <v>40891</v>
      </c>
      <c r="AS69" s="6"/>
      <c r="AT69" s="6"/>
      <c r="AU69" s="6"/>
      <c r="AV69" s="6">
        <v>40890</v>
      </c>
      <c r="AW69" s="6"/>
      <c r="AX69" s="6">
        <v>40835</v>
      </c>
      <c r="AY69" s="6"/>
      <c r="AZ69" s="6">
        <v>40891</v>
      </c>
      <c r="BA69" s="6"/>
      <c r="BB69" s="6"/>
      <c r="BC69" s="6"/>
      <c r="BD69" s="6"/>
      <c r="BE69" s="6"/>
      <c r="BF69" s="6"/>
      <c r="BG69" s="6"/>
      <c r="BH69" s="6"/>
      <c r="BI69" s="6"/>
      <c r="BJ69" s="6"/>
      <c r="BK69" s="6"/>
      <c r="BL69" s="6"/>
      <c r="BM69" s="6">
        <v>40891</v>
      </c>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row>
    <row r="70" spans="1:216" x14ac:dyDescent="0.3">
      <c r="A70" s="8" t="str">
        <f>HYPERLINK("https://hpr-rps.hres.ca/reg-content/summary-basis-decision-detailOne.php?lang=en&amp;linkID=SBD00068", "Halaven TM")</f>
        <v>Halaven TM</v>
      </c>
      <c r="B70" s="6" t="s">
        <v>259</v>
      </c>
      <c r="C70" s="6" t="s">
        <v>90</v>
      </c>
      <c r="D70" s="6" t="s">
        <v>260</v>
      </c>
      <c r="E70" s="6"/>
      <c r="F70" s="6"/>
      <c r="G70" s="6"/>
      <c r="H70" s="6"/>
      <c r="I70" s="6"/>
      <c r="J70" s="6"/>
      <c r="K70" s="6"/>
      <c r="L70" s="6"/>
      <c r="M70" s="6"/>
      <c r="N70" s="6">
        <v>40448</v>
      </c>
      <c r="O70" s="6"/>
      <c r="P70" s="6"/>
      <c r="Q70" s="6"/>
      <c r="R70" s="6"/>
      <c r="S70" s="6"/>
      <c r="T70" s="6">
        <v>40498</v>
      </c>
      <c r="U70" s="6"/>
      <c r="V70" s="6">
        <v>40543</v>
      </c>
      <c r="W70" s="6"/>
      <c r="X70" s="6"/>
      <c r="Y70" s="6"/>
      <c r="Z70" s="6"/>
      <c r="AA70" s="6"/>
      <c r="AB70" s="6"/>
      <c r="AC70" s="6"/>
      <c r="AD70" s="6"/>
      <c r="AE70" s="6"/>
      <c r="AF70" s="6">
        <v>40592</v>
      </c>
      <c r="AG70" s="6"/>
      <c r="AH70" s="6"/>
      <c r="AI70" s="6"/>
      <c r="AJ70" s="6"/>
      <c r="AK70" s="6"/>
      <c r="AL70" s="6"/>
      <c r="AM70" s="6"/>
      <c r="AN70" s="6"/>
      <c r="AO70" s="6"/>
      <c r="AP70" s="6"/>
      <c r="AQ70" s="6"/>
      <c r="AR70" s="6">
        <v>40891</v>
      </c>
      <c r="AS70" s="6"/>
      <c r="AT70" s="6"/>
      <c r="AU70" s="6"/>
      <c r="AV70" s="6">
        <v>40890</v>
      </c>
      <c r="AW70" s="6"/>
      <c r="AX70" s="6">
        <v>40835</v>
      </c>
      <c r="AY70" s="6"/>
      <c r="AZ70" s="6">
        <v>40891</v>
      </c>
      <c r="BA70" s="6"/>
      <c r="BB70" s="6"/>
      <c r="BC70" s="6"/>
      <c r="BD70" s="6"/>
      <c r="BE70" s="6"/>
      <c r="BF70" s="6"/>
      <c r="BG70" s="6"/>
      <c r="BH70" s="6"/>
      <c r="BI70" s="6"/>
      <c r="BJ70" s="6"/>
      <c r="BK70" s="6"/>
      <c r="BL70" s="6"/>
      <c r="BM70" s="6">
        <v>40891</v>
      </c>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row>
    <row r="71" spans="1:216" x14ac:dyDescent="0.3">
      <c r="A71" s="8" t="str">
        <f>HYPERLINK("https://hpr-rps.hres.ca/reg-content/summary-basis-decision-detailOne.php?lang=en&amp;linkID=SBD00071", "Inlyta TM")</f>
        <v>Inlyta TM</v>
      </c>
      <c r="B71" s="6" t="s">
        <v>261</v>
      </c>
      <c r="C71" s="6" t="s">
        <v>143</v>
      </c>
      <c r="D71" s="6" t="s">
        <v>262</v>
      </c>
      <c r="E71" s="6">
        <v>40386</v>
      </c>
      <c r="F71" s="6"/>
      <c r="G71" s="6"/>
      <c r="H71" s="6">
        <v>40722</v>
      </c>
      <c r="I71" s="6"/>
      <c r="J71" s="6"/>
      <c r="K71" s="6"/>
      <c r="L71" s="6"/>
      <c r="M71" s="6"/>
      <c r="N71" s="6"/>
      <c r="O71" s="6"/>
      <c r="P71" s="6"/>
      <c r="Q71" s="6"/>
      <c r="R71" s="6"/>
      <c r="S71" s="6"/>
      <c r="T71" s="6"/>
      <c r="U71" s="6"/>
      <c r="V71" s="6"/>
      <c r="W71" s="6"/>
      <c r="X71" s="6"/>
      <c r="Y71" s="6"/>
      <c r="Z71" s="6">
        <v>40780</v>
      </c>
      <c r="AA71" s="6"/>
      <c r="AB71" s="6"/>
      <c r="AC71" s="6">
        <v>40788</v>
      </c>
      <c r="AD71" s="6"/>
      <c r="AE71" s="6"/>
      <c r="AF71" s="6">
        <v>40805</v>
      </c>
      <c r="AG71" s="6"/>
      <c r="AH71" s="6"/>
      <c r="AI71" s="6"/>
      <c r="AJ71" s="6"/>
      <c r="AK71" s="6"/>
      <c r="AL71" s="6"/>
      <c r="AM71" s="6"/>
      <c r="AN71" s="6"/>
      <c r="AO71" s="6"/>
      <c r="AP71" s="6"/>
      <c r="AQ71" s="6"/>
      <c r="AR71" s="6">
        <v>41101</v>
      </c>
      <c r="AS71" s="6">
        <v>40994</v>
      </c>
      <c r="AT71" s="6"/>
      <c r="AU71" s="6"/>
      <c r="AV71" s="6">
        <v>41100</v>
      </c>
      <c r="AW71" s="6"/>
      <c r="AX71" s="6">
        <v>40987</v>
      </c>
      <c r="AY71" s="6"/>
      <c r="AZ71" s="6">
        <v>41095</v>
      </c>
      <c r="BA71" s="6"/>
      <c r="BB71" s="6"/>
      <c r="BC71" s="6"/>
      <c r="BD71" s="6"/>
      <c r="BE71" s="6"/>
      <c r="BF71" s="6"/>
      <c r="BG71" s="6"/>
      <c r="BH71" s="6"/>
      <c r="BI71" s="6"/>
      <c r="BJ71" s="6"/>
      <c r="BK71" s="6"/>
      <c r="BL71" s="6"/>
      <c r="BM71" s="6">
        <v>41102</v>
      </c>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row>
    <row r="72" spans="1:216" x14ac:dyDescent="0.3">
      <c r="A72" s="8" t="str">
        <f>HYPERLINK("https://hpr-rps.hres.ca/reg-content/summary-basis-decision-detailOne.php?lang=en&amp;linkID=SBD00072", "INOmax ®")</f>
        <v>INOmax ®</v>
      </c>
      <c r="B72" s="6" t="s">
        <v>263</v>
      </c>
      <c r="C72" s="6" t="s">
        <v>264</v>
      </c>
      <c r="D72" s="6" t="s">
        <v>265</v>
      </c>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row>
    <row r="73" spans="1:216" x14ac:dyDescent="0.3">
      <c r="A73" s="8" t="str">
        <f>HYPERLINK("https://hpr-rps.hres.ca/reg-content/summary-basis-decision-detailOne.php?lang=en&amp;linkID=SBD00073", "Inspra TM/MC")</f>
        <v>Inspra TM/MC</v>
      </c>
      <c r="B73" s="6" t="s">
        <v>266</v>
      </c>
      <c r="C73" s="6" t="s">
        <v>143</v>
      </c>
      <c r="D73" s="6" t="s">
        <v>267</v>
      </c>
      <c r="E73" s="6">
        <v>39575</v>
      </c>
      <c r="F73" s="6">
        <v>39722</v>
      </c>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v>39927</v>
      </c>
      <c r="AM73" s="6"/>
      <c r="AN73" s="6"/>
      <c r="AO73" s="6"/>
      <c r="AP73" s="6"/>
      <c r="AQ73" s="6"/>
      <c r="AR73" s="6">
        <v>40347</v>
      </c>
      <c r="AS73" s="6">
        <v>40298</v>
      </c>
      <c r="AT73" s="6"/>
      <c r="AU73" s="6"/>
      <c r="AV73" s="6">
        <v>40339</v>
      </c>
      <c r="AW73" s="6"/>
      <c r="AX73" s="6"/>
      <c r="AY73" s="6"/>
      <c r="AZ73" s="6">
        <v>40357</v>
      </c>
      <c r="BA73" s="6"/>
      <c r="BB73" s="6"/>
      <c r="BC73" s="6"/>
      <c r="BD73" s="6"/>
      <c r="BE73" s="6"/>
      <c r="BF73" s="6">
        <v>39975</v>
      </c>
      <c r="BG73" s="6"/>
      <c r="BH73" s="6"/>
      <c r="BI73" s="6"/>
      <c r="BJ73" s="6"/>
      <c r="BK73" s="6"/>
      <c r="BL73" s="6"/>
      <c r="BM73" s="6">
        <v>40359</v>
      </c>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row>
    <row r="74" spans="1:216" x14ac:dyDescent="0.3">
      <c r="A74" s="8" t="str">
        <f>HYPERLINK("https://hpr-rps.hres.ca/reg-content/summary-basis-decision-detailOne.php?lang=en&amp;linkID=SBD00311", "Vyvanse TM")</f>
        <v>Vyvanse TM</v>
      </c>
      <c r="B74" s="6" t="s">
        <v>268</v>
      </c>
      <c r="C74" s="6" t="s">
        <v>269</v>
      </c>
      <c r="D74" s="6" t="s">
        <v>270</v>
      </c>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row>
    <row r="75" spans="1:216" x14ac:dyDescent="0.3">
      <c r="A75" s="8" t="str">
        <f>HYPERLINK("https://hpr-rps.hres.ca/reg-content/summary-basis-decision-detailOne.php?lang=en&amp;linkID=SBD00074", "Intelence")</f>
        <v>Intelence</v>
      </c>
      <c r="B75" s="6" t="s">
        <v>271</v>
      </c>
      <c r="C75" s="6" t="s">
        <v>196</v>
      </c>
      <c r="D75" s="6" t="s">
        <v>272</v>
      </c>
      <c r="E75" s="6">
        <v>39273</v>
      </c>
      <c r="F75" s="6"/>
      <c r="G75" s="6"/>
      <c r="H75" s="6"/>
      <c r="I75" s="6"/>
      <c r="J75" s="6"/>
      <c r="K75" s="6"/>
      <c r="L75" s="6"/>
      <c r="M75" s="6"/>
      <c r="N75" s="6">
        <v>39272</v>
      </c>
      <c r="O75" s="6"/>
      <c r="P75" s="6"/>
      <c r="Q75" s="6"/>
      <c r="R75" s="6"/>
      <c r="S75" s="6">
        <v>39290</v>
      </c>
      <c r="T75" s="6"/>
      <c r="U75" s="6"/>
      <c r="V75" s="6">
        <v>39317</v>
      </c>
      <c r="W75" s="6"/>
      <c r="X75" s="6"/>
      <c r="Y75" s="6"/>
      <c r="Z75" s="6"/>
      <c r="AA75" s="6"/>
      <c r="AB75" s="6"/>
      <c r="AC75" s="6"/>
      <c r="AD75" s="6"/>
      <c r="AE75" s="6"/>
      <c r="AF75" s="6">
        <v>39357</v>
      </c>
      <c r="AG75" s="6"/>
      <c r="AH75" s="6"/>
      <c r="AI75" s="6"/>
      <c r="AJ75" s="6"/>
      <c r="AK75" s="6"/>
      <c r="AL75" s="6"/>
      <c r="AM75" s="6"/>
      <c r="AN75" s="6"/>
      <c r="AO75" s="6"/>
      <c r="AP75" s="6"/>
      <c r="AQ75" s="6"/>
      <c r="AR75" s="6">
        <v>39526</v>
      </c>
      <c r="AS75" s="6"/>
      <c r="AT75" s="6"/>
      <c r="AU75" s="6"/>
      <c r="AV75" s="6">
        <v>39499</v>
      </c>
      <c r="AW75" s="6"/>
      <c r="AX75" s="6"/>
      <c r="AY75" s="6">
        <v>39487</v>
      </c>
      <c r="AZ75" s="6">
        <v>39511</v>
      </c>
      <c r="BA75" s="6"/>
      <c r="BB75" s="6"/>
      <c r="BC75" s="6"/>
      <c r="BD75" s="6"/>
      <c r="BE75" s="6"/>
      <c r="BF75" s="6"/>
      <c r="BG75" s="6"/>
      <c r="BH75" s="6"/>
      <c r="BI75" s="6"/>
      <c r="BJ75" s="6"/>
      <c r="BK75" s="6"/>
      <c r="BL75" s="6"/>
      <c r="BM75" s="6">
        <v>39534</v>
      </c>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row>
    <row r="76" spans="1:216" x14ac:dyDescent="0.3">
      <c r="A76" s="8" t="str">
        <f>HYPERLINK("https://hpr-rps.hres.ca/reg-content/summary-basis-decision-detailOne.php?lang=en&amp;linkID=SBD00075", "Invega")</f>
        <v>Invega</v>
      </c>
      <c r="B76" s="6" t="s">
        <v>273</v>
      </c>
      <c r="C76" s="6" t="s">
        <v>196</v>
      </c>
      <c r="D76" s="6" t="s">
        <v>274</v>
      </c>
      <c r="E76" s="6">
        <v>39575</v>
      </c>
      <c r="F76" s="6">
        <v>39722</v>
      </c>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v>39927</v>
      </c>
      <c r="AM76" s="6"/>
      <c r="AN76" s="6"/>
      <c r="AO76" s="6"/>
      <c r="AP76" s="6"/>
      <c r="AQ76" s="6"/>
      <c r="AR76" s="6">
        <v>40347</v>
      </c>
      <c r="AS76" s="6">
        <v>40298</v>
      </c>
      <c r="AT76" s="6"/>
      <c r="AU76" s="6"/>
      <c r="AV76" s="6">
        <v>40339</v>
      </c>
      <c r="AW76" s="6"/>
      <c r="AX76" s="6"/>
      <c r="AY76" s="6"/>
      <c r="AZ76" s="6">
        <v>40357</v>
      </c>
      <c r="BA76" s="6"/>
      <c r="BB76" s="6"/>
      <c r="BC76" s="6"/>
      <c r="BD76" s="6"/>
      <c r="BE76" s="6"/>
      <c r="BF76" s="6">
        <v>39975</v>
      </c>
      <c r="BG76" s="6"/>
      <c r="BH76" s="6"/>
      <c r="BI76" s="6"/>
      <c r="BJ76" s="6"/>
      <c r="BK76" s="6"/>
      <c r="BL76" s="6"/>
      <c r="BM76" s="6">
        <v>40359</v>
      </c>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row>
    <row r="77" spans="1:216" x14ac:dyDescent="0.3">
      <c r="A77" s="8" t="str">
        <f>HYPERLINK("https://hpr-rps.hres.ca/reg-content/summary-basis-decision-detailOne.php?lang=en&amp;linkID=SBD00076", "Invega ®")</f>
        <v>Invega ®</v>
      </c>
      <c r="B77" s="6" t="s">
        <v>275</v>
      </c>
      <c r="C77" s="6" t="s">
        <v>196</v>
      </c>
      <c r="D77" s="6" t="s">
        <v>276</v>
      </c>
      <c r="E77" s="6">
        <v>39575</v>
      </c>
      <c r="F77" s="6">
        <v>39722</v>
      </c>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v>39927</v>
      </c>
      <c r="AM77" s="6"/>
      <c r="AN77" s="6"/>
      <c r="AO77" s="6"/>
      <c r="AP77" s="6"/>
      <c r="AQ77" s="6"/>
      <c r="AR77" s="6">
        <v>40347</v>
      </c>
      <c r="AS77" s="6">
        <v>40298</v>
      </c>
      <c r="AT77" s="6"/>
      <c r="AU77" s="6"/>
      <c r="AV77" s="6">
        <v>40339</v>
      </c>
      <c r="AW77" s="6"/>
      <c r="AX77" s="6"/>
      <c r="AY77" s="6"/>
      <c r="AZ77" s="6">
        <v>40357</v>
      </c>
      <c r="BA77" s="6"/>
      <c r="BB77" s="6"/>
      <c r="BC77" s="6"/>
      <c r="BD77" s="6"/>
      <c r="BE77" s="6"/>
      <c r="BF77" s="6">
        <v>39975</v>
      </c>
      <c r="BG77" s="6"/>
      <c r="BH77" s="6"/>
      <c r="BI77" s="6"/>
      <c r="BJ77" s="6"/>
      <c r="BK77" s="6"/>
      <c r="BL77" s="6"/>
      <c r="BM77" s="6">
        <v>40359</v>
      </c>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row>
    <row r="78" spans="1:216" x14ac:dyDescent="0.3">
      <c r="A78" s="8" t="str">
        <f>HYPERLINK("https://hpr-rps.hres.ca/reg-content/summary-basis-decision-detailOne.php?lang=en&amp;linkID=SBD00077", "Isentress TM")</f>
        <v>Isentress TM</v>
      </c>
      <c r="B78" s="6" t="s">
        <v>277</v>
      </c>
      <c r="C78" s="6" t="s">
        <v>212</v>
      </c>
      <c r="D78" s="6" t="s">
        <v>278</v>
      </c>
      <c r="E78" s="6"/>
      <c r="F78" s="6"/>
      <c r="G78" s="6"/>
      <c r="H78" s="6"/>
      <c r="I78" s="6"/>
      <c r="J78" s="6"/>
      <c r="K78" s="6"/>
      <c r="L78" s="6"/>
      <c r="M78" s="6"/>
      <c r="N78" s="6">
        <v>39156</v>
      </c>
      <c r="O78" s="6"/>
      <c r="P78" s="6"/>
      <c r="Q78" s="6"/>
      <c r="R78" s="6"/>
      <c r="S78" s="6">
        <v>39174</v>
      </c>
      <c r="T78" s="6"/>
      <c r="U78" s="6"/>
      <c r="V78" s="6">
        <v>39190</v>
      </c>
      <c r="W78" s="6"/>
      <c r="X78" s="6"/>
      <c r="Y78" s="6"/>
      <c r="Z78" s="6"/>
      <c r="AA78" s="6"/>
      <c r="AB78" s="6"/>
      <c r="AC78" s="6"/>
      <c r="AD78" s="6"/>
      <c r="AE78" s="6"/>
      <c r="AF78" s="6">
        <v>39216</v>
      </c>
      <c r="AG78" s="6"/>
      <c r="AH78" s="6"/>
      <c r="AI78" s="6"/>
      <c r="AJ78" s="6"/>
      <c r="AK78" s="6"/>
      <c r="AL78" s="6"/>
      <c r="AM78" s="6"/>
      <c r="AN78" s="6"/>
      <c r="AO78" s="6"/>
      <c r="AP78" s="6"/>
      <c r="AQ78" s="6"/>
      <c r="AR78" s="6">
        <v>39399</v>
      </c>
      <c r="AS78" s="6"/>
      <c r="AT78" s="6"/>
      <c r="AU78" s="6"/>
      <c r="AV78" s="6">
        <v>39393</v>
      </c>
      <c r="AW78" s="6"/>
      <c r="AX78" s="6"/>
      <c r="AY78" s="6"/>
      <c r="AZ78" s="6">
        <v>39392</v>
      </c>
      <c r="BA78" s="6"/>
      <c r="BB78" s="6"/>
      <c r="BC78" s="6"/>
      <c r="BD78" s="6"/>
      <c r="BE78" s="6"/>
      <c r="BF78" s="6"/>
      <c r="BG78" s="6"/>
      <c r="BH78" s="6"/>
      <c r="BI78" s="6"/>
      <c r="BJ78" s="6"/>
      <c r="BK78" s="6">
        <v>39395</v>
      </c>
      <c r="BL78" s="6">
        <v>39413</v>
      </c>
      <c r="BM78" s="6"/>
      <c r="BN78" s="6"/>
      <c r="BO78" s="6"/>
      <c r="BP78" s="6"/>
      <c r="BQ78" s="6"/>
      <c r="BR78" s="6"/>
      <c r="BS78" s="6"/>
      <c r="BT78" s="6"/>
      <c r="BU78" s="6"/>
      <c r="BV78" s="6"/>
      <c r="BW78" s="6"/>
      <c r="BX78" s="6"/>
      <c r="BY78" s="6">
        <v>39400</v>
      </c>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row>
    <row r="79" spans="1:216" x14ac:dyDescent="0.3">
      <c r="A79" s="8" t="str">
        <f>HYPERLINK("https://hpr-rps.hres.ca/reg-content/summary-basis-decision-detailOne.php?lang=en&amp;linkID=SBD00078", "Ixiaro ®")</f>
        <v>Ixiaro ®</v>
      </c>
      <c r="B79" s="6" t="s">
        <v>279</v>
      </c>
      <c r="C79" s="6" t="s">
        <v>280</v>
      </c>
      <c r="D79" s="6" t="s">
        <v>281</v>
      </c>
      <c r="E79" s="6"/>
      <c r="F79" s="6"/>
      <c r="G79" s="6"/>
      <c r="H79" s="6"/>
      <c r="I79" s="6"/>
      <c r="J79" s="6"/>
      <c r="K79" s="6"/>
      <c r="L79" s="6"/>
      <c r="M79" s="6"/>
      <c r="N79" s="6">
        <v>39156</v>
      </c>
      <c r="O79" s="6"/>
      <c r="P79" s="6"/>
      <c r="Q79" s="6"/>
      <c r="R79" s="6"/>
      <c r="S79" s="6">
        <v>39174</v>
      </c>
      <c r="T79" s="6"/>
      <c r="U79" s="6"/>
      <c r="V79" s="6">
        <v>39190</v>
      </c>
      <c r="W79" s="6"/>
      <c r="X79" s="6"/>
      <c r="Y79" s="6"/>
      <c r="Z79" s="6"/>
      <c r="AA79" s="6"/>
      <c r="AB79" s="6"/>
      <c r="AC79" s="6"/>
      <c r="AD79" s="6"/>
      <c r="AE79" s="6"/>
      <c r="AF79" s="6">
        <v>39216</v>
      </c>
      <c r="AG79" s="6"/>
      <c r="AH79" s="6"/>
      <c r="AI79" s="6"/>
      <c r="AJ79" s="6"/>
      <c r="AK79" s="6"/>
      <c r="AL79" s="6"/>
      <c r="AM79" s="6"/>
      <c r="AN79" s="6"/>
      <c r="AO79" s="6"/>
      <c r="AP79" s="6"/>
      <c r="AQ79" s="6"/>
      <c r="AR79" s="6">
        <v>39399</v>
      </c>
      <c r="AS79" s="6"/>
      <c r="AT79" s="6"/>
      <c r="AU79" s="6"/>
      <c r="AV79" s="6">
        <v>39393</v>
      </c>
      <c r="AW79" s="6"/>
      <c r="AX79" s="6"/>
      <c r="AY79" s="6"/>
      <c r="AZ79" s="6">
        <v>39392</v>
      </c>
      <c r="BA79" s="6"/>
      <c r="BB79" s="6"/>
      <c r="BC79" s="6"/>
      <c r="BD79" s="6"/>
      <c r="BE79" s="6"/>
      <c r="BF79" s="6"/>
      <c r="BG79" s="6"/>
      <c r="BH79" s="6"/>
      <c r="BI79" s="6"/>
      <c r="BJ79" s="6"/>
      <c r="BK79" s="6">
        <v>39395</v>
      </c>
      <c r="BL79" s="6">
        <v>39413</v>
      </c>
      <c r="BM79" s="6"/>
      <c r="BN79" s="6"/>
      <c r="BO79" s="6"/>
      <c r="BP79" s="6"/>
      <c r="BQ79" s="6"/>
      <c r="BR79" s="6"/>
      <c r="BS79" s="6"/>
      <c r="BT79" s="6"/>
      <c r="BU79" s="6"/>
      <c r="BV79" s="6"/>
      <c r="BW79" s="6"/>
      <c r="BX79" s="6"/>
      <c r="BY79" s="6">
        <v>39400</v>
      </c>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6"/>
      <c r="GX79" s="6"/>
      <c r="GY79" s="6"/>
      <c r="GZ79" s="6"/>
      <c r="HA79" s="6"/>
      <c r="HB79" s="6"/>
      <c r="HC79" s="6"/>
      <c r="HD79" s="6"/>
      <c r="HE79" s="6"/>
      <c r="HF79" s="6"/>
      <c r="HG79" s="6"/>
      <c r="HH79" s="6"/>
    </row>
    <row r="80" spans="1:216" x14ac:dyDescent="0.3">
      <c r="A80" s="8" t="str">
        <f>HYPERLINK("https://hpr-rps.hres.ca/reg-content/summary-basis-decision-detailOne.php?lang=en&amp;linkID=SBD00079", "Jakavi")</f>
        <v>Jakavi</v>
      </c>
      <c r="B80" s="6" t="s">
        <v>282</v>
      </c>
      <c r="C80" s="6" t="s">
        <v>87</v>
      </c>
      <c r="D80" s="6" t="s">
        <v>283</v>
      </c>
      <c r="E80" s="6">
        <v>40311</v>
      </c>
      <c r="F80" s="6"/>
      <c r="G80" s="6"/>
      <c r="H80" s="6"/>
      <c r="I80" s="6"/>
      <c r="J80" s="6"/>
      <c r="K80" s="6"/>
      <c r="L80" s="6"/>
      <c r="M80" s="6"/>
      <c r="N80" s="6">
        <v>40323</v>
      </c>
      <c r="O80" s="6"/>
      <c r="P80" s="6"/>
      <c r="Q80" s="6"/>
      <c r="R80" s="6"/>
      <c r="S80" s="6"/>
      <c r="T80" s="6">
        <v>40359</v>
      </c>
      <c r="U80" s="6"/>
      <c r="V80" s="6">
        <v>40361</v>
      </c>
      <c r="W80" s="6"/>
      <c r="X80" s="6"/>
      <c r="Y80" s="6"/>
      <c r="Z80" s="6"/>
      <c r="AA80" s="6"/>
      <c r="AB80" s="6"/>
      <c r="AC80" s="6"/>
      <c r="AD80" s="6"/>
      <c r="AE80" s="6"/>
      <c r="AF80" s="6">
        <v>40410</v>
      </c>
      <c r="AG80" s="6"/>
      <c r="AH80" s="6"/>
      <c r="AI80" s="6"/>
      <c r="AJ80" s="6"/>
      <c r="AK80" s="6"/>
      <c r="AL80" s="6"/>
      <c r="AM80" s="6"/>
      <c r="AN80" s="6"/>
      <c r="AO80" s="6"/>
      <c r="AP80" s="6"/>
      <c r="AQ80" s="6"/>
      <c r="AR80" s="6">
        <v>40708</v>
      </c>
      <c r="AS80" s="6"/>
      <c r="AT80" s="6"/>
      <c r="AU80" s="6"/>
      <c r="AV80" s="6">
        <v>40709</v>
      </c>
      <c r="AW80" s="6"/>
      <c r="AX80" s="6">
        <v>40560</v>
      </c>
      <c r="AY80" s="6"/>
      <c r="AZ80" s="6">
        <v>40710</v>
      </c>
      <c r="BA80" s="6"/>
      <c r="BB80" s="6"/>
      <c r="BC80" s="6"/>
      <c r="BD80" s="6"/>
      <c r="BE80" s="6"/>
      <c r="BF80" s="6"/>
      <c r="BG80" s="6"/>
      <c r="BH80" s="6"/>
      <c r="BI80" s="6"/>
      <c r="BJ80" s="6"/>
      <c r="BK80" s="6"/>
      <c r="BL80" s="6"/>
      <c r="BM80" s="6">
        <v>40710</v>
      </c>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DZ80" s="6"/>
      <c r="EA80" s="6"/>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6"/>
      <c r="GX80" s="6"/>
      <c r="GY80" s="6"/>
      <c r="GZ80" s="6"/>
      <c r="HA80" s="6"/>
      <c r="HB80" s="6"/>
      <c r="HC80" s="6"/>
      <c r="HD80" s="6"/>
      <c r="HE80" s="6"/>
      <c r="HF80" s="6"/>
      <c r="HG80" s="6"/>
      <c r="HH80" s="6"/>
    </row>
    <row r="81" spans="1:216" x14ac:dyDescent="0.3">
      <c r="A81" s="8" t="str">
        <f>HYPERLINK("https://hpr-rps.hres.ca/reg-content/summary-basis-decision-detailOne.php?lang=en&amp;linkID=SBD00080", "Januvia TM")</f>
        <v>Januvia TM</v>
      </c>
      <c r="B81" s="6" t="s">
        <v>284</v>
      </c>
      <c r="C81" s="6" t="s">
        <v>212</v>
      </c>
      <c r="D81" s="6" t="s">
        <v>285</v>
      </c>
      <c r="E81" s="6">
        <v>38729</v>
      </c>
      <c r="F81" s="6"/>
      <c r="G81" s="6"/>
      <c r="H81" s="6">
        <v>38737</v>
      </c>
      <c r="I81" s="6"/>
      <c r="J81" s="6"/>
      <c r="K81" s="6"/>
      <c r="L81" s="6"/>
      <c r="M81" s="6"/>
      <c r="N81" s="6"/>
      <c r="O81" s="6"/>
      <c r="P81" s="6"/>
      <c r="Q81" s="6"/>
      <c r="R81" s="6"/>
      <c r="S81" s="6"/>
      <c r="T81" s="6"/>
      <c r="U81" s="6"/>
      <c r="V81" s="6"/>
      <c r="W81" s="6"/>
      <c r="X81" s="6"/>
      <c r="Y81" s="6"/>
      <c r="Z81" s="6">
        <v>38785</v>
      </c>
      <c r="AA81" s="6"/>
      <c r="AB81" s="6"/>
      <c r="AC81" s="6">
        <v>38803</v>
      </c>
      <c r="AD81" s="6"/>
      <c r="AE81" s="6"/>
      <c r="AF81" s="6">
        <v>38852</v>
      </c>
      <c r="AG81" s="6"/>
      <c r="AH81" s="6"/>
      <c r="AI81" s="6"/>
      <c r="AJ81" s="6"/>
      <c r="AK81" s="6"/>
      <c r="AL81" s="6"/>
      <c r="AM81" s="6"/>
      <c r="AN81" s="6"/>
      <c r="AO81" s="6"/>
      <c r="AP81" s="6"/>
      <c r="AQ81" s="6"/>
      <c r="AR81" s="6"/>
      <c r="AS81" s="6">
        <v>39065</v>
      </c>
      <c r="AT81" s="6"/>
      <c r="AU81" s="6"/>
      <c r="AV81" s="6">
        <v>39148</v>
      </c>
      <c r="AW81" s="6"/>
      <c r="AX81" s="6">
        <v>39127</v>
      </c>
      <c r="AY81" s="6"/>
      <c r="AZ81" s="6">
        <v>39149</v>
      </c>
      <c r="BA81" s="6"/>
      <c r="BB81" s="6"/>
      <c r="BC81" s="6"/>
      <c r="BD81" s="6"/>
      <c r="BE81" s="6"/>
      <c r="BF81" s="6"/>
      <c r="BG81" s="6"/>
      <c r="BH81" s="6"/>
      <c r="BI81" s="6"/>
      <c r="BJ81" s="6"/>
      <c r="BK81" s="6"/>
      <c r="BL81" s="6"/>
      <c r="BM81" s="6"/>
      <c r="BN81" s="6"/>
      <c r="BO81" s="6"/>
      <c r="BP81" s="6"/>
      <c r="BQ81" s="6"/>
      <c r="BR81" s="6"/>
      <c r="BS81" s="6"/>
      <c r="BT81" s="6">
        <v>39150</v>
      </c>
      <c r="BU81" s="6"/>
      <c r="BV81" s="6"/>
      <c r="BW81" s="6"/>
      <c r="BX81" s="6"/>
      <c r="BY81" s="6">
        <v>39240</v>
      </c>
      <c r="BZ81" s="6"/>
      <c r="CA81" s="6"/>
      <c r="CB81" s="6"/>
      <c r="CC81" s="6"/>
      <c r="CD81" s="6"/>
      <c r="CE81" s="6"/>
      <c r="CF81" s="6"/>
      <c r="CG81" s="6"/>
      <c r="CH81" s="6"/>
      <c r="CI81" s="6"/>
      <c r="CJ81" s="6"/>
      <c r="CK81" s="6"/>
      <c r="CL81" s="6"/>
      <c r="CM81" s="6"/>
      <c r="CN81" s="6"/>
      <c r="CO81" s="6"/>
      <c r="CP81" s="6"/>
      <c r="CQ81" s="6"/>
      <c r="CR81" s="6">
        <v>39282</v>
      </c>
      <c r="CS81" s="6"/>
      <c r="CT81" s="6"/>
      <c r="CU81" s="6"/>
      <c r="CV81" s="6"/>
      <c r="CW81" s="6"/>
      <c r="CX81" s="6"/>
      <c r="CY81" s="6"/>
      <c r="CZ81" s="6"/>
      <c r="DA81" s="6"/>
      <c r="DB81" s="6"/>
      <c r="DC81" s="6"/>
      <c r="DD81" s="6">
        <v>39430</v>
      </c>
      <c r="DE81" s="6"/>
      <c r="DF81" s="6"/>
      <c r="DG81" s="6"/>
      <c r="DH81" s="6">
        <v>39413</v>
      </c>
      <c r="DI81" s="6"/>
      <c r="DJ81" s="6">
        <v>39335</v>
      </c>
      <c r="DK81" s="6"/>
      <c r="DL81" s="6">
        <v>39429</v>
      </c>
      <c r="DM81" s="6"/>
      <c r="DN81" s="6"/>
      <c r="DO81" s="6"/>
      <c r="DP81" s="6"/>
      <c r="DQ81" s="6"/>
      <c r="DR81" s="6"/>
      <c r="DS81" s="6"/>
      <c r="DT81" s="6"/>
      <c r="DU81" s="6"/>
      <c r="DV81" s="6"/>
      <c r="DW81" s="6"/>
      <c r="DX81" s="6"/>
      <c r="DY81" s="6">
        <v>39430</v>
      </c>
      <c r="DZ81" s="6"/>
      <c r="EA81" s="6"/>
      <c r="EB81" s="6"/>
      <c r="EC81" s="6"/>
      <c r="ED81" s="6"/>
      <c r="EE81" s="6"/>
      <c r="EF81" s="6"/>
      <c r="EG81" s="6"/>
      <c r="EH81" s="6"/>
      <c r="EI81" s="6"/>
      <c r="EJ81" s="6"/>
      <c r="EK81" s="6"/>
      <c r="EL81" s="6"/>
      <c r="EM81" s="6"/>
      <c r="EN81" s="6"/>
      <c r="EO81" s="6"/>
      <c r="EP81" s="6"/>
      <c r="EQ81" s="6"/>
      <c r="ER81" s="6"/>
      <c r="ES81" s="6"/>
      <c r="ET81" s="6"/>
      <c r="EU81" s="6"/>
      <c r="EV81" s="6"/>
      <c r="EW81" s="6"/>
      <c r="EX81" s="6"/>
      <c r="EY81" s="6"/>
      <c r="EZ81" s="6"/>
      <c r="FA81" s="6"/>
      <c r="FB81" s="6"/>
      <c r="FC81" s="6"/>
      <c r="FD81" s="6"/>
      <c r="FE81" s="6"/>
      <c r="FF81" s="6"/>
      <c r="FG81" s="6"/>
      <c r="FH81" s="6"/>
      <c r="FI81" s="6"/>
      <c r="FJ81" s="6"/>
      <c r="FK81" s="6"/>
      <c r="FL81" s="6"/>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6"/>
      <c r="GX81" s="6"/>
      <c r="GY81" s="6"/>
      <c r="GZ81" s="6"/>
      <c r="HA81" s="6"/>
      <c r="HB81" s="6"/>
      <c r="HC81" s="6"/>
      <c r="HD81" s="6"/>
      <c r="HE81" s="6"/>
      <c r="HF81" s="6"/>
      <c r="HG81" s="6"/>
      <c r="HH81" s="6"/>
    </row>
    <row r="82" spans="1:216" x14ac:dyDescent="0.3">
      <c r="A82" s="8" t="str">
        <f>HYPERLINK("https://hpr-rps.hres.ca/reg-content/summary-basis-decision-detailOne.php?lang=en&amp;linkID=SBD00081", "Jevtana TM")</f>
        <v>Jevtana TM</v>
      </c>
      <c r="B82" s="6" t="s">
        <v>286</v>
      </c>
      <c r="C82" s="6" t="s">
        <v>102</v>
      </c>
      <c r="D82" s="6" t="s">
        <v>287</v>
      </c>
      <c r="E82" s="6">
        <v>40311</v>
      </c>
      <c r="F82" s="6"/>
      <c r="G82" s="6"/>
      <c r="H82" s="6"/>
      <c r="I82" s="6"/>
      <c r="J82" s="6"/>
      <c r="K82" s="6"/>
      <c r="L82" s="6"/>
      <c r="M82" s="6"/>
      <c r="N82" s="6">
        <v>40323</v>
      </c>
      <c r="O82" s="6"/>
      <c r="P82" s="6"/>
      <c r="Q82" s="6"/>
      <c r="R82" s="6"/>
      <c r="S82" s="6"/>
      <c r="T82" s="6">
        <v>40359</v>
      </c>
      <c r="U82" s="6"/>
      <c r="V82" s="6">
        <v>40361</v>
      </c>
      <c r="W82" s="6"/>
      <c r="X82" s="6"/>
      <c r="Y82" s="6"/>
      <c r="Z82" s="6"/>
      <c r="AA82" s="6"/>
      <c r="AB82" s="6"/>
      <c r="AC82" s="6"/>
      <c r="AD82" s="6"/>
      <c r="AE82" s="6"/>
      <c r="AF82" s="6">
        <v>40410</v>
      </c>
      <c r="AG82" s="6"/>
      <c r="AH82" s="6"/>
      <c r="AI82" s="6"/>
      <c r="AJ82" s="6"/>
      <c r="AK82" s="6"/>
      <c r="AL82" s="6"/>
      <c r="AM82" s="6"/>
      <c r="AN82" s="6"/>
      <c r="AO82" s="6"/>
      <c r="AP82" s="6"/>
      <c r="AQ82" s="6"/>
      <c r="AR82" s="6">
        <v>40708</v>
      </c>
      <c r="AS82" s="6"/>
      <c r="AT82" s="6"/>
      <c r="AU82" s="6"/>
      <c r="AV82" s="6">
        <v>40709</v>
      </c>
      <c r="AW82" s="6"/>
      <c r="AX82" s="6">
        <v>40560</v>
      </c>
      <c r="AY82" s="6"/>
      <c r="AZ82" s="6">
        <v>40710</v>
      </c>
      <c r="BA82" s="6"/>
      <c r="BB82" s="6"/>
      <c r="BC82" s="6"/>
      <c r="BD82" s="6"/>
      <c r="BE82" s="6"/>
      <c r="BF82" s="6"/>
      <c r="BG82" s="6"/>
      <c r="BH82" s="6"/>
      <c r="BI82" s="6"/>
      <c r="BJ82" s="6"/>
      <c r="BK82" s="6"/>
      <c r="BL82" s="6"/>
      <c r="BM82" s="6">
        <v>40710</v>
      </c>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DZ82" s="6"/>
      <c r="EA82" s="6"/>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6"/>
      <c r="GX82" s="6"/>
      <c r="GY82" s="6"/>
      <c r="GZ82" s="6"/>
      <c r="HA82" s="6"/>
      <c r="HB82" s="6"/>
      <c r="HC82" s="6"/>
      <c r="HD82" s="6"/>
      <c r="HE82" s="6"/>
      <c r="HF82" s="6"/>
      <c r="HG82" s="6"/>
      <c r="HH82" s="6"/>
    </row>
    <row r="83" spans="1:216" x14ac:dyDescent="0.3">
      <c r="A83" s="8" t="str">
        <f>HYPERLINK("https://hpr-rps.hres.ca/reg-content/summary-basis-decision-detailOne.php?lang=en&amp;linkID=SBD00082", "Kepivance ®")</f>
        <v>Kepivance ®</v>
      </c>
      <c r="B83" s="6" t="s">
        <v>288</v>
      </c>
      <c r="C83" s="6" t="s">
        <v>289</v>
      </c>
      <c r="D83" s="6" t="s">
        <v>290</v>
      </c>
      <c r="E83" s="6">
        <v>38167</v>
      </c>
      <c r="F83" s="6"/>
      <c r="G83" s="6"/>
      <c r="H83" s="6"/>
      <c r="I83" s="6"/>
      <c r="J83" s="6"/>
      <c r="K83" s="6"/>
      <c r="L83" s="6"/>
      <c r="M83" s="6"/>
      <c r="N83" s="6">
        <v>38152</v>
      </c>
      <c r="O83" s="6"/>
      <c r="P83" s="6"/>
      <c r="Q83" s="6"/>
      <c r="R83" s="6"/>
      <c r="S83" s="6">
        <v>38175</v>
      </c>
      <c r="T83" s="6"/>
      <c r="U83" s="6"/>
      <c r="V83" s="6">
        <v>38187</v>
      </c>
      <c r="W83" s="6"/>
      <c r="X83" s="6"/>
      <c r="Y83" s="6"/>
      <c r="Z83" s="6"/>
      <c r="AA83" s="6"/>
      <c r="AB83" s="6"/>
      <c r="AC83" s="6"/>
      <c r="AD83" s="6"/>
      <c r="AE83" s="6"/>
      <c r="AF83" s="6">
        <v>38212</v>
      </c>
      <c r="AG83" s="6"/>
      <c r="AH83" s="6"/>
      <c r="AI83" s="6"/>
      <c r="AJ83" s="6"/>
      <c r="AK83" s="6"/>
      <c r="AL83" s="6"/>
      <c r="AM83" s="6"/>
      <c r="AN83" s="6"/>
      <c r="AO83" s="6">
        <v>38251</v>
      </c>
      <c r="AP83" s="6"/>
      <c r="AQ83" s="6"/>
      <c r="AR83" s="6">
        <v>38680</v>
      </c>
      <c r="AS83" s="6"/>
      <c r="AT83" s="6"/>
      <c r="AU83" s="6"/>
      <c r="AV83" s="6">
        <v>38638</v>
      </c>
      <c r="AW83" s="6"/>
      <c r="AX83" s="6"/>
      <c r="AY83" s="6"/>
      <c r="AZ83" s="6">
        <v>38686</v>
      </c>
      <c r="BA83" s="6"/>
      <c r="BB83" s="6"/>
      <c r="BC83" s="6"/>
      <c r="BD83" s="6"/>
      <c r="BE83" s="6"/>
      <c r="BF83" s="6"/>
      <c r="BG83" s="6"/>
      <c r="BH83" s="6"/>
      <c r="BI83" s="6"/>
      <c r="BJ83" s="6"/>
      <c r="BK83" s="6"/>
      <c r="BL83" s="6"/>
      <c r="BM83" s="6">
        <v>38695</v>
      </c>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DZ83" s="6"/>
      <c r="EA83" s="6"/>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6"/>
      <c r="GX83" s="6"/>
      <c r="GY83" s="6"/>
      <c r="GZ83" s="6"/>
      <c r="HA83" s="6"/>
      <c r="HB83" s="6"/>
      <c r="HC83" s="6"/>
      <c r="HD83" s="6"/>
      <c r="HE83" s="6"/>
      <c r="HF83" s="6"/>
      <c r="HG83" s="6"/>
      <c r="HH83" s="6"/>
    </row>
    <row r="84" spans="1:216" x14ac:dyDescent="0.3">
      <c r="A84" s="8" t="str">
        <f>HYPERLINK("https://hpr-rps.hres.ca/reg-content/summary-basis-decision-detailOne.php?lang=en&amp;linkID=SBD00083", "Kuvan TM")</f>
        <v>Kuvan TM</v>
      </c>
      <c r="B84" s="6" t="s">
        <v>291</v>
      </c>
      <c r="C84" s="6" t="s">
        <v>292</v>
      </c>
      <c r="D84" s="6" t="s">
        <v>293</v>
      </c>
      <c r="E84" s="6">
        <v>40029</v>
      </c>
      <c r="F84" s="6"/>
      <c r="G84" s="6"/>
      <c r="H84" s="6"/>
      <c r="I84" s="6"/>
      <c r="J84" s="6"/>
      <c r="K84" s="6"/>
      <c r="L84" s="6"/>
      <c r="M84" s="6"/>
      <c r="N84" s="6">
        <v>39939</v>
      </c>
      <c r="O84" s="6"/>
      <c r="P84" s="6"/>
      <c r="Q84" s="6"/>
      <c r="R84" s="6"/>
      <c r="S84" s="6">
        <v>39994</v>
      </c>
      <c r="T84" s="6"/>
      <c r="U84" s="6"/>
      <c r="V84" s="6">
        <v>40024</v>
      </c>
      <c r="W84" s="6"/>
      <c r="X84" s="6"/>
      <c r="Y84" s="6"/>
      <c r="Z84" s="6">
        <v>40053</v>
      </c>
      <c r="AA84" s="6"/>
      <c r="AB84" s="6"/>
      <c r="AC84" s="6">
        <v>40094</v>
      </c>
      <c r="AD84" s="6"/>
      <c r="AE84" s="6"/>
      <c r="AF84" s="6">
        <v>40119</v>
      </c>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DZ84" s="6"/>
      <c r="EA84" s="6"/>
      <c r="EB84" s="6"/>
      <c r="EC84" s="6"/>
      <c r="ED84" s="6"/>
      <c r="EE84" s="6"/>
      <c r="EF84" s="6"/>
      <c r="EG84" s="6"/>
      <c r="EH84" s="6"/>
      <c r="EI84" s="6"/>
      <c r="EJ84" s="6"/>
      <c r="EK84" s="6"/>
      <c r="EL84" s="6"/>
      <c r="EM84" s="6"/>
      <c r="EN84" s="6"/>
      <c r="EO84" s="6"/>
      <c r="EP84" s="6"/>
      <c r="EQ84" s="6"/>
      <c r="ER84" s="6"/>
      <c r="ES84" s="6"/>
      <c r="ET84" s="6"/>
      <c r="EU84" s="6"/>
      <c r="EV84" s="6"/>
      <c r="EW84" s="6"/>
      <c r="EX84" s="6"/>
      <c r="EY84" s="6"/>
      <c r="EZ84" s="6"/>
      <c r="FA84" s="6"/>
      <c r="FB84" s="6"/>
      <c r="FC84" s="6"/>
      <c r="FD84" s="6"/>
      <c r="FE84" s="6"/>
      <c r="FF84" s="6"/>
      <c r="FG84" s="6"/>
      <c r="FH84" s="6"/>
      <c r="FI84" s="6"/>
      <c r="FJ84" s="6"/>
      <c r="FK84" s="6"/>
      <c r="FL84" s="6"/>
      <c r="FM84" s="6"/>
      <c r="FN84" s="6"/>
      <c r="FO84" s="6"/>
      <c r="FP84" s="6"/>
      <c r="FQ84" s="6"/>
      <c r="FR84" s="6"/>
      <c r="FS84" s="6"/>
      <c r="FT84" s="6"/>
      <c r="FU84" s="6"/>
      <c r="FV84" s="6"/>
      <c r="FW84" s="6"/>
      <c r="FX84" s="6"/>
      <c r="FY84" s="6"/>
      <c r="FZ84" s="6"/>
      <c r="GA84" s="6"/>
      <c r="GB84" s="6"/>
      <c r="GC84" s="6"/>
      <c r="GD84" s="6"/>
      <c r="GE84" s="6"/>
      <c r="GF84" s="6"/>
      <c r="GG84" s="6"/>
      <c r="GH84" s="6"/>
      <c r="GI84" s="6"/>
      <c r="GJ84" s="6"/>
      <c r="GK84" s="6"/>
      <c r="GL84" s="6"/>
      <c r="GM84" s="6"/>
      <c r="GN84" s="6"/>
      <c r="GO84" s="6"/>
      <c r="GP84" s="6"/>
      <c r="GQ84" s="6"/>
      <c r="GR84" s="6"/>
      <c r="GS84" s="6"/>
      <c r="GT84" s="6"/>
      <c r="GU84" s="6"/>
      <c r="GV84" s="6"/>
      <c r="GW84" s="6"/>
      <c r="GX84" s="6"/>
      <c r="GY84" s="6"/>
      <c r="GZ84" s="6"/>
      <c r="HA84" s="6"/>
      <c r="HB84" s="6"/>
      <c r="HC84" s="6"/>
      <c r="HD84" s="6"/>
      <c r="HE84" s="6"/>
      <c r="HF84" s="6"/>
      <c r="HG84" s="6"/>
      <c r="HH84" s="6"/>
    </row>
    <row r="85" spans="1:216" x14ac:dyDescent="0.3">
      <c r="A85" s="8" t="str">
        <f>HYPERLINK("https://hpr-rps.hres.ca/reg-content/summary-basis-decision-detailOne.php?lang=en&amp;linkID=SBD00084", "Latuda TM")</f>
        <v>Latuda TM</v>
      </c>
      <c r="B85" s="6" t="s">
        <v>294</v>
      </c>
      <c r="C85" s="6" t="s">
        <v>295</v>
      </c>
      <c r="D85" s="6" t="s">
        <v>296</v>
      </c>
      <c r="E85" s="6">
        <v>40029</v>
      </c>
      <c r="F85" s="6"/>
      <c r="G85" s="6"/>
      <c r="H85" s="6"/>
      <c r="I85" s="6"/>
      <c r="J85" s="6"/>
      <c r="K85" s="6"/>
      <c r="L85" s="6"/>
      <c r="M85" s="6"/>
      <c r="N85" s="6">
        <v>39939</v>
      </c>
      <c r="O85" s="6"/>
      <c r="P85" s="6"/>
      <c r="Q85" s="6"/>
      <c r="R85" s="6"/>
      <c r="S85" s="6">
        <v>39994</v>
      </c>
      <c r="T85" s="6"/>
      <c r="U85" s="6"/>
      <c r="V85" s="6">
        <v>40024</v>
      </c>
      <c r="W85" s="6"/>
      <c r="X85" s="6"/>
      <c r="Y85" s="6"/>
      <c r="Z85" s="6">
        <v>40053</v>
      </c>
      <c r="AA85" s="6"/>
      <c r="AB85" s="6"/>
      <c r="AC85" s="6">
        <v>40094</v>
      </c>
      <c r="AD85" s="6"/>
      <c r="AE85" s="6"/>
      <c r="AF85" s="6">
        <v>40119</v>
      </c>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row>
    <row r="86" spans="1:216" x14ac:dyDescent="0.3">
      <c r="A86" s="8" t="str">
        <f>HYPERLINK("https://hpr-rps.hres.ca/reg-content/summary-basis-decision-detailOne.php?lang=en&amp;linkID=SBD00085", "Leukoscan ®")</f>
        <v>Leukoscan ®</v>
      </c>
      <c r="B86" s="6" t="s">
        <v>297</v>
      </c>
      <c r="C86" s="6" t="s">
        <v>298</v>
      </c>
      <c r="D86" s="6" t="s">
        <v>299</v>
      </c>
      <c r="E86" s="6">
        <v>128261</v>
      </c>
      <c r="F86" s="6"/>
      <c r="G86" s="6"/>
      <c r="H86" s="6"/>
      <c r="I86" s="6"/>
      <c r="J86" s="6"/>
      <c r="K86" s="6"/>
      <c r="L86" s="6"/>
      <c r="M86" s="6"/>
      <c r="N86" s="6">
        <v>128381</v>
      </c>
      <c r="O86" s="6"/>
      <c r="P86" s="6"/>
      <c r="Q86" s="6"/>
      <c r="R86" s="6"/>
      <c r="S86" s="6"/>
      <c r="T86" s="6">
        <v>128551</v>
      </c>
      <c r="U86" s="6"/>
      <c r="V86" s="6">
        <v>128671</v>
      </c>
      <c r="W86" s="6"/>
      <c r="X86" s="6"/>
      <c r="Y86" s="6"/>
      <c r="Z86" s="6">
        <v>129080</v>
      </c>
      <c r="AA86" s="6"/>
      <c r="AB86" s="6"/>
      <c r="AC86" s="6">
        <v>129150</v>
      </c>
      <c r="AD86" s="6"/>
      <c r="AE86" s="6"/>
      <c r="AF86" s="6">
        <v>129490</v>
      </c>
      <c r="AG86" s="6"/>
      <c r="AH86" s="6"/>
      <c r="AI86" s="6"/>
      <c r="AJ86" s="6"/>
      <c r="AK86" s="6"/>
      <c r="AL86" s="6"/>
      <c r="AM86" s="6"/>
      <c r="AN86" s="6"/>
      <c r="AO86" s="6">
        <v>133010</v>
      </c>
      <c r="AP86" s="6"/>
      <c r="AQ86" s="6"/>
      <c r="AR86" s="6"/>
      <c r="AS86" s="6"/>
      <c r="AT86" s="6"/>
      <c r="AU86" s="6"/>
      <c r="AV86" s="6">
        <v>136230</v>
      </c>
      <c r="AW86" s="6"/>
      <c r="AX86" s="6"/>
      <c r="AY86" s="6"/>
      <c r="AZ86" s="6">
        <v>134541</v>
      </c>
      <c r="BA86" s="6">
        <v>132331</v>
      </c>
      <c r="BB86" s="6"/>
      <c r="BC86" s="6"/>
      <c r="BD86" s="6"/>
      <c r="BE86" s="6"/>
      <c r="BF86" s="6"/>
      <c r="BG86" s="6"/>
      <c r="BH86" s="6"/>
      <c r="BI86" s="6"/>
      <c r="BJ86" s="6"/>
      <c r="BK86" s="6"/>
      <c r="BL86" s="6"/>
      <c r="BM86" s="6"/>
      <c r="BN86" s="6"/>
      <c r="BO86" s="6"/>
      <c r="BP86" s="6"/>
      <c r="BQ86" s="6"/>
      <c r="BR86" s="6"/>
      <c r="BS86" s="6"/>
      <c r="BT86" s="6">
        <v>138251</v>
      </c>
      <c r="BU86" s="6"/>
      <c r="BV86" s="6"/>
      <c r="BW86" s="6"/>
      <c r="BX86" s="6"/>
      <c r="BY86" s="6">
        <v>139121</v>
      </c>
      <c r="BZ86" s="6"/>
      <c r="CA86" s="6"/>
      <c r="CB86" s="6"/>
      <c r="CC86" s="6"/>
      <c r="CD86" s="6"/>
      <c r="CE86" s="6"/>
      <c r="CF86" s="6"/>
      <c r="CG86" s="6"/>
      <c r="CH86" s="6"/>
      <c r="CI86" s="6"/>
      <c r="CJ86" s="6"/>
      <c r="CK86" s="6"/>
      <c r="CL86" s="6"/>
      <c r="CM86" s="6"/>
      <c r="CN86" s="6"/>
      <c r="CO86" s="6"/>
      <c r="CP86" s="6"/>
      <c r="CQ86" s="6"/>
      <c r="CR86" s="6">
        <v>139511</v>
      </c>
      <c r="CS86" s="6"/>
      <c r="CT86" s="6"/>
      <c r="CU86" s="6"/>
      <c r="CV86" s="6"/>
      <c r="CW86" s="6"/>
      <c r="CX86" s="6"/>
      <c r="CY86" s="6"/>
      <c r="CZ86" s="6"/>
      <c r="DA86" s="6"/>
      <c r="DB86" s="6"/>
      <c r="DC86" s="6"/>
      <c r="DD86" s="6"/>
      <c r="DE86" s="6"/>
      <c r="DF86" s="6"/>
      <c r="DG86" s="6"/>
      <c r="DH86" s="6">
        <v>37645</v>
      </c>
      <c r="DI86" s="6"/>
      <c r="DJ86" s="6"/>
      <c r="DK86" s="6"/>
      <c r="DL86" s="6">
        <v>37634</v>
      </c>
      <c r="DM86" s="6">
        <v>37242</v>
      </c>
      <c r="DN86" s="6"/>
      <c r="DO86" s="6"/>
      <c r="DP86" s="6"/>
      <c r="DQ86" s="6"/>
      <c r="DR86" s="6"/>
      <c r="DS86" s="6"/>
      <c r="DT86" s="6"/>
      <c r="DU86" s="6"/>
      <c r="DV86" s="6"/>
      <c r="DW86" s="6"/>
      <c r="DX86" s="6"/>
      <c r="DY86" s="6"/>
      <c r="DZ86" s="6"/>
      <c r="EA86" s="6"/>
      <c r="EB86" s="6"/>
      <c r="EC86" s="6"/>
      <c r="ED86" s="6"/>
      <c r="EE86" s="6">
        <v>37655</v>
      </c>
      <c r="EF86" s="6"/>
      <c r="EG86" s="6"/>
      <c r="EH86" s="6"/>
      <c r="EI86" s="6"/>
      <c r="EJ86" s="6"/>
      <c r="EK86" s="6"/>
      <c r="EL86" s="6"/>
      <c r="EM86" s="6"/>
      <c r="EN86" s="6"/>
      <c r="EO86" s="6"/>
      <c r="EP86" s="6"/>
      <c r="EQ86" s="6"/>
      <c r="ER86" s="6"/>
      <c r="ES86" s="6"/>
      <c r="ET86" s="6"/>
      <c r="EU86" s="6"/>
      <c r="EV86" s="6"/>
      <c r="EW86" s="6"/>
      <c r="EX86" s="6"/>
      <c r="EY86" s="6"/>
      <c r="EZ86" s="6"/>
      <c r="FA86" s="6"/>
      <c r="FB86" s="6"/>
      <c r="FC86" s="6"/>
      <c r="FD86" s="6"/>
      <c r="FE86" s="6"/>
      <c r="FF86" s="6"/>
      <c r="FG86" s="6"/>
      <c r="FH86" s="6"/>
      <c r="FI86" s="6"/>
      <c r="FJ86" s="6"/>
      <c r="FK86" s="6"/>
      <c r="FL86" s="6"/>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6"/>
      <c r="GX86" s="6"/>
      <c r="GY86" s="6"/>
      <c r="GZ86" s="6"/>
      <c r="HA86" s="6"/>
      <c r="HB86" s="6"/>
      <c r="HC86" s="6"/>
      <c r="HD86" s="6"/>
      <c r="HE86" s="6"/>
      <c r="HF86" s="6"/>
      <c r="HG86" s="6"/>
      <c r="HH86" s="6"/>
    </row>
    <row r="87" spans="1:216" x14ac:dyDescent="0.3">
      <c r="A87" s="8" t="str">
        <f>HYPERLINK("https://hpr-rps.hres.ca/reg-content/summary-basis-decision-detailOne.php?lang=en&amp;linkID=SBD00086", "Levemir ®")</f>
        <v>Levemir ®</v>
      </c>
      <c r="B87" s="6" t="s">
        <v>300</v>
      </c>
      <c r="C87" s="6" t="s">
        <v>301</v>
      </c>
      <c r="D87" s="6" t="s">
        <v>302</v>
      </c>
      <c r="E87" s="6">
        <v>38567</v>
      </c>
      <c r="F87" s="6"/>
      <c r="G87" s="6"/>
      <c r="H87" s="6"/>
      <c r="I87" s="6"/>
      <c r="J87" s="6"/>
      <c r="K87" s="6"/>
      <c r="L87" s="6"/>
      <c r="M87" s="6"/>
      <c r="N87" s="6">
        <v>38636</v>
      </c>
      <c r="O87" s="6"/>
      <c r="P87" s="6"/>
      <c r="Q87" s="6"/>
      <c r="R87" s="6"/>
      <c r="S87" s="6">
        <v>38665</v>
      </c>
      <c r="T87" s="6"/>
      <c r="U87" s="6"/>
      <c r="V87" s="6">
        <v>38715</v>
      </c>
      <c r="W87" s="6"/>
      <c r="X87" s="6"/>
      <c r="Y87" s="6"/>
      <c r="Z87" s="6"/>
      <c r="AA87" s="6"/>
      <c r="AB87" s="6"/>
      <c r="AC87" s="6"/>
      <c r="AD87" s="6"/>
      <c r="AE87" s="6"/>
      <c r="AF87" s="6">
        <v>38763</v>
      </c>
      <c r="AG87" s="6"/>
      <c r="AH87" s="6"/>
      <c r="AI87" s="6"/>
      <c r="AJ87" s="6"/>
      <c r="AK87" s="6"/>
      <c r="AL87" s="6"/>
      <c r="AM87" s="6"/>
      <c r="AN87" s="6"/>
      <c r="AO87" s="6"/>
      <c r="AP87" s="6"/>
      <c r="AQ87" s="6"/>
      <c r="AR87" s="6">
        <v>38929</v>
      </c>
      <c r="AS87" s="6"/>
      <c r="AT87" s="6"/>
      <c r="AU87" s="6"/>
      <c r="AV87" s="6">
        <v>38940</v>
      </c>
      <c r="AW87" s="6"/>
      <c r="AX87" s="6"/>
      <c r="AY87" s="6"/>
      <c r="AZ87" s="6">
        <v>38940</v>
      </c>
      <c r="BA87" s="6"/>
      <c r="BB87" s="6"/>
      <c r="BC87" s="6"/>
      <c r="BD87" s="6"/>
      <c r="BE87" s="6"/>
      <c r="BF87" s="6"/>
      <c r="BG87" s="6"/>
      <c r="BH87" s="6"/>
      <c r="BI87" s="6"/>
      <c r="BJ87" s="6"/>
      <c r="BK87" s="6"/>
      <c r="BL87" s="6"/>
      <c r="BM87" s="6">
        <v>38943</v>
      </c>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DZ87" s="6"/>
      <c r="EA87" s="6"/>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6"/>
      <c r="GX87" s="6"/>
      <c r="GY87" s="6"/>
      <c r="GZ87" s="6"/>
      <c r="HA87" s="6"/>
      <c r="HB87" s="6"/>
      <c r="HC87" s="6"/>
      <c r="HD87" s="6"/>
      <c r="HE87" s="6"/>
      <c r="HF87" s="6"/>
      <c r="HG87" s="6"/>
      <c r="HH87" s="6"/>
    </row>
    <row r="88" spans="1:216" x14ac:dyDescent="0.3">
      <c r="A88" s="8" t="str">
        <f>HYPERLINK("https://hpr-rps.hres.ca/reg-content/summary-basis-decision-detailOne.php?lang=en&amp;linkID=SBD00087", "Lucentis")</f>
        <v>Lucentis</v>
      </c>
      <c r="B88" s="6" t="s">
        <v>303</v>
      </c>
      <c r="C88" s="6" t="s">
        <v>304</v>
      </c>
      <c r="D88" s="6" t="s">
        <v>305</v>
      </c>
      <c r="E88" s="6">
        <v>38975</v>
      </c>
      <c r="F88" s="6"/>
      <c r="G88" s="6"/>
      <c r="H88" s="6"/>
      <c r="I88" s="6"/>
      <c r="J88" s="6"/>
      <c r="K88" s="6"/>
      <c r="L88" s="6"/>
      <c r="M88" s="6"/>
      <c r="N88" s="6">
        <v>38989</v>
      </c>
      <c r="O88" s="6"/>
      <c r="P88" s="6"/>
      <c r="Q88" s="6"/>
      <c r="R88" s="6"/>
      <c r="S88" s="6">
        <v>39013</v>
      </c>
      <c r="T88" s="6"/>
      <c r="U88" s="6"/>
      <c r="V88" s="6">
        <v>39056</v>
      </c>
      <c r="W88" s="6"/>
      <c r="X88" s="6"/>
      <c r="Y88" s="6"/>
      <c r="Z88" s="6"/>
      <c r="AA88" s="6"/>
      <c r="AB88" s="6"/>
      <c r="AC88" s="6"/>
      <c r="AD88" s="6"/>
      <c r="AE88" s="6"/>
      <c r="AF88" s="6">
        <v>39080</v>
      </c>
      <c r="AG88" s="6"/>
      <c r="AH88" s="6"/>
      <c r="AI88" s="6"/>
      <c r="AJ88" s="6"/>
      <c r="AK88" s="6"/>
      <c r="AL88" s="6"/>
      <c r="AM88" s="6"/>
      <c r="AN88" s="6"/>
      <c r="AO88" s="6"/>
      <c r="AP88" s="6"/>
      <c r="AQ88" s="6"/>
      <c r="AR88" s="6">
        <v>39239</v>
      </c>
      <c r="AS88" s="6">
        <v>39253</v>
      </c>
      <c r="AT88" s="6"/>
      <c r="AU88" s="6"/>
      <c r="AV88" s="6">
        <v>39255</v>
      </c>
      <c r="AW88" s="6"/>
      <c r="AX88" s="6">
        <v>39253</v>
      </c>
      <c r="AY88" s="6"/>
      <c r="AZ88" s="6">
        <v>39253</v>
      </c>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DZ88" s="6"/>
      <c r="EA88" s="6"/>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6"/>
      <c r="GX88" s="6"/>
      <c r="GY88" s="6"/>
      <c r="GZ88" s="6"/>
      <c r="HA88" s="6"/>
      <c r="HB88" s="6"/>
      <c r="HC88" s="6"/>
      <c r="HD88" s="6"/>
      <c r="HE88" s="6"/>
      <c r="HF88" s="6"/>
      <c r="HG88" s="6"/>
      <c r="HH88" s="6"/>
    </row>
    <row r="89" spans="1:216" x14ac:dyDescent="0.3">
      <c r="A89" s="8" t="str">
        <f>HYPERLINK("https://hpr-rps.hres.ca/reg-content/summary-basis-decision-detailOne.php?lang=en&amp;linkID=SBD00088", "Luveris ®")</f>
        <v>Luveris ®</v>
      </c>
      <c r="B89" s="6" t="s">
        <v>306</v>
      </c>
      <c r="C89" s="6" t="s">
        <v>307</v>
      </c>
      <c r="D89" s="6" t="s">
        <v>308</v>
      </c>
      <c r="E89" s="6"/>
      <c r="F89" s="6"/>
      <c r="G89" s="6"/>
      <c r="H89" s="6"/>
      <c r="I89" s="6"/>
      <c r="J89" s="6"/>
      <c r="K89" s="6"/>
      <c r="L89" s="6"/>
      <c r="M89" s="6"/>
      <c r="N89" s="6">
        <v>135381</v>
      </c>
      <c r="O89" s="6"/>
      <c r="P89" s="6"/>
      <c r="Q89" s="6"/>
      <c r="R89" s="6"/>
      <c r="S89" s="6"/>
      <c r="T89" s="6">
        <v>135661</v>
      </c>
      <c r="U89" s="6"/>
      <c r="V89" s="6">
        <v>135861</v>
      </c>
      <c r="W89" s="6"/>
      <c r="X89" s="6"/>
      <c r="Y89" s="6"/>
      <c r="Z89" s="6"/>
      <c r="AA89" s="6"/>
      <c r="AB89" s="6"/>
      <c r="AC89" s="6">
        <v>140210</v>
      </c>
      <c r="AD89" s="6">
        <v>139311</v>
      </c>
      <c r="AE89" s="6"/>
      <c r="AF89" s="6">
        <v>136310</v>
      </c>
      <c r="AG89" s="6"/>
      <c r="AH89" s="6"/>
      <c r="AI89" s="6"/>
      <c r="AJ89" s="6"/>
      <c r="AK89" s="6"/>
      <c r="AL89" s="6"/>
      <c r="AM89" s="6"/>
      <c r="AN89" s="6"/>
      <c r="AO89" s="6">
        <v>37536</v>
      </c>
      <c r="AP89" s="6"/>
      <c r="AQ89" s="6"/>
      <c r="AR89" s="6"/>
      <c r="AS89" s="6"/>
      <c r="AT89" s="6"/>
      <c r="AU89" s="6"/>
      <c r="AV89" s="6">
        <v>37705</v>
      </c>
      <c r="AW89" s="6"/>
      <c r="AX89" s="6"/>
      <c r="AY89" s="6"/>
      <c r="AZ89" s="6">
        <v>37637</v>
      </c>
      <c r="BA89" s="6">
        <v>132331</v>
      </c>
      <c r="BB89" s="6"/>
      <c r="BC89" s="6"/>
      <c r="BD89" s="6"/>
      <c r="BE89" s="6"/>
      <c r="BF89" s="6"/>
      <c r="BG89" s="6"/>
      <c r="BH89" s="6"/>
      <c r="BI89" s="6"/>
      <c r="BJ89" s="6"/>
      <c r="BK89" s="6"/>
      <c r="BL89" s="6"/>
      <c r="BM89" s="6"/>
      <c r="BN89" s="6"/>
      <c r="BO89" s="6"/>
      <c r="BP89" s="6"/>
      <c r="BQ89" s="6"/>
      <c r="BR89" s="6"/>
      <c r="BS89" s="6"/>
      <c r="BT89" s="6">
        <v>37713</v>
      </c>
      <c r="BU89" s="6"/>
      <c r="BV89" s="6"/>
      <c r="BW89" s="6"/>
      <c r="BX89" s="6"/>
      <c r="BY89" s="6">
        <v>37796</v>
      </c>
      <c r="BZ89" s="6"/>
      <c r="CA89" s="6"/>
      <c r="CB89" s="6"/>
      <c r="CC89" s="6"/>
      <c r="CD89" s="6"/>
      <c r="CE89" s="6"/>
      <c r="CF89" s="6"/>
      <c r="CG89" s="6"/>
      <c r="CH89" s="6"/>
      <c r="CI89" s="6"/>
      <c r="CJ89" s="6"/>
      <c r="CK89" s="6"/>
      <c r="CL89" s="6"/>
      <c r="CM89" s="6"/>
      <c r="CN89" s="6"/>
      <c r="CO89" s="6"/>
      <c r="CP89" s="6"/>
      <c r="CQ89" s="6"/>
      <c r="CR89" s="6">
        <v>37825</v>
      </c>
      <c r="CS89" s="6"/>
      <c r="CT89" s="6"/>
      <c r="CU89" s="6"/>
      <c r="CV89" s="6"/>
      <c r="CW89" s="6"/>
      <c r="CX89" s="6"/>
      <c r="CY89" s="6"/>
      <c r="CZ89" s="6"/>
      <c r="DA89" s="6"/>
      <c r="DB89" s="6"/>
      <c r="DC89" s="6"/>
      <c r="DD89" s="6"/>
      <c r="DE89" s="6"/>
      <c r="DF89" s="6"/>
      <c r="DG89" s="6"/>
      <c r="DH89" s="6">
        <v>37967</v>
      </c>
      <c r="DI89" s="6"/>
      <c r="DJ89" s="6"/>
      <c r="DK89" s="6"/>
      <c r="DL89" s="6">
        <v>38509</v>
      </c>
      <c r="DM89" s="6"/>
      <c r="DN89" s="6"/>
      <c r="DO89" s="6"/>
      <c r="DP89" s="6"/>
      <c r="DQ89" s="6">
        <v>38405</v>
      </c>
      <c r="DR89" s="6"/>
      <c r="DS89" s="6"/>
      <c r="DT89" s="6"/>
      <c r="DU89" s="6"/>
      <c r="DV89" s="6"/>
      <c r="DW89" s="6"/>
      <c r="DX89" s="6"/>
      <c r="DY89" s="6">
        <v>38527</v>
      </c>
      <c r="DZ89" s="6"/>
      <c r="EA89" s="6"/>
      <c r="EB89" s="6"/>
      <c r="EC89" s="6"/>
      <c r="ED89" s="6"/>
      <c r="EE89" s="6"/>
      <c r="EF89" s="6"/>
      <c r="EG89" s="6"/>
      <c r="EH89" s="6"/>
      <c r="EI89" s="6"/>
      <c r="EJ89" s="6"/>
      <c r="EK89" s="6"/>
      <c r="EL89" s="6"/>
      <c r="EM89" s="6"/>
      <c r="EN89" s="6"/>
      <c r="EO89" s="6"/>
      <c r="EP89" s="6"/>
      <c r="EQ89" s="6"/>
      <c r="ER89" s="6"/>
      <c r="ES89" s="6"/>
      <c r="ET89" s="6"/>
      <c r="EU89" s="6"/>
      <c r="EV89" s="6"/>
      <c r="EW89" s="6"/>
      <c r="EX89" s="6"/>
      <c r="EY89" s="6"/>
      <c r="EZ89" s="6"/>
      <c r="FA89" s="6"/>
      <c r="FB89" s="6"/>
      <c r="FC89" s="6"/>
      <c r="FD89" s="6"/>
      <c r="FE89" s="6"/>
      <c r="FF89" s="6"/>
      <c r="FG89" s="6"/>
      <c r="FH89" s="6"/>
      <c r="FI89" s="6"/>
      <c r="FJ89" s="6"/>
      <c r="FK89" s="6"/>
      <c r="FL89" s="6"/>
      <c r="FM89" s="6"/>
      <c r="FN89" s="6"/>
      <c r="FO89" s="6"/>
      <c r="FP89" s="6"/>
      <c r="FQ89" s="6"/>
      <c r="FR89" s="6"/>
      <c r="FS89" s="6"/>
      <c r="FT89" s="6"/>
      <c r="FU89" s="6"/>
      <c r="FV89" s="6"/>
      <c r="FW89" s="6"/>
      <c r="FX89" s="6"/>
      <c r="FY89" s="6"/>
      <c r="FZ89" s="6"/>
      <c r="GA89" s="6"/>
      <c r="GB89" s="6"/>
      <c r="GC89" s="6"/>
      <c r="GD89" s="6"/>
      <c r="GE89" s="6"/>
      <c r="GF89" s="6"/>
      <c r="GG89" s="6"/>
      <c r="GH89" s="6"/>
      <c r="GI89" s="6"/>
      <c r="GJ89" s="6"/>
      <c r="GK89" s="6"/>
      <c r="GL89" s="6"/>
      <c r="GM89" s="6"/>
      <c r="GN89" s="6"/>
      <c r="GO89" s="6"/>
      <c r="GP89" s="6"/>
      <c r="GQ89" s="6"/>
      <c r="GR89" s="6"/>
      <c r="GS89" s="6"/>
      <c r="GT89" s="6"/>
      <c r="GU89" s="6"/>
      <c r="GV89" s="6"/>
      <c r="GW89" s="6"/>
      <c r="GX89" s="6"/>
      <c r="GY89" s="6"/>
      <c r="GZ89" s="6"/>
      <c r="HA89" s="6"/>
      <c r="HB89" s="6"/>
      <c r="HC89" s="6"/>
      <c r="HD89" s="6"/>
      <c r="HE89" s="6"/>
      <c r="HF89" s="6"/>
      <c r="HG89" s="6"/>
      <c r="HH89" s="6"/>
    </row>
    <row r="90" spans="1:216" x14ac:dyDescent="0.3">
      <c r="A90" s="8" t="str">
        <f>HYPERLINK("https://hpr-rps.hres.ca/reg-content/summary-basis-decision-detailOne.php?lang=en&amp;linkID=SBD00089", "Lyrica")</f>
        <v>Lyrica</v>
      </c>
      <c r="B90" s="6" t="s">
        <v>309</v>
      </c>
      <c r="C90" s="6" t="s">
        <v>143</v>
      </c>
      <c r="D90" s="6" t="s">
        <v>310</v>
      </c>
      <c r="E90" s="6">
        <v>38198</v>
      </c>
      <c r="F90" s="6"/>
      <c r="G90" s="6"/>
      <c r="H90" s="6">
        <v>37956</v>
      </c>
      <c r="I90" s="6"/>
      <c r="J90" s="6"/>
      <c r="K90" s="6"/>
      <c r="L90" s="6"/>
      <c r="M90" s="6"/>
      <c r="N90" s="6"/>
      <c r="O90" s="6"/>
      <c r="P90" s="6"/>
      <c r="Q90" s="6"/>
      <c r="R90" s="6"/>
      <c r="S90" s="6"/>
      <c r="T90" s="6"/>
      <c r="U90" s="6"/>
      <c r="V90" s="6"/>
      <c r="W90" s="6"/>
      <c r="X90" s="6"/>
      <c r="Y90" s="6"/>
      <c r="Z90" s="6"/>
      <c r="AA90" s="6"/>
      <c r="AB90" s="6"/>
      <c r="AC90" s="6"/>
      <c r="AD90" s="6"/>
      <c r="AE90" s="6"/>
      <c r="AF90" s="6">
        <v>38000</v>
      </c>
      <c r="AG90" s="6"/>
      <c r="AH90" s="6"/>
      <c r="AI90" s="6"/>
      <c r="AJ90" s="6"/>
      <c r="AK90" s="6"/>
      <c r="AL90" s="6"/>
      <c r="AM90" s="6"/>
      <c r="AN90" s="6"/>
      <c r="AO90" s="6"/>
      <c r="AP90" s="6"/>
      <c r="AQ90" s="6"/>
      <c r="AR90" s="6">
        <v>38505</v>
      </c>
      <c r="AS90" s="6"/>
      <c r="AT90" s="6"/>
      <c r="AU90" s="6"/>
      <c r="AV90" s="6">
        <v>38279</v>
      </c>
      <c r="AW90" s="6"/>
      <c r="AX90" s="6"/>
      <c r="AY90" s="6"/>
      <c r="AZ90" s="6">
        <v>38503</v>
      </c>
      <c r="BA90" s="6"/>
      <c r="BB90" s="6"/>
      <c r="BC90" s="6"/>
      <c r="BD90" s="6"/>
      <c r="BE90" s="6"/>
      <c r="BF90" s="6"/>
      <c r="BG90" s="6"/>
      <c r="BH90" s="6"/>
      <c r="BI90" s="6"/>
      <c r="BJ90" s="6"/>
      <c r="BK90" s="6"/>
      <c r="BL90" s="6"/>
      <c r="BM90" s="6">
        <v>38506</v>
      </c>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DZ90" s="6"/>
      <c r="EA90" s="6"/>
      <c r="EB90" s="6"/>
      <c r="EC90" s="6"/>
      <c r="ED90" s="6"/>
      <c r="EE90" s="6"/>
      <c r="EF90" s="6"/>
      <c r="EG90" s="6"/>
      <c r="EH90" s="6"/>
      <c r="EI90" s="6"/>
      <c r="EJ90" s="6"/>
      <c r="EK90" s="6"/>
      <c r="EL90" s="6"/>
      <c r="EM90" s="6"/>
      <c r="EN90" s="6"/>
      <c r="EO90" s="6"/>
      <c r="EP90" s="6"/>
      <c r="EQ90" s="6"/>
      <c r="ER90" s="6"/>
      <c r="ES90" s="6"/>
      <c r="ET90" s="6"/>
      <c r="EU90" s="6"/>
      <c r="EV90" s="6"/>
      <c r="EW90" s="6"/>
      <c r="EX90" s="6"/>
      <c r="EY90" s="6"/>
      <c r="EZ90" s="6"/>
      <c r="FA90" s="6"/>
      <c r="FB90" s="6"/>
      <c r="FC90" s="6"/>
      <c r="FD90" s="6"/>
      <c r="FE90" s="6"/>
      <c r="FF90" s="6"/>
      <c r="FG90" s="6"/>
      <c r="FH90" s="6"/>
      <c r="FI90" s="6"/>
      <c r="FJ90" s="6"/>
      <c r="FK90" s="6"/>
      <c r="FL90" s="6"/>
      <c r="FM90" s="6"/>
      <c r="FN90" s="6"/>
      <c r="FO90" s="6"/>
      <c r="FP90" s="6"/>
      <c r="FQ90" s="6"/>
      <c r="FR90" s="6"/>
      <c r="FS90" s="6"/>
      <c r="FT90" s="6"/>
      <c r="FU90" s="6"/>
      <c r="FV90" s="6"/>
      <c r="FW90" s="6"/>
      <c r="FX90" s="6"/>
      <c r="FY90" s="6"/>
      <c r="FZ90" s="6"/>
      <c r="GA90" s="6"/>
      <c r="GB90" s="6"/>
      <c r="GC90" s="6"/>
      <c r="GD90" s="6"/>
      <c r="GE90" s="6"/>
      <c r="GF90" s="6"/>
      <c r="GG90" s="6"/>
      <c r="GH90" s="6"/>
      <c r="GI90" s="6"/>
      <c r="GJ90" s="6"/>
      <c r="GK90" s="6"/>
      <c r="GL90" s="6"/>
      <c r="GM90" s="6"/>
      <c r="GN90" s="6"/>
      <c r="GO90" s="6"/>
      <c r="GP90" s="6"/>
      <c r="GQ90" s="6"/>
      <c r="GR90" s="6"/>
      <c r="GS90" s="6"/>
      <c r="GT90" s="6"/>
      <c r="GU90" s="6"/>
      <c r="GV90" s="6"/>
      <c r="GW90" s="6"/>
      <c r="GX90" s="6"/>
      <c r="GY90" s="6"/>
      <c r="GZ90" s="6"/>
      <c r="HA90" s="6"/>
      <c r="HB90" s="6"/>
      <c r="HC90" s="6"/>
      <c r="HD90" s="6"/>
      <c r="HE90" s="6"/>
      <c r="HF90" s="6"/>
      <c r="HG90" s="6"/>
      <c r="HH90" s="6"/>
    </row>
    <row r="91" spans="1:216" x14ac:dyDescent="0.3">
      <c r="A91" s="8" t="str">
        <f>HYPERLINK("https://hpr-rps.hres.ca/reg-content/summary-basis-decision-detailOne.php?lang=en&amp;linkID=SBD00090", "Mabcampath ®")</f>
        <v>Mabcampath ®</v>
      </c>
      <c r="B91" s="6" t="s">
        <v>311</v>
      </c>
      <c r="C91" s="6" t="s">
        <v>312</v>
      </c>
      <c r="D91" s="6" t="s">
        <v>313</v>
      </c>
      <c r="E91" s="6"/>
      <c r="F91" s="6"/>
      <c r="G91" s="6"/>
      <c r="H91" s="6"/>
      <c r="I91" s="6"/>
      <c r="J91" s="6"/>
      <c r="K91" s="6"/>
      <c r="L91" s="6"/>
      <c r="M91" s="6"/>
      <c r="N91" s="6">
        <v>140990</v>
      </c>
      <c r="O91" s="6"/>
      <c r="P91" s="6"/>
      <c r="Q91" s="6"/>
      <c r="R91" s="6"/>
      <c r="S91" s="6"/>
      <c r="T91" s="6">
        <v>37147</v>
      </c>
      <c r="U91" s="6"/>
      <c r="V91" s="6">
        <v>38478</v>
      </c>
      <c r="W91" s="6"/>
      <c r="X91" s="6"/>
      <c r="Y91" s="6"/>
      <c r="Z91" s="6">
        <v>37246</v>
      </c>
      <c r="AA91" s="6"/>
      <c r="AB91" s="6"/>
      <c r="AC91" s="6">
        <v>37288</v>
      </c>
      <c r="AD91" s="6"/>
      <c r="AE91" s="6"/>
      <c r="AF91" s="6">
        <v>37302</v>
      </c>
      <c r="AG91" s="6"/>
      <c r="AH91" s="6"/>
      <c r="AI91" s="6"/>
      <c r="AJ91" s="6"/>
      <c r="AK91" s="6"/>
      <c r="AL91" s="6"/>
      <c r="AM91" s="6"/>
      <c r="AN91" s="6"/>
      <c r="AO91" s="6"/>
      <c r="AP91" s="6"/>
      <c r="AQ91" s="6"/>
      <c r="AR91" s="6">
        <v>38680</v>
      </c>
      <c r="AS91" s="6"/>
      <c r="AT91" s="6"/>
      <c r="AU91" s="6"/>
      <c r="AV91" s="6">
        <v>38344</v>
      </c>
      <c r="AW91" s="6"/>
      <c r="AX91" s="6"/>
      <c r="AY91" s="6"/>
      <c r="AZ91" s="6">
        <v>38681</v>
      </c>
      <c r="BA91" s="6"/>
      <c r="BB91" s="6"/>
      <c r="BC91" s="6"/>
      <c r="BD91" s="6"/>
      <c r="BE91" s="6"/>
      <c r="BF91" s="6"/>
      <c r="BG91" s="6"/>
      <c r="BH91" s="6"/>
      <c r="BI91" s="6"/>
      <c r="BJ91" s="6"/>
      <c r="BK91" s="6"/>
      <c r="BL91" s="6"/>
      <c r="BM91" s="6">
        <v>38686</v>
      </c>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DZ91" s="6"/>
      <c r="EA91" s="6"/>
      <c r="EB91" s="6"/>
      <c r="EC91" s="6"/>
      <c r="ED91" s="6"/>
      <c r="EE91" s="6"/>
      <c r="EF91" s="6"/>
      <c r="EG91" s="6"/>
      <c r="EH91" s="6"/>
      <c r="EI91" s="6"/>
      <c r="EJ91" s="6"/>
      <c r="EK91" s="6"/>
      <c r="EL91" s="6"/>
      <c r="EM91" s="6"/>
      <c r="EN91" s="6"/>
      <c r="EO91" s="6"/>
      <c r="EP91" s="6"/>
      <c r="EQ91" s="6"/>
      <c r="ER91" s="6"/>
      <c r="ES91" s="6"/>
      <c r="ET91" s="6"/>
      <c r="EU91" s="6"/>
      <c r="EV91" s="6"/>
      <c r="EW91" s="6"/>
      <c r="EX91" s="6"/>
      <c r="EY91" s="6"/>
      <c r="EZ91" s="6"/>
      <c r="FA91" s="6"/>
      <c r="FB91" s="6"/>
      <c r="FC91" s="6"/>
      <c r="FD91" s="6"/>
      <c r="FE91" s="6"/>
      <c r="FF91" s="6"/>
      <c r="FG91" s="6"/>
      <c r="FH91" s="6"/>
      <c r="FI91" s="6"/>
      <c r="FJ91" s="6"/>
      <c r="FK91" s="6"/>
      <c r="FL91" s="6"/>
      <c r="FM91" s="6"/>
      <c r="FN91" s="6"/>
      <c r="FO91" s="6"/>
      <c r="FP91" s="6"/>
      <c r="FQ91" s="6"/>
      <c r="FR91" s="6"/>
      <c r="FS91" s="6"/>
      <c r="FT91" s="6"/>
      <c r="FU91" s="6"/>
      <c r="FV91" s="6"/>
      <c r="FW91" s="6"/>
      <c r="FX91" s="6"/>
      <c r="FY91" s="6"/>
      <c r="FZ91" s="6"/>
      <c r="GA91" s="6"/>
      <c r="GB91" s="6"/>
      <c r="GC91" s="6"/>
      <c r="GD91" s="6"/>
      <c r="GE91" s="6"/>
      <c r="GF91" s="6"/>
      <c r="GG91" s="6"/>
      <c r="GH91" s="6"/>
      <c r="GI91" s="6"/>
      <c r="GJ91" s="6"/>
      <c r="GK91" s="6"/>
      <c r="GL91" s="6"/>
      <c r="GM91" s="6"/>
      <c r="GN91" s="6"/>
      <c r="GO91" s="6"/>
      <c r="GP91" s="6"/>
      <c r="GQ91" s="6"/>
      <c r="GR91" s="6"/>
      <c r="GS91" s="6"/>
      <c r="GT91" s="6"/>
      <c r="GU91" s="6"/>
      <c r="GV91" s="6"/>
      <c r="GW91" s="6"/>
      <c r="GX91" s="6"/>
      <c r="GY91" s="6"/>
      <c r="GZ91" s="6"/>
      <c r="HA91" s="6"/>
      <c r="HB91" s="6"/>
      <c r="HC91" s="6"/>
      <c r="HD91" s="6"/>
      <c r="HE91" s="6"/>
      <c r="HF91" s="6"/>
      <c r="HG91" s="6"/>
      <c r="HH91" s="6"/>
    </row>
    <row r="92" spans="1:216" x14ac:dyDescent="0.3">
      <c r="A92" s="8" t="str">
        <f>HYPERLINK("https://hpr-rps.hres.ca/reg-content/summary-basis-decision-detailOne.php?lang=en&amp;linkID=SBD00091", "Macugen")</f>
        <v>Macugen</v>
      </c>
      <c r="B92" s="6" t="s">
        <v>314</v>
      </c>
      <c r="C92" s="6" t="s">
        <v>143</v>
      </c>
      <c r="D92" s="6" t="s">
        <v>315</v>
      </c>
      <c r="E92" s="6"/>
      <c r="F92" s="6"/>
      <c r="G92" s="6"/>
      <c r="H92" s="6">
        <v>40535</v>
      </c>
      <c r="I92" s="6"/>
      <c r="J92" s="6"/>
      <c r="K92" s="6"/>
      <c r="L92" s="6"/>
      <c r="M92" s="6"/>
      <c r="N92" s="6"/>
      <c r="O92" s="6"/>
      <c r="P92" s="6"/>
      <c r="Q92" s="6"/>
      <c r="R92" s="6"/>
      <c r="S92" s="6"/>
      <c r="T92" s="6"/>
      <c r="U92" s="6"/>
      <c r="V92" s="6"/>
      <c r="W92" s="6"/>
      <c r="X92" s="6"/>
      <c r="Y92" s="6"/>
      <c r="Z92" s="6">
        <v>40592</v>
      </c>
      <c r="AA92" s="6"/>
      <c r="AB92" s="6"/>
      <c r="AC92" s="6">
        <v>40626</v>
      </c>
      <c r="AD92" s="6"/>
      <c r="AE92" s="6"/>
      <c r="AF92" s="6">
        <v>40683</v>
      </c>
      <c r="AG92" s="6"/>
      <c r="AH92" s="6"/>
      <c r="AI92" s="6"/>
      <c r="AJ92" s="6"/>
      <c r="AK92" s="6"/>
      <c r="AL92" s="6"/>
      <c r="AM92" s="6"/>
      <c r="AN92" s="6"/>
      <c r="AO92" s="6"/>
      <c r="AP92" s="6"/>
      <c r="AQ92" s="6"/>
      <c r="AR92" s="6">
        <v>41034</v>
      </c>
      <c r="AS92" s="6"/>
      <c r="AT92" s="6"/>
      <c r="AU92" s="6"/>
      <c r="AV92" s="6">
        <v>41039</v>
      </c>
      <c r="AW92" s="6"/>
      <c r="AX92" s="6"/>
      <c r="AY92" s="6"/>
      <c r="AZ92" s="6">
        <v>40959</v>
      </c>
      <c r="BA92" s="6"/>
      <c r="BB92" s="6"/>
      <c r="BC92" s="6"/>
      <c r="BD92" s="6"/>
      <c r="BE92" s="6"/>
      <c r="BF92" s="6"/>
      <c r="BG92" s="6"/>
      <c r="BH92" s="6"/>
      <c r="BI92" s="6"/>
      <c r="BJ92" s="6"/>
      <c r="BK92" s="6"/>
      <c r="BL92" s="6"/>
      <c r="BM92" s="6">
        <v>41040</v>
      </c>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row>
    <row r="93" spans="1:216" x14ac:dyDescent="0.3">
      <c r="A93" s="8" t="str">
        <f>HYPERLINK("https://hpr-rps.hres.ca/reg-content/summary-basis-decision-detailOne.php?lang=en&amp;linkID=SBD00092", "Menveo TM")</f>
        <v>Menveo TM</v>
      </c>
      <c r="B93" s="6" t="s">
        <v>316</v>
      </c>
      <c r="C93" s="6" t="s">
        <v>317</v>
      </c>
      <c r="D93" s="6" t="s">
        <v>318</v>
      </c>
      <c r="E93" s="6"/>
      <c r="F93" s="6"/>
      <c r="G93" s="6"/>
      <c r="H93" s="6">
        <v>39078</v>
      </c>
      <c r="I93" s="6"/>
      <c r="J93" s="6"/>
      <c r="K93" s="6"/>
      <c r="L93" s="6"/>
      <c r="M93" s="6"/>
      <c r="N93" s="6"/>
      <c r="O93" s="6"/>
      <c r="P93" s="6"/>
      <c r="Q93" s="6"/>
      <c r="R93" s="6"/>
      <c r="S93" s="6"/>
      <c r="T93" s="6"/>
      <c r="U93" s="6"/>
      <c r="V93" s="6"/>
      <c r="W93" s="6"/>
      <c r="X93" s="6"/>
      <c r="Y93" s="6"/>
      <c r="Z93" s="6"/>
      <c r="AA93" s="6"/>
      <c r="AB93" s="6"/>
      <c r="AC93" s="6"/>
      <c r="AD93" s="6"/>
      <c r="AE93" s="6"/>
      <c r="AF93" s="6">
        <v>39134</v>
      </c>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v>39434</v>
      </c>
      <c r="BQ93" s="6"/>
      <c r="BR93" s="6"/>
      <c r="BS93" s="6"/>
      <c r="BT93" s="6"/>
      <c r="BU93" s="6"/>
      <c r="BV93" s="6"/>
      <c r="BW93" s="6"/>
      <c r="BX93" s="6"/>
      <c r="BY93" s="6">
        <v>39524</v>
      </c>
      <c r="BZ93" s="6"/>
      <c r="CA93" s="6"/>
      <c r="CB93" s="6"/>
      <c r="CC93" s="6"/>
      <c r="CD93" s="6"/>
      <c r="CE93" s="6"/>
      <c r="CF93" s="6"/>
      <c r="CG93" s="6"/>
      <c r="CH93" s="6"/>
      <c r="CI93" s="6"/>
      <c r="CJ93" s="6"/>
      <c r="CK93" s="6"/>
      <c r="CL93" s="6"/>
      <c r="CM93" s="6"/>
      <c r="CN93" s="6"/>
      <c r="CO93" s="6"/>
      <c r="CP93" s="6"/>
      <c r="CQ93" s="6"/>
      <c r="CR93" s="6">
        <v>39570</v>
      </c>
      <c r="CS93" s="6"/>
      <c r="CT93" s="6"/>
      <c r="CU93" s="6"/>
      <c r="CV93" s="6"/>
      <c r="CW93" s="6"/>
      <c r="CX93" s="6"/>
      <c r="CY93" s="6"/>
      <c r="CZ93" s="6"/>
      <c r="DA93" s="6"/>
      <c r="DB93" s="6"/>
      <c r="DC93" s="6"/>
      <c r="DD93" s="6">
        <v>39870</v>
      </c>
      <c r="DE93" s="6"/>
      <c r="DF93" s="6"/>
      <c r="DG93" s="6"/>
      <c r="DH93" s="6">
        <v>39870</v>
      </c>
      <c r="DI93" s="6"/>
      <c r="DJ93" s="6"/>
      <c r="DK93" s="6"/>
      <c r="DL93" s="6">
        <v>39869</v>
      </c>
      <c r="DM93" s="6"/>
      <c r="DN93" s="6"/>
      <c r="DO93" s="6"/>
      <c r="DP93" s="6"/>
      <c r="DQ93" s="6"/>
      <c r="DR93" s="6"/>
      <c r="DS93" s="6"/>
      <c r="DT93" s="6"/>
      <c r="DU93" s="6"/>
      <c r="DV93" s="6"/>
      <c r="DW93" s="6"/>
      <c r="DX93" s="6"/>
      <c r="DY93" s="6">
        <v>39870</v>
      </c>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row>
    <row r="94" spans="1:216" x14ac:dyDescent="0.3">
      <c r="A94" s="8" t="str">
        <f>HYPERLINK("https://hpr-rps.hres.ca/reg-content/summary-basis-decision-detailOne.php?lang=en&amp;linkID=SBD00093", "Metvix TM")</f>
        <v>Metvix TM</v>
      </c>
      <c r="B94" s="6" t="s">
        <v>319</v>
      </c>
      <c r="C94" s="6" t="s">
        <v>204</v>
      </c>
      <c r="D94" s="6" t="s">
        <v>320</v>
      </c>
      <c r="E94" s="6"/>
      <c r="F94" s="6"/>
      <c r="G94" s="6"/>
      <c r="H94" s="6">
        <v>39078</v>
      </c>
      <c r="I94" s="6"/>
      <c r="J94" s="6"/>
      <c r="K94" s="6"/>
      <c r="L94" s="6"/>
      <c r="M94" s="6"/>
      <c r="N94" s="6"/>
      <c r="O94" s="6"/>
      <c r="P94" s="6"/>
      <c r="Q94" s="6"/>
      <c r="R94" s="6"/>
      <c r="S94" s="6"/>
      <c r="T94" s="6"/>
      <c r="U94" s="6"/>
      <c r="V94" s="6"/>
      <c r="W94" s="6"/>
      <c r="X94" s="6"/>
      <c r="Y94" s="6"/>
      <c r="Z94" s="6"/>
      <c r="AA94" s="6"/>
      <c r="AB94" s="6"/>
      <c r="AC94" s="6"/>
      <c r="AD94" s="6"/>
      <c r="AE94" s="6"/>
      <c r="AF94" s="6">
        <v>39134</v>
      </c>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v>39434</v>
      </c>
      <c r="BQ94" s="6"/>
      <c r="BR94" s="6"/>
      <c r="BS94" s="6"/>
      <c r="BT94" s="6"/>
      <c r="BU94" s="6"/>
      <c r="BV94" s="6"/>
      <c r="BW94" s="6"/>
      <c r="BX94" s="6"/>
      <c r="BY94" s="6">
        <v>39524</v>
      </c>
      <c r="BZ94" s="6"/>
      <c r="CA94" s="6"/>
      <c r="CB94" s="6"/>
      <c r="CC94" s="6"/>
      <c r="CD94" s="6"/>
      <c r="CE94" s="6"/>
      <c r="CF94" s="6"/>
      <c r="CG94" s="6"/>
      <c r="CH94" s="6"/>
      <c r="CI94" s="6"/>
      <c r="CJ94" s="6"/>
      <c r="CK94" s="6"/>
      <c r="CL94" s="6"/>
      <c r="CM94" s="6"/>
      <c r="CN94" s="6"/>
      <c r="CO94" s="6"/>
      <c r="CP94" s="6"/>
      <c r="CQ94" s="6"/>
      <c r="CR94" s="6">
        <v>39570</v>
      </c>
      <c r="CS94" s="6"/>
      <c r="CT94" s="6"/>
      <c r="CU94" s="6"/>
      <c r="CV94" s="6"/>
      <c r="CW94" s="6"/>
      <c r="CX94" s="6"/>
      <c r="CY94" s="6"/>
      <c r="CZ94" s="6"/>
      <c r="DA94" s="6"/>
      <c r="DB94" s="6"/>
      <c r="DC94" s="6"/>
      <c r="DD94" s="6">
        <v>39870</v>
      </c>
      <c r="DE94" s="6"/>
      <c r="DF94" s="6"/>
      <c r="DG94" s="6"/>
      <c r="DH94" s="6">
        <v>39870</v>
      </c>
      <c r="DI94" s="6"/>
      <c r="DJ94" s="6"/>
      <c r="DK94" s="6"/>
      <c r="DL94" s="6">
        <v>39869</v>
      </c>
      <c r="DM94" s="6"/>
      <c r="DN94" s="6"/>
      <c r="DO94" s="6"/>
      <c r="DP94" s="6"/>
      <c r="DQ94" s="6"/>
      <c r="DR94" s="6"/>
      <c r="DS94" s="6"/>
      <c r="DT94" s="6"/>
      <c r="DU94" s="6"/>
      <c r="DV94" s="6"/>
      <c r="DW94" s="6"/>
      <c r="DX94" s="6"/>
      <c r="DY94" s="6">
        <v>39870</v>
      </c>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row>
    <row r="95" spans="1:216" x14ac:dyDescent="0.3">
      <c r="A95" s="8" t="str">
        <f>HYPERLINK("https://hpr-rps.hres.ca/reg-content/summary-basis-decision-detailOne.php?lang=en&amp;linkID=SBD00094", "Mircera TM")</f>
        <v>Mircera TM</v>
      </c>
      <c r="B95" s="6" t="s">
        <v>321</v>
      </c>
      <c r="C95" s="6" t="s">
        <v>322</v>
      </c>
      <c r="D95" s="6" t="s">
        <v>323</v>
      </c>
      <c r="E95" s="6"/>
      <c r="F95" s="6"/>
      <c r="G95" s="6"/>
      <c r="H95" s="6">
        <v>39078</v>
      </c>
      <c r="I95" s="6"/>
      <c r="J95" s="6"/>
      <c r="K95" s="6"/>
      <c r="L95" s="6"/>
      <c r="M95" s="6"/>
      <c r="N95" s="6"/>
      <c r="O95" s="6"/>
      <c r="P95" s="6"/>
      <c r="Q95" s="6"/>
      <c r="R95" s="6"/>
      <c r="S95" s="6"/>
      <c r="T95" s="6"/>
      <c r="U95" s="6"/>
      <c r="V95" s="6"/>
      <c r="W95" s="6"/>
      <c r="X95" s="6"/>
      <c r="Y95" s="6"/>
      <c r="Z95" s="6"/>
      <c r="AA95" s="6"/>
      <c r="AB95" s="6"/>
      <c r="AC95" s="6"/>
      <c r="AD95" s="6"/>
      <c r="AE95" s="6"/>
      <c r="AF95" s="6">
        <v>39134</v>
      </c>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v>39434</v>
      </c>
      <c r="BQ95" s="6"/>
      <c r="BR95" s="6"/>
      <c r="BS95" s="6"/>
      <c r="BT95" s="6"/>
      <c r="BU95" s="6"/>
      <c r="BV95" s="6"/>
      <c r="BW95" s="6"/>
      <c r="BX95" s="6"/>
      <c r="BY95" s="6">
        <v>39524</v>
      </c>
      <c r="BZ95" s="6"/>
      <c r="CA95" s="6"/>
      <c r="CB95" s="6"/>
      <c r="CC95" s="6"/>
      <c r="CD95" s="6"/>
      <c r="CE95" s="6"/>
      <c r="CF95" s="6"/>
      <c r="CG95" s="6"/>
      <c r="CH95" s="6"/>
      <c r="CI95" s="6"/>
      <c r="CJ95" s="6"/>
      <c r="CK95" s="6"/>
      <c r="CL95" s="6"/>
      <c r="CM95" s="6"/>
      <c r="CN95" s="6"/>
      <c r="CO95" s="6"/>
      <c r="CP95" s="6"/>
      <c r="CQ95" s="6"/>
      <c r="CR95" s="6">
        <v>39570</v>
      </c>
      <c r="CS95" s="6"/>
      <c r="CT95" s="6"/>
      <c r="CU95" s="6"/>
      <c r="CV95" s="6"/>
      <c r="CW95" s="6"/>
      <c r="CX95" s="6"/>
      <c r="CY95" s="6"/>
      <c r="CZ95" s="6"/>
      <c r="DA95" s="6"/>
      <c r="DB95" s="6"/>
      <c r="DC95" s="6"/>
      <c r="DD95" s="6">
        <v>39870</v>
      </c>
      <c r="DE95" s="6"/>
      <c r="DF95" s="6"/>
      <c r="DG95" s="6"/>
      <c r="DH95" s="6">
        <v>39870</v>
      </c>
      <c r="DI95" s="6"/>
      <c r="DJ95" s="6"/>
      <c r="DK95" s="6"/>
      <c r="DL95" s="6">
        <v>39869</v>
      </c>
      <c r="DM95" s="6"/>
      <c r="DN95" s="6"/>
      <c r="DO95" s="6"/>
      <c r="DP95" s="6"/>
      <c r="DQ95" s="6"/>
      <c r="DR95" s="6"/>
      <c r="DS95" s="6"/>
      <c r="DT95" s="6"/>
      <c r="DU95" s="6"/>
      <c r="DV95" s="6"/>
      <c r="DW95" s="6"/>
      <c r="DX95" s="6"/>
      <c r="DY95" s="6">
        <v>39870</v>
      </c>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row>
    <row r="96" spans="1:216" x14ac:dyDescent="0.3">
      <c r="A96" s="8" t="str">
        <f>HYPERLINK("https://hpr-rps.hres.ca/reg-content/summary-basis-decision-detailOne.php?lang=en&amp;linkID=SBD00095", "Mozobil TM")</f>
        <v>Mozobil TM</v>
      </c>
      <c r="B96" s="6" t="s">
        <v>324</v>
      </c>
      <c r="C96" s="6" t="s">
        <v>161</v>
      </c>
      <c r="D96" s="6" t="s">
        <v>325</v>
      </c>
      <c r="E96" s="6">
        <v>40451</v>
      </c>
      <c r="F96" s="6"/>
      <c r="G96" s="6"/>
      <c r="H96" s="6">
        <v>40533</v>
      </c>
      <c r="I96" s="6"/>
      <c r="J96" s="6"/>
      <c r="K96" s="6"/>
      <c r="L96" s="6"/>
      <c r="M96" s="6"/>
      <c r="N96" s="6"/>
      <c r="O96" s="6"/>
      <c r="P96" s="6"/>
      <c r="Q96" s="6"/>
      <c r="R96" s="6"/>
      <c r="S96" s="6"/>
      <c r="T96" s="6"/>
      <c r="U96" s="6"/>
      <c r="V96" s="6"/>
      <c r="W96" s="6"/>
      <c r="X96" s="6"/>
      <c r="Y96" s="6"/>
      <c r="Z96" s="6"/>
      <c r="AA96" s="6"/>
      <c r="AB96" s="6"/>
      <c r="AC96" s="6"/>
      <c r="AD96" s="6"/>
      <c r="AE96" s="6"/>
      <c r="AF96" s="6">
        <v>40585</v>
      </c>
      <c r="AG96" s="6"/>
      <c r="AH96" s="6"/>
      <c r="AI96" s="6"/>
      <c r="AJ96" s="6"/>
      <c r="AK96" s="6"/>
      <c r="AL96" s="6"/>
      <c r="AM96" s="6"/>
      <c r="AN96" s="6"/>
      <c r="AO96" s="6"/>
      <c r="AP96" s="6"/>
      <c r="AQ96" s="6"/>
      <c r="AR96" s="6">
        <v>40885</v>
      </c>
      <c r="AS96" s="6"/>
      <c r="AT96" s="6"/>
      <c r="AU96" s="6"/>
      <c r="AV96" s="6">
        <v>40882</v>
      </c>
      <c r="AW96" s="6"/>
      <c r="AX96" s="6"/>
      <c r="AY96" s="6"/>
      <c r="AZ96" s="6">
        <v>40885</v>
      </c>
      <c r="BA96" s="6"/>
      <c r="BB96" s="6"/>
      <c r="BC96" s="6"/>
      <c r="BD96" s="6">
        <v>40779</v>
      </c>
      <c r="BE96" s="6"/>
      <c r="BF96" s="6"/>
      <c r="BG96" s="6"/>
      <c r="BH96" s="6"/>
      <c r="BI96" s="6"/>
      <c r="BJ96" s="6"/>
      <c r="BK96" s="6"/>
      <c r="BL96" s="6"/>
      <c r="BM96" s="6">
        <v>40885</v>
      </c>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row>
    <row r="97" spans="1:216" x14ac:dyDescent="0.3">
      <c r="A97" s="8" t="str">
        <f>HYPERLINK("https://hpr-rps.hres.ca/reg-content/summary-basis-decision-detailOne.php?lang=en&amp;linkID=SBD00108", "Orencia")</f>
        <v>Orencia</v>
      </c>
      <c r="B97" s="6" t="s">
        <v>326</v>
      </c>
      <c r="C97" s="6" t="s">
        <v>81</v>
      </c>
      <c r="D97" s="6" t="s">
        <v>327</v>
      </c>
      <c r="E97" s="6">
        <v>38373</v>
      </c>
      <c r="F97" s="6"/>
      <c r="G97" s="6"/>
      <c r="H97" s="6"/>
      <c r="I97" s="6"/>
      <c r="J97" s="6"/>
      <c r="K97" s="6"/>
      <c r="L97" s="6"/>
      <c r="M97" s="6"/>
      <c r="N97" s="6">
        <v>38421</v>
      </c>
      <c r="O97" s="6"/>
      <c r="P97" s="6"/>
      <c r="Q97" s="6"/>
      <c r="R97" s="6"/>
      <c r="S97" s="6">
        <v>38441</v>
      </c>
      <c r="T97" s="6"/>
      <c r="U97" s="6"/>
      <c r="V97" s="6">
        <v>38478</v>
      </c>
      <c r="W97" s="6"/>
      <c r="X97" s="6"/>
      <c r="Y97" s="6"/>
      <c r="Z97" s="6"/>
      <c r="AA97" s="6"/>
      <c r="AB97" s="6"/>
      <c r="AC97" s="6"/>
      <c r="AD97" s="6"/>
      <c r="AE97" s="6"/>
      <c r="AF97" s="6">
        <v>38509</v>
      </c>
      <c r="AG97" s="6"/>
      <c r="AH97" s="6"/>
      <c r="AI97" s="6"/>
      <c r="AJ97" s="6"/>
      <c r="AK97" s="6"/>
      <c r="AL97" s="6"/>
      <c r="AM97" s="6"/>
      <c r="AN97" s="6"/>
      <c r="AO97" s="6">
        <v>38807</v>
      </c>
      <c r="AP97" s="6"/>
      <c r="AQ97" s="6"/>
      <c r="AR97" s="6">
        <v>38882</v>
      </c>
      <c r="AS97" s="6"/>
      <c r="AT97" s="6"/>
      <c r="AU97" s="6"/>
      <c r="AV97" s="6">
        <v>38880</v>
      </c>
      <c r="AW97" s="6"/>
      <c r="AX97" s="6"/>
      <c r="AY97" s="6"/>
      <c r="AZ97" s="6">
        <v>38863</v>
      </c>
      <c r="BA97" s="6"/>
      <c r="BB97" s="6"/>
      <c r="BC97" s="6"/>
      <c r="BD97" s="6"/>
      <c r="BE97" s="6"/>
      <c r="BF97" s="6"/>
      <c r="BG97" s="6"/>
      <c r="BH97" s="6"/>
      <c r="BI97" s="6"/>
      <c r="BJ97" s="6"/>
      <c r="BK97" s="6"/>
      <c r="BL97" s="6"/>
      <c r="BM97" s="6">
        <v>38897</v>
      </c>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row>
    <row r="98" spans="1:216" x14ac:dyDescent="0.3">
      <c r="A98" s="8" t="str">
        <f>HYPERLINK("https://hpr-rps.hres.ca/reg-content/summary-basis-decision-detailOne.php?lang=en&amp;linkID=SBD00096", "Multaq TM")</f>
        <v>Multaq TM</v>
      </c>
      <c r="B98" s="6" t="s">
        <v>328</v>
      </c>
      <c r="C98" s="6" t="s">
        <v>102</v>
      </c>
      <c r="D98" s="6" t="s">
        <v>329</v>
      </c>
      <c r="E98" s="6">
        <v>38328</v>
      </c>
      <c r="F98" s="6"/>
      <c r="G98" s="6"/>
      <c r="H98" s="6"/>
      <c r="I98" s="6"/>
      <c r="J98" s="6"/>
      <c r="K98" s="6"/>
      <c r="L98" s="6"/>
      <c r="M98" s="6"/>
      <c r="N98" s="6">
        <v>38341</v>
      </c>
      <c r="O98" s="6"/>
      <c r="P98" s="6"/>
      <c r="Q98" s="6"/>
      <c r="R98" s="6"/>
      <c r="S98" s="6">
        <v>38369</v>
      </c>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DZ98" s="6"/>
      <c r="EA98" s="6"/>
      <c r="EB98" s="6"/>
      <c r="EC98" s="6"/>
      <c r="ED98" s="6"/>
      <c r="EE98" s="6"/>
      <c r="EF98" s="6"/>
      <c r="EG98" s="6"/>
      <c r="EH98" s="6"/>
      <c r="EI98" s="6"/>
      <c r="EJ98" s="6"/>
      <c r="EK98" s="6"/>
      <c r="EL98" s="6"/>
      <c r="EM98" s="6"/>
      <c r="EN98" s="6"/>
      <c r="EO98" s="6"/>
      <c r="EP98" s="6"/>
      <c r="EQ98" s="6"/>
      <c r="ER98" s="6"/>
      <c r="ES98" s="6"/>
      <c r="ET98" s="6"/>
      <c r="EU98" s="6"/>
      <c r="EV98" s="6"/>
      <c r="EW98" s="6"/>
      <c r="EX98" s="6"/>
      <c r="EY98" s="6"/>
      <c r="EZ98" s="6"/>
      <c r="FA98" s="6"/>
      <c r="FB98" s="6"/>
      <c r="FC98" s="6"/>
      <c r="FD98" s="6"/>
      <c r="FE98" s="6"/>
      <c r="FF98" s="6"/>
      <c r="FG98" s="6"/>
      <c r="FH98" s="6"/>
      <c r="FI98" s="6"/>
      <c r="FJ98" s="6"/>
      <c r="FK98" s="6"/>
      <c r="FL98" s="6"/>
      <c r="FM98" s="6"/>
      <c r="FN98" s="6"/>
      <c r="FO98" s="6"/>
      <c r="FP98" s="6"/>
      <c r="FQ98" s="6"/>
      <c r="FR98" s="6"/>
      <c r="FS98" s="6"/>
      <c r="FT98" s="6"/>
      <c r="FU98" s="6"/>
      <c r="FV98" s="6"/>
      <c r="FW98" s="6"/>
      <c r="FX98" s="6"/>
      <c r="FY98" s="6"/>
      <c r="FZ98" s="6"/>
      <c r="GA98" s="6"/>
      <c r="GB98" s="6"/>
      <c r="GC98" s="6"/>
      <c r="GD98" s="6"/>
      <c r="GE98" s="6"/>
      <c r="GF98" s="6"/>
      <c r="GG98" s="6"/>
      <c r="GH98" s="6"/>
      <c r="GI98" s="6"/>
      <c r="GJ98" s="6"/>
      <c r="GK98" s="6"/>
      <c r="GL98" s="6"/>
      <c r="GM98" s="6"/>
      <c r="GN98" s="6"/>
      <c r="GO98" s="6"/>
      <c r="GP98" s="6"/>
      <c r="GQ98" s="6"/>
      <c r="GR98" s="6"/>
      <c r="GS98" s="6"/>
      <c r="GT98" s="6"/>
      <c r="GU98" s="6"/>
      <c r="GV98" s="6"/>
      <c r="GW98" s="6"/>
      <c r="GX98" s="6"/>
      <c r="GY98" s="6"/>
      <c r="GZ98" s="6"/>
      <c r="HA98" s="6"/>
      <c r="HB98" s="6"/>
      <c r="HC98" s="6"/>
      <c r="HD98" s="6"/>
      <c r="HE98" s="6"/>
      <c r="HF98" s="6"/>
      <c r="HG98" s="6"/>
      <c r="HH98" s="6"/>
    </row>
    <row r="99" spans="1:216" x14ac:dyDescent="0.3">
      <c r="A99" s="8" t="str">
        <f>HYPERLINK("https://hpr-rps.hres.ca/reg-content/summary-basis-decision-detailOne.php?lang=en&amp;linkID=SBD00097", "Mycamine ®")</f>
        <v>Mycamine ®</v>
      </c>
      <c r="B99" s="6" t="s">
        <v>330</v>
      </c>
      <c r="C99" s="6" t="s">
        <v>331</v>
      </c>
      <c r="D99" s="6" t="s">
        <v>332</v>
      </c>
      <c r="E99" s="6">
        <v>38328</v>
      </c>
      <c r="F99" s="6"/>
      <c r="G99" s="6"/>
      <c r="H99" s="6"/>
      <c r="I99" s="6"/>
      <c r="J99" s="6"/>
      <c r="K99" s="6"/>
      <c r="L99" s="6"/>
      <c r="M99" s="6"/>
      <c r="N99" s="6">
        <v>38341</v>
      </c>
      <c r="O99" s="6"/>
      <c r="P99" s="6"/>
      <c r="Q99" s="6"/>
      <c r="R99" s="6"/>
      <c r="S99" s="6">
        <v>38369</v>
      </c>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DZ99" s="6"/>
      <c r="EA99" s="6"/>
      <c r="EB99" s="6"/>
      <c r="EC99" s="6"/>
      <c r="ED99" s="6"/>
      <c r="EE99" s="6"/>
      <c r="EF99" s="6"/>
      <c r="EG99" s="6"/>
      <c r="EH99" s="6"/>
      <c r="EI99" s="6"/>
      <c r="EJ99" s="6"/>
      <c r="EK99" s="6"/>
      <c r="EL99" s="6"/>
      <c r="EM99" s="6"/>
      <c r="EN99" s="6"/>
      <c r="EO99" s="6"/>
      <c r="EP99" s="6"/>
      <c r="EQ99" s="6"/>
      <c r="ER99" s="6"/>
      <c r="ES99" s="6"/>
      <c r="ET99" s="6"/>
      <c r="EU99" s="6"/>
      <c r="EV99" s="6"/>
      <c r="EW99" s="6"/>
      <c r="EX99" s="6"/>
      <c r="EY99" s="6"/>
      <c r="EZ99" s="6"/>
      <c r="FA99" s="6"/>
      <c r="FB99" s="6"/>
      <c r="FC99" s="6"/>
      <c r="FD99" s="6"/>
      <c r="FE99" s="6"/>
      <c r="FF99" s="6"/>
      <c r="FG99" s="6"/>
      <c r="FH99" s="6"/>
      <c r="FI99" s="6"/>
      <c r="FJ99" s="6"/>
      <c r="FK99" s="6"/>
      <c r="FL99" s="6"/>
      <c r="FM99" s="6"/>
      <c r="FN99" s="6"/>
      <c r="FO99" s="6"/>
      <c r="FP99" s="6"/>
      <c r="FQ99" s="6"/>
      <c r="FR99" s="6"/>
      <c r="FS99" s="6"/>
      <c r="FT99" s="6"/>
      <c r="FU99" s="6"/>
      <c r="FV99" s="6"/>
      <c r="FW99" s="6"/>
      <c r="FX99" s="6"/>
      <c r="FY99" s="6"/>
      <c r="FZ99" s="6"/>
      <c r="GA99" s="6"/>
      <c r="GB99" s="6"/>
      <c r="GC99" s="6"/>
      <c r="GD99" s="6"/>
      <c r="GE99" s="6"/>
      <c r="GF99" s="6"/>
      <c r="GG99" s="6"/>
      <c r="GH99" s="6"/>
      <c r="GI99" s="6"/>
      <c r="GJ99" s="6"/>
      <c r="GK99" s="6"/>
      <c r="GL99" s="6"/>
      <c r="GM99" s="6"/>
      <c r="GN99" s="6"/>
      <c r="GO99" s="6"/>
      <c r="GP99" s="6"/>
      <c r="GQ99" s="6"/>
      <c r="GR99" s="6"/>
      <c r="GS99" s="6"/>
      <c r="GT99" s="6"/>
      <c r="GU99" s="6"/>
      <c r="GV99" s="6"/>
      <c r="GW99" s="6"/>
      <c r="GX99" s="6"/>
      <c r="GY99" s="6"/>
      <c r="GZ99" s="6"/>
      <c r="HA99" s="6"/>
      <c r="HB99" s="6"/>
      <c r="HC99" s="6"/>
      <c r="HD99" s="6"/>
      <c r="HE99" s="6"/>
      <c r="HF99" s="6"/>
      <c r="HG99" s="6"/>
      <c r="HH99" s="6"/>
    </row>
    <row r="100" spans="1:216" x14ac:dyDescent="0.3">
      <c r="A100" s="8" t="str">
        <f>HYPERLINK("https://hpr-rps.hres.ca/reg-content/summary-basis-decision-detailOne.php?lang=en&amp;linkID=SBD00098", "Myozyme ®")</f>
        <v>Myozyme ®</v>
      </c>
      <c r="B100" s="6" t="s">
        <v>333</v>
      </c>
      <c r="C100" s="6" t="s">
        <v>161</v>
      </c>
      <c r="D100" s="6" t="s">
        <v>334</v>
      </c>
      <c r="E100" s="6">
        <v>38567</v>
      </c>
      <c r="F100" s="6"/>
      <c r="G100" s="6"/>
      <c r="H100" s="6"/>
      <c r="I100" s="6"/>
      <c r="J100" s="6"/>
      <c r="K100" s="6"/>
      <c r="L100" s="6"/>
      <c r="M100" s="6"/>
      <c r="N100" s="6">
        <v>38636</v>
      </c>
      <c r="O100" s="6"/>
      <c r="P100" s="6"/>
      <c r="Q100" s="6"/>
      <c r="R100" s="6"/>
      <c r="S100" s="6">
        <v>38665</v>
      </c>
      <c r="T100" s="6"/>
      <c r="U100" s="6"/>
      <c r="V100" s="6">
        <v>38715</v>
      </c>
      <c r="W100" s="6"/>
      <c r="X100" s="6"/>
      <c r="Y100" s="6"/>
      <c r="Z100" s="6"/>
      <c r="AA100" s="6"/>
      <c r="AB100" s="6"/>
      <c r="AC100" s="6"/>
      <c r="AD100" s="6"/>
      <c r="AE100" s="6"/>
      <c r="AF100" s="6">
        <v>38763</v>
      </c>
      <c r="AG100" s="6"/>
      <c r="AH100" s="6"/>
      <c r="AI100" s="6"/>
      <c r="AJ100" s="6"/>
      <c r="AK100" s="6"/>
      <c r="AL100" s="6"/>
      <c r="AM100" s="6"/>
      <c r="AN100" s="6"/>
      <c r="AO100" s="6"/>
      <c r="AP100" s="6"/>
      <c r="AQ100" s="6"/>
      <c r="AR100" s="6">
        <v>38929</v>
      </c>
      <c r="AS100" s="6"/>
      <c r="AT100" s="6"/>
      <c r="AU100" s="6"/>
      <c r="AV100" s="6">
        <v>38940</v>
      </c>
      <c r="AW100" s="6"/>
      <c r="AX100" s="6"/>
      <c r="AY100" s="6"/>
      <c r="AZ100" s="6">
        <v>38940</v>
      </c>
      <c r="BA100" s="6"/>
      <c r="BB100" s="6"/>
      <c r="BC100" s="6"/>
      <c r="BD100" s="6"/>
      <c r="BE100" s="6"/>
      <c r="BF100" s="6"/>
      <c r="BG100" s="6"/>
      <c r="BH100" s="6"/>
      <c r="BI100" s="6"/>
      <c r="BJ100" s="6"/>
      <c r="BK100" s="6"/>
      <c r="BL100" s="6"/>
      <c r="BM100" s="6">
        <v>38943</v>
      </c>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row>
    <row r="101" spans="1:216" x14ac:dyDescent="0.3">
      <c r="A101" s="8" t="str">
        <f>HYPERLINK("https://hpr-rps.hres.ca/reg-content/summary-basis-decision-detailOne.php?lang=en&amp;linkID=SBD00099", "Natrecor")</f>
        <v>Natrecor</v>
      </c>
      <c r="B101" s="6" t="s">
        <v>335</v>
      </c>
      <c r="C101" s="6" t="s">
        <v>196</v>
      </c>
      <c r="D101" s="6" t="s">
        <v>336</v>
      </c>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row>
    <row r="102" spans="1:216" x14ac:dyDescent="0.3">
      <c r="A102" s="8" t="str">
        <f>HYPERLINK("https://hpr-rps.hres.ca/reg-content/summary-basis-decision-detailOne.php?lang=en&amp;linkID=SBD00100", "Nevanac TM")</f>
        <v>Nevanac TM</v>
      </c>
      <c r="B102" s="6" t="s">
        <v>337</v>
      </c>
      <c r="C102" s="6" t="s">
        <v>338</v>
      </c>
      <c r="D102" s="6" t="s">
        <v>339</v>
      </c>
      <c r="E102" s="6">
        <v>38328</v>
      </c>
      <c r="F102" s="6"/>
      <c r="G102" s="6"/>
      <c r="H102" s="6"/>
      <c r="I102" s="6"/>
      <c r="J102" s="6"/>
      <c r="K102" s="6"/>
      <c r="L102" s="6"/>
      <c r="M102" s="6"/>
      <c r="N102" s="6">
        <v>38341</v>
      </c>
      <c r="O102" s="6"/>
      <c r="P102" s="6"/>
      <c r="Q102" s="6"/>
      <c r="R102" s="6"/>
      <c r="S102" s="6">
        <v>38369</v>
      </c>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row>
    <row r="103" spans="1:216" x14ac:dyDescent="0.3">
      <c r="A103" s="8" t="str">
        <f>HYPERLINK("https://hpr-rps.hres.ca/reg-content/summary-basis-decision-detailOne.php?lang=en&amp;linkID=SBD00101", "Nexavar ®")</f>
        <v>Nexavar ®</v>
      </c>
      <c r="B103" s="6" t="s">
        <v>340</v>
      </c>
      <c r="C103" s="6" t="s">
        <v>341</v>
      </c>
      <c r="D103" s="6" t="s">
        <v>342</v>
      </c>
      <c r="E103" s="6"/>
      <c r="F103" s="6"/>
      <c r="G103" s="6"/>
      <c r="H103" s="6">
        <v>39297</v>
      </c>
      <c r="I103" s="6"/>
      <c r="J103" s="6"/>
      <c r="K103" s="6"/>
      <c r="L103" s="6"/>
      <c r="M103" s="6"/>
      <c r="N103" s="6"/>
      <c r="O103" s="6"/>
      <c r="P103" s="6"/>
      <c r="Q103" s="6"/>
      <c r="R103" s="6"/>
      <c r="S103" s="6"/>
      <c r="T103" s="6"/>
      <c r="U103" s="6"/>
      <c r="V103" s="6"/>
      <c r="W103" s="6"/>
      <c r="X103" s="6"/>
      <c r="Y103" s="6"/>
      <c r="Z103" s="6">
        <v>39351</v>
      </c>
      <c r="AA103" s="6"/>
      <c r="AB103" s="6"/>
      <c r="AC103" s="6">
        <v>39395</v>
      </c>
      <c r="AD103" s="6"/>
      <c r="AE103" s="6"/>
      <c r="AF103" s="6">
        <v>39449</v>
      </c>
      <c r="AG103" s="6"/>
      <c r="AH103" s="6"/>
      <c r="AI103" s="6"/>
      <c r="AJ103" s="6"/>
      <c r="AK103" s="6"/>
      <c r="AL103" s="6"/>
      <c r="AM103" s="6"/>
      <c r="AN103" s="6"/>
      <c r="AO103" s="6"/>
      <c r="AP103" s="6"/>
      <c r="AQ103" s="6"/>
      <c r="AR103" s="6">
        <v>39748</v>
      </c>
      <c r="AS103" s="6">
        <v>39737</v>
      </c>
      <c r="AT103" s="6"/>
      <c r="AU103" s="6"/>
      <c r="AV103" s="6">
        <v>39748</v>
      </c>
      <c r="AW103" s="6"/>
      <c r="AX103" s="6"/>
      <c r="AY103" s="6"/>
      <c r="AZ103" s="6">
        <v>39735</v>
      </c>
      <c r="BA103" s="6"/>
      <c r="BB103" s="6"/>
      <c r="BC103" s="6"/>
      <c r="BD103" s="6"/>
      <c r="BE103" s="6"/>
      <c r="BF103" s="6"/>
      <c r="BG103" s="6"/>
      <c r="BH103" s="6"/>
      <c r="BI103" s="6"/>
      <c r="BJ103" s="6"/>
      <c r="BK103" s="6"/>
      <c r="BL103" s="6"/>
      <c r="BM103" s="6">
        <v>39749</v>
      </c>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row>
    <row r="104" spans="1:216" x14ac:dyDescent="0.3">
      <c r="A104" s="8" t="str">
        <f>HYPERLINK("https://hpr-rps.hres.ca/reg-content/summary-basis-decision-detailOne.php?lang=en&amp;linkID=SBD00102", "Nplate TM")</f>
        <v>Nplate TM</v>
      </c>
      <c r="B104" s="6" t="s">
        <v>343</v>
      </c>
      <c r="C104" s="6" t="s">
        <v>289</v>
      </c>
      <c r="D104" s="6" t="s">
        <v>344</v>
      </c>
      <c r="E104" s="6">
        <v>39401</v>
      </c>
      <c r="F104" s="6"/>
      <c r="G104" s="6"/>
      <c r="H104" s="6"/>
      <c r="I104" s="6"/>
      <c r="J104" s="6"/>
      <c r="K104" s="6"/>
      <c r="L104" s="6"/>
      <c r="M104" s="6"/>
      <c r="N104" s="6">
        <v>39351</v>
      </c>
      <c r="O104" s="6"/>
      <c r="P104" s="6"/>
      <c r="Q104" s="6"/>
      <c r="R104" s="6"/>
      <c r="S104" s="6">
        <v>39381</v>
      </c>
      <c r="T104" s="6"/>
      <c r="U104" s="6"/>
      <c r="V104" s="6">
        <v>39402</v>
      </c>
      <c r="W104" s="6"/>
      <c r="X104" s="6"/>
      <c r="Y104" s="6"/>
      <c r="Z104" s="6"/>
      <c r="AA104" s="6"/>
      <c r="AB104" s="6"/>
      <c r="AC104" s="6"/>
      <c r="AD104" s="6"/>
      <c r="AE104" s="6"/>
      <c r="AF104" s="6">
        <v>39429</v>
      </c>
      <c r="AG104" s="6"/>
      <c r="AH104" s="6"/>
      <c r="AI104" s="6"/>
      <c r="AJ104" s="6"/>
      <c r="AK104" s="6"/>
      <c r="AL104" s="6"/>
      <c r="AM104" s="6"/>
      <c r="AN104" s="6"/>
      <c r="AO104" s="6">
        <v>39461</v>
      </c>
      <c r="AP104" s="6"/>
      <c r="AQ104" s="6"/>
      <c r="AR104" s="6"/>
      <c r="AS104" s="6">
        <v>39609</v>
      </c>
      <c r="AT104" s="6"/>
      <c r="AU104" s="6"/>
      <c r="AV104" s="6">
        <v>39609</v>
      </c>
      <c r="AW104" s="6"/>
      <c r="AX104" s="6">
        <v>39609</v>
      </c>
      <c r="AY104" s="6"/>
      <c r="AZ104" s="6">
        <v>39609</v>
      </c>
      <c r="BA104" s="6"/>
      <c r="BB104" s="6"/>
      <c r="BC104" s="6"/>
      <c r="BD104" s="6"/>
      <c r="BE104" s="6"/>
      <c r="BF104" s="6"/>
      <c r="BG104" s="6"/>
      <c r="BH104" s="6"/>
      <c r="BI104" s="6"/>
      <c r="BJ104" s="6"/>
      <c r="BK104" s="6"/>
      <c r="BL104" s="6"/>
      <c r="BM104" s="6"/>
      <c r="BN104" s="6"/>
      <c r="BO104" s="6"/>
      <c r="BP104" s="6">
        <v>39609</v>
      </c>
      <c r="BQ104" s="6"/>
      <c r="BR104" s="6"/>
      <c r="BS104" s="6"/>
      <c r="BT104" s="6"/>
      <c r="BU104" s="6"/>
      <c r="BV104" s="6"/>
      <c r="BW104" s="6"/>
      <c r="BX104" s="6"/>
      <c r="BY104" s="6">
        <v>39703</v>
      </c>
      <c r="BZ104" s="6"/>
      <c r="CA104" s="6"/>
      <c r="CB104" s="6"/>
      <c r="CC104" s="6"/>
      <c r="CD104" s="6"/>
      <c r="CE104" s="6"/>
      <c r="CF104" s="6"/>
      <c r="CG104" s="6"/>
      <c r="CH104" s="6"/>
      <c r="CI104" s="6"/>
      <c r="CJ104" s="6"/>
      <c r="CK104" s="6"/>
      <c r="CL104" s="6"/>
      <c r="CM104" s="6"/>
      <c r="CN104" s="6"/>
      <c r="CO104" s="6"/>
      <c r="CP104" s="6"/>
      <c r="CQ104" s="6"/>
      <c r="CR104" s="6">
        <v>39710</v>
      </c>
      <c r="CS104" s="6"/>
      <c r="CT104" s="6"/>
      <c r="CU104" s="6"/>
      <c r="CV104" s="6"/>
      <c r="CW104" s="6"/>
      <c r="CX104" s="6"/>
      <c r="CY104" s="6"/>
      <c r="CZ104" s="6"/>
      <c r="DA104" s="6"/>
      <c r="DB104" s="6"/>
      <c r="DC104" s="6"/>
      <c r="DD104" s="6">
        <v>39862</v>
      </c>
      <c r="DE104" s="6">
        <v>39862</v>
      </c>
      <c r="DF104" s="6"/>
      <c r="DG104" s="6"/>
      <c r="DH104" s="6">
        <v>39860</v>
      </c>
      <c r="DI104" s="6"/>
      <c r="DJ104" s="6">
        <v>39862</v>
      </c>
      <c r="DK104" s="6"/>
      <c r="DL104" s="6">
        <v>39862</v>
      </c>
      <c r="DM104" s="6"/>
      <c r="DN104" s="6"/>
      <c r="DO104" s="6"/>
      <c r="DP104" s="6"/>
      <c r="DQ104" s="6"/>
      <c r="DR104" s="6"/>
      <c r="DS104" s="6"/>
      <c r="DT104" s="6"/>
      <c r="DU104" s="6"/>
      <c r="DV104" s="6"/>
      <c r="DW104" s="6"/>
      <c r="DX104" s="6"/>
      <c r="DY104" s="6">
        <v>39863</v>
      </c>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row>
    <row r="105" spans="1:216" x14ac:dyDescent="0.3">
      <c r="A105" s="8" t="str">
        <f>HYPERLINK("https://hpr-rps.hres.ca/reg-content/summary-basis-decision-detailOne.php?lang=en&amp;linkID=SBD00103", "Nucynta TM")</f>
        <v>Nucynta TM</v>
      </c>
      <c r="B105" s="6" t="s">
        <v>345</v>
      </c>
      <c r="C105" s="6" t="s">
        <v>201</v>
      </c>
      <c r="D105" s="6" t="s">
        <v>346</v>
      </c>
      <c r="E105" s="6">
        <v>39919</v>
      </c>
      <c r="F105" s="6"/>
      <c r="G105" s="6"/>
      <c r="H105" s="6">
        <v>40161</v>
      </c>
      <c r="I105" s="6"/>
      <c r="J105" s="6"/>
      <c r="K105" s="6"/>
      <c r="L105" s="6"/>
      <c r="M105" s="6"/>
      <c r="N105" s="6"/>
      <c r="O105" s="6"/>
      <c r="P105" s="6"/>
      <c r="Q105" s="6"/>
      <c r="R105" s="6"/>
      <c r="S105" s="6"/>
      <c r="T105" s="6"/>
      <c r="U105" s="6"/>
      <c r="V105" s="6"/>
      <c r="W105" s="6"/>
      <c r="X105" s="6"/>
      <c r="Y105" s="6"/>
      <c r="Z105" s="6"/>
      <c r="AA105" s="6"/>
      <c r="AB105" s="6"/>
      <c r="AC105" s="6"/>
      <c r="AD105" s="6"/>
      <c r="AE105" s="6"/>
      <c r="AF105" s="6">
        <v>40214</v>
      </c>
      <c r="AG105" s="6"/>
      <c r="AH105" s="6"/>
      <c r="AI105" s="6"/>
      <c r="AJ105" s="6"/>
      <c r="AK105" s="6"/>
      <c r="AL105" s="6"/>
      <c r="AM105" s="6"/>
      <c r="AN105" s="6"/>
      <c r="AO105" s="6"/>
      <c r="AP105" s="6"/>
      <c r="AQ105" s="6"/>
      <c r="AR105" s="6">
        <v>40513</v>
      </c>
      <c r="AS105" s="6">
        <v>40505</v>
      </c>
      <c r="AT105" s="6"/>
      <c r="AU105" s="6"/>
      <c r="AV105" s="6">
        <v>40514</v>
      </c>
      <c r="AW105" s="6"/>
      <c r="AX105" s="6"/>
      <c r="AY105" s="6"/>
      <c r="AZ105" s="6">
        <v>40514</v>
      </c>
      <c r="BA105" s="6"/>
      <c r="BB105" s="6"/>
      <c r="BC105" s="6"/>
      <c r="BD105" s="6"/>
      <c r="BE105" s="6"/>
      <c r="BF105" s="6"/>
      <c r="BG105" s="6"/>
      <c r="BH105" s="6"/>
      <c r="BI105" s="6"/>
      <c r="BJ105" s="6"/>
      <c r="BK105" s="6"/>
      <c r="BL105" s="6"/>
      <c r="BM105" s="6">
        <v>40514</v>
      </c>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row>
    <row r="106" spans="1:216" x14ac:dyDescent="0.3">
      <c r="A106" s="8" t="str">
        <f>HYPERLINK("https://hpr-rps.hres.ca/reg-content/summary-basis-decision-detailOne.php?lang=en&amp;linkID=SBD00104", "Olmetec ®")</f>
        <v>Olmetec ®</v>
      </c>
      <c r="B106" s="6" t="s">
        <v>347</v>
      </c>
      <c r="C106" s="6" t="s">
        <v>348</v>
      </c>
      <c r="D106" s="6" t="s">
        <v>349</v>
      </c>
      <c r="E106" s="6"/>
      <c r="F106" s="6"/>
      <c r="G106" s="6"/>
      <c r="H106" s="6">
        <v>39297</v>
      </c>
      <c r="I106" s="6"/>
      <c r="J106" s="6"/>
      <c r="K106" s="6"/>
      <c r="L106" s="6"/>
      <c r="M106" s="6"/>
      <c r="N106" s="6"/>
      <c r="O106" s="6"/>
      <c r="P106" s="6"/>
      <c r="Q106" s="6"/>
      <c r="R106" s="6"/>
      <c r="S106" s="6"/>
      <c r="T106" s="6"/>
      <c r="U106" s="6"/>
      <c r="V106" s="6"/>
      <c r="W106" s="6"/>
      <c r="X106" s="6"/>
      <c r="Y106" s="6"/>
      <c r="Z106" s="6">
        <v>39351</v>
      </c>
      <c r="AA106" s="6"/>
      <c r="AB106" s="6"/>
      <c r="AC106" s="6">
        <v>39395</v>
      </c>
      <c r="AD106" s="6"/>
      <c r="AE106" s="6"/>
      <c r="AF106" s="6">
        <v>39449</v>
      </c>
      <c r="AG106" s="6"/>
      <c r="AH106" s="6"/>
      <c r="AI106" s="6"/>
      <c r="AJ106" s="6"/>
      <c r="AK106" s="6"/>
      <c r="AL106" s="6"/>
      <c r="AM106" s="6"/>
      <c r="AN106" s="6"/>
      <c r="AO106" s="6"/>
      <c r="AP106" s="6"/>
      <c r="AQ106" s="6"/>
      <c r="AR106" s="6">
        <v>39748</v>
      </c>
      <c r="AS106" s="6">
        <v>39737</v>
      </c>
      <c r="AT106" s="6"/>
      <c r="AU106" s="6"/>
      <c r="AV106" s="6">
        <v>39748</v>
      </c>
      <c r="AW106" s="6"/>
      <c r="AX106" s="6"/>
      <c r="AY106" s="6"/>
      <c r="AZ106" s="6">
        <v>39735</v>
      </c>
      <c r="BA106" s="6"/>
      <c r="BB106" s="6"/>
      <c r="BC106" s="6"/>
      <c r="BD106" s="6"/>
      <c r="BE106" s="6"/>
      <c r="BF106" s="6"/>
      <c r="BG106" s="6"/>
      <c r="BH106" s="6"/>
      <c r="BI106" s="6"/>
      <c r="BJ106" s="6"/>
      <c r="BK106" s="6"/>
      <c r="BL106" s="6"/>
      <c r="BM106" s="6">
        <v>39749</v>
      </c>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row>
    <row r="107" spans="1:216" x14ac:dyDescent="0.3">
      <c r="A107" s="8" t="str">
        <f>HYPERLINK("https://hpr-rps.hres.ca/reg-content/summary-basis-decision-detailOne.php?lang=en&amp;linkID=SBD00105", "Omnitrope TM")</f>
        <v>Omnitrope TM</v>
      </c>
      <c r="B107" s="6" t="s">
        <v>350</v>
      </c>
      <c r="C107" s="6" t="s">
        <v>351</v>
      </c>
      <c r="D107" s="6" t="s">
        <v>352</v>
      </c>
      <c r="E107" s="6">
        <v>38880</v>
      </c>
      <c r="F107" s="6">
        <v>39583</v>
      </c>
      <c r="G107" s="6"/>
      <c r="H107" s="6">
        <v>39660</v>
      </c>
      <c r="I107" s="6"/>
      <c r="J107" s="6"/>
      <c r="K107" s="6"/>
      <c r="L107" s="6"/>
      <c r="M107" s="6"/>
      <c r="N107" s="6"/>
      <c r="O107" s="6"/>
      <c r="P107" s="6"/>
      <c r="Q107" s="6"/>
      <c r="R107" s="6"/>
      <c r="S107" s="6"/>
      <c r="T107" s="6"/>
      <c r="U107" s="6"/>
      <c r="V107" s="6"/>
      <c r="W107" s="6"/>
      <c r="X107" s="6"/>
      <c r="Y107" s="6"/>
      <c r="Z107" s="6">
        <v>39710</v>
      </c>
      <c r="AA107" s="6"/>
      <c r="AB107" s="6"/>
      <c r="AC107" s="6">
        <v>39727</v>
      </c>
      <c r="AD107" s="6"/>
      <c r="AE107" s="6"/>
      <c r="AF107" s="6">
        <v>39770</v>
      </c>
      <c r="AG107" s="6"/>
      <c r="AH107" s="6"/>
      <c r="AI107" s="6"/>
      <c r="AJ107" s="6"/>
      <c r="AK107" s="6"/>
      <c r="AL107" s="6"/>
      <c r="AM107" s="6"/>
      <c r="AN107" s="6"/>
      <c r="AO107" s="6"/>
      <c r="AP107" s="6"/>
      <c r="AQ107" s="6"/>
      <c r="AR107" s="6">
        <v>40070</v>
      </c>
      <c r="AS107" s="6"/>
      <c r="AT107" s="6"/>
      <c r="AU107" s="6"/>
      <c r="AV107" s="6">
        <v>40070</v>
      </c>
      <c r="AW107" s="6"/>
      <c r="AX107" s="6">
        <v>40052</v>
      </c>
      <c r="AY107" s="6"/>
      <c r="AZ107" s="6">
        <v>40067</v>
      </c>
      <c r="BA107" s="6"/>
      <c r="BB107" s="6"/>
      <c r="BC107" s="6"/>
      <c r="BD107" s="6"/>
      <c r="BE107" s="6"/>
      <c r="BF107" s="6"/>
      <c r="BG107" s="6"/>
      <c r="BH107" s="6"/>
      <c r="BI107" s="6"/>
      <c r="BJ107" s="6"/>
      <c r="BK107" s="6"/>
      <c r="BL107" s="6"/>
      <c r="BM107" s="6">
        <v>40070</v>
      </c>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row>
    <row r="108" spans="1:216" x14ac:dyDescent="0.3">
      <c r="A108" s="8" t="str">
        <f>HYPERLINK("https://hpr-rps.hres.ca/reg-content/summary-basis-decision-detailOne.php?lang=en&amp;linkID=SBD00106", "Onbrez Breezhaler")</f>
        <v>Onbrez Breezhaler</v>
      </c>
      <c r="B108" s="6" t="s">
        <v>353</v>
      </c>
      <c r="C108" s="6" t="s">
        <v>87</v>
      </c>
      <c r="D108" s="6" t="s">
        <v>354</v>
      </c>
      <c r="E108" s="6">
        <v>39638</v>
      </c>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v>39891</v>
      </c>
      <c r="AG108" s="6"/>
      <c r="AH108" s="6"/>
      <c r="AI108" s="6"/>
      <c r="AJ108" s="6"/>
      <c r="AK108" s="6"/>
      <c r="AL108" s="6"/>
      <c r="AM108" s="6"/>
      <c r="AN108" s="6"/>
      <c r="AO108" s="6"/>
      <c r="AP108" s="6"/>
      <c r="AQ108" s="6"/>
      <c r="AR108" s="6"/>
      <c r="AS108" s="6"/>
      <c r="AT108" s="6"/>
      <c r="AU108" s="6"/>
      <c r="AV108" s="6">
        <v>40186</v>
      </c>
      <c r="AW108" s="6"/>
      <c r="AX108" s="6">
        <v>40170</v>
      </c>
      <c r="AY108" s="6"/>
      <c r="AZ108" s="6">
        <v>40189</v>
      </c>
      <c r="BA108" s="6"/>
      <c r="BB108" s="6"/>
      <c r="BC108" s="6"/>
      <c r="BD108" s="6"/>
      <c r="BE108" s="6"/>
      <c r="BF108" s="6"/>
      <c r="BG108" s="6"/>
      <c r="BH108" s="6"/>
      <c r="BI108" s="6"/>
      <c r="BJ108" s="6"/>
      <c r="BK108" s="6"/>
      <c r="BL108" s="6"/>
      <c r="BM108" s="6"/>
      <c r="BN108" s="6"/>
      <c r="BO108" s="6"/>
      <c r="BP108" s="6"/>
      <c r="BQ108" s="6"/>
      <c r="BR108" s="6"/>
      <c r="BS108" s="6"/>
      <c r="BT108" s="6">
        <v>40191</v>
      </c>
      <c r="BU108" s="6"/>
      <c r="BV108" s="6"/>
      <c r="BW108" s="6"/>
      <c r="BX108" s="6"/>
      <c r="BY108" s="6"/>
      <c r="BZ108" s="6"/>
      <c r="CA108" s="6"/>
      <c r="CB108" s="6"/>
      <c r="CC108" s="6"/>
      <c r="CD108" s="6"/>
      <c r="CE108" s="6"/>
      <c r="CF108" s="6"/>
      <c r="CG108" s="6"/>
      <c r="CH108" s="6">
        <v>40280</v>
      </c>
      <c r="CI108" s="6"/>
      <c r="CJ108" s="6"/>
      <c r="CK108" s="6"/>
      <c r="CL108" s="6"/>
      <c r="CM108" s="6"/>
      <c r="CN108" s="6"/>
      <c r="CO108" s="6"/>
      <c r="CP108" s="6"/>
      <c r="CQ108" s="6"/>
      <c r="CR108" s="6">
        <v>40585</v>
      </c>
      <c r="CS108" s="6"/>
      <c r="CT108" s="6"/>
      <c r="CU108" s="6"/>
      <c r="CV108" s="6"/>
      <c r="CW108" s="6"/>
      <c r="CX108" s="6"/>
      <c r="CY108" s="6"/>
      <c r="CZ108" s="6"/>
      <c r="DA108" s="6"/>
      <c r="DB108" s="6"/>
      <c r="DC108" s="6"/>
      <c r="DD108" s="6">
        <v>40876</v>
      </c>
      <c r="DE108" s="6"/>
      <c r="DF108" s="6"/>
      <c r="DG108" s="6"/>
      <c r="DH108" s="6">
        <v>40877</v>
      </c>
      <c r="DI108" s="6"/>
      <c r="DJ108" s="6">
        <v>40731</v>
      </c>
      <c r="DK108" s="6"/>
      <c r="DL108" s="6">
        <v>40879</v>
      </c>
      <c r="DM108" s="6"/>
      <c r="DN108" s="6"/>
      <c r="DO108" s="6"/>
      <c r="DP108" s="6"/>
      <c r="DQ108" s="6"/>
      <c r="DR108" s="6"/>
      <c r="DS108" s="6"/>
      <c r="DT108" s="6"/>
      <c r="DU108" s="6"/>
      <c r="DV108" s="6"/>
      <c r="DW108" s="6"/>
      <c r="DX108" s="6"/>
      <c r="DY108" s="6">
        <v>40883</v>
      </c>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row>
    <row r="109" spans="1:216" x14ac:dyDescent="0.3">
      <c r="A109" s="8" t="str">
        <f>HYPERLINK("https://hpr-rps.hres.ca/reg-content/summary-basis-decision-detailOne.php?lang=en&amp;linkID=SBD00107", "Onglyza TM")</f>
        <v>Onglyza TM</v>
      </c>
      <c r="B109" s="6" t="s">
        <v>355</v>
      </c>
      <c r="C109" s="6" t="s">
        <v>81</v>
      </c>
      <c r="D109" s="6" t="s">
        <v>356</v>
      </c>
      <c r="E109" s="6">
        <v>39638</v>
      </c>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v>39891</v>
      </c>
      <c r="AG109" s="6"/>
      <c r="AH109" s="6"/>
      <c r="AI109" s="6"/>
      <c r="AJ109" s="6"/>
      <c r="AK109" s="6"/>
      <c r="AL109" s="6"/>
      <c r="AM109" s="6"/>
      <c r="AN109" s="6"/>
      <c r="AO109" s="6"/>
      <c r="AP109" s="6"/>
      <c r="AQ109" s="6"/>
      <c r="AR109" s="6"/>
      <c r="AS109" s="6"/>
      <c r="AT109" s="6"/>
      <c r="AU109" s="6"/>
      <c r="AV109" s="6">
        <v>40186</v>
      </c>
      <c r="AW109" s="6"/>
      <c r="AX109" s="6">
        <v>40170</v>
      </c>
      <c r="AY109" s="6"/>
      <c r="AZ109" s="6">
        <v>40189</v>
      </c>
      <c r="BA109" s="6"/>
      <c r="BB109" s="6"/>
      <c r="BC109" s="6"/>
      <c r="BD109" s="6"/>
      <c r="BE109" s="6"/>
      <c r="BF109" s="6"/>
      <c r="BG109" s="6"/>
      <c r="BH109" s="6"/>
      <c r="BI109" s="6"/>
      <c r="BJ109" s="6"/>
      <c r="BK109" s="6"/>
      <c r="BL109" s="6"/>
      <c r="BM109" s="6"/>
      <c r="BN109" s="6"/>
      <c r="BO109" s="6"/>
      <c r="BP109" s="6"/>
      <c r="BQ109" s="6"/>
      <c r="BR109" s="6"/>
      <c r="BS109" s="6"/>
      <c r="BT109" s="6">
        <v>40191</v>
      </c>
      <c r="BU109" s="6"/>
      <c r="BV109" s="6"/>
      <c r="BW109" s="6"/>
      <c r="BX109" s="6"/>
      <c r="BY109" s="6"/>
      <c r="BZ109" s="6"/>
      <c r="CA109" s="6"/>
      <c r="CB109" s="6"/>
      <c r="CC109" s="6"/>
      <c r="CD109" s="6"/>
      <c r="CE109" s="6"/>
      <c r="CF109" s="6"/>
      <c r="CG109" s="6"/>
      <c r="CH109" s="6">
        <v>40280</v>
      </c>
      <c r="CI109" s="6"/>
      <c r="CJ109" s="6"/>
      <c r="CK109" s="6"/>
      <c r="CL109" s="6"/>
      <c r="CM109" s="6"/>
      <c r="CN109" s="6"/>
      <c r="CO109" s="6"/>
      <c r="CP109" s="6"/>
      <c r="CQ109" s="6"/>
      <c r="CR109" s="6">
        <v>40585</v>
      </c>
      <c r="CS109" s="6"/>
      <c r="CT109" s="6"/>
      <c r="CU109" s="6"/>
      <c r="CV109" s="6"/>
      <c r="CW109" s="6"/>
      <c r="CX109" s="6"/>
      <c r="CY109" s="6"/>
      <c r="CZ109" s="6"/>
      <c r="DA109" s="6"/>
      <c r="DB109" s="6"/>
      <c r="DC109" s="6"/>
      <c r="DD109" s="6">
        <v>40876</v>
      </c>
      <c r="DE109" s="6"/>
      <c r="DF109" s="6"/>
      <c r="DG109" s="6"/>
      <c r="DH109" s="6">
        <v>40877</v>
      </c>
      <c r="DI109" s="6"/>
      <c r="DJ109" s="6">
        <v>40731</v>
      </c>
      <c r="DK109" s="6"/>
      <c r="DL109" s="6">
        <v>40879</v>
      </c>
      <c r="DM109" s="6"/>
      <c r="DN109" s="6"/>
      <c r="DO109" s="6"/>
      <c r="DP109" s="6"/>
      <c r="DQ109" s="6"/>
      <c r="DR109" s="6"/>
      <c r="DS109" s="6"/>
      <c r="DT109" s="6"/>
      <c r="DU109" s="6"/>
      <c r="DV109" s="6"/>
      <c r="DW109" s="6"/>
      <c r="DX109" s="6"/>
      <c r="DY109" s="6">
        <v>40883</v>
      </c>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row>
    <row r="110" spans="1:216" x14ac:dyDescent="0.3">
      <c r="A110" s="8" t="str">
        <f>HYPERLINK("https://hpr-rps.hres.ca/reg-content/summary-basis-decision-detailOne.php?lang=en&amp;linkID=SBD00109", "Pantoloc M TM")</f>
        <v>Pantoloc M TM</v>
      </c>
      <c r="B110" s="6" t="s">
        <v>357</v>
      </c>
      <c r="C110" s="6" t="s">
        <v>99</v>
      </c>
      <c r="D110" s="6" t="s">
        <v>358</v>
      </c>
      <c r="E110" s="6">
        <v>37602</v>
      </c>
      <c r="F110" s="6"/>
      <c r="G110" s="6"/>
      <c r="H110" s="6">
        <v>39175</v>
      </c>
      <c r="I110" s="6"/>
      <c r="J110" s="6"/>
      <c r="K110" s="6"/>
      <c r="L110" s="6"/>
      <c r="M110" s="6"/>
      <c r="N110" s="6"/>
      <c r="O110" s="6"/>
      <c r="P110" s="6"/>
      <c r="Q110" s="6"/>
      <c r="R110" s="6"/>
      <c r="S110" s="6"/>
      <c r="T110" s="6"/>
      <c r="U110" s="6"/>
      <c r="V110" s="6"/>
      <c r="W110" s="6"/>
      <c r="X110" s="6"/>
      <c r="Y110" s="6"/>
      <c r="Z110" s="6"/>
      <c r="AA110" s="6"/>
      <c r="AB110" s="6"/>
      <c r="AC110" s="6"/>
      <c r="AD110" s="6"/>
      <c r="AE110" s="6"/>
      <c r="AF110" s="6">
        <v>39230</v>
      </c>
      <c r="AG110" s="6"/>
      <c r="AH110" s="6"/>
      <c r="AI110" s="6"/>
      <c r="AJ110" s="6"/>
      <c r="AK110" s="6"/>
      <c r="AL110" s="6"/>
      <c r="AM110" s="6"/>
      <c r="AN110" s="6"/>
      <c r="AO110" s="6">
        <v>39468</v>
      </c>
      <c r="AP110" s="6"/>
      <c r="AQ110" s="6"/>
      <c r="AR110" s="6"/>
      <c r="AS110" s="6">
        <v>39525</v>
      </c>
      <c r="AT110" s="6"/>
      <c r="AU110" s="6"/>
      <c r="AV110" s="6">
        <v>39514</v>
      </c>
      <c r="AW110" s="6"/>
      <c r="AX110" s="6">
        <v>39525</v>
      </c>
      <c r="AY110" s="6"/>
      <c r="AZ110" s="6">
        <v>39525</v>
      </c>
      <c r="BA110" s="6"/>
      <c r="BB110" s="6"/>
      <c r="BC110" s="6"/>
      <c r="BD110" s="6"/>
      <c r="BE110" s="6"/>
      <c r="BF110" s="6"/>
      <c r="BG110" s="6"/>
      <c r="BH110" s="6"/>
      <c r="BI110" s="6"/>
      <c r="BJ110" s="6"/>
      <c r="BK110" s="6"/>
      <c r="BL110" s="6"/>
      <c r="BM110" s="6"/>
      <c r="BN110" s="6"/>
      <c r="BO110" s="6"/>
      <c r="BP110" s="6">
        <v>39526</v>
      </c>
      <c r="BQ110" s="6"/>
      <c r="BR110" s="6"/>
      <c r="BS110" s="6"/>
      <c r="BT110" s="6"/>
      <c r="BU110" s="6"/>
      <c r="BV110" s="6"/>
      <c r="BW110" s="6"/>
      <c r="BX110" s="6"/>
      <c r="BY110" s="6">
        <v>39609</v>
      </c>
      <c r="BZ110" s="6"/>
      <c r="CA110" s="6"/>
      <c r="CB110" s="6"/>
      <c r="CC110" s="6"/>
      <c r="CD110" s="6"/>
      <c r="CE110" s="6"/>
      <c r="CF110" s="6"/>
      <c r="CG110" s="6"/>
      <c r="CH110" s="6"/>
      <c r="CI110" s="6"/>
      <c r="CJ110" s="6"/>
      <c r="CK110" s="6"/>
      <c r="CL110" s="6"/>
      <c r="CM110" s="6"/>
      <c r="CN110" s="6"/>
      <c r="CO110" s="6"/>
      <c r="CP110" s="6"/>
      <c r="CQ110" s="6"/>
      <c r="CR110" s="6">
        <v>39623</v>
      </c>
      <c r="CS110" s="6"/>
      <c r="CT110" s="6"/>
      <c r="CU110" s="6"/>
      <c r="CV110" s="6"/>
      <c r="CW110" s="6"/>
      <c r="CX110" s="6"/>
      <c r="CY110" s="6"/>
      <c r="CZ110" s="6"/>
      <c r="DA110" s="6"/>
      <c r="DB110" s="6"/>
      <c r="DC110" s="6"/>
      <c r="DD110" s="6">
        <v>39898</v>
      </c>
      <c r="DE110" s="6">
        <v>39923</v>
      </c>
      <c r="DF110" s="6"/>
      <c r="DG110" s="6"/>
      <c r="DH110" s="6">
        <v>39923</v>
      </c>
      <c r="DI110" s="6"/>
      <c r="DJ110" s="6">
        <v>39923</v>
      </c>
      <c r="DK110" s="6"/>
      <c r="DL110" s="6">
        <v>39923</v>
      </c>
      <c r="DM110" s="6"/>
      <c r="DN110" s="6"/>
      <c r="DO110" s="6"/>
      <c r="DP110" s="6"/>
      <c r="DQ110" s="6"/>
      <c r="DR110" s="6"/>
      <c r="DS110" s="6"/>
      <c r="DT110" s="6"/>
      <c r="DU110" s="6"/>
      <c r="DV110" s="6"/>
      <c r="DW110" s="6"/>
      <c r="DX110" s="6"/>
      <c r="DY110" s="6">
        <v>39923</v>
      </c>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row>
    <row r="111" spans="1:216" x14ac:dyDescent="0.3">
      <c r="A111" s="8" t="str">
        <f>HYPERLINK("https://hpr-rps.hres.ca/reg-content/summary-basis-decision-detailOne.php?lang=en&amp;linkID=SBD00110", "Posanol TM")</f>
        <v>Posanol TM</v>
      </c>
      <c r="B111" s="6" t="s">
        <v>359</v>
      </c>
      <c r="C111" s="6" t="s">
        <v>348</v>
      </c>
      <c r="D111" s="6" t="s">
        <v>360</v>
      </c>
      <c r="E111" s="6"/>
      <c r="F111" s="6"/>
      <c r="G111" s="6"/>
      <c r="H111" s="6"/>
      <c r="I111" s="6"/>
      <c r="J111" s="6"/>
      <c r="K111" s="6"/>
      <c r="L111" s="6"/>
      <c r="M111" s="6"/>
      <c r="N111" s="6"/>
      <c r="O111" s="6"/>
      <c r="P111" s="6"/>
      <c r="Q111" s="6"/>
      <c r="R111" s="6"/>
      <c r="S111" s="6"/>
      <c r="T111" s="6"/>
      <c r="U111" s="6"/>
      <c r="V111" s="6"/>
      <c r="W111" s="6"/>
      <c r="X111" s="6">
        <v>39114</v>
      </c>
      <c r="Y111" s="6">
        <v>39099</v>
      </c>
      <c r="Z111" s="6">
        <v>38715</v>
      </c>
      <c r="AA111" s="6">
        <v>39120</v>
      </c>
      <c r="AB111" s="6"/>
      <c r="AC111" s="6">
        <v>38755</v>
      </c>
      <c r="AD111" s="6"/>
      <c r="AE111" s="6"/>
      <c r="AF111" s="6">
        <v>38799</v>
      </c>
      <c r="AG111" s="6"/>
      <c r="AH111" s="6"/>
      <c r="AI111" s="6">
        <v>39030</v>
      </c>
      <c r="AJ111" s="6"/>
      <c r="AK111" s="6"/>
      <c r="AL111" s="6"/>
      <c r="AM111" s="6">
        <v>39349</v>
      </c>
      <c r="AN111" s="6"/>
      <c r="AO111" s="6"/>
      <c r="AP111" s="6"/>
      <c r="AQ111" s="6"/>
      <c r="AR111" s="6">
        <v>39344</v>
      </c>
      <c r="AS111" s="6"/>
      <c r="AT111" s="6"/>
      <c r="AU111" s="6"/>
      <c r="AV111" s="6">
        <v>39199</v>
      </c>
      <c r="AW111" s="6"/>
      <c r="AX111" s="6"/>
      <c r="AY111" s="6"/>
      <c r="AZ111" s="6">
        <v>39345</v>
      </c>
      <c r="BA111" s="6"/>
      <c r="BB111" s="6"/>
      <c r="BC111" s="6"/>
      <c r="BD111" s="6"/>
      <c r="BE111" s="6"/>
      <c r="BF111" s="6">
        <v>39199</v>
      </c>
      <c r="BG111" s="6"/>
      <c r="BH111" s="6"/>
      <c r="BI111" s="6"/>
      <c r="BJ111" s="6"/>
      <c r="BK111" s="6"/>
      <c r="BL111" s="6"/>
      <c r="BM111" s="6"/>
      <c r="BN111" s="6"/>
      <c r="BO111" s="6"/>
      <c r="BP111" s="6"/>
      <c r="BQ111" s="6"/>
      <c r="BR111" s="6"/>
      <c r="BS111" s="6"/>
      <c r="BT111" s="6"/>
      <c r="BU111" s="6"/>
      <c r="BV111" s="6"/>
      <c r="BW111" s="6"/>
      <c r="BX111" s="6"/>
      <c r="BY111" s="6">
        <v>39192</v>
      </c>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v>39114</v>
      </c>
      <c r="EW111" s="6">
        <v>39099</v>
      </c>
      <c r="EX111" s="6"/>
      <c r="EY111" s="6">
        <v>39120</v>
      </c>
      <c r="EZ111" s="6"/>
      <c r="FA111" s="6">
        <v>39192</v>
      </c>
      <c r="FB111" s="6"/>
      <c r="FC111" s="6"/>
      <c r="FD111" s="6">
        <v>38820</v>
      </c>
      <c r="FE111" s="6"/>
      <c r="FF111" s="6"/>
      <c r="FG111" s="6">
        <v>39029</v>
      </c>
      <c r="FH111" s="6"/>
      <c r="FI111" s="6"/>
      <c r="FJ111" s="6"/>
      <c r="FK111" s="6">
        <v>39349</v>
      </c>
      <c r="FL111" s="6"/>
      <c r="FM111" s="6"/>
      <c r="FN111" s="6"/>
      <c r="FO111" s="6"/>
      <c r="FP111" s="6">
        <v>39344</v>
      </c>
      <c r="FQ111" s="6"/>
      <c r="FR111" s="6"/>
      <c r="FS111" s="6"/>
      <c r="FT111" s="6">
        <v>39343</v>
      </c>
      <c r="FU111" s="6"/>
      <c r="FV111" s="6"/>
      <c r="FW111" s="6"/>
      <c r="FX111" s="6">
        <v>39345</v>
      </c>
      <c r="FY111" s="6"/>
      <c r="FZ111" s="6"/>
      <c r="GA111" s="6"/>
      <c r="GB111" s="6"/>
      <c r="GC111" s="6"/>
      <c r="GD111" s="6">
        <v>39199</v>
      </c>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row>
    <row r="112" spans="1:216" x14ac:dyDescent="0.3">
      <c r="A112" s="8" t="str">
        <f>HYPERLINK("https://hpr-rps.hres.ca/reg-content/summary-basis-decision-detailOne.php?lang=en&amp;linkID=SBD00111", "Pradax TM")</f>
        <v>Pradax TM</v>
      </c>
      <c r="B112" s="6" t="s">
        <v>361</v>
      </c>
      <c r="C112" s="6" t="s">
        <v>362</v>
      </c>
      <c r="D112" s="6" t="s">
        <v>363</v>
      </c>
      <c r="E112" s="6">
        <v>39238</v>
      </c>
      <c r="F112" s="6"/>
      <c r="G112" s="6"/>
      <c r="H112" s="6">
        <v>39252</v>
      </c>
      <c r="I112" s="6"/>
      <c r="J112" s="6"/>
      <c r="K112" s="6"/>
      <c r="L112" s="6"/>
      <c r="M112" s="6"/>
      <c r="N112" s="6"/>
      <c r="O112" s="6"/>
      <c r="P112" s="6"/>
      <c r="Q112" s="6"/>
      <c r="R112" s="6"/>
      <c r="S112" s="6"/>
      <c r="T112" s="6"/>
      <c r="U112" s="6"/>
      <c r="V112" s="6"/>
      <c r="W112" s="6"/>
      <c r="X112" s="6"/>
      <c r="Y112" s="6"/>
      <c r="Z112" s="6">
        <v>39295</v>
      </c>
      <c r="AA112" s="6"/>
      <c r="AB112" s="6"/>
      <c r="AC112" s="6">
        <v>39304</v>
      </c>
      <c r="AD112" s="6"/>
      <c r="AE112" s="6"/>
      <c r="AF112" s="6">
        <v>39310</v>
      </c>
      <c r="AG112" s="6"/>
      <c r="AH112" s="6"/>
      <c r="AI112" s="6"/>
      <c r="AJ112" s="6"/>
      <c r="AK112" s="6"/>
      <c r="AL112" s="6"/>
      <c r="AM112" s="6"/>
      <c r="AN112" s="6"/>
      <c r="AO112" s="6"/>
      <c r="AP112" s="6"/>
      <c r="AQ112" s="6"/>
      <c r="AR112" s="6">
        <v>39596</v>
      </c>
      <c r="AS112" s="6">
        <v>39458</v>
      </c>
      <c r="AT112" s="6"/>
      <c r="AU112" s="6"/>
      <c r="AV112" s="6">
        <v>39608</v>
      </c>
      <c r="AW112" s="6"/>
      <c r="AX112" s="6"/>
      <c r="AY112" s="6"/>
      <c r="AZ112" s="6">
        <v>39609</v>
      </c>
      <c r="BA112" s="6"/>
      <c r="BB112" s="6"/>
      <c r="BC112" s="6"/>
      <c r="BD112" s="6"/>
      <c r="BE112" s="6"/>
      <c r="BF112" s="6"/>
      <c r="BG112" s="6"/>
      <c r="BH112" s="6"/>
      <c r="BI112" s="6"/>
      <c r="BJ112" s="6"/>
      <c r="BK112" s="6"/>
      <c r="BL112" s="6"/>
      <c r="BM112" s="6">
        <v>39609</v>
      </c>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row>
    <row r="113" spans="1:216" x14ac:dyDescent="0.3">
      <c r="A113" s="8" t="str">
        <f>HYPERLINK("https://hpr-rps.hres.ca/reg-content/summary-basis-decision-detailOne.php?lang=en&amp;linkID=SBD00112", "Precedex TM")</f>
        <v>Precedex TM</v>
      </c>
      <c r="B113" s="6" t="s">
        <v>364</v>
      </c>
      <c r="C113" s="6" t="s">
        <v>365</v>
      </c>
      <c r="D113" s="6" t="s">
        <v>366</v>
      </c>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v>133090</v>
      </c>
      <c r="AG113" s="6"/>
      <c r="AH113" s="6"/>
      <c r="AI113" s="6"/>
      <c r="AJ113" s="6"/>
      <c r="AK113" s="6"/>
      <c r="AL113" s="6"/>
      <c r="AM113" s="6"/>
      <c r="AN113" s="6"/>
      <c r="AO113" s="6"/>
      <c r="AP113" s="6"/>
      <c r="AQ113" s="6"/>
      <c r="AR113" s="6"/>
      <c r="AS113" s="6"/>
      <c r="AT113" s="6"/>
      <c r="AU113" s="6"/>
      <c r="AV113" s="6">
        <v>136770</v>
      </c>
      <c r="AW113" s="6"/>
      <c r="AX113" s="6"/>
      <c r="AY113" s="6"/>
      <c r="AZ113" s="6"/>
      <c r="BA113" s="6"/>
      <c r="BB113" s="6"/>
      <c r="BC113" s="6"/>
      <c r="BD113" s="6"/>
      <c r="BE113" s="6"/>
      <c r="BF113" s="6"/>
      <c r="BG113" s="6"/>
      <c r="BH113" s="6"/>
      <c r="BI113" s="6"/>
      <c r="BJ113" s="6"/>
      <c r="BK113" s="6"/>
      <c r="BL113" s="6"/>
      <c r="BM113" s="6"/>
      <c r="BN113" s="6"/>
      <c r="BO113" s="6"/>
      <c r="BP113" s="6">
        <v>137580</v>
      </c>
      <c r="BQ113" s="6"/>
      <c r="BR113" s="6"/>
      <c r="BS113" s="6"/>
      <c r="BT113" s="6"/>
      <c r="BU113" s="6"/>
      <c r="BV113" s="6"/>
      <c r="BW113" s="6"/>
      <c r="BX113" s="6"/>
      <c r="BY113" s="6">
        <v>138491</v>
      </c>
      <c r="BZ113" s="6"/>
      <c r="CA113" s="6"/>
      <c r="CB113" s="6"/>
      <c r="CC113" s="6"/>
      <c r="CD113" s="6"/>
      <c r="CE113" s="6"/>
      <c r="CF113" s="6">
        <v>139401</v>
      </c>
      <c r="CG113" s="6"/>
      <c r="CH113" s="6"/>
      <c r="CI113" s="6"/>
      <c r="CJ113" s="6"/>
      <c r="CK113" s="6"/>
      <c r="CL113" s="6"/>
      <c r="CM113" s="6"/>
      <c r="CN113" s="6"/>
      <c r="CO113" s="6"/>
      <c r="CP113" s="6"/>
      <c r="CQ113" s="6"/>
      <c r="CR113" s="6">
        <v>39856</v>
      </c>
      <c r="CS113" s="6"/>
      <c r="CT113" s="6"/>
      <c r="CU113" s="6"/>
      <c r="CV113" s="6"/>
      <c r="CW113" s="6"/>
      <c r="CX113" s="6"/>
      <c r="CY113" s="6"/>
      <c r="CZ113" s="6"/>
      <c r="DA113" s="6"/>
      <c r="DB113" s="6"/>
      <c r="DC113" s="6"/>
      <c r="DD113" s="6">
        <v>40156</v>
      </c>
      <c r="DE113" s="6"/>
      <c r="DF113" s="6"/>
      <c r="DG113" s="6"/>
      <c r="DH113" s="6">
        <v>40156</v>
      </c>
      <c r="DI113" s="6"/>
      <c r="DJ113" s="6"/>
      <c r="DK113" s="6"/>
      <c r="DL113" s="6">
        <v>40156</v>
      </c>
      <c r="DM113" s="6"/>
      <c r="DN113" s="6"/>
      <c r="DO113" s="6"/>
      <c r="DP113" s="6"/>
      <c r="DQ113" s="6"/>
      <c r="DR113" s="6"/>
      <c r="DS113" s="6"/>
      <c r="DT113" s="6"/>
      <c r="DU113" s="6"/>
      <c r="DV113" s="6"/>
      <c r="DW113" s="6"/>
      <c r="DX113" s="6"/>
      <c r="DY113" s="6">
        <v>40156</v>
      </c>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row>
    <row r="114" spans="1:216" x14ac:dyDescent="0.3">
      <c r="A114" s="8" t="str">
        <f>HYPERLINK("https://hpr-rps.hres.ca/reg-content/summary-basis-decision-detailOne.php?lang=en&amp;linkID=SBD00113", "Prevnar ®")</f>
        <v>Prevnar ®</v>
      </c>
      <c r="B114" s="6" t="s">
        <v>367</v>
      </c>
      <c r="C114" s="6" t="s">
        <v>368</v>
      </c>
      <c r="D114" s="6" t="s">
        <v>369</v>
      </c>
      <c r="E114" s="6">
        <v>39478</v>
      </c>
      <c r="F114" s="6"/>
      <c r="G114" s="6"/>
      <c r="H114" s="6"/>
      <c r="I114" s="6"/>
      <c r="J114" s="6"/>
      <c r="K114" s="6"/>
      <c r="L114" s="6"/>
      <c r="M114" s="6"/>
      <c r="N114" s="6">
        <v>39841</v>
      </c>
      <c r="O114" s="6"/>
      <c r="P114" s="6"/>
      <c r="Q114" s="6"/>
      <c r="R114" s="6"/>
      <c r="S114" s="6">
        <v>39869</v>
      </c>
      <c r="T114" s="6"/>
      <c r="U114" s="6"/>
      <c r="V114" s="6">
        <v>39890</v>
      </c>
      <c r="W114" s="6"/>
      <c r="X114" s="6"/>
      <c r="Y114" s="6"/>
      <c r="Z114" s="6"/>
      <c r="AA114" s="6"/>
      <c r="AB114" s="6"/>
      <c r="AC114" s="6"/>
      <c r="AD114" s="6"/>
      <c r="AE114" s="6"/>
      <c r="AF114" s="6">
        <v>39920</v>
      </c>
      <c r="AG114" s="6"/>
      <c r="AH114" s="6"/>
      <c r="AI114" s="6"/>
      <c r="AJ114" s="6"/>
      <c r="AK114" s="6"/>
      <c r="AL114" s="6"/>
      <c r="AM114" s="6"/>
      <c r="AN114" s="6"/>
      <c r="AO114" s="6">
        <v>40049</v>
      </c>
      <c r="AP114" s="6"/>
      <c r="AQ114" s="6"/>
      <c r="AR114" s="6"/>
      <c r="AS114" s="6"/>
      <c r="AT114" s="6"/>
      <c r="AU114" s="6"/>
      <c r="AV114" s="6">
        <v>40164</v>
      </c>
      <c r="AW114" s="6"/>
      <c r="AX114" s="6"/>
      <c r="AY114" s="6"/>
      <c r="AZ114" s="6">
        <v>40163</v>
      </c>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row>
    <row r="115" spans="1:216" x14ac:dyDescent="0.3">
      <c r="A115" s="8" t="str">
        <f>HYPERLINK("https://hpr-rps.hres.ca/reg-content/summary-basis-decision-detailOne.php?lang=en&amp;linkID=SBD00114", "Prexige")</f>
        <v>Prexige</v>
      </c>
      <c r="B115" s="6" t="s">
        <v>370</v>
      </c>
      <c r="C115" s="6" t="s">
        <v>87</v>
      </c>
      <c r="D115" s="6" t="s">
        <v>371</v>
      </c>
      <c r="E115" s="6"/>
      <c r="F115" s="6"/>
      <c r="G115" s="6"/>
      <c r="H115" s="6"/>
      <c r="I115" s="6"/>
      <c r="J115" s="6"/>
      <c r="K115" s="6"/>
      <c r="L115" s="6"/>
      <c r="M115" s="6"/>
      <c r="N115" s="6"/>
      <c r="O115" s="6"/>
      <c r="P115" s="6"/>
      <c r="Q115" s="6"/>
      <c r="R115" s="6"/>
      <c r="S115" s="6"/>
      <c r="T115" s="6"/>
      <c r="U115" s="6"/>
      <c r="V115" s="6"/>
      <c r="W115" s="6"/>
      <c r="X115" s="6"/>
      <c r="Y115" s="6"/>
      <c r="Z115" s="6">
        <v>37713</v>
      </c>
      <c r="AA115" s="6"/>
      <c r="AB115" s="6"/>
      <c r="AC115" s="6">
        <v>37740</v>
      </c>
      <c r="AD115" s="6"/>
      <c r="AE115" s="6"/>
      <c r="AF115" s="6">
        <v>37747</v>
      </c>
      <c r="AG115" s="6"/>
      <c r="AH115" s="6"/>
      <c r="AI115" s="6"/>
      <c r="AJ115" s="6"/>
      <c r="AK115" s="6"/>
      <c r="AL115" s="6"/>
      <c r="AM115" s="6"/>
      <c r="AN115" s="6"/>
      <c r="AO115" s="6"/>
      <c r="AP115" s="6"/>
      <c r="AQ115" s="6"/>
      <c r="AR115" s="6"/>
      <c r="AS115" s="6">
        <v>38044</v>
      </c>
      <c r="AT115" s="6"/>
      <c r="AU115" s="6"/>
      <c r="AV115" s="6">
        <v>37942</v>
      </c>
      <c r="AW115" s="6"/>
      <c r="AX115" s="6"/>
      <c r="AY115" s="6"/>
      <c r="AZ115" s="6">
        <v>38042</v>
      </c>
      <c r="BA115" s="6"/>
      <c r="BB115" s="6"/>
      <c r="BC115" s="6"/>
      <c r="BD115" s="6"/>
      <c r="BE115" s="6"/>
      <c r="BF115" s="6"/>
      <c r="BG115" s="6"/>
      <c r="BH115" s="6"/>
      <c r="BI115" s="6"/>
      <c r="BJ115" s="6"/>
      <c r="BK115" s="6"/>
      <c r="BL115" s="6"/>
      <c r="BM115" s="6"/>
      <c r="BN115" s="6"/>
      <c r="BO115" s="6"/>
      <c r="BP115" s="6"/>
      <c r="BQ115" s="6"/>
      <c r="BR115" s="6"/>
      <c r="BS115" s="6"/>
      <c r="BT115" s="6">
        <v>38047</v>
      </c>
      <c r="BU115" s="6"/>
      <c r="BV115" s="6"/>
      <c r="BW115" s="6"/>
      <c r="BX115" s="6"/>
      <c r="BY115" s="6">
        <v>38139</v>
      </c>
      <c r="BZ115" s="6"/>
      <c r="CA115" s="6"/>
      <c r="CB115" s="6"/>
      <c r="CC115" s="6"/>
      <c r="CD115" s="6"/>
      <c r="CE115" s="6"/>
      <c r="CF115" s="6"/>
      <c r="CG115" s="6"/>
      <c r="CH115" s="6"/>
      <c r="CI115" s="6"/>
      <c r="CJ115" s="6"/>
      <c r="CK115" s="6"/>
      <c r="CL115" s="6"/>
      <c r="CM115" s="6"/>
      <c r="CN115" s="6"/>
      <c r="CO115" s="6"/>
      <c r="CP115" s="6"/>
      <c r="CQ115" s="6"/>
      <c r="CR115" s="6">
        <v>38182</v>
      </c>
      <c r="CS115" s="6"/>
      <c r="CT115" s="6"/>
      <c r="CU115" s="6"/>
      <c r="CV115" s="6"/>
      <c r="CW115" s="6"/>
      <c r="CX115" s="6"/>
      <c r="CY115" s="6"/>
      <c r="CZ115" s="6">
        <v>38620</v>
      </c>
      <c r="DA115" s="6"/>
      <c r="DB115" s="6"/>
      <c r="DC115" s="6"/>
      <c r="DD115" s="6"/>
      <c r="DE115" s="6">
        <v>38191</v>
      </c>
      <c r="DF115" s="6"/>
      <c r="DG115" s="6"/>
      <c r="DH115" s="6">
        <v>38261</v>
      </c>
      <c r="DI115" s="6"/>
      <c r="DJ115" s="6"/>
      <c r="DK115" s="6"/>
      <c r="DL115" s="6">
        <v>38329</v>
      </c>
      <c r="DM115" s="6"/>
      <c r="DN115" s="6"/>
      <c r="DO115" s="6"/>
      <c r="DP115" s="6"/>
      <c r="DQ115" s="6"/>
      <c r="DR115" s="6"/>
      <c r="DS115" s="6"/>
      <c r="DT115" s="6"/>
      <c r="DU115" s="6"/>
      <c r="DV115" s="6"/>
      <c r="DW115" s="6"/>
      <c r="DX115" s="6"/>
      <c r="DY115" s="6"/>
      <c r="DZ115" s="6"/>
      <c r="EA115" s="6"/>
      <c r="EB115" s="6"/>
      <c r="EC115" s="6"/>
      <c r="ED115" s="6"/>
      <c r="EE115" s="6">
        <v>38331</v>
      </c>
      <c r="EF115" s="6"/>
      <c r="EG115" s="6"/>
      <c r="EH115" s="6"/>
      <c r="EI115" s="6"/>
      <c r="EJ115" s="6"/>
      <c r="EK115" s="6"/>
      <c r="EL115" s="6"/>
      <c r="EM115" s="6"/>
      <c r="EN115" s="6"/>
      <c r="EO115" s="6">
        <v>38671</v>
      </c>
      <c r="EP115" s="6"/>
      <c r="EQ115" s="6"/>
      <c r="ER115" s="6"/>
      <c r="ES115" s="6"/>
      <c r="ET115" s="6"/>
      <c r="EU115" s="6"/>
      <c r="EV115" s="6"/>
      <c r="EW115" s="6"/>
      <c r="EX115" s="6"/>
      <c r="EY115" s="6"/>
      <c r="EZ115" s="6"/>
      <c r="FA115" s="6"/>
      <c r="FB115" s="6"/>
      <c r="FC115" s="6"/>
      <c r="FD115" s="6">
        <v>38723</v>
      </c>
      <c r="FE115" s="6"/>
      <c r="FF115" s="6"/>
      <c r="FG115" s="6"/>
      <c r="FH115" s="6"/>
      <c r="FI115" s="6"/>
      <c r="FJ115" s="6"/>
      <c r="FK115" s="6"/>
      <c r="FL115" s="6"/>
      <c r="FM115" s="6"/>
      <c r="FN115" s="6"/>
      <c r="FO115" s="6"/>
      <c r="FP115" s="6">
        <v>39023</v>
      </c>
      <c r="FQ115" s="6"/>
      <c r="FR115" s="6"/>
      <c r="FS115" s="6"/>
      <c r="FT115" s="6">
        <v>39017</v>
      </c>
      <c r="FU115" s="6"/>
      <c r="FV115" s="6">
        <v>38819</v>
      </c>
      <c r="FW115" s="6"/>
      <c r="FX115" s="6">
        <v>39023</v>
      </c>
      <c r="FY115" s="6"/>
      <c r="FZ115" s="6"/>
      <c r="GA115" s="6"/>
      <c r="GB115" s="6"/>
      <c r="GC115" s="6"/>
      <c r="GD115" s="6"/>
      <c r="GE115" s="6"/>
      <c r="GF115" s="6"/>
      <c r="GG115" s="6"/>
      <c r="GH115" s="6"/>
      <c r="GI115" s="6"/>
      <c r="GJ115" s="6"/>
      <c r="GK115" s="6">
        <v>39023</v>
      </c>
      <c r="GL115" s="6"/>
      <c r="GM115" s="6"/>
      <c r="GN115" s="6"/>
      <c r="GO115" s="6"/>
      <c r="GP115" s="6"/>
      <c r="GQ115" s="6"/>
      <c r="GR115" s="6"/>
      <c r="GS115" s="6"/>
      <c r="GT115" s="6"/>
      <c r="GU115" s="6"/>
      <c r="GV115" s="6"/>
      <c r="GW115" s="6"/>
      <c r="GX115" s="6"/>
      <c r="GY115" s="6"/>
      <c r="GZ115" s="6"/>
      <c r="HA115" s="6"/>
      <c r="HB115" s="6"/>
      <c r="HC115" s="6"/>
      <c r="HD115" s="6"/>
      <c r="HE115" s="6"/>
      <c r="HF115" s="6"/>
      <c r="HG115" s="6"/>
      <c r="HH115" s="6"/>
    </row>
    <row r="116" spans="1:216" x14ac:dyDescent="0.3">
      <c r="A116" s="8" t="str">
        <f>HYPERLINK("https://hpr-rps.hres.ca/reg-content/summary-basis-decision-detailOne.php?lang=en&amp;linkID=SBD00115", "Prezista")</f>
        <v>Prezista</v>
      </c>
      <c r="B116" s="6" t="s">
        <v>372</v>
      </c>
      <c r="C116" s="6" t="s">
        <v>196</v>
      </c>
      <c r="D116" s="6" t="s">
        <v>373</v>
      </c>
      <c r="E116" s="6">
        <v>38644</v>
      </c>
      <c r="F116" s="6"/>
      <c r="G116" s="6">
        <v>38676</v>
      </c>
      <c r="H116" s="6">
        <v>38709</v>
      </c>
      <c r="I116" s="6"/>
      <c r="J116" s="6"/>
      <c r="K116" s="6"/>
      <c r="L116" s="6">
        <v>38706</v>
      </c>
      <c r="M116" s="6"/>
      <c r="N116" s="6"/>
      <c r="O116" s="6"/>
      <c r="P116" s="6"/>
      <c r="Q116" s="6"/>
      <c r="R116" s="6"/>
      <c r="S116" s="6"/>
      <c r="T116" s="6"/>
      <c r="U116" s="6"/>
      <c r="V116" s="6"/>
      <c r="W116" s="6"/>
      <c r="X116" s="6"/>
      <c r="Y116" s="6"/>
      <c r="Z116" s="6"/>
      <c r="AA116" s="6"/>
      <c r="AB116" s="6"/>
      <c r="AC116" s="6"/>
      <c r="AD116" s="6"/>
      <c r="AE116" s="6"/>
      <c r="AF116" s="6">
        <v>38751</v>
      </c>
      <c r="AG116" s="6"/>
      <c r="AH116" s="6"/>
      <c r="AI116" s="6"/>
      <c r="AJ116" s="6"/>
      <c r="AK116" s="6"/>
      <c r="AL116" s="6"/>
      <c r="AM116" s="6"/>
      <c r="AN116" s="6"/>
      <c r="AO116" s="6"/>
      <c r="AP116" s="6"/>
      <c r="AQ116" s="6"/>
      <c r="AR116" s="6"/>
      <c r="AS116" s="6">
        <v>38917</v>
      </c>
      <c r="AT116" s="6"/>
      <c r="AU116" s="6"/>
      <c r="AV116" s="6">
        <v>38915</v>
      </c>
      <c r="AW116" s="6"/>
      <c r="AX116" s="6">
        <v>38890</v>
      </c>
      <c r="AY116" s="6"/>
      <c r="AZ116" s="6">
        <v>38919</v>
      </c>
      <c r="BA116" s="6"/>
      <c r="BB116" s="6"/>
      <c r="BC116" s="6"/>
      <c r="BD116" s="6"/>
      <c r="BE116" s="6"/>
      <c r="BF116" s="6"/>
      <c r="BG116" s="6"/>
      <c r="BH116" s="6"/>
      <c r="BI116" s="6"/>
      <c r="BJ116" s="6"/>
      <c r="BK116" s="6">
        <v>38919</v>
      </c>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v>38924</v>
      </c>
      <c r="CN116" s="6"/>
      <c r="CO116" s="6"/>
      <c r="CP116" s="6"/>
      <c r="CQ116" s="6"/>
      <c r="CR116" s="6"/>
      <c r="CS116" s="6"/>
      <c r="CT116" s="6"/>
      <c r="CU116" s="6">
        <v>38924</v>
      </c>
      <c r="CV116" s="6"/>
      <c r="CW116" s="6"/>
      <c r="CX116" s="6"/>
      <c r="CY116" s="6"/>
      <c r="CZ116" s="6"/>
      <c r="DA116" s="6"/>
      <c r="DB116" s="6"/>
      <c r="DC116" s="6"/>
      <c r="DD116" s="6"/>
      <c r="DE116" s="6"/>
      <c r="DF116" s="6"/>
      <c r="DG116" s="6">
        <v>38926</v>
      </c>
      <c r="DH116" s="6"/>
      <c r="DI116" s="6"/>
      <c r="DJ116" s="6"/>
      <c r="DK116" s="6"/>
      <c r="DL116" s="6"/>
      <c r="DM116" s="6"/>
      <c r="DN116" s="6"/>
      <c r="DO116" s="6"/>
      <c r="DP116" s="6"/>
      <c r="DQ116" s="6"/>
      <c r="DR116" s="6"/>
      <c r="DS116" s="6"/>
      <c r="DT116" s="6">
        <v>38923</v>
      </c>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row>
    <row r="117" spans="1:216" x14ac:dyDescent="0.3">
      <c r="A117" s="8" t="str">
        <f>HYPERLINK("https://hpr-rps.hres.ca/reg-content/summary-basis-decision-detailOne.php?lang=en&amp;linkID=SBD00116", "Primovist ®")</f>
        <v>Primovist ®</v>
      </c>
      <c r="B117" s="6" t="s">
        <v>374</v>
      </c>
      <c r="C117" s="6" t="s">
        <v>341</v>
      </c>
      <c r="D117" s="6" t="s">
        <v>375</v>
      </c>
      <c r="E117" s="6"/>
      <c r="F117" s="6"/>
      <c r="G117" s="6"/>
      <c r="H117" s="6">
        <v>39846</v>
      </c>
      <c r="I117" s="6"/>
      <c r="J117" s="6"/>
      <c r="K117" s="6"/>
      <c r="L117" s="6"/>
      <c r="M117" s="6"/>
      <c r="N117" s="6"/>
      <c r="O117" s="6"/>
      <c r="P117" s="6"/>
      <c r="Q117" s="6"/>
      <c r="R117" s="6"/>
      <c r="S117" s="6"/>
      <c r="T117" s="6"/>
      <c r="U117" s="6"/>
      <c r="V117" s="6"/>
      <c r="W117" s="6"/>
      <c r="X117" s="6"/>
      <c r="Y117" s="6"/>
      <c r="Z117" s="6"/>
      <c r="AA117" s="6"/>
      <c r="AB117" s="6"/>
      <c r="AC117" s="6"/>
      <c r="AD117" s="6"/>
      <c r="AE117" s="6"/>
      <c r="AF117" s="6">
        <v>39892</v>
      </c>
      <c r="AG117" s="6"/>
      <c r="AH117" s="6"/>
      <c r="AI117" s="6"/>
      <c r="AJ117" s="6"/>
      <c r="AK117" s="6"/>
      <c r="AL117" s="6"/>
      <c r="AM117" s="6"/>
      <c r="AN117" s="6"/>
      <c r="AO117" s="6"/>
      <c r="AP117" s="6"/>
      <c r="AQ117" s="6"/>
      <c r="AR117" s="6">
        <v>40191</v>
      </c>
      <c r="AS117" s="6"/>
      <c r="AT117" s="6"/>
      <c r="AU117" s="6"/>
      <c r="AV117" s="6">
        <v>40190</v>
      </c>
      <c r="AW117" s="6"/>
      <c r="AX117" s="6"/>
      <c r="AY117" s="6"/>
      <c r="AZ117" s="6">
        <v>40189</v>
      </c>
      <c r="BA117" s="6"/>
      <c r="BB117" s="6"/>
      <c r="BC117" s="6"/>
      <c r="BD117" s="6"/>
      <c r="BE117" s="6"/>
      <c r="BF117" s="6"/>
      <c r="BG117" s="6"/>
      <c r="BH117" s="6"/>
      <c r="BI117" s="6"/>
      <c r="BJ117" s="6"/>
      <c r="BK117" s="6"/>
      <c r="BL117" s="6"/>
      <c r="BM117" s="6">
        <v>40192</v>
      </c>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row>
    <row r="118" spans="1:216" x14ac:dyDescent="0.3">
      <c r="A118" s="8" t="str">
        <f>HYPERLINK("https://hpr-rps.hres.ca/reg-content/summary-basis-decision-detailOne.php?lang=en&amp;linkID=SBD00117", "Pristiq TM")</f>
        <v>Pristiq TM</v>
      </c>
      <c r="B118" s="6" t="s">
        <v>376</v>
      </c>
      <c r="C118" s="6" t="s">
        <v>368</v>
      </c>
      <c r="D118" s="6" t="s">
        <v>377</v>
      </c>
      <c r="E118" s="6">
        <v>39401</v>
      </c>
      <c r="F118" s="6"/>
      <c r="G118" s="6"/>
      <c r="H118" s="6"/>
      <c r="I118" s="6"/>
      <c r="J118" s="6"/>
      <c r="K118" s="6"/>
      <c r="L118" s="6"/>
      <c r="M118" s="6"/>
      <c r="N118" s="6">
        <v>39351</v>
      </c>
      <c r="O118" s="6"/>
      <c r="P118" s="6"/>
      <c r="Q118" s="6"/>
      <c r="R118" s="6"/>
      <c r="S118" s="6">
        <v>39381</v>
      </c>
      <c r="T118" s="6"/>
      <c r="U118" s="6"/>
      <c r="V118" s="6">
        <v>39402</v>
      </c>
      <c r="W118" s="6"/>
      <c r="X118" s="6"/>
      <c r="Y118" s="6"/>
      <c r="Z118" s="6"/>
      <c r="AA118" s="6"/>
      <c r="AB118" s="6"/>
      <c r="AC118" s="6"/>
      <c r="AD118" s="6"/>
      <c r="AE118" s="6"/>
      <c r="AF118" s="6">
        <v>39429</v>
      </c>
      <c r="AG118" s="6"/>
      <c r="AH118" s="6"/>
      <c r="AI118" s="6"/>
      <c r="AJ118" s="6"/>
      <c r="AK118" s="6"/>
      <c r="AL118" s="6"/>
      <c r="AM118" s="6"/>
      <c r="AN118" s="6"/>
      <c r="AO118" s="6">
        <v>39461</v>
      </c>
      <c r="AP118" s="6"/>
      <c r="AQ118" s="6"/>
      <c r="AR118" s="6"/>
      <c r="AS118" s="6">
        <v>39609</v>
      </c>
      <c r="AT118" s="6"/>
      <c r="AU118" s="6"/>
      <c r="AV118" s="6">
        <v>39609</v>
      </c>
      <c r="AW118" s="6"/>
      <c r="AX118" s="6">
        <v>39609</v>
      </c>
      <c r="AY118" s="6"/>
      <c r="AZ118" s="6">
        <v>39609</v>
      </c>
      <c r="BA118" s="6"/>
      <c r="BB118" s="6"/>
      <c r="BC118" s="6"/>
      <c r="BD118" s="6"/>
      <c r="BE118" s="6"/>
      <c r="BF118" s="6"/>
      <c r="BG118" s="6"/>
      <c r="BH118" s="6"/>
      <c r="BI118" s="6"/>
      <c r="BJ118" s="6"/>
      <c r="BK118" s="6"/>
      <c r="BL118" s="6"/>
      <c r="BM118" s="6"/>
      <c r="BN118" s="6"/>
      <c r="BO118" s="6"/>
      <c r="BP118" s="6">
        <v>39609</v>
      </c>
      <c r="BQ118" s="6"/>
      <c r="BR118" s="6"/>
      <c r="BS118" s="6"/>
      <c r="BT118" s="6"/>
      <c r="BU118" s="6"/>
      <c r="BV118" s="6"/>
      <c r="BW118" s="6"/>
      <c r="BX118" s="6"/>
      <c r="BY118" s="6">
        <v>39703</v>
      </c>
      <c r="BZ118" s="6"/>
      <c r="CA118" s="6"/>
      <c r="CB118" s="6"/>
      <c r="CC118" s="6"/>
      <c r="CD118" s="6"/>
      <c r="CE118" s="6"/>
      <c r="CF118" s="6"/>
      <c r="CG118" s="6"/>
      <c r="CH118" s="6"/>
      <c r="CI118" s="6"/>
      <c r="CJ118" s="6"/>
      <c r="CK118" s="6"/>
      <c r="CL118" s="6"/>
      <c r="CM118" s="6"/>
      <c r="CN118" s="6"/>
      <c r="CO118" s="6"/>
      <c r="CP118" s="6"/>
      <c r="CQ118" s="6"/>
      <c r="CR118" s="6">
        <v>39710</v>
      </c>
      <c r="CS118" s="6"/>
      <c r="CT118" s="6"/>
      <c r="CU118" s="6"/>
      <c r="CV118" s="6"/>
      <c r="CW118" s="6"/>
      <c r="CX118" s="6"/>
      <c r="CY118" s="6"/>
      <c r="CZ118" s="6"/>
      <c r="DA118" s="6"/>
      <c r="DB118" s="6"/>
      <c r="DC118" s="6"/>
      <c r="DD118" s="6">
        <v>39862</v>
      </c>
      <c r="DE118" s="6">
        <v>39862</v>
      </c>
      <c r="DF118" s="6"/>
      <c r="DG118" s="6"/>
      <c r="DH118" s="6">
        <v>39860</v>
      </c>
      <c r="DI118" s="6"/>
      <c r="DJ118" s="6">
        <v>39862</v>
      </c>
      <c r="DK118" s="6"/>
      <c r="DL118" s="6">
        <v>39862</v>
      </c>
      <c r="DM118" s="6"/>
      <c r="DN118" s="6"/>
      <c r="DO118" s="6"/>
      <c r="DP118" s="6"/>
      <c r="DQ118" s="6"/>
      <c r="DR118" s="6"/>
      <c r="DS118" s="6"/>
      <c r="DT118" s="6"/>
      <c r="DU118" s="6"/>
      <c r="DV118" s="6"/>
      <c r="DW118" s="6"/>
      <c r="DX118" s="6"/>
      <c r="DY118" s="6">
        <v>39863</v>
      </c>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c r="GX118" s="6"/>
      <c r="GY118" s="6"/>
      <c r="GZ118" s="6"/>
      <c r="HA118" s="6"/>
      <c r="HB118" s="6"/>
      <c r="HC118" s="6"/>
      <c r="HD118" s="6"/>
      <c r="HE118" s="6"/>
      <c r="HF118" s="6"/>
      <c r="HG118" s="6"/>
      <c r="HH118" s="6"/>
    </row>
    <row r="119" spans="1:216" x14ac:dyDescent="0.3">
      <c r="A119" s="8" t="str">
        <f>HYPERLINK("https://hpr-rps.hres.ca/reg-content/summary-basis-decision-detailOne.php?lang=en&amp;linkID=SBD00118", "Prochymal")</f>
        <v>Prochymal</v>
      </c>
      <c r="B119" s="6" t="s">
        <v>378</v>
      </c>
      <c r="C119" s="6" t="s">
        <v>379</v>
      </c>
      <c r="D119" s="6" t="s">
        <v>380</v>
      </c>
      <c r="E119" s="6">
        <v>39686</v>
      </c>
      <c r="F119" s="6">
        <v>39766</v>
      </c>
      <c r="G119" s="6"/>
      <c r="H119" s="6">
        <v>39827</v>
      </c>
      <c r="I119" s="6"/>
      <c r="J119" s="6"/>
      <c r="K119" s="6"/>
      <c r="L119" s="6"/>
      <c r="M119" s="6"/>
      <c r="N119" s="6"/>
      <c r="O119" s="6"/>
      <c r="P119" s="6"/>
      <c r="Q119" s="6"/>
      <c r="R119" s="6"/>
      <c r="S119" s="6"/>
      <c r="T119" s="6"/>
      <c r="U119" s="6"/>
      <c r="V119" s="6"/>
      <c r="W119" s="6"/>
      <c r="X119" s="6"/>
      <c r="Y119" s="6"/>
      <c r="Z119" s="6"/>
      <c r="AA119" s="6"/>
      <c r="AB119" s="6"/>
      <c r="AC119" s="6"/>
      <c r="AD119" s="6"/>
      <c r="AE119" s="6"/>
      <c r="AF119" s="6">
        <v>39874</v>
      </c>
      <c r="AG119" s="6"/>
      <c r="AH119" s="6"/>
      <c r="AI119" s="6"/>
      <c r="AJ119" s="6"/>
      <c r="AK119" s="6"/>
      <c r="AL119" s="6"/>
      <c r="AM119" s="6"/>
      <c r="AN119" s="6"/>
      <c r="AO119" s="6">
        <v>40098</v>
      </c>
      <c r="AP119" s="6"/>
      <c r="AQ119" s="6"/>
      <c r="AR119" s="6">
        <v>40211</v>
      </c>
      <c r="AS119" s="6">
        <v>40306</v>
      </c>
      <c r="AT119" s="6"/>
      <c r="AU119" s="6"/>
      <c r="AV119" s="6">
        <v>40170</v>
      </c>
      <c r="AW119" s="6"/>
      <c r="AX119" s="6">
        <v>40306</v>
      </c>
      <c r="AY119" s="6"/>
      <c r="AZ119" s="6">
        <v>40306</v>
      </c>
      <c r="BA119" s="6"/>
      <c r="BB119" s="6"/>
      <c r="BC119" s="6"/>
      <c r="BD119" s="6"/>
      <c r="BE119" s="6"/>
      <c r="BF119" s="6"/>
      <c r="BG119" s="6"/>
      <c r="BH119" s="6"/>
      <c r="BI119" s="6"/>
      <c r="BJ119" s="6"/>
      <c r="BK119" s="6"/>
      <c r="BL119" s="6"/>
      <c r="BM119" s="6">
        <v>40396</v>
      </c>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row>
    <row r="120" spans="1:216" x14ac:dyDescent="0.3">
      <c r="A120" s="8" t="str">
        <f>HYPERLINK("https://hpr-rps.hres.ca/reg-content/summary-basis-decision-detailOne.php?lang=en&amp;linkID=SBD00119", "Prolia TM")</f>
        <v>Prolia TM</v>
      </c>
      <c r="B120" s="6" t="s">
        <v>381</v>
      </c>
      <c r="C120" s="6" t="s">
        <v>382</v>
      </c>
      <c r="D120" s="6" t="s">
        <v>383</v>
      </c>
      <c r="E120" s="6">
        <v>39686</v>
      </c>
      <c r="F120" s="6">
        <v>39766</v>
      </c>
      <c r="G120" s="6"/>
      <c r="H120" s="6">
        <v>39827</v>
      </c>
      <c r="I120" s="6"/>
      <c r="J120" s="6"/>
      <c r="K120" s="6"/>
      <c r="L120" s="6"/>
      <c r="M120" s="6"/>
      <c r="N120" s="6"/>
      <c r="O120" s="6"/>
      <c r="P120" s="6"/>
      <c r="Q120" s="6"/>
      <c r="R120" s="6"/>
      <c r="S120" s="6"/>
      <c r="T120" s="6"/>
      <c r="U120" s="6"/>
      <c r="V120" s="6"/>
      <c r="W120" s="6"/>
      <c r="X120" s="6"/>
      <c r="Y120" s="6"/>
      <c r="Z120" s="6"/>
      <c r="AA120" s="6"/>
      <c r="AB120" s="6"/>
      <c r="AC120" s="6"/>
      <c r="AD120" s="6"/>
      <c r="AE120" s="6"/>
      <c r="AF120" s="6">
        <v>39874</v>
      </c>
      <c r="AG120" s="6"/>
      <c r="AH120" s="6"/>
      <c r="AI120" s="6"/>
      <c r="AJ120" s="6"/>
      <c r="AK120" s="6"/>
      <c r="AL120" s="6"/>
      <c r="AM120" s="6"/>
      <c r="AN120" s="6"/>
      <c r="AO120" s="6">
        <v>40098</v>
      </c>
      <c r="AP120" s="6"/>
      <c r="AQ120" s="6"/>
      <c r="AR120" s="6">
        <v>40211</v>
      </c>
      <c r="AS120" s="6">
        <v>40306</v>
      </c>
      <c r="AT120" s="6"/>
      <c r="AU120" s="6"/>
      <c r="AV120" s="6">
        <v>40170</v>
      </c>
      <c r="AW120" s="6"/>
      <c r="AX120" s="6">
        <v>40306</v>
      </c>
      <c r="AY120" s="6"/>
      <c r="AZ120" s="6">
        <v>40306</v>
      </c>
      <c r="BA120" s="6"/>
      <c r="BB120" s="6"/>
      <c r="BC120" s="6"/>
      <c r="BD120" s="6"/>
      <c r="BE120" s="6"/>
      <c r="BF120" s="6"/>
      <c r="BG120" s="6"/>
      <c r="BH120" s="6"/>
      <c r="BI120" s="6"/>
      <c r="BJ120" s="6"/>
      <c r="BK120" s="6"/>
      <c r="BL120" s="6"/>
      <c r="BM120" s="6">
        <v>40396</v>
      </c>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row>
    <row r="121" spans="1:216" x14ac:dyDescent="0.3">
      <c r="A121" s="8" t="str">
        <f>HYPERLINK("https://hpr-rps.hres.ca/reg-content/summary-basis-decision-detailOne.php?lang=en&amp;linkID=SBD00120", "Rapaflo TM")</f>
        <v>Rapaflo TM</v>
      </c>
      <c r="B121" s="6" t="s">
        <v>384</v>
      </c>
      <c r="C121" s="6" t="s">
        <v>385</v>
      </c>
      <c r="D121" s="6" t="s">
        <v>386</v>
      </c>
      <c r="E121" s="6">
        <v>39686</v>
      </c>
      <c r="F121" s="6">
        <v>39766</v>
      </c>
      <c r="G121" s="6"/>
      <c r="H121" s="6">
        <v>39827</v>
      </c>
      <c r="I121" s="6"/>
      <c r="J121" s="6"/>
      <c r="K121" s="6"/>
      <c r="L121" s="6"/>
      <c r="M121" s="6"/>
      <c r="N121" s="6"/>
      <c r="O121" s="6"/>
      <c r="P121" s="6"/>
      <c r="Q121" s="6"/>
      <c r="R121" s="6"/>
      <c r="S121" s="6"/>
      <c r="T121" s="6"/>
      <c r="U121" s="6"/>
      <c r="V121" s="6"/>
      <c r="W121" s="6"/>
      <c r="X121" s="6"/>
      <c r="Y121" s="6"/>
      <c r="Z121" s="6"/>
      <c r="AA121" s="6"/>
      <c r="AB121" s="6"/>
      <c r="AC121" s="6"/>
      <c r="AD121" s="6"/>
      <c r="AE121" s="6"/>
      <c r="AF121" s="6">
        <v>39874</v>
      </c>
      <c r="AG121" s="6"/>
      <c r="AH121" s="6"/>
      <c r="AI121" s="6"/>
      <c r="AJ121" s="6"/>
      <c r="AK121" s="6"/>
      <c r="AL121" s="6"/>
      <c r="AM121" s="6"/>
      <c r="AN121" s="6"/>
      <c r="AO121" s="6">
        <v>40098</v>
      </c>
      <c r="AP121" s="6"/>
      <c r="AQ121" s="6"/>
      <c r="AR121" s="6">
        <v>40211</v>
      </c>
      <c r="AS121" s="6">
        <v>40306</v>
      </c>
      <c r="AT121" s="6"/>
      <c r="AU121" s="6"/>
      <c r="AV121" s="6">
        <v>40170</v>
      </c>
      <c r="AW121" s="6"/>
      <c r="AX121" s="6">
        <v>40306</v>
      </c>
      <c r="AY121" s="6"/>
      <c r="AZ121" s="6">
        <v>40306</v>
      </c>
      <c r="BA121" s="6"/>
      <c r="BB121" s="6"/>
      <c r="BC121" s="6"/>
      <c r="BD121" s="6"/>
      <c r="BE121" s="6"/>
      <c r="BF121" s="6"/>
      <c r="BG121" s="6"/>
      <c r="BH121" s="6"/>
      <c r="BI121" s="6"/>
      <c r="BJ121" s="6"/>
      <c r="BK121" s="6"/>
      <c r="BL121" s="6"/>
      <c r="BM121" s="6">
        <v>40396</v>
      </c>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c r="DY121" s="6"/>
      <c r="DZ121" s="6"/>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c r="GK121" s="6"/>
      <c r="GL121" s="6"/>
      <c r="GM121" s="6"/>
      <c r="GN121" s="6"/>
      <c r="GO121" s="6"/>
      <c r="GP121" s="6"/>
      <c r="GQ121" s="6"/>
      <c r="GR121" s="6"/>
      <c r="GS121" s="6"/>
      <c r="GT121" s="6"/>
      <c r="GU121" s="6"/>
      <c r="GV121" s="6"/>
      <c r="GW121" s="6"/>
      <c r="GX121" s="6"/>
      <c r="GY121" s="6"/>
      <c r="GZ121" s="6"/>
      <c r="HA121" s="6"/>
      <c r="HB121" s="6"/>
      <c r="HC121" s="6"/>
      <c r="HD121" s="6"/>
      <c r="HE121" s="6"/>
      <c r="HF121" s="6"/>
      <c r="HG121" s="6"/>
      <c r="HH121" s="6"/>
    </row>
    <row r="122" spans="1:216" x14ac:dyDescent="0.3">
      <c r="A122" s="8" t="str">
        <f>HYPERLINK("https://hpr-rps.hres.ca/reg-content/summary-basis-decision-detailOne.php?lang=en&amp;linkID=SBD00121", "Raptiva")</f>
        <v>Raptiva</v>
      </c>
      <c r="B122" s="6" t="s">
        <v>387</v>
      </c>
      <c r="C122" s="6" t="s">
        <v>307</v>
      </c>
      <c r="D122" s="6" t="s">
        <v>388</v>
      </c>
      <c r="E122" s="6"/>
      <c r="F122" s="6"/>
      <c r="G122" s="6"/>
      <c r="H122" s="6">
        <v>37728</v>
      </c>
      <c r="I122" s="6"/>
      <c r="J122" s="6"/>
      <c r="K122" s="6"/>
      <c r="L122" s="6"/>
      <c r="M122" s="6"/>
      <c r="N122" s="6"/>
      <c r="O122" s="6"/>
      <c r="P122" s="6"/>
      <c r="Q122" s="6"/>
      <c r="R122" s="6"/>
      <c r="S122" s="6"/>
      <c r="T122" s="6"/>
      <c r="U122" s="6"/>
      <c r="V122" s="6"/>
      <c r="W122" s="6"/>
      <c r="X122" s="6"/>
      <c r="Y122" s="6"/>
      <c r="Z122" s="6"/>
      <c r="AA122" s="6"/>
      <c r="AB122" s="6"/>
      <c r="AC122" s="6">
        <v>38190</v>
      </c>
      <c r="AD122" s="6">
        <v>38098</v>
      </c>
      <c r="AE122" s="6"/>
      <c r="AF122" s="6">
        <v>37798</v>
      </c>
      <c r="AG122" s="6"/>
      <c r="AH122" s="6"/>
      <c r="AI122" s="6"/>
      <c r="AJ122" s="6"/>
      <c r="AK122" s="6"/>
      <c r="AL122" s="6"/>
      <c r="AM122" s="6"/>
      <c r="AN122" s="6"/>
      <c r="AO122" s="6">
        <v>38306</v>
      </c>
      <c r="AP122" s="6"/>
      <c r="AQ122" s="6"/>
      <c r="AR122" s="6">
        <v>38530</v>
      </c>
      <c r="AS122" s="6"/>
      <c r="AT122" s="6"/>
      <c r="AU122" s="6"/>
      <c r="AV122" s="6">
        <v>38639</v>
      </c>
      <c r="AW122" s="6"/>
      <c r="AX122" s="6"/>
      <c r="AY122" s="6"/>
      <c r="AZ122" s="6">
        <v>38636</v>
      </c>
      <c r="BA122" s="6"/>
      <c r="BB122" s="6"/>
      <c r="BC122" s="6"/>
      <c r="BD122" s="6"/>
      <c r="BE122" s="6"/>
      <c r="BF122" s="6"/>
      <c r="BG122" s="6"/>
      <c r="BH122" s="6"/>
      <c r="BI122" s="6"/>
      <c r="BJ122" s="6"/>
      <c r="BK122" s="6"/>
      <c r="BL122" s="6"/>
      <c r="BM122" s="6">
        <v>38649</v>
      </c>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row>
    <row r="123" spans="1:216" x14ac:dyDescent="0.3">
      <c r="A123" s="8" t="str">
        <f>HYPERLINK("https://hpr-rps.hres.ca/reg-content/summary-basis-decision-detailOne.php?lang=en&amp;linkID=SBD00125", "Removab ®")</f>
        <v>Removab ®</v>
      </c>
      <c r="B123" s="6" t="s">
        <v>389</v>
      </c>
      <c r="C123" s="6" t="s">
        <v>390</v>
      </c>
      <c r="D123" s="6" t="s">
        <v>391</v>
      </c>
      <c r="E123" s="6"/>
      <c r="F123" s="6"/>
      <c r="G123" s="6"/>
      <c r="H123" s="6">
        <v>40535</v>
      </c>
      <c r="I123" s="6"/>
      <c r="J123" s="6"/>
      <c r="K123" s="6"/>
      <c r="L123" s="6"/>
      <c r="M123" s="6"/>
      <c r="N123" s="6"/>
      <c r="O123" s="6"/>
      <c r="P123" s="6"/>
      <c r="Q123" s="6"/>
      <c r="R123" s="6"/>
      <c r="S123" s="6"/>
      <c r="T123" s="6"/>
      <c r="U123" s="6"/>
      <c r="V123" s="6"/>
      <c r="W123" s="6"/>
      <c r="X123" s="6"/>
      <c r="Y123" s="6"/>
      <c r="Z123" s="6">
        <v>40592</v>
      </c>
      <c r="AA123" s="6"/>
      <c r="AB123" s="6"/>
      <c r="AC123" s="6">
        <v>40626</v>
      </c>
      <c r="AD123" s="6"/>
      <c r="AE123" s="6"/>
      <c r="AF123" s="6">
        <v>40683</v>
      </c>
      <c r="AG123" s="6"/>
      <c r="AH123" s="6"/>
      <c r="AI123" s="6"/>
      <c r="AJ123" s="6"/>
      <c r="AK123" s="6"/>
      <c r="AL123" s="6"/>
      <c r="AM123" s="6"/>
      <c r="AN123" s="6"/>
      <c r="AO123" s="6"/>
      <c r="AP123" s="6"/>
      <c r="AQ123" s="6"/>
      <c r="AR123" s="6">
        <v>41034</v>
      </c>
      <c r="AS123" s="6"/>
      <c r="AT123" s="6"/>
      <c r="AU123" s="6"/>
      <c r="AV123" s="6">
        <v>41039</v>
      </c>
      <c r="AW123" s="6"/>
      <c r="AX123" s="6"/>
      <c r="AY123" s="6"/>
      <c r="AZ123" s="6">
        <v>40959</v>
      </c>
      <c r="BA123" s="6"/>
      <c r="BB123" s="6"/>
      <c r="BC123" s="6"/>
      <c r="BD123" s="6"/>
      <c r="BE123" s="6"/>
      <c r="BF123" s="6"/>
      <c r="BG123" s="6"/>
      <c r="BH123" s="6"/>
      <c r="BI123" s="6"/>
      <c r="BJ123" s="6"/>
      <c r="BK123" s="6"/>
      <c r="BL123" s="6"/>
      <c r="BM123" s="6">
        <v>41040</v>
      </c>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row>
    <row r="124" spans="1:216" x14ac:dyDescent="0.3">
      <c r="A124" s="8" t="str">
        <f>HYPERLINK("https://hpr-rps.hres.ca/reg-content/summary-basis-decision-detailOne.php?lang=en&amp;linkID=SBD00122", "Rasilez")</f>
        <v>Rasilez</v>
      </c>
      <c r="B124" s="6" t="s">
        <v>392</v>
      </c>
      <c r="C124" s="6" t="s">
        <v>87</v>
      </c>
      <c r="D124" s="6" t="s">
        <v>393</v>
      </c>
      <c r="E124" s="6"/>
      <c r="F124" s="6"/>
      <c r="G124" s="6"/>
      <c r="H124" s="6">
        <v>40535</v>
      </c>
      <c r="I124" s="6"/>
      <c r="J124" s="6"/>
      <c r="K124" s="6"/>
      <c r="L124" s="6"/>
      <c r="M124" s="6"/>
      <c r="N124" s="6"/>
      <c r="O124" s="6"/>
      <c r="P124" s="6"/>
      <c r="Q124" s="6"/>
      <c r="R124" s="6"/>
      <c r="S124" s="6"/>
      <c r="T124" s="6"/>
      <c r="U124" s="6"/>
      <c r="V124" s="6"/>
      <c r="W124" s="6"/>
      <c r="X124" s="6"/>
      <c r="Y124" s="6"/>
      <c r="Z124" s="6">
        <v>40592</v>
      </c>
      <c r="AA124" s="6"/>
      <c r="AB124" s="6"/>
      <c r="AC124" s="6">
        <v>40626</v>
      </c>
      <c r="AD124" s="6"/>
      <c r="AE124" s="6"/>
      <c r="AF124" s="6">
        <v>40683</v>
      </c>
      <c r="AG124" s="6"/>
      <c r="AH124" s="6"/>
      <c r="AI124" s="6"/>
      <c r="AJ124" s="6"/>
      <c r="AK124" s="6"/>
      <c r="AL124" s="6"/>
      <c r="AM124" s="6"/>
      <c r="AN124" s="6"/>
      <c r="AO124" s="6"/>
      <c r="AP124" s="6"/>
      <c r="AQ124" s="6"/>
      <c r="AR124" s="6">
        <v>41034</v>
      </c>
      <c r="AS124" s="6"/>
      <c r="AT124" s="6"/>
      <c r="AU124" s="6"/>
      <c r="AV124" s="6">
        <v>41039</v>
      </c>
      <c r="AW124" s="6"/>
      <c r="AX124" s="6"/>
      <c r="AY124" s="6"/>
      <c r="AZ124" s="6">
        <v>40959</v>
      </c>
      <c r="BA124" s="6"/>
      <c r="BB124" s="6"/>
      <c r="BC124" s="6"/>
      <c r="BD124" s="6"/>
      <c r="BE124" s="6"/>
      <c r="BF124" s="6"/>
      <c r="BG124" s="6"/>
      <c r="BH124" s="6"/>
      <c r="BI124" s="6"/>
      <c r="BJ124" s="6"/>
      <c r="BK124" s="6"/>
      <c r="BL124" s="6"/>
      <c r="BM124" s="6">
        <v>41040</v>
      </c>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row>
    <row r="125" spans="1:216" x14ac:dyDescent="0.3">
      <c r="A125" s="8" t="str">
        <f>HYPERLINK("https://hpr-rps.hres.ca/reg-content/summary-basis-decision-detailOne.php?lang=en&amp;linkID=SBD00123", "Recothrom ®")</f>
        <v>Recothrom ®</v>
      </c>
      <c r="B125" s="6" t="s">
        <v>394</v>
      </c>
      <c r="C125" s="6" t="s">
        <v>341</v>
      </c>
      <c r="D125" s="6" t="s">
        <v>395</v>
      </c>
      <c r="E125" s="6">
        <v>39562</v>
      </c>
      <c r="F125" s="6"/>
      <c r="G125" s="6"/>
      <c r="H125" s="6">
        <v>39758</v>
      </c>
      <c r="I125" s="6"/>
      <c r="J125" s="6"/>
      <c r="K125" s="6"/>
      <c r="L125" s="6"/>
      <c r="M125" s="6"/>
      <c r="N125" s="6"/>
      <c r="O125" s="6"/>
      <c r="P125" s="6"/>
      <c r="Q125" s="6"/>
      <c r="R125" s="6"/>
      <c r="S125" s="6"/>
      <c r="T125" s="6"/>
      <c r="U125" s="6"/>
      <c r="V125" s="6"/>
      <c r="W125" s="6"/>
      <c r="X125" s="6"/>
      <c r="Y125" s="6"/>
      <c r="Z125" s="6"/>
      <c r="AA125" s="6"/>
      <c r="AB125" s="6"/>
      <c r="AC125" s="6"/>
      <c r="AD125" s="6"/>
      <c r="AE125" s="6"/>
      <c r="AF125" s="6">
        <v>39801</v>
      </c>
      <c r="AG125" s="6"/>
      <c r="AH125" s="6"/>
      <c r="AI125" s="6"/>
      <c r="AJ125" s="6"/>
      <c r="AK125" s="6"/>
      <c r="AL125" s="6"/>
      <c r="AM125" s="6"/>
      <c r="AN125" s="6"/>
      <c r="AO125" s="6">
        <v>40084</v>
      </c>
      <c r="AP125" s="6"/>
      <c r="AQ125" s="6"/>
      <c r="AR125" s="6">
        <v>40100</v>
      </c>
      <c r="AS125" s="6"/>
      <c r="AT125" s="6"/>
      <c r="AU125" s="6"/>
      <c r="AV125" s="6">
        <v>40101</v>
      </c>
      <c r="AW125" s="6"/>
      <c r="AX125" s="6">
        <v>40151</v>
      </c>
      <c r="AY125" s="6"/>
      <c r="AZ125" s="6">
        <v>40151</v>
      </c>
      <c r="BA125" s="6"/>
      <c r="BB125" s="6"/>
      <c r="BC125" s="6"/>
      <c r="BD125" s="6"/>
      <c r="BE125" s="6"/>
      <c r="BF125" s="6"/>
      <c r="BG125" s="6"/>
      <c r="BH125" s="6"/>
      <c r="BI125" s="6"/>
      <c r="BJ125" s="6"/>
      <c r="BK125" s="6"/>
      <c r="BL125" s="6"/>
      <c r="BM125" s="6">
        <v>40162</v>
      </c>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row>
    <row r="126" spans="1:216" x14ac:dyDescent="0.3">
      <c r="A126" s="8" t="str">
        <f>HYPERLINK("https://hpr-rps.hres.ca/reg-content/summary-basis-decision-detailOne.php?lang=en&amp;linkID=SBD00124", "Relistor TM")</f>
        <v>Relistor TM</v>
      </c>
      <c r="B126" s="6" t="s">
        <v>396</v>
      </c>
      <c r="C126" s="6" t="s">
        <v>368</v>
      </c>
      <c r="D126" s="6" t="s">
        <v>397</v>
      </c>
      <c r="E126" s="6">
        <v>39260</v>
      </c>
      <c r="F126" s="6"/>
      <c r="G126" s="6"/>
      <c r="H126" s="6"/>
      <c r="I126" s="6"/>
      <c r="J126" s="6"/>
      <c r="K126" s="6"/>
      <c r="L126" s="6"/>
      <c r="M126" s="6"/>
      <c r="N126" s="6">
        <v>39269</v>
      </c>
      <c r="O126" s="6"/>
      <c r="P126" s="6"/>
      <c r="Q126" s="6"/>
      <c r="R126" s="6"/>
      <c r="S126" s="6">
        <v>39297</v>
      </c>
      <c r="T126" s="6"/>
      <c r="U126" s="6"/>
      <c r="V126" s="6"/>
      <c r="W126" s="6"/>
      <c r="X126" s="6"/>
      <c r="Y126" s="6"/>
      <c r="Z126" s="6"/>
      <c r="AA126" s="6"/>
      <c r="AB126" s="6"/>
      <c r="AC126" s="6"/>
      <c r="AD126" s="6"/>
      <c r="AE126" s="6"/>
      <c r="AF126" s="6">
        <v>39356</v>
      </c>
      <c r="AG126" s="6"/>
      <c r="AH126" s="6"/>
      <c r="AI126" s="6"/>
      <c r="AJ126" s="6"/>
      <c r="AK126" s="6"/>
      <c r="AL126" s="6"/>
      <c r="AM126" s="6"/>
      <c r="AN126" s="6"/>
      <c r="AO126" s="6"/>
      <c r="AP126" s="6"/>
      <c r="AQ126" s="6"/>
      <c r="AR126" s="6">
        <v>39533</v>
      </c>
      <c r="AS126" s="6"/>
      <c r="AT126" s="6"/>
      <c r="AU126" s="6"/>
      <c r="AV126" s="6">
        <v>39532</v>
      </c>
      <c r="AW126" s="6"/>
      <c r="AX126" s="6"/>
      <c r="AY126" s="6"/>
      <c r="AZ126" s="6">
        <v>39533</v>
      </c>
      <c r="BA126" s="6"/>
      <c r="BB126" s="6"/>
      <c r="BC126" s="6"/>
      <c r="BD126" s="6"/>
      <c r="BE126" s="6"/>
      <c r="BF126" s="6"/>
      <c r="BG126" s="6"/>
      <c r="BH126" s="6"/>
      <c r="BI126" s="6"/>
      <c r="BJ126" s="6"/>
      <c r="BK126" s="6"/>
      <c r="BL126" s="6"/>
      <c r="BM126" s="6">
        <v>39535</v>
      </c>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row>
    <row r="127" spans="1:216" x14ac:dyDescent="0.3">
      <c r="A127" s="8" t="str">
        <f>HYPERLINK("https://hpr-rps.hres.ca/reg-content/summary-basis-decision-detailOne.php?lang=en&amp;linkID=SBD00126", "Resotran TM")</f>
        <v>Resotran TM</v>
      </c>
      <c r="B127" s="6" t="s">
        <v>398</v>
      </c>
      <c r="C127" s="6" t="s">
        <v>201</v>
      </c>
      <c r="D127" s="6" t="s">
        <v>399</v>
      </c>
      <c r="E127" s="6">
        <v>40415</v>
      </c>
      <c r="F127" s="6"/>
      <c r="G127" s="6"/>
      <c r="H127" s="6">
        <v>40529</v>
      </c>
      <c r="I127" s="6"/>
      <c r="J127" s="6"/>
      <c r="K127" s="6"/>
      <c r="L127" s="6"/>
      <c r="M127" s="6"/>
      <c r="N127" s="6"/>
      <c r="O127" s="6"/>
      <c r="P127" s="6"/>
      <c r="Q127" s="6"/>
      <c r="R127" s="6"/>
      <c r="S127" s="6"/>
      <c r="T127" s="6"/>
      <c r="U127" s="6"/>
      <c r="V127" s="6"/>
      <c r="W127" s="6"/>
      <c r="X127" s="6"/>
      <c r="Y127" s="6"/>
      <c r="Z127" s="6"/>
      <c r="AA127" s="6"/>
      <c r="AB127" s="6"/>
      <c r="AC127" s="6"/>
      <c r="AD127" s="6"/>
      <c r="AE127" s="6"/>
      <c r="AF127" s="6">
        <v>40584</v>
      </c>
      <c r="AG127" s="6"/>
      <c r="AH127" s="6"/>
      <c r="AI127" s="6"/>
      <c r="AJ127" s="6"/>
      <c r="AK127" s="6"/>
      <c r="AL127" s="6"/>
      <c r="AM127" s="6"/>
      <c r="AN127" s="6"/>
      <c r="AO127" s="6"/>
      <c r="AP127" s="6"/>
      <c r="AQ127" s="6"/>
      <c r="AR127" s="6">
        <v>40878</v>
      </c>
      <c r="AS127" s="6">
        <v>40813</v>
      </c>
      <c r="AT127" s="6"/>
      <c r="AU127" s="6"/>
      <c r="AV127" s="6">
        <v>40864</v>
      </c>
      <c r="AW127" s="6"/>
      <c r="AX127" s="6"/>
      <c r="AY127" s="6"/>
      <c r="AZ127" s="6">
        <v>40878</v>
      </c>
      <c r="BA127" s="6"/>
      <c r="BB127" s="6"/>
      <c r="BC127" s="6"/>
      <c r="BD127" s="6"/>
      <c r="BE127" s="6"/>
      <c r="BF127" s="6"/>
      <c r="BG127" s="6"/>
      <c r="BH127" s="6"/>
      <c r="BI127" s="6"/>
      <c r="BJ127" s="6"/>
      <c r="BK127" s="6"/>
      <c r="BL127" s="6"/>
      <c r="BM127" s="6">
        <v>40884</v>
      </c>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row>
    <row r="128" spans="1:216" x14ac:dyDescent="0.3">
      <c r="A128" s="8" t="str">
        <f>HYPERLINK("https://hpr-rps.hres.ca/reg-content/summary-basis-decision-detailOne.php?lang=en&amp;linkID=SBD00127", "Revlimid ®")</f>
        <v>Revlimid ®</v>
      </c>
      <c r="B128" s="6" t="s">
        <v>400</v>
      </c>
      <c r="C128" s="6" t="s">
        <v>401</v>
      </c>
      <c r="D128" s="6" t="s">
        <v>402</v>
      </c>
      <c r="E128" s="6">
        <v>38407</v>
      </c>
      <c r="F128" s="6"/>
      <c r="G128" s="6"/>
      <c r="H128" s="6">
        <v>39022</v>
      </c>
      <c r="I128" s="6"/>
      <c r="J128" s="6"/>
      <c r="K128" s="6"/>
      <c r="L128" s="6"/>
      <c r="M128" s="6"/>
      <c r="N128" s="6"/>
      <c r="O128" s="6"/>
      <c r="P128" s="6"/>
      <c r="Q128" s="6"/>
      <c r="R128" s="6"/>
      <c r="S128" s="6"/>
      <c r="T128" s="6"/>
      <c r="U128" s="6"/>
      <c r="V128" s="6"/>
      <c r="W128" s="6"/>
      <c r="X128" s="6"/>
      <c r="Y128" s="6"/>
      <c r="Z128" s="6"/>
      <c r="AA128" s="6"/>
      <c r="AB128" s="6"/>
      <c r="AC128" s="6"/>
      <c r="AD128" s="6"/>
      <c r="AE128" s="6"/>
      <c r="AF128" s="6">
        <v>39064</v>
      </c>
      <c r="AG128" s="6"/>
      <c r="AH128" s="6"/>
      <c r="AI128" s="6"/>
      <c r="AJ128" s="6"/>
      <c r="AK128" s="6"/>
      <c r="AL128" s="6"/>
      <c r="AM128" s="6"/>
      <c r="AN128" s="6"/>
      <c r="AO128" s="6">
        <v>39237</v>
      </c>
      <c r="AP128" s="6"/>
      <c r="AQ128" s="6"/>
      <c r="AR128" s="6">
        <v>39345</v>
      </c>
      <c r="AS128" s="6"/>
      <c r="AT128" s="6"/>
      <c r="AU128" s="6"/>
      <c r="AV128" s="6">
        <v>39357</v>
      </c>
      <c r="AW128" s="6"/>
      <c r="AX128" s="6"/>
      <c r="AY128" s="6"/>
      <c r="AZ128" s="6">
        <v>39360</v>
      </c>
      <c r="BA128" s="6"/>
      <c r="BB128" s="6"/>
      <c r="BC128" s="6"/>
      <c r="BD128" s="6"/>
      <c r="BE128" s="6"/>
      <c r="BF128" s="6"/>
      <c r="BG128" s="6"/>
      <c r="BH128" s="6"/>
      <c r="BI128" s="6"/>
      <c r="BJ128" s="6"/>
      <c r="BK128" s="6"/>
      <c r="BL128" s="6"/>
      <c r="BM128" s="6">
        <v>39364</v>
      </c>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row>
    <row r="129" spans="1:216" x14ac:dyDescent="0.3">
      <c r="A129" s="8" t="str">
        <f>HYPERLINK("https://hpr-rps.hres.ca/reg-content/summary-basis-decision-detailOne.php?lang=en&amp;linkID=SBD00128", "Revolade TM")</f>
        <v>Revolade TM</v>
      </c>
      <c r="B129" s="6" t="s">
        <v>403</v>
      </c>
      <c r="C129" s="6" t="s">
        <v>96</v>
      </c>
      <c r="D129" s="6" t="s">
        <v>404</v>
      </c>
      <c r="E129" s="6"/>
      <c r="F129" s="6"/>
      <c r="G129" s="6"/>
      <c r="H129" s="6">
        <v>39154</v>
      </c>
      <c r="I129" s="6"/>
      <c r="J129" s="6"/>
      <c r="K129" s="6"/>
      <c r="L129" s="6"/>
      <c r="M129" s="6"/>
      <c r="N129" s="6"/>
      <c r="O129" s="6"/>
      <c r="P129" s="6"/>
      <c r="Q129" s="6"/>
      <c r="R129" s="6"/>
      <c r="S129" s="6"/>
      <c r="T129" s="6"/>
      <c r="U129" s="6"/>
      <c r="V129" s="6"/>
      <c r="W129" s="6"/>
      <c r="X129" s="6"/>
      <c r="Y129" s="6"/>
      <c r="Z129" s="6">
        <v>39154</v>
      </c>
      <c r="AA129" s="6"/>
      <c r="AB129" s="6"/>
      <c r="AC129" s="6">
        <v>39189</v>
      </c>
      <c r="AD129" s="6"/>
      <c r="AE129" s="6"/>
      <c r="AF129" s="6">
        <v>39213</v>
      </c>
      <c r="AG129" s="6"/>
      <c r="AH129" s="6"/>
      <c r="AI129" s="6"/>
      <c r="AJ129" s="6"/>
      <c r="AK129" s="6"/>
      <c r="AL129" s="6"/>
      <c r="AM129" s="6"/>
      <c r="AN129" s="6"/>
      <c r="AO129" s="6"/>
      <c r="AP129" s="6"/>
      <c r="AQ129" s="6"/>
      <c r="AR129" s="6">
        <v>39463</v>
      </c>
      <c r="AS129" s="6"/>
      <c r="AT129" s="6"/>
      <c r="AU129" s="6"/>
      <c r="AV129" s="6">
        <v>39412</v>
      </c>
      <c r="AW129" s="6"/>
      <c r="AX129" s="6"/>
      <c r="AY129" s="6"/>
      <c r="AZ129" s="6">
        <v>39464</v>
      </c>
      <c r="BA129" s="6"/>
      <c r="BB129" s="6"/>
      <c r="BC129" s="6"/>
      <c r="BD129" s="6"/>
      <c r="BE129" s="6"/>
      <c r="BF129" s="6"/>
      <c r="BG129" s="6"/>
      <c r="BH129" s="6"/>
      <c r="BI129" s="6"/>
      <c r="BJ129" s="6"/>
      <c r="BK129" s="6">
        <v>39413</v>
      </c>
      <c r="BL129" s="6">
        <v>39464</v>
      </c>
      <c r="BM129" s="6"/>
      <c r="BN129" s="6"/>
      <c r="BO129" s="6"/>
      <c r="BP129" s="6"/>
      <c r="BQ129" s="6"/>
      <c r="BR129" s="6"/>
      <c r="BS129" s="6"/>
      <c r="BT129" s="6"/>
      <c r="BU129" s="6"/>
      <c r="BV129" s="6"/>
      <c r="BW129" s="6"/>
      <c r="BX129" s="6"/>
      <c r="BY129" s="6">
        <v>39430</v>
      </c>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row>
    <row r="130" spans="1:216" x14ac:dyDescent="0.3">
      <c r="A130" s="8" t="str">
        <f>HYPERLINK("https://hpr-rps.hres.ca/reg-content/summary-basis-decision-detailOne.php?lang=en&amp;linkID=SBD00129", "Rotarix TM")</f>
        <v>Rotarix TM</v>
      </c>
      <c r="B130" s="6" t="s">
        <v>405</v>
      </c>
      <c r="C130" s="6" t="s">
        <v>96</v>
      </c>
      <c r="D130" s="6" t="s">
        <v>406</v>
      </c>
      <c r="E130" s="6">
        <v>38407</v>
      </c>
      <c r="F130" s="6"/>
      <c r="G130" s="6"/>
      <c r="H130" s="6">
        <v>39022</v>
      </c>
      <c r="I130" s="6"/>
      <c r="J130" s="6"/>
      <c r="K130" s="6"/>
      <c r="L130" s="6"/>
      <c r="M130" s="6"/>
      <c r="N130" s="6"/>
      <c r="O130" s="6"/>
      <c r="P130" s="6"/>
      <c r="Q130" s="6"/>
      <c r="R130" s="6"/>
      <c r="S130" s="6"/>
      <c r="T130" s="6"/>
      <c r="U130" s="6"/>
      <c r="V130" s="6"/>
      <c r="W130" s="6"/>
      <c r="X130" s="6"/>
      <c r="Y130" s="6"/>
      <c r="Z130" s="6"/>
      <c r="AA130" s="6"/>
      <c r="AB130" s="6"/>
      <c r="AC130" s="6"/>
      <c r="AD130" s="6"/>
      <c r="AE130" s="6"/>
      <c r="AF130" s="6">
        <v>39064</v>
      </c>
      <c r="AG130" s="6"/>
      <c r="AH130" s="6"/>
      <c r="AI130" s="6"/>
      <c r="AJ130" s="6"/>
      <c r="AK130" s="6"/>
      <c r="AL130" s="6"/>
      <c r="AM130" s="6"/>
      <c r="AN130" s="6"/>
      <c r="AO130" s="6">
        <v>39237</v>
      </c>
      <c r="AP130" s="6"/>
      <c r="AQ130" s="6"/>
      <c r="AR130" s="6">
        <v>39345</v>
      </c>
      <c r="AS130" s="6"/>
      <c r="AT130" s="6"/>
      <c r="AU130" s="6"/>
      <c r="AV130" s="6">
        <v>39357</v>
      </c>
      <c r="AW130" s="6"/>
      <c r="AX130" s="6"/>
      <c r="AY130" s="6"/>
      <c r="AZ130" s="6">
        <v>39360</v>
      </c>
      <c r="BA130" s="6"/>
      <c r="BB130" s="6"/>
      <c r="BC130" s="6"/>
      <c r="BD130" s="6"/>
      <c r="BE130" s="6"/>
      <c r="BF130" s="6"/>
      <c r="BG130" s="6"/>
      <c r="BH130" s="6"/>
      <c r="BI130" s="6"/>
      <c r="BJ130" s="6"/>
      <c r="BK130" s="6"/>
      <c r="BL130" s="6"/>
      <c r="BM130" s="6">
        <v>39364</v>
      </c>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c r="DY130" s="6"/>
      <c r="DZ130" s="6"/>
      <c r="EA130" s="6"/>
      <c r="EB130" s="6"/>
      <c r="EC130" s="6"/>
      <c r="ED130" s="6"/>
      <c r="EE130" s="6"/>
      <c r="EF130" s="6"/>
      <c r="EG130" s="6"/>
      <c r="EH130" s="6"/>
      <c r="EI130" s="6"/>
      <c r="EJ130" s="6"/>
      <c r="EK130" s="6"/>
      <c r="EL130" s="6"/>
      <c r="EM130" s="6"/>
      <c r="EN130" s="6"/>
      <c r="EO130" s="6"/>
      <c r="EP130" s="6"/>
      <c r="EQ130" s="6"/>
      <c r="ER130" s="6"/>
      <c r="ES130" s="6"/>
      <c r="ET130" s="6"/>
      <c r="EU130" s="6"/>
      <c r="EV130" s="6"/>
      <c r="EW130" s="6"/>
      <c r="EX130" s="6"/>
      <c r="EY130" s="6"/>
      <c r="EZ130" s="6"/>
      <c r="FA130" s="6"/>
      <c r="FB130" s="6"/>
      <c r="FC130" s="6"/>
      <c r="FD130" s="6"/>
      <c r="FE130" s="6"/>
      <c r="FF130" s="6"/>
      <c r="FG130" s="6"/>
      <c r="FH130" s="6"/>
      <c r="FI130" s="6"/>
      <c r="FJ130" s="6"/>
      <c r="FK130" s="6"/>
      <c r="FL130" s="6"/>
      <c r="FM130" s="6"/>
      <c r="FN130" s="6"/>
      <c r="FO130" s="6"/>
      <c r="FP130" s="6"/>
      <c r="FQ130" s="6"/>
      <c r="FR130" s="6"/>
      <c r="FS130" s="6"/>
      <c r="FT130" s="6"/>
      <c r="FU130" s="6"/>
      <c r="FV130" s="6"/>
      <c r="FW130" s="6"/>
      <c r="FX130" s="6"/>
      <c r="FY130" s="6"/>
      <c r="FZ130" s="6"/>
      <c r="GA130" s="6"/>
      <c r="GB130" s="6"/>
      <c r="GC130" s="6"/>
      <c r="GD130" s="6"/>
      <c r="GE130" s="6"/>
      <c r="GF130" s="6"/>
      <c r="GG130" s="6"/>
      <c r="GH130" s="6"/>
      <c r="GI130" s="6"/>
      <c r="GJ130" s="6"/>
      <c r="GK130" s="6"/>
      <c r="GL130" s="6"/>
      <c r="GM130" s="6"/>
      <c r="GN130" s="6"/>
      <c r="GO130" s="6"/>
      <c r="GP130" s="6"/>
      <c r="GQ130" s="6"/>
      <c r="GR130" s="6"/>
      <c r="GS130" s="6"/>
      <c r="GT130" s="6"/>
      <c r="GU130" s="6"/>
      <c r="GV130" s="6"/>
      <c r="GW130" s="6"/>
      <c r="GX130" s="6"/>
      <c r="GY130" s="6"/>
      <c r="GZ130" s="6"/>
      <c r="HA130" s="6"/>
      <c r="HB130" s="6"/>
      <c r="HC130" s="6"/>
      <c r="HD130" s="6"/>
      <c r="HE130" s="6"/>
      <c r="HF130" s="6"/>
      <c r="HG130" s="6"/>
      <c r="HH130" s="6"/>
    </row>
    <row r="131" spans="1:216" x14ac:dyDescent="0.3">
      <c r="A131" s="8" t="str">
        <f>HYPERLINK("https://hpr-rps.hres.ca/reg-content/summary-basis-decision-detailOne.php?lang=en&amp;linkID=SBD00130", "RotaTeq TM")</f>
        <v>RotaTeq TM</v>
      </c>
      <c r="B131" s="6" t="s">
        <v>407</v>
      </c>
      <c r="C131" s="6" t="s">
        <v>212</v>
      </c>
      <c r="D131" s="6" t="s">
        <v>408</v>
      </c>
      <c r="E131" s="6">
        <v>38497</v>
      </c>
      <c r="F131" s="6"/>
      <c r="G131" s="6"/>
      <c r="H131" s="6"/>
      <c r="I131" s="6"/>
      <c r="J131" s="6"/>
      <c r="K131" s="6"/>
      <c r="L131" s="6"/>
      <c r="M131" s="6"/>
      <c r="N131" s="6">
        <v>38510</v>
      </c>
      <c r="O131" s="6"/>
      <c r="P131" s="6"/>
      <c r="Q131" s="6"/>
      <c r="R131" s="6"/>
      <c r="S131" s="6"/>
      <c r="T131" s="6">
        <v>38545</v>
      </c>
      <c r="U131" s="6"/>
      <c r="V131" s="6">
        <v>38568</v>
      </c>
      <c r="W131" s="6"/>
      <c r="X131" s="6"/>
      <c r="Y131" s="6"/>
      <c r="Z131" s="6"/>
      <c r="AA131" s="6"/>
      <c r="AB131" s="6"/>
      <c r="AC131" s="6"/>
      <c r="AD131" s="6"/>
      <c r="AE131" s="6"/>
      <c r="AF131" s="6">
        <v>38630</v>
      </c>
      <c r="AG131" s="6"/>
      <c r="AH131" s="6"/>
      <c r="AI131" s="6"/>
      <c r="AJ131" s="6"/>
      <c r="AK131" s="6"/>
      <c r="AL131" s="6"/>
      <c r="AM131" s="6"/>
      <c r="AN131" s="6"/>
      <c r="AO131" s="6">
        <v>38880</v>
      </c>
      <c r="AP131" s="6"/>
      <c r="AQ131" s="6"/>
      <c r="AR131" s="6">
        <v>38922</v>
      </c>
      <c r="AS131" s="6"/>
      <c r="AT131" s="6"/>
      <c r="AU131" s="6"/>
      <c r="AV131" s="6">
        <v>38930</v>
      </c>
      <c r="AW131" s="6"/>
      <c r="AX131" s="6"/>
      <c r="AY131" s="6"/>
      <c r="AZ131" s="6">
        <v>38930</v>
      </c>
      <c r="BA131" s="6"/>
      <c r="BB131" s="6"/>
      <c r="BC131" s="6"/>
      <c r="BD131" s="6"/>
      <c r="BE131" s="6"/>
      <c r="BF131" s="6"/>
      <c r="BG131" s="6"/>
      <c r="BH131" s="6"/>
      <c r="BI131" s="6"/>
      <c r="BJ131" s="6"/>
      <c r="BK131" s="6"/>
      <c r="BL131" s="6"/>
      <c r="BM131" s="6">
        <v>38930</v>
      </c>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row>
    <row r="132" spans="1:216" x14ac:dyDescent="0.3">
      <c r="A132" s="8" t="str">
        <f>HYPERLINK("https://hpr-rps.hres.ca/reg-content/summary-basis-decision-detailOne.php?lang=en&amp;linkID=SBD00141", "Sutent")</f>
        <v>Sutent</v>
      </c>
      <c r="B132" s="6" t="s">
        <v>409</v>
      </c>
      <c r="C132" s="6" t="s">
        <v>143</v>
      </c>
      <c r="D132" s="6" t="s">
        <v>410</v>
      </c>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c r="CW132" s="6"/>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c r="EY132" s="6"/>
      <c r="EZ132" s="6"/>
      <c r="FA132" s="6"/>
      <c r="FB132" s="6"/>
      <c r="FC132" s="6"/>
      <c r="FD132" s="6"/>
      <c r="FE132" s="6"/>
      <c r="FF132" s="6"/>
      <c r="FG132" s="6"/>
      <c r="FH132" s="6"/>
      <c r="FI132" s="6"/>
      <c r="FJ132" s="6"/>
      <c r="FK132" s="6"/>
      <c r="FL132" s="6"/>
      <c r="FM132" s="6"/>
      <c r="FN132" s="6"/>
      <c r="FO132" s="6"/>
      <c r="FP132" s="6"/>
      <c r="FQ132" s="6"/>
      <c r="FR132" s="6"/>
      <c r="FS132" s="6"/>
      <c r="FT132" s="6"/>
      <c r="FU132" s="6"/>
      <c r="FV132" s="6"/>
      <c r="FW132" s="6"/>
      <c r="FX132" s="6"/>
      <c r="FY132" s="6"/>
      <c r="FZ132" s="6"/>
      <c r="GA132" s="6"/>
      <c r="GB132" s="6"/>
      <c r="GC132" s="6"/>
      <c r="GD132" s="6"/>
      <c r="GE132" s="6"/>
      <c r="GF132" s="6"/>
      <c r="GG132" s="6"/>
      <c r="GH132" s="6"/>
      <c r="GI132" s="6"/>
      <c r="GJ132" s="6"/>
      <c r="GK132" s="6"/>
      <c r="GL132" s="6"/>
      <c r="GM132" s="6"/>
      <c r="GN132" s="6"/>
      <c r="GO132" s="6"/>
      <c r="GP132" s="6"/>
      <c r="GQ132" s="6"/>
      <c r="GR132" s="6"/>
      <c r="GS132" s="6"/>
      <c r="GT132" s="6"/>
      <c r="GU132" s="6"/>
      <c r="GV132" s="6"/>
      <c r="GW132" s="6"/>
      <c r="GX132" s="6"/>
      <c r="GY132" s="6"/>
      <c r="GZ132" s="6"/>
      <c r="HA132" s="6"/>
      <c r="HB132" s="6"/>
      <c r="HC132" s="6"/>
      <c r="HD132" s="6"/>
      <c r="HE132" s="6"/>
      <c r="HF132" s="6"/>
      <c r="HG132" s="6"/>
      <c r="HH132" s="6"/>
    </row>
    <row r="133" spans="1:216" x14ac:dyDescent="0.3">
      <c r="A133" s="8" t="str">
        <f>HYPERLINK("https://hpr-rps.hres.ca/reg-content/summary-basis-decision-detailOne.php?lang=en&amp;linkID=SBD00131", "Ruby-Fill TM")</f>
        <v>Ruby-Fill TM</v>
      </c>
      <c r="B133" s="6" t="s">
        <v>411</v>
      </c>
      <c r="C133" s="6" t="s">
        <v>412</v>
      </c>
      <c r="D133" s="6" t="s">
        <v>413</v>
      </c>
      <c r="E133" s="6">
        <v>39644</v>
      </c>
      <c r="F133" s="6"/>
      <c r="G133" s="6"/>
      <c r="H133" s="6"/>
      <c r="I133" s="6"/>
      <c r="J133" s="6"/>
      <c r="K133" s="6"/>
      <c r="L133" s="6"/>
      <c r="M133" s="6"/>
      <c r="N133" s="6">
        <v>40199</v>
      </c>
      <c r="O133" s="6"/>
      <c r="P133" s="6"/>
      <c r="Q133" s="6"/>
      <c r="R133" s="6"/>
      <c r="S133" s="6">
        <v>40228</v>
      </c>
      <c r="T133" s="6"/>
      <c r="U133" s="6"/>
      <c r="V133" s="6">
        <v>40315</v>
      </c>
      <c r="W133" s="6"/>
      <c r="X133" s="6"/>
      <c r="Y133" s="6"/>
      <c r="Z133" s="6"/>
      <c r="AA133" s="6"/>
      <c r="AB133" s="6"/>
      <c r="AC133" s="6"/>
      <c r="AD133" s="6"/>
      <c r="AE133" s="6"/>
      <c r="AF133" s="6">
        <v>40344</v>
      </c>
      <c r="AG133" s="6"/>
      <c r="AH133" s="6"/>
      <c r="AI133" s="6"/>
      <c r="AJ133" s="6"/>
      <c r="AK133" s="6"/>
      <c r="AL133" s="6"/>
      <c r="AM133" s="6"/>
      <c r="AN133" s="6"/>
      <c r="AO133" s="6"/>
      <c r="AP133" s="6"/>
      <c r="AQ133" s="6"/>
      <c r="AR133" s="6"/>
      <c r="AS133" s="6"/>
      <c r="AT133" s="6"/>
      <c r="AU133" s="6"/>
      <c r="AV133" s="6">
        <v>40513</v>
      </c>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v>40602</v>
      </c>
      <c r="BZ133" s="6"/>
      <c r="CA133" s="6"/>
      <c r="CB133" s="6"/>
      <c r="CC133" s="6"/>
      <c r="CD133" s="6"/>
      <c r="CE133" s="6"/>
      <c r="CF133" s="6"/>
      <c r="CG133" s="6"/>
      <c r="CH133" s="6"/>
      <c r="CI133" s="6"/>
      <c r="CJ133" s="6"/>
      <c r="CK133" s="6"/>
      <c r="CL133" s="6"/>
      <c r="CM133" s="6"/>
      <c r="CN133" s="6"/>
      <c r="CO133" s="6"/>
      <c r="CP133" s="6"/>
      <c r="CQ133" s="6"/>
      <c r="CR133" s="6">
        <v>40627</v>
      </c>
      <c r="CS133" s="6"/>
      <c r="CT133" s="6"/>
      <c r="CU133" s="6"/>
      <c r="CV133" s="6"/>
      <c r="CW133" s="6"/>
      <c r="CX133" s="6"/>
      <c r="CY133" s="6"/>
      <c r="CZ133" s="6"/>
      <c r="DA133" s="6"/>
      <c r="DB133" s="6"/>
      <c r="DC133" s="6"/>
      <c r="DD133" s="6">
        <v>40801</v>
      </c>
      <c r="DE133" s="6"/>
      <c r="DF133" s="6"/>
      <c r="DG133" s="6"/>
      <c r="DH133" s="6">
        <v>40805</v>
      </c>
      <c r="DI133" s="6"/>
      <c r="DJ133" s="6">
        <v>40805</v>
      </c>
      <c r="DK133" s="6"/>
      <c r="DL133" s="6">
        <v>40805</v>
      </c>
      <c r="DM133" s="6"/>
      <c r="DN133" s="6"/>
      <c r="DO133" s="6"/>
      <c r="DP133" s="6"/>
      <c r="DQ133" s="6"/>
      <c r="DR133" s="6"/>
      <c r="DS133" s="6"/>
      <c r="DT133" s="6"/>
      <c r="DU133" s="6"/>
      <c r="DV133" s="6"/>
      <c r="DW133" s="6"/>
      <c r="DX133" s="6"/>
      <c r="DY133" s="6">
        <v>40806</v>
      </c>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row>
    <row r="134" spans="1:216" x14ac:dyDescent="0.3">
      <c r="A134" s="8" t="str">
        <f>HYPERLINK("https://hpr-rps.hres.ca/reg-content/summary-basis-decision-detailOne.php?lang=en&amp;linkID=SBD00132", "Samsca TM")</f>
        <v>Samsca TM</v>
      </c>
      <c r="B134" s="6" t="s">
        <v>414</v>
      </c>
      <c r="C134" s="6" t="s">
        <v>415</v>
      </c>
      <c r="D134" s="6" t="s">
        <v>416</v>
      </c>
      <c r="E134" s="6">
        <v>40169</v>
      </c>
      <c r="F134" s="6"/>
      <c r="G134" s="6"/>
      <c r="H134" s="6">
        <v>40129</v>
      </c>
      <c r="I134" s="6"/>
      <c r="J134" s="6"/>
      <c r="K134" s="6"/>
      <c r="L134" s="6"/>
      <c r="M134" s="6"/>
      <c r="N134" s="6"/>
      <c r="O134" s="6"/>
      <c r="P134" s="6"/>
      <c r="Q134" s="6"/>
      <c r="R134" s="6"/>
      <c r="S134" s="6"/>
      <c r="T134" s="6"/>
      <c r="U134" s="6"/>
      <c r="V134" s="6"/>
      <c r="W134" s="6"/>
      <c r="X134" s="6"/>
      <c r="Y134" s="6"/>
      <c r="Z134" s="6"/>
      <c r="AA134" s="6"/>
      <c r="AB134" s="6"/>
      <c r="AC134" s="6"/>
      <c r="AD134" s="6"/>
      <c r="AE134" s="6"/>
      <c r="AF134" s="6">
        <v>40536</v>
      </c>
      <c r="AG134" s="6"/>
      <c r="AH134" s="6"/>
      <c r="AI134" s="6"/>
      <c r="AJ134" s="6"/>
      <c r="AK134" s="6"/>
      <c r="AL134" s="6"/>
      <c r="AM134" s="6"/>
      <c r="AN134" s="6"/>
      <c r="AO134" s="6"/>
      <c r="AP134" s="6"/>
      <c r="AQ134" s="6"/>
      <c r="AR134" s="6">
        <v>40823</v>
      </c>
      <c r="AS134" s="6"/>
      <c r="AT134" s="6"/>
      <c r="AU134" s="6"/>
      <c r="AV134" s="6">
        <v>40633</v>
      </c>
      <c r="AW134" s="6"/>
      <c r="AX134" s="6"/>
      <c r="AY134" s="6"/>
      <c r="AZ134" s="6">
        <v>40822</v>
      </c>
      <c r="BA134" s="6"/>
      <c r="BB134" s="6"/>
      <c r="BC134" s="6"/>
      <c r="BD134" s="6"/>
      <c r="BE134" s="6"/>
      <c r="BF134" s="6"/>
      <c r="BG134" s="6"/>
      <c r="BH134" s="6"/>
      <c r="BI134" s="6"/>
      <c r="BJ134" s="6"/>
      <c r="BK134" s="6"/>
      <c r="BL134" s="6"/>
      <c r="BM134" s="6">
        <v>40823</v>
      </c>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row>
    <row r="135" spans="1:216" x14ac:dyDescent="0.3">
      <c r="A135" s="8" t="str">
        <f>HYPERLINK("https://hpr-rps.hres.ca/reg-content/summary-basis-decision-detailOne.php?lang=en&amp;linkID=SBD00133", "Saphris TM")</f>
        <v>Saphris TM</v>
      </c>
      <c r="B135" s="6" t="s">
        <v>417</v>
      </c>
      <c r="C135" s="6" t="s">
        <v>418</v>
      </c>
      <c r="D135" s="6" t="s">
        <v>419</v>
      </c>
      <c r="E135" s="6">
        <v>40169</v>
      </c>
      <c r="F135" s="6"/>
      <c r="G135" s="6"/>
      <c r="H135" s="6">
        <v>40129</v>
      </c>
      <c r="I135" s="6"/>
      <c r="J135" s="6"/>
      <c r="K135" s="6"/>
      <c r="L135" s="6"/>
      <c r="M135" s="6"/>
      <c r="N135" s="6"/>
      <c r="O135" s="6"/>
      <c r="P135" s="6"/>
      <c r="Q135" s="6"/>
      <c r="R135" s="6"/>
      <c r="S135" s="6"/>
      <c r="T135" s="6"/>
      <c r="U135" s="6"/>
      <c r="V135" s="6"/>
      <c r="W135" s="6"/>
      <c r="X135" s="6"/>
      <c r="Y135" s="6"/>
      <c r="Z135" s="6"/>
      <c r="AA135" s="6"/>
      <c r="AB135" s="6"/>
      <c r="AC135" s="6"/>
      <c r="AD135" s="6"/>
      <c r="AE135" s="6"/>
      <c r="AF135" s="6">
        <v>40536</v>
      </c>
      <c r="AG135" s="6"/>
      <c r="AH135" s="6"/>
      <c r="AI135" s="6"/>
      <c r="AJ135" s="6"/>
      <c r="AK135" s="6"/>
      <c r="AL135" s="6"/>
      <c r="AM135" s="6"/>
      <c r="AN135" s="6"/>
      <c r="AO135" s="6"/>
      <c r="AP135" s="6"/>
      <c r="AQ135" s="6"/>
      <c r="AR135" s="6">
        <v>40823</v>
      </c>
      <c r="AS135" s="6"/>
      <c r="AT135" s="6"/>
      <c r="AU135" s="6"/>
      <c r="AV135" s="6">
        <v>40633</v>
      </c>
      <c r="AW135" s="6"/>
      <c r="AX135" s="6"/>
      <c r="AY135" s="6"/>
      <c r="AZ135" s="6">
        <v>40822</v>
      </c>
      <c r="BA135" s="6"/>
      <c r="BB135" s="6"/>
      <c r="BC135" s="6"/>
      <c r="BD135" s="6"/>
      <c r="BE135" s="6"/>
      <c r="BF135" s="6"/>
      <c r="BG135" s="6"/>
      <c r="BH135" s="6"/>
      <c r="BI135" s="6"/>
      <c r="BJ135" s="6"/>
      <c r="BK135" s="6"/>
      <c r="BL135" s="6"/>
      <c r="BM135" s="6">
        <v>40823</v>
      </c>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row>
    <row r="136" spans="1:216" x14ac:dyDescent="0.3">
      <c r="A136" s="8" t="str">
        <f>HYPERLINK("https://hpr-rps.hres.ca/reg-content/summary-basis-decision-detailOne.php?lang=en&amp;linkID=SBD00134", "Sebivo")</f>
        <v>Sebivo</v>
      </c>
      <c r="B136" s="6" t="s">
        <v>420</v>
      </c>
      <c r="C136" s="6" t="s">
        <v>87</v>
      </c>
      <c r="D136" s="6" t="s">
        <v>421</v>
      </c>
      <c r="E136" s="6"/>
      <c r="F136" s="6"/>
      <c r="G136" s="6"/>
      <c r="H136" s="6"/>
      <c r="I136" s="6"/>
      <c r="J136" s="6"/>
      <c r="K136" s="6"/>
      <c r="L136" s="6"/>
      <c r="M136" s="6"/>
      <c r="N136" s="6">
        <v>38782</v>
      </c>
      <c r="O136" s="6"/>
      <c r="P136" s="6"/>
      <c r="Q136" s="6"/>
      <c r="R136" s="6"/>
      <c r="S136" s="6">
        <v>38814</v>
      </c>
      <c r="T136" s="6"/>
      <c r="U136" s="6">
        <v>38814</v>
      </c>
      <c r="V136" s="6">
        <v>38782</v>
      </c>
      <c r="W136" s="6"/>
      <c r="X136" s="6"/>
      <c r="Y136" s="6"/>
      <c r="Z136" s="6"/>
      <c r="AA136" s="6">
        <v>39038</v>
      </c>
      <c r="AB136" s="6">
        <v>39028</v>
      </c>
      <c r="AC136" s="6"/>
      <c r="AD136" s="6"/>
      <c r="AE136" s="6">
        <v>38974</v>
      </c>
      <c r="AF136" s="6"/>
      <c r="AG136" s="6"/>
      <c r="AH136" s="6"/>
      <c r="AI136" s="6">
        <v>39030</v>
      </c>
      <c r="AJ136" s="6"/>
      <c r="AK136" s="6"/>
      <c r="AL136" s="6"/>
      <c r="AM136" s="6"/>
      <c r="AN136" s="6"/>
      <c r="AO136" s="6"/>
      <c r="AP136" s="6"/>
      <c r="AQ136" s="6"/>
      <c r="AR136" s="6"/>
      <c r="AS136" s="6"/>
      <c r="AT136" s="6"/>
      <c r="AU136" s="6"/>
      <c r="AV136" s="6">
        <v>39049</v>
      </c>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c r="CW136" s="6"/>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DZ136" s="6"/>
      <c r="EA136" s="6"/>
      <c r="EB136" s="6"/>
      <c r="EC136" s="6"/>
      <c r="ED136" s="6"/>
      <c r="EE136" s="6"/>
      <c r="EF136" s="6"/>
      <c r="EG136" s="6"/>
      <c r="EH136" s="6"/>
      <c r="EI136" s="6"/>
      <c r="EJ136" s="6"/>
      <c r="EK136" s="6"/>
      <c r="EL136" s="6"/>
      <c r="EM136" s="6"/>
      <c r="EN136" s="6"/>
      <c r="EO136" s="6"/>
      <c r="EP136" s="6"/>
      <c r="EQ136" s="6"/>
      <c r="ER136" s="6"/>
      <c r="ES136" s="6"/>
      <c r="ET136" s="6"/>
      <c r="EU136" s="6"/>
      <c r="EV136" s="6"/>
      <c r="EW136" s="6"/>
      <c r="EX136" s="6"/>
      <c r="EY136" s="6"/>
      <c r="EZ136" s="6"/>
      <c r="FA136" s="6"/>
      <c r="FB136" s="6"/>
      <c r="FC136" s="6"/>
      <c r="FD136" s="6"/>
      <c r="FE136" s="6"/>
      <c r="FF136" s="6"/>
      <c r="FG136" s="6"/>
      <c r="FH136" s="6"/>
      <c r="FI136" s="6"/>
      <c r="FJ136" s="6"/>
      <c r="FK136" s="6"/>
      <c r="FL136" s="6"/>
      <c r="FM136" s="6"/>
      <c r="FN136" s="6"/>
      <c r="FO136" s="6"/>
      <c r="FP136" s="6"/>
      <c r="FQ136" s="6"/>
      <c r="FR136" s="6"/>
      <c r="FS136" s="6"/>
      <c r="FT136" s="6"/>
      <c r="FU136" s="6"/>
      <c r="FV136" s="6"/>
      <c r="FW136" s="6"/>
      <c r="FX136" s="6"/>
      <c r="FY136" s="6"/>
      <c r="FZ136" s="6"/>
      <c r="GA136" s="6"/>
      <c r="GB136" s="6"/>
      <c r="GC136" s="6"/>
      <c r="GD136" s="6"/>
      <c r="GE136" s="6"/>
      <c r="GF136" s="6"/>
      <c r="GG136" s="6"/>
      <c r="GH136" s="6"/>
      <c r="GI136" s="6"/>
      <c r="GJ136" s="6"/>
      <c r="GK136" s="6"/>
      <c r="GL136" s="6"/>
      <c r="GM136" s="6"/>
      <c r="GN136" s="6"/>
      <c r="GO136" s="6"/>
      <c r="GP136" s="6"/>
      <c r="GQ136" s="6"/>
      <c r="GR136" s="6"/>
      <c r="GS136" s="6"/>
      <c r="GT136" s="6"/>
      <c r="GU136" s="6"/>
      <c r="GV136" s="6"/>
      <c r="GW136" s="6"/>
      <c r="GX136" s="6"/>
      <c r="GY136" s="6"/>
      <c r="GZ136" s="6"/>
      <c r="HA136" s="6"/>
      <c r="HB136" s="6"/>
      <c r="HC136" s="6"/>
      <c r="HD136" s="6"/>
      <c r="HE136" s="6"/>
      <c r="HF136" s="6"/>
      <c r="HG136" s="6"/>
      <c r="HH136" s="6"/>
    </row>
    <row r="137" spans="1:216" x14ac:dyDescent="0.3">
      <c r="A137" s="8" t="str">
        <f>HYPERLINK("https://hpr-rps.hres.ca/reg-content/summary-basis-decision-detailOne.php?lang=en&amp;linkID=SBD00135", "Simponi TM")</f>
        <v>Simponi TM</v>
      </c>
      <c r="B137" s="6" t="s">
        <v>422</v>
      </c>
      <c r="C137" s="6" t="s">
        <v>423</v>
      </c>
      <c r="D137" s="6" t="s">
        <v>424</v>
      </c>
      <c r="E137" s="6"/>
      <c r="F137" s="6"/>
      <c r="G137" s="6"/>
      <c r="H137" s="6"/>
      <c r="I137" s="6"/>
      <c r="J137" s="6"/>
      <c r="K137" s="6"/>
      <c r="L137" s="6"/>
      <c r="M137" s="6"/>
      <c r="N137" s="6">
        <v>38782</v>
      </c>
      <c r="O137" s="6"/>
      <c r="P137" s="6"/>
      <c r="Q137" s="6"/>
      <c r="R137" s="6"/>
      <c r="S137" s="6">
        <v>38814</v>
      </c>
      <c r="T137" s="6"/>
      <c r="U137" s="6">
        <v>38814</v>
      </c>
      <c r="V137" s="6">
        <v>38782</v>
      </c>
      <c r="W137" s="6"/>
      <c r="X137" s="6"/>
      <c r="Y137" s="6"/>
      <c r="Z137" s="6"/>
      <c r="AA137" s="6">
        <v>39038</v>
      </c>
      <c r="AB137" s="6">
        <v>39028</v>
      </c>
      <c r="AC137" s="6"/>
      <c r="AD137" s="6"/>
      <c r="AE137" s="6">
        <v>38974</v>
      </c>
      <c r="AF137" s="6"/>
      <c r="AG137" s="6"/>
      <c r="AH137" s="6"/>
      <c r="AI137" s="6">
        <v>39030</v>
      </c>
      <c r="AJ137" s="6"/>
      <c r="AK137" s="6"/>
      <c r="AL137" s="6"/>
      <c r="AM137" s="6"/>
      <c r="AN137" s="6"/>
      <c r="AO137" s="6"/>
      <c r="AP137" s="6"/>
      <c r="AQ137" s="6"/>
      <c r="AR137" s="6"/>
      <c r="AS137" s="6"/>
      <c r="AT137" s="6"/>
      <c r="AU137" s="6"/>
      <c r="AV137" s="6">
        <v>39049</v>
      </c>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row>
    <row r="138" spans="1:216" x14ac:dyDescent="0.3">
      <c r="A138" s="8" t="str">
        <f>HYPERLINK("https://hpr-rps.hres.ca/reg-content/summary-basis-decision-detailOne.php?lang=en&amp;linkID=SBD00136", "Soliris TM")</f>
        <v>Soliris TM</v>
      </c>
      <c r="B138" s="6" t="s">
        <v>425</v>
      </c>
      <c r="C138" s="6" t="s">
        <v>426</v>
      </c>
      <c r="D138" s="6" t="s">
        <v>427</v>
      </c>
      <c r="E138" s="6">
        <v>39420</v>
      </c>
      <c r="F138" s="6"/>
      <c r="G138" s="6"/>
      <c r="H138" s="6"/>
      <c r="I138" s="6"/>
      <c r="J138" s="6"/>
      <c r="K138" s="6"/>
      <c r="L138" s="6"/>
      <c r="M138" s="6"/>
      <c r="N138" s="6">
        <v>39556</v>
      </c>
      <c r="O138" s="6"/>
      <c r="P138" s="6"/>
      <c r="Q138" s="6"/>
      <c r="R138" s="6"/>
      <c r="S138" s="6">
        <v>39583</v>
      </c>
      <c r="T138" s="6"/>
      <c r="U138" s="6"/>
      <c r="V138" s="6">
        <v>39639</v>
      </c>
      <c r="W138" s="6"/>
      <c r="X138" s="6"/>
      <c r="Y138" s="6"/>
      <c r="Z138" s="6"/>
      <c r="AA138" s="6"/>
      <c r="AB138" s="6"/>
      <c r="AC138" s="6"/>
      <c r="AD138" s="6"/>
      <c r="AE138" s="6"/>
      <c r="AF138" s="6">
        <v>39661</v>
      </c>
      <c r="AG138" s="6"/>
      <c r="AH138" s="6"/>
      <c r="AI138" s="6"/>
      <c r="AJ138" s="6"/>
      <c r="AK138" s="6"/>
      <c r="AL138" s="6"/>
      <c r="AM138" s="6"/>
      <c r="AN138" s="6"/>
      <c r="AO138" s="6">
        <v>39785</v>
      </c>
      <c r="AP138" s="6"/>
      <c r="AQ138" s="6"/>
      <c r="AR138" s="6">
        <v>39836</v>
      </c>
      <c r="AS138" s="6"/>
      <c r="AT138" s="6"/>
      <c r="AU138" s="6"/>
      <c r="AV138" s="6">
        <v>39841</v>
      </c>
      <c r="AW138" s="6"/>
      <c r="AX138" s="6">
        <v>39841</v>
      </c>
      <c r="AY138" s="6"/>
      <c r="AZ138" s="6">
        <v>39841</v>
      </c>
      <c r="BA138" s="6"/>
      <c r="BB138" s="6"/>
      <c r="BC138" s="6"/>
      <c r="BD138" s="6"/>
      <c r="BE138" s="6"/>
      <c r="BF138" s="6"/>
      <c r="BG138" s="6"/>
      <c r="BH138" s="6"/>
      <c r="BI138" s="6"/>
      <c r="BJ138" s="6"/>
      <c r="BK138" s="6"/>
      <c r="BL138" s="6"/>
      <c r="BM138" s="6">
        <v>39475</v>
      </c>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row>
    <row r="139" spans="1:216" x14ac:dyDescent="0.3">
      <c r="A139" s="8" t="str">
        <f>HYPERLINK("https://hpr-rps.hres.ca/reg-content/summary-basis-decision-detailOne.php?lang=en&amp;linkID=SBD00137", "Somatuline ®")</f>
        <v>Somatuline ®</v>
      </c>
      <c r="B139" s="6" t="s">
        <v>428</v>
      </c>
      <c r="C139" s="6" t="s">
        <v>429</v>
      </c>
      <c r="D139" s="6" t="s">
        <v>430</v>
      </c>
      <c r="E139" s="6"/>
      <c r="F139" s="6"/>
      <c r="G139" s="6"/>
      <c r="H139" s="6">
        <v>38496</v>
      </c>
      <c r="I139" s="6"/>
      <c r="J139" s="6"/>
      <c r="K139" s="6"/>
      <c r="L139" s="6"/>
      <c r="M139" s="6"/>
      <c r="N139" s="6"/>
      <c r="O139" s="6"/>
      <c r="P139" s="6"/>
      <c r="Q139" s="6"/>
      <c r="R139" s="6"/>
      <c r="S139" s="6"/>
      <c r="T139" s="6"/>
      <c r="U139" s="6"/>
      <c r="V139" s="6"/>
      <c r="W139" s="6"/>
      <c r="X139" s="6"/>
      <c r="Y139" s="6"/>
      <c r="Z139" s="6">
        <v>38516</v>
      </c>
      <c r="AA139" s="6"/>
      <c r="AB139" s="6"/>
      <c r="AC139" s="6">
        <v>38541</v>
      </c>
      <c r="AD139" s="6"/>
      <c r="AE139" s="6"/>
      <c r="AF139" s="6">
        <v>38555</v>
      </c>
      <c r="AG139" s="6"/>
      <c r="AH139" s="6"/>
      <c r="AI139" s="6"/>
      <c r="AJ139" s="6"/>
      <c r="AK139" s="6"/>
      <c r="AL139" s="6"/>
      <c r="AM139" s="6"/>
      <c r="AN139" s="6"/>
      <c r="AO139" s="6"/>
      <c r="AP139" s="6"/>
      <c r="AQ139" s="6"/>
      <c r="AR139" s="6">
        <v>38861</v>
      </c>
      <c r="AS139" s="6"/>
      <c r="AT139" s="6"/>
      <c r="AU139" s="6"/>
      <c r="AV139" s="6">
        <v>38903</v>
      </c>
      <c r="AW139" s="6"/>
      <c r="AX139" s="6"/>
      <c r="AY139" s="6"/>
      <c r="AZ139" s="6">
        <v>38861</v>
      </c>
      <c r="BA139" s="6"/>
      <c r="BB139" s="6"/>
      <c r="BC139" s="6"/>
      <c r="BD139" s="6"/>
      <c r="BE139" s="6"/>
      <c r="BF139" s="6"/>
      <c r="BG139" s="6"/>
      <c r="BH139" s="6"/>
      <c r="BI139" s="6"/>
      <c r="BJ139" s="6"/>
      <c r="BK139" s="6"/>
      <c r="BL139" s="6"/>
      <c r="BM139" s="6">
        <v>38915</v>
      </c>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row>
    <row r="140" spans="1:216" x14ac:dyDescent="0.3">
      <c r="A140" s="8" t="str">
        <f>HYPERLINK("https://hpr-rps.hres.ca/reg-content/summary-basis-decision-detailOne.php?lang=en&amp;linkID=SBD00138", "Somavert")</f>
        <v>Somavert</v>
      </c>
      <c r="B140" s="6" t="s">
        <v>431</v>
      </c>
      <c r="C140" s="6" t="s">
        <v>143</v>
      </c>
      <c r="D140" s="6" t="s">
        <v>432</v>
      </c>
      <c r="E140" s="6">
        <v>37447</v>
      </c>
      <c r="F140" s="6">
        <v>37536</v>
      </c>
      <c r="G140" s="6"/>
      <c r="H140" s="6"/>
      <c r="I140" s="6"/>
      <c r="J140" s="6"/>
      <c r="K140" s="6"/>
      <c r="L140" s="6"/>
      <c r="M140" s="6"/>
      <c r="N140" s="6">
        <v>37554</v>
      </c>
      <c r="O140" s="6"/>
      <c r="P140" s="6"/>
      <c r="Q140" s="6"/>
      <c r="R140" s="6"/>
      <c r="S140" s="6">
        <v>37581</v>
      </c>
      <c r="T140" s="6"/>
      <c r="U140" s="6"/>
      <c r="V140" s="6">
        <v>37637</v>
      </c>
      <c r="W140" s="6"/>
      <c r="X140" s="6"/>
      <c r="Y140" s="6"/>
      <c r="Z140" s="6"/>
      <c r="AA140" s="6"/>
      <c r="AB140" s="6"/>
      <c r="AC140" s="6">
        <v>37956</v>
      </c>
      <c r="AD140" s="6">
        <v>37861</v>
      </c>
      <c r="AE140" s="6"/>
      <c r="AF140" s="6">
        <v>37662</v>
      </c>
      <c r="AG140" s="6"/>
      <c r="AH140" s="6"/>
      <c r="AI140" s="6"/>
      <c r="AJ140" s="6"/>
      <c r="AK140" s="6"/>
      <c r="AL140" s="6"/>
      <c r="AM140" s="6"/>
      <c r="AN140" s="6"/>
      <c r="AO140" s="6">
        <v>38132</v>
      </c>
      <c r="AP140" s="6"/>
      <c r="AQ140" s="6"/>
      <c r="AR140" s="6">
        <v>38590</v>
      </c>
      <c r="AS140" s="6"/>
      <c r="AT140" s="6"/>
      <c r="AU140" s="6"/>
      <c r="AV140" s="6">
        <v>38294</v>
      </c>
      <c r="AW140" s="6"/>
      <c r="AX140" s="6"/>
      <c r="AY140" s="6"/>
      <c r="AZ140" s="6">
        <v>38631</v>
      </c>
      <c r="BA140" s="6"/>
      <c r="BB140" s="6"/>
      <c r="BC140" s="6"/>
      <c r="BD140" s="6"/>
      <c r="BE140" s="6"/>
      <c r="BF140" s="6"/>
      <c r="BG140" s="6"/>
      <c r="BH140" s="6"/>
      <c r="BI140" s="6"/>
      <c r="BJ140" s="6"/>
      <c r="BK140" s="6"/>
      <c r="BL140" s="6"/>
      <c r="BM140" s="6">
        <v>38642</v>
      </c>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row>
    <row r="141" spans="1:216" x14ac:dyDescent="0.3">
      <c r="A141" s="8" t="str">
        <f>HYPERLINK("https://hpr-rps.hres.ca/reg-content/summary-basis-decision-detailOne.php?lang=en&amp;linkID=SBD00139", "Sprycel")</f>
        <v>Sprycel</v>
      </c>
      <c r="B141" s="6" t="s">
        <v>433</v>
      </c>
      <c r="C141" s="6" t="s">
        <v>81</v>
      </c>
      <c r="D141" s="6" t="s">
        <v>434</v>
      </c>
      <c r="E141" s="6">
        <v>39371</v>
      </c>
      <c r="F141" s="6"/>
      <c r="G141" s="6"/>
      <c r="H141" s="6">
        <v>39444</v>
      </c>
      <c r="I141" s="6"/>
      <c r="J141" s="6"/>
      <c r="K141" s="6"/>
      <c r="L141" s="6"/>
      <c r="M141" s="6"/>
      <c r="N141" s="6"/>
      <c r="O141" s="6"/>
      <c r="P141" s="6"/>
      <c r="Q141" s="6"/>
      <c r="R141" s="6"/>
      <c r="S141" s="6"/>
      <c r="T141" s="6"/>
      <c r="U141" s="6"/>
      <c r="V141" s="6"/>
      <c r="W141" s="6"/>
      <c r="X141" s="6"/>
      <c r="Y141" s="6"/>
      <c r="Z141" s="6"/>
      <c r="AA141" s="6"/>
      <c r="AB141" s="6"/>
      <c r="AC141" s="6"/>
      <c r="AD141" s="6"/>
      <c r="AE141" s="6"/>
      <c r="AF141" s="6">
        <v>39496</v>
      </c>
      <c r="AG141" s="6"/>
      <c r="AH141" s="6"/>
      <c r="AI141" s="6"/>
      <c r="AJ141" s="6"/>
      <c r="AK141" s="6"/>
      <c r="AL141" s="6"/>
      <c r="AM141" s="6"/>
      <c r="AN141" s="6"/>
      <c r="AO141" s="6">
        <v>39580</v>
      </c>
      <c r="AP141" s="6"/>
      <c r="AQ141" s="6"/>
      <c r="AR141" s="6">
        <v>39785</v>
      </c>
      <c r="AS141" s="6"/>
      <c r="AT141" s="6"/>
      <c r="AU141" s="6"/>
      <c r="AV141" s="6">
        <v>39794</v>
      </c>
      <c r="AW141" s="6"/>
      <c r="AX141" s="6"/>
      <c r="AY141" s="6"/>
      <c r="AZ141" s="6">
        <v>39794</v>
      </c>
      <c r="BA141" s="6"/>
      <c r="BB141" s="6"/>
      <c r="BC141" s="6"/>
      <c r="BD141" s="6"/>
      <c r="BE141" s="6"/>
      <c r="BF141" s="6"/>
      <c r="BG141" s="6"/>
      <c r="BH141" s="6"/>
      <c r="BI141" s="6"/>
      <c r="BJ141" s="6"/>
      <c r="BK141" s="6"/>
      <c r="BL141" s="6"/>
      <c r="BM141" s="6">
        <v>39794</v>
      </c>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row>
    <row r="142" spans="1:216" x14ac:dyDescent="0.3">
      <c r="A142" s="8" t="str">
        <f>HYPERLINK("https://hpr-rps.hres.ca/reg-content/summary-basis-decision-detailOne.php?lang=en&amp;linkID=SBD00140", "Stelara")</f>
        <v>Stelara</v>
      </c>
      <c r="B142" s="6" t="s">
        <v>435</v>
      </c>
      <c r="C142" s="6" t="s">
        <v>196</v>
      </c>
      <c r="D142" s="6" t="s">
        <v>436</v>
      </c>
      <c r="E142" s="6">
        <v>39371</v>
      </c>
      <c r="F142" s="6"/>
      <c r="G142" s="6"/>
      <c r="H142" s="6">
        <v>39444</v>
      </c>
      <c r="I142" s="6"/>
      <c r="J142" s="6"/>
      <c r="K142" s="6"/>
      <c r="L142" s="6"/>
      <c r="M142" s="6"/>
      <c r="N142" s="6"/>
      <c r="O142" s="6"/>
      <c r="P142" s="6"/>
      <c r="Q142" s="6"/>
      <c r="R142" s="6"/>
      <c r="S142" s="6"/>
      <c r="T142" s="6"/>
      <c r="U142" s="6"/>
      <c r="V142" s="6"/>
      <c r="W142" s="6"/>
      <c r="X142" s="6"/>
      <c r="Y142" s="6"/>
      <c r="Z142" s="6"/>
      <c r="AA142" s="6"/>
      <c r="AB142" s="6"/>
      <c r="AC142" s="6"/>
      <c r="AD142" s="6"/>
      <c r="AE142" s="6"/>
      <c r="AF142" s="6">
        <v>39496</v>
      </c>
      <c r="AG142" s="6"/>
      <c r="AH142" s="6"/>
      <c r="AI142" s="6"/>
      <c r="AJ142" s="6"/>
      <c r="AK142" s="6"/>
      <c r="AL142" s="6"/>
      <c r="AM142" s="6"/>
      <c r="AN142" s="6"/>
      <c r="AO142" s="6">
        <v>39580</v>
      </c>
      <c r="AP142" s="6"/>
      <c r="AQ142" s="6"/>
      <c r="AR142" s="6">
        <v>39785</v>
      </c>
      <c r="AS142" s="6"/>
      <c r="AT142" s="6"/>
      <c r="AU142" s="6"/>
      <c r="AV142" s="6">
        <v>39794</v>
      </c>
      <c r="AW142" s="6"/>
      <c r="AX142" s="6"/>
      <c r="AY142" s="6"/>
      <c r="AZ142" s="6">
        <v>39794</v>
      </c>
      <c r="BA142" s="6"/>
      <c r="BB142" s="6"/>
      <c r="BC142" s="6"/>
      <c r="BD142" s="6"/>
      <c r="BE142" s="6"/>
      <c r="BF142" s="6"/>
      <c r="BG142" s="6"/>
      <c r="BH142" s="6"/>
      <c r="BI142" s="6"/>
      <c r="BJ142" s="6"/>
      <c r="BK142" s="6"/>
      <c r="BL142" s="6"/>
      <c r="BM142" s="6">
        <v>39794</v>
      </c>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row>
    <row r="143" spans="1:216" x14ac:dyDescent="0.3">
      <c r="A143" s="8" t="str">
        <f>HYPERLINK("https://hpr-rps.hres.ca/reg-content/summary-basis-decision-detailOne.php?lang=en&amp;linkID=SBD00142", "Swish Silver Supreme")</f>
        <v>Swish Silver Supreme</v>
      </c>
      <c r="B143" s="6" t="s">
        <v>437</v>
      </c>
      <c r="C143" s="6" t="s">
        <v>438</v>
      </c>
      <c r="D143" s="6" t="s">
        <v>439</v>
      </c>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c r="FZ143" s="6"/>
      <c r="GA143" s="6"/>
      <c r="GB143" s="6"/>
      <c r="GC143" s="6"/>
      <c r="GD143" s="6"/>
      <c r="GE143" s="6"/>
      <c r="GF143" s="6"/>
      <c r="GG143" s="6"/>
      <c r="GH143" s="6"/>
      <c r="GI143" s="6"/>
      <c r="GJ143" s="6"/>
      <c r="GK143" s="6"/>
      <c r="GL143" s="6"/>
      <c r="GM143" s="6"/>
      <c r="GN143" s="6"/>
      <c r="GO143" s="6"/>
      <c r="GP143" s="6"/>
      <c r="GQ143" s="6"/>
      <c r="GR143" s="6"/>
      <c r="GS143" s="6"/>
      <c r="GT143" s="6"/>
      <c r="GU143" s="6"/>
      <c r="GV143" s="6"/>
      <c r="GW143" s="6"/>
      <c r="GX143" s="6"/>
      <c r="GY143" s="6"/>
      <c r="GZ143" s="6"/>
      <c r="HA143" s="6"/>
      <c r="HB143" s="6"/>
      <c r="HC143" s="6"/>
      <c r="HD143" s="6"/>
      <c r="HE143" s="6"/>
      <c r="HF143" s="6"/>
      <c r="HG143" s="6"/>
      <c r="HH143" s="6"/>
    </row>
    <row r="144" spans="1:216" x14ac:dyDescent="0.3">
      <c r="A144" s="8" t="str">
        <f>HYPERLINK("https://hpr-rps.hres.ca/reg-content/summary-basis-decision-detailOne.php?lang=en&amp;linkID=SBD00143", "Synflorix TM")</f>
        <v>Synflorix TM</v>
      </c>
      <c r="B144" s="6" t="s">
        <v>440</v>
      </c>
      <c r="C144" s="6" t="s">
        <v>96</v>
      </c>
      <c r="D144" s="6" t="s">
        <v>441</v>
      </c>
      <c r="E144" s="6">
        <v>39184</v>
      </c>
      <c r="F144" s="6"/>
      <c r="G144" s="6"/>
      <c r="H144" s="6">
        <v>39435</v>
      </c>
      <c r="I144" s="6"/>
      <c r="J144" s="6"/>
      <c r="K144" s="6"/>
      <c r="L144" s="6"/>
      <c r="M144" s="6"/>
      <c r="N144" s="6"/>
      <c r="O144" s="6"/>
      <c r="P144" s="6"/>
      <c r="Q144" s="6"/>
      <c r="R144" s="6"/>
      <c r="S144" s="6"/>
      <c r="T144" s="6"/>
      <c r="U144" s="6"/>
      <c r="V144" s="6"/>
      <c r="W144" s="6"/>
      <c r="X144" s="6"/>
      <c r="Y144" s="6"/>
      <c r="Z144" s="6"/>
      <c r="AA144" s="6"/>
      <c r="AB144" s="6"/>
      <c r="AC144" s="6"/>
      <c r="AD144" s="6"/>
      <c r="AE144" s="6">
        <v>39451</v>
      </c>
      <c r="AF144" s="6">
        <v>39493</v>
      </c>
      <c r="AG144" s="6"/>
      <c r="AH144" s="6"/>
      <c r="AI144" s="6"/>
      <c r="AJ144" s="6"/>
      <c r="AK144" s="6"/>
      <c r="AL144" s="6"/>
      <c r="AM144" s="6"/>
      <c r="AN144" s="6"/>
      <c r="AO144" s="6">
        <v>39745</v>
      </c>
      <c r="AP144" s="6"/>
      <c r="AQ144" s="6"/>
      <c r="AR144" s="6">
        <v>39792</v>
      </c>
      <c r="AS144" s="6"/>
      <c r="AT144" s="6"/>
      <c r="AU144" s="6"/>
      <c r="AV144" s="6">
        <v>39792</v>
      </c>
      <c r="AW144" s="6"/>
      <c r="AX144" s="6"/>
      <c r="AY144" s="6"/>
      <c r="AZ144" s="6">
        <v>39792</v>
      </c>
      <c r="BA144" s="6"/>
      <c r="BB144" s="6"/>
      <c r="BC144" s="6"/>
      <c r="BD144" s="6"/>
      <c r="BE144" s="6"/>
      <c r="BF144" s="6"/>
      <c r="BG144" s="6"/>
      <c r="BH144" s="6"/>
      <c r="BI144" s="6"/>
      <c r="BJ144" s="6"/>
      <c r="BK144" s="6"/>
      <c r="BL144" s="6"/>
      <c r="BM144" s="6">
        <v>39793</v>
      </c>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row>
    <row r="145" spans="1:216" x14ac:dyDescent="0.3">
      <c r="A145" s="8" t="str">
        <f>HYPERLINK("https://hpr-rps.hres.ca/reg-content/summary-basis-decision-detailOne.php?lang=en&amp;linkID=SBD00145", "Tasigna")</f>
        <v>Tasigna</v>
      </c>
      <c r="B145" s="6" t="s">
        <v>442</v>
      </c>
      <c r="C145" s="6" t="s">
        <v>87</v>
      </c>
      <c r="D145" s="6" t="s">
        <v>443</v>
      </c>
      <c r="E145" s="6"/>
      <c r="F145" s="6"/>
      <c r="G145" s="6">
        <v>39031</v>
      </c>
      <c r="H145" s="6">
        <v>39056</v>
      </c>
      <c r="I145" s="6"/>
      <c r="J145" s="6"/>
      <c r="K145" s="6"/>
      <c r="L145" s="6"/>
      <c r="M145" s="6"/>
      <c r="N145" s="6"/>
      <c r="O145" s="6"/>
      <c r="P145" s="6"/>
      <c r="Q145" s="6"/>
      <c r="R145" s="6"/>
      <c r="S145" s="6"/>
      <c r="T145" s="6"/>
      <c r="U145" s="6"/>
      <c r="V145" s="6"/>
      <c r="W145" s="6"/>
      <c r="X145" s="6"/>
      <c r="Y145" s="6"/>
      <c r="Z145" s="6"/>
      <c r="AA145" s="6"/>
      <c r="AB145" s="6"/>
      <c r="AC145" s="6"/>
      <c r="AD145" s="6"/>
      <c r="AE145" s="6"/>
      <c r="AF145" s="6">
        <v>39079</v>
      </c>
      <c r="AG145" s="6"/>
      <c r="AH145" s="6"/>
      <c r="AI145" s="6"/>
      <c r="AJ145" s="6"/>
      <c r="AK145" s="6"/>
      <c r="AL145" s="6"/>
      <c r="AM145" s="6"/>
      <c r="AN145" s="6"/>
      <c r="AO145" s="6"/>
      <c r="AP145" s="6"/>
      <c r="AQ145" s="6"/>
      <c r="AR145" s="6"/>
      <c r="AS145" s="6"/>
      <c r="AT145" s="6"/>
      <c r="AU145" s="6"/>
      <c r="AV145" s="6">
        <v>39275</v>
      </c>
      <c r="AW145" s="6"/>
      <c r="AX145" s="6"/>
      <c r="AY145" s="6"/>
      <c r="AZ145" s="6">
        <v>39266</v>
      </c>
      <c r="BA145" s="6"/>
      <c r="BB145" s="6"/>
      <c r="BC145" s="6"/>
      <c r="BD145" s="6"/>
      <c r="BE145" s="6"/>
      <c r="BF145" s="6"/>
      <c r="BG145" s="6"/>
      <c r="BH145" s="6"/>
      <c r="BI145" s="6"/>
      <c r="BJ145" s="6"/>
      <c r="BK145" s="6"/>
      <c r="BL145" s="6"/>
      <c r="BM145" s="6"/>
      <c r="BN145" s="6"/>
      <c r="BO145" s="6"/>
      <c r="BP145" s="6"/>
      <c r="BQ145" s="6"/>
      <c r="BR145" s="6"/>
      <c r="BS145" s="6"/>
      <c r="BT145" s="6">
        <v>39276</v>
      </c>
      <c r="BU145" s="6"/>
      <c r="BV145" s="6"/>
      <c r="BW145" s="6"/>
      <c r="BX145" s="6"/>
      <c r="BY145" s="6">
        <v>39358</v>
      </c>
      <c r="BZ145" s="6"/>
      <c r="CA145" s="6"/>
      <c r="CB145" s="6"/>
      <c r="CC145" s="6"/>
      <c r="CD145" s="6"/>
      <c r="CE145" s="6"/>
      <c r="CF145" s="6"/>
      <c r="CG145" s="6"/>
      <c r="CH145" s="6"/>
      <c r="CI145" s="6"/>
      <c r="CJ145" s="6"/>
      <c r="CK145" s="6"/>
      <c r="CL145" s="6"/>
      <c r="CM145" s="6"/>
      <c r="CN145" s="6"/>
      <c r="CO145" s="6"/>
      <c r="CP145" s="6"/>
      <c r="CQ145" s="6"/>
      <c r="CR145" s="6">
        <v>39381</v>
      </c>
      <c r="CS145" s="6"/>
      <c r="CT145" s="6"/>
      <c r="CU145" s="6"/>
      <c r="CV145" s="6"/>
      <c r="CW145" s="6"/>
      <c r="CX145" s="6"/>
      <c r="CY145" s="6"/>
      <c r="CZ145" s="6"/>
      <c r="DA145" s="6"/>
      <c r="DB145" s="6"/>
      <c r="DC145" s="6"/>
      <c r="DD145" s="6">
        <v>39696</v>
      </c>
      <c r="DE145" s="6"/>
      <c r="DF145" s="6"/>
      <c r="DG145" s="6"/>
      <c r="DH145" s="6">
        <v>39469</v>
      </c>
      <c r="DI145" s="6"/>
      <c r="DJ145" s="6"/>
      <c r="DK145" s="6"/>
      <c r="DL145" s="6">
        <v>39696</v>
      </c>
      <c r="DM145" s="6"/>
      <c r="DN145" s="6"/>
      <c r="DO145" s="6"/>
      <c r="DP145" s="6"/>
      <c r="DQ145" s="6"/>
      <c r="DR145" s="6"/>
      <c r="DS145" s="6"/>
      <c r="DT145" s="6"/>
      <c r="DU145" s="6"/>
      <c r="DV145" s="6"/>
      <c r="DW145" s="6"/>
      <c r="DX145" s="6">
        <v>39633</v>
      </c>
      <c r="DY145" s="6">
        <v>39700</v>
      </c>
      <c r="DZ145" s="6"/>
      <c r="EA145" s="6"/>
      <c r="EB145" s="6"/>
      <c r="EC145" s="6"/>
      <c r="ED145" s="6"/>
      <c r="EE145" s="6"/>
      <c r="EF145" s="6"/>
      <c r="EG145" s="6"/>
      <c r="EH145" s="6"/>
      <c r="EI145" s="6"/>
      <c r="EJ145" s="6"/>
      <c r="EK145" s="6">
        <v>39673</v>
      </c>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c r="FZ145" s="6"/>
      <c r="GA145" s="6"/>
      <c r="GB145" s="6"/>
      <c r="GC145" s="6"/>
      <c r="GD145" s="6"/>
      <c r="GE145" s="6"/>
      <c r="GF145" s="6"/>
      <c r="GG145" s="6"/>
      <c r="GH145" s="6"/>
      <c r="GI145" s="6"/>
      <c r="GJ145" s="6"/>
      <c r="GK145" s="6"/>
      <c r="GL145" s="6"/>
      <c r="GM145" s="6"/>
      <c r="GN145" s="6"/>
      <c r="GO145" s="6"/>
      <c r="GP145" s="6"/>
      <c r="GQ145" s="6"/>
      <c r="GR145" s="6"/>
      <c r="GS145" s="6"/>
      <c r="GT145" s="6"/>
      <c r="GU145" s="6"/>
      <c r="GV145" s="6"/>
      <c r="GW145" s="6"/>
      <c r="GX145" s="6"/>
      <c r="GY145" s="6"/>
      <c r="GZ145" s="6"/>
      <c r="HA145" s="6"/>
      <c r="HB145" s="6"/>
      <c r="HC145" s="6"/>
      <c r="HD145" s="6"/>
      <c r="HE145" s="6"/>
      <c r="HF145" s="6"/>
      <c r="HG145" s="6"/>
      <c r="HH145" s="6"/>
    </row>
    <row r="146" spans="1:216" x14ac:dyDescent="0.3">
      <c r="A146" s="8" t="str">
        <f>HYPERLINK("https://hpr-rps.hres.ca/reg-content/summary-basis-decision-detailOne.php?lang=en&amp;linkID=SBD00146", "Thelin TM")</f>
        <v>Thelin TM</v>
      </c>
      <c r="B146" s="6" t="s">
        <v>444</v>
      </c>
      <c r="C146" s="6" t="s">
        <v>445</v>
      </c>
      <c r="D146" s="6" t="s">
        <v>446</v>
      </c>
      <c r="E146" s="6">
        <v>38594</v>
      </c>
      <c r="F146" s="6"/>
      <c r="G146" s="6"/>
      <c r="H146" s="6"/>
      <c r="I146" s="6"/>
      <c r="J146" s="6"/>
      <c r="K146" s="6"/>
      <c r="L146" s="6"/>
      <c r="M146" s="6"/>
      <c r="N146" s="6">
        <v>38602</v>
      </c>
      <c r="O146" s="6"/>
      <c r="P146" s="6"/>
      <c r="Q146" s="6"/>
      <c r="R146" s="6"/>
      <c r="S146" s="6"/>
      <c r="T146" s="6">
        <v>38628</v>
      </c>
      <c r="U146" s="6"/>
      <c r="V146" s="6">
        <v>38649</v>
      </c>
      <c r="W146" s="6"/>
      <c r="X146" s="6"/>
      <c r="Y146" s="6"/>
      <c r="Z146" s="6">
        <v>38695</v>
      </c>
      <c r="AA146" s="6"/>
      <c r="AB146" s="6"/>
      <c r="AC146" s="6">
        <v>38708</v>
      </c>
      <c r="AD146" s="6"/>
      <c r="AE146" s="6"/>
      <c r="AF146" s="6">
        <v>38770</v>
      </c>
      <c r="AG146" s="6"/>
      <c r="AH146" s="6"/>
      <c r="AI146" s="6"/>
      <c r="AJ146" s="6"/>
      <c r="AK146" s="6"/>
      <c r="AL146" s="6"/>
      <c r="AM146" s="6"/>
      <c r="AN146" s="6"/>
      <c r="AO146" s="6"/>
      <c r="AP146" s="6"/>
      <c r="AQ146" s="6"/>
      <c r="AR146" s="6"/>
      <c r="AS146" s="6">
        <v>39002</v>
      </c>
      <c r="AT146" s="6"/>
      <c r="AU146" s="6"/>
      <c r="AV146" s="6">
        <v>39049</v>
      </c>
      <c r="AW146" s="6"/>
      <c r="AX146" s="6"/>
      <c r="AY146" s="6"/>
      <c r="AZ146" s="6">
        <v>39058</v>
      </c>
      <c r="BA146" s="6"/>
      <c r="BB146" s="6"/>
      <c r="BC146" s="6"/>
      <c r="BD146" s="6"/>
      <c r="BE146" s="6"/>
      <c r="BF146" s="6"/>
      <c r="BG146" s="6"/>
      <c r="BH146" s="6"/>
      <c r="BI146" s="6"/>
      <c r="BJ146" s="6"/>
      <c r="BK146" s="6"/>
      <c r="BL146" s="6"/>
      <c r="BM146" s="6"/>
      <c r="BN146" s="6"/>
      <c r="BO146" s="6"/>
      <c r="BP146" s="6"/>
      <c r="BQ146" s="6"/>
      <c r="BR146" s="6"/>
      <c r="BS146" s="6"/>
      <c r="BT146" s="6">
        <v>39063</v>
      </c>
      <c r="BU146" s="6"/>
      <c r="BV146" s="6"/>
      <c r="BW146" s="6"/>
      <c r="BX146" s="6"/>
      <c r="BY146" s="6">
        <v>39078</v>
      </c>
      <c r="BZ146" s="6"/>
      <c r="CA146" s="6"/>
      <c r="CB146" s="6"/>
      <c r="CC146" s="6"/>
      <c r="CD146" s="6"/>
      <c r="CE146" s="6"/>
      <c r="CF146" s="6"/>
      <c r="CG146" s="6"/>
      <c r="CH146" s="6"/>
      <c r="CI146" s="6"/>
      <c r="CJ146" s="6"/>
      <c r="CK146" s="6"/>
      <c r="CL146" s="6"/>
      <c r="CM146" s="6"/>
      <c r="CN146" s="6"/>
      <c r="CO146" s="6"/>
      <c r="CP146" s="6"/>
      <c r="CQ146" s="6"/>
      <c r="CR146" s="6">
        <v>39085</v>
      </c>
      <c r="CS146" s="6"/>
      <c r="CT146" s="6"/>
      <c r="CU146" s="6"/>
      <c r="CV146" s="6"/>
      <c r="CW146" s="6"/>
      <c r="CX146" s="6"/>
      <c r="CY146" s="6"/>
      <c r="CZ146" s="6"/>
      <c r="DA146" s="6"/>
      <c r="DB146" s="6"/>
      <c r="DC146" s="6"/>
      <c r="DD146" s="6">
        <v>39209</v>
      </c>
      <c r="DE146" s="6"/>
      <c r="DF146" s="6"/>
      <c r="DG146" s="6"/>
      <c r="DH146" s="6">
        <v>39211</v>
      </c>
      <c r="DI146" s="6"/>
      <c r="DJ146" s="6"/>
      <c r="DK146" s="6"/>
      <c r="DL146" s="6">
        <v>39225</v>
      </c>
      <c r="DM146" s="6"/>
      <c r="DN146" s="6"/>
      <c r="DO146" s="6"/>
      <c r="DP146" s="6"/>
      <c r="DQ146" s="6"/>
      <c r="DR146" s="6"/>
      <c r="DS146" s="6"/>
      <c r="DT146" s="6"/>
      <c r="DU146" s="6"/>
      <c r="DV146" s="6"/>
      <c r="DW146" s="6"/>
      <c r="DX146" s="6"/>
      <c r="DY146" s="6">
        <v>39232</v>
      </c>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c r="FZ146" s="6"/>
      <c r="GA146" s="6"/>
      <c r="GB146" s="6"/>
      <c r="GC146" s="6"/>
      <c r="GD146" s="6"/>
      <c r="GE146" s="6"/>
      <c r="GF146" s="6"/>
      <c r="GG146" s="6"/>
      <c r="GH146" s="6"/>
      <c r="GI146" s="6"/>
      <c r="GJ146" s="6"/>
      <c r="GK146" s="6"/>
      <c r="GL146" s="6"/>
      <c r="GM146" s="6"/>
      <c r="GN146" s="6"/>
      <c r="GO146" s="6"/>
      <c r="GP146" s="6"/>
      <c r="GQ146" s="6"/>
      <c r="GR146" s="6"/>
      <c r="GS146" s="6"/>
      <c r="GT146" s="6"/>
      <c r="GU146" s="6"/>
      <c r="GV146" s="6"/>
      <c r="GW146" s="6"/>
      <c r="GX146" s="6"/>
      <c r="GY146" s="6"/>
      <c r="GZ146" s="6"/>
      <c r="HA146" s="6"/>
      <c r="HB146" s="6"/>
      <c r="HC146" s="6"/>
      <c r="HD146" s="6"/>
      <c r="HE146" s="6"/>
      <c r="HF146" s="6"/>
      <c r="HG146" s="6"/>
      <c r="HH146" s="6"/>
    </row>
    <row r="147" spans="1:216" x14ac:dyDescent="0.3">
      <c r="A147" s="8" t="str">
        <f>HYPERLINK("https://hpr-rps.hres.ca/reg-content/summary-basis-decision-detailOne.php?lang=en&amp;linkID=SBD00147", "Toctino")</f>
        <v>Toctino</v>
      </c>
      <c r="B147" s="6" t="s">
        <v>447</v>
      </c>
      <c r="C147" s="6" t="s">
        <v>448</v>
      </c>
      <c r="D147" s="6" t="s">
        <v>449</v>
      </c>
      <c r="E147" s="6">
        <v>38594</v>
      </c>
      <c r="F147" s="6"/>
      <c r="G147" s="6"/>
      <c r="H147" s="6"/>
      <c r="I147" s="6"/>
      <c r="J147" s="6"/>
      <c r="K147" s="6"/>
      <c r="L147" s="6"/>
      <c r="M147" s="6"/>
      <c r="N147" s="6">
        <v>38602</v>
      </c>
      <c r="O147" s="6"/>
      <c r="P147" s="6"/>
      <c r="Q147" s="6"/>
      <c r="R147" s="6"/>
      <c r="S147" s="6"/>
      <c r="T147" s="6">
        <v>38628</v>
      </c>
      <c r="U147" s="6"/>
      <c r="V147" s="6">
        <v>38649</v>
      </c>
      <c r="W147" s="6"/>
      <c r="X147" s="6"/>
      <c r="Y147" s="6"/>
      <c r="Z147" s="6">
        <v>38695</v>
      </c>
      <c r="AA147" s="6"/>
      <c r="AB147" s="6"/>
      <c r="AC147" s="6">
        <v>38708</v>
      </c>
      <c r="AD147" s="6"/>
      <c r="AE147" s="6"/>
      <c r="AF147" s="6">
        <v>38770</v>
      </c>
      <c r="AG147" s="6"/>
      <c r="AH147" s="6"/>
      <c r="AI147" s="6"/>
      <c r="AJ147" s="6"/>
      <c r="AK147" s="6"/>
      <c r="AL147" s="6"/>
      <c r="AM147" s="6"/>
      <c r="AN147" s="6"/>
      <c r="AO147" s="6"/>
      <c r="AP147" s="6"/>
      <c r="AQ147" s="6"/>
      <c r="AR147" s="6"/>
      <c r="AS147" s="6">
        <v>39002</v>
      </c>
      <c r="AT147" s="6"/>
      <c r="AU147" s="6"/>
      <c r="AV147" s="6">
        <v>39049</v>
      </c>
      <c r="AW147" s="6"/>
      <c r="AX147" s="6"/>
      <c r="AY147" s="6"/>
      <c r="AZ147" s="6">
        <v>39058</v>
      </c>
      <c r="BA147" s="6"/>
      <c r="BB147" s="6"/>
      <c r="BC147" s="6"/>
      <c r="BD147" s="6"/>
      <c r="BE147" s="6"/>
      <c r="BF147" s="6"/>
      <c r="BG147" s="6"/>
      <c r="BH147" s="6"/>
      <c r="BI147" s="6"/>
      <c r="BJ147" s="6"/>
      <c r="BK147" s="6"/>
      <c r="BL147" s="6"/>
      <c r="BM147" s="6"/>
      <c r="BN147" s="6"/>
      <c r="BO147" s="6"/>
      <c r="BP147" s="6"/>
      <c r="BQ147" s="6"/>
      <c r="BR147" s="6"/>
      <c r="BS147" s="6"/>
      <c r="BT147" s="6">
        <v>39063</v>
      </c>
      <c r="BU147" s="6"/>
      <c r="BV147" s="6"/>
      <c r="BW147" s="6"/>
      <c r="BX147" s="6"/>
      <c r="BY147" s="6">
        <v>39078</v>
      </c>
      <c r="BZ147" s="6"/>
      <c r="CA147" s="6"/>
      <c r="CB147" s="6"/>
      <c r="CC147" s="6"/>
      <c r="CD147" s="6"/>
      <c r="CE147" s="6"/>
      <c r="CF147" s="6"/>
      <c r="CG147" s="6"/>
      <c r="CH147" s="6"/>
      <c r="CI147" s="6"/>
      <c r="CJ147" s="6"/>
      <c r="CK147" s="6"/>
      <c r="CL147" s="6"/>
      <c r="CM147" s="6"/>
      <c r="CN147" s="6"/>
      <c r="CO147" s="6"/>
      <c r="CP147" s="6"/>
      <c r="CQ147" s="6"/>
      <c r="CR147" s="6">
        <v>39085</v>
      </c>
      <c r="CS147" s="6"/>
      <c r="CT147" s="6"/>
      <c r="CU147" s="6"/>
      <c r="CV147" s="6"/>
      <c r="CW147" s="6"/>
      <c r="CX147" s="6"/>
      <c r="CY147" s="6"/>
      <c r="CZ147" s="6"/>
      <c r="DA147" s="6"/>
      <c r="DB147" s="6"/>
      <c r="DC147" s="6"/>
      <c r="DD147" s="6">
        <v>39209</v>
      </c>
      <c r="DE147" s="6"/>
      <c r="DF147" s="6"/>
      <c r="DG147" s="6"/>
      <c r="DH147" s="6">
        <v>39211</v>
      </c>
      <c r="DI147" s="6"/>
      <c r="DJ147" s="6"/>
      <c r="DK147" s="6"/>
      <c r="DL147" s="6">
        <v>39225</v>
      </c>
      <c r="DM147" s="6"/>
      <c r="DN147" s="6"/>
      <c r="DO147" s="6"/>
      <c r="DP147" s="6"/>
      <c r="DQ147" s="6"/>
      <c r="DR147" s="6"/>
      <c r="DS147" s="6"/>
      <c r="DT147" s="6"/>
      <c r="DU147" s="6"/>
      <c r="DV147" s="6"/>
      <c r="DW147" s="6"/>
      <c r="DX147" s="6"/>
      <c r="DY147" s="6">
        <v>39232</v>
      </c>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c r="FZ147" s="6"/>
      <c r="GA147" s="6"/>
      <c r="GB147" s="6"/>
      <c r="GC147" s="6"/>
      <c r="GD147" s="6"/>
      <c r="GE147" s="6"/>
      <c r="GF147" s="6"/>
      <c r="GG147" s="6"/>
      <c r="GH147" s="6"/>
      <c r="GI147" s="6"/>
      <c r="GJ147" s="6"/>
      <c r="GK147" s="6"/>
      <c r="GL147" s="6"/>
      <c r="GM147" s="6"/>
      <c r="GN147" s="6"/>
      <c r="GO147" s="6"/>
      <c r="GP147" s="6"/>
      <c r="GQ147" s="6"/>
      <c r="GR147" s="6"/>
      <c r="GS147" s="6"/>
      <c r="GT147" s="6"/>
      <c r="GU147" s="6"/>
      <c r="GV147" s="6"/>
      <c r="GW147" s="6"/>
      <c r="GX147" s="6"/>
      <c r="GY147" s="6"/>
      <c r="GZ147" s="6"/>
      <c r="HA147" s="6"/>
      <c r="HB147" s="6"/>
      <c r="HC147" s="6"/>
      <c r="HD147" s="6"/>
      <c r="HE147" s="6"/>
      <c r="HF147" s="6"/>
      <c r="HG147" s="6"/>
      <c r="HH147" s="6"/>
    </row>
    <row r="148" spans="1:216" x14ac:dyDescent="0.3">
      <c r="A148" s="8" t="str">
        <f>HYPERLINK("https://hpr-rps.hres.ca/reg-content/summary-basis-decision-detailOne.php?lang=en&amp;linkID=SBD00163", "Zeftera")</f>
        <v>Zeftera</v>
      </c>
      <c r="B148" s="6" t="s">
        <v>450</v>
      </c>
      <c r="C148" s="6" t="s">
        <v>196</v>
      </c>
      <c r="D148" s="6" t="s">
        <v>451</v>
      </c>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c r="FZ148" s="6"/>
      <c r="GA148" s="6"/>
      <c r="GB148" s="6"/>
      <c r="GC148" s="6"/>
      <c r="GD148" s="6"/>
      <c r="GE148" s="6"/>
      <c r="GF148" s="6"/>
      <c r="GG148" s="6"/>
      <c r="GH148" s="6"/>
      <c r="GI148" s="6"/>
      <c r="GJ148" s="6"/>
      <c r="GK148" s="6"/>
      <c r="GL148" s="6"/>
      <c r="GM148" s="6"/>
      <c r="GN148" s="6"/>
      <c r="GO148" s="6"/>
      <c r="GP148" s="6"/>
      <c r="GQ148" s="6"/>
      <c r="GR148" s="6"/>
      <c r="GS148" s="6"/>
      <c r="GT148" s="6"/>
      <c r="GU148" s="6"/>
      <c r="GV148" s="6"/>
      <c r="GW148" s="6"/>
      <c r="GX148" s="6"/>
      <c r="GY148" s="6"/>
      <c r="GZ148" s="6"/>
      <c r="HA148" s="6"/>
      <c r="HB148" s="6"/>
      <c r="HC148" s="6"/>
      <c r="HD148" s="6"/>
      <c r="HE148" s="6"/>
      <c r="HF148" s="6"/>
      <c r="HG148" s="6"/>
      <c r="HH148" s="6"/>
    </row>
    <row r="149" spans="1:216" x14ac:dyDescent="0.3">
      <c r="A149" s="8" t="str">
        <f>HYPERLINK("https://hpr-rps.hres.ca/reg-content/summary-basis-decision-detailOne.php?lang=en&amp;linkID=SBD00148", "Torisel TM")</f>
        <v>Torisel TM</v>
      </c>
      <c r="B149" s="6" t="s">
        <v>452</v>
      </c>
      <c r="C149" s="6" t="s">
        <v>368</v>
      </c>
      <c r="D149" s="6" t="s">
        <v>453</v>
      </c>
      <c r="E149" s="6">
        <v>38664</v>
      </c>
      <c r="F149" s="6">
        <v>38925</v>
      </c>
      <c r="G149" s="6"/>
      <c r="H149" s="6"/>
      <c r="I149" s="6"/>
      <c r="J149" s="6"/>
      <c r="K149" s="6"/>
      <c r="L149" s="6"/>
      <c r="M149" s="6"/>
      <c r="N149" s="6">
        <v>38959</v>
      </c>
      <c r="O149" s="6"/>
      <c r="P149" s="6"/>
      <c r="Q149" s="6"/>
      <c r="R149" s="6"/>
      <c r="S149" s="6">
        <v>38986</v>
      </c>
      <c r="T149" s="6"/>
      <c r="U149" s="6"/>
      <c r="V149" s="6">
        <v>39041</v>
      </c>
      <c r="W149" s="6"/>
      <c r="X149" s="6"/>
      <c r="Y149" s="6"/>
      <c r="Z149" s="6">
        <v>39065</v>
      </c>
      <c r="AA149" s="6"/>
      <c r="AB149" s="6"/>
      <c r="AC149" s="6">
        <v>39073</v>
      </c>
      <c r="AD149" s="6"/>
      <c r="AE149" s="6"/>
      <c r="AF149" s="6">
        <v>39097</v>
      </c>
      <c r="AG149" s="6"/>
      <c r="AH149" s="6"/>
      <c r="AI149" s="6"/>
      <c r="AJ149" s="6"/>
      <c r="AK149" s="6"/>
      <c r="AL149" s="6"/>
      <c r="AM149" s="6"/>
      <c r="AN149" s="6"/>
      <c r="AO149" s="6"/>
      <c r="AP149" s="6"/>
      <c r="AQ149" s="6"/>
      <c r="AR149" s="6">
        <v>39276</v>
      </c>
      <c r="AS149" s="6"/>
      <c r="AT149" s="6"/>
      <c r="AU149" s="6"/>
      <c r="AV149" s="6">
        <v>39248</v>
      </c>
      <c r="AW149" s="6"/>
      <c r="AX149" s="6"/>
      <c r="AY149" s="6"/>
      <c r="AZ149" s="6">
        <v>39275</v>
      </c>
      <c r="BA149" s="6"/>
      <c r="BB149" s="6"/>
      <c r="BC149" s="6"/>
      <c r="BD149" s="6"/>
      <c r="BE149" s="6"/>
      <c r="BF149" s="6"/>
      <c r="BG149" s="6"/>
      <c r="BH149" s="6"/>
      <c r="BI149" s="6"/>
      <c r="BJ149" s="6"/>
      <c r="BK149" s="6"/>
      <c r="BL149" s="6"/>
      <c r="BM149" s="6">
        <v>39276</v>
      </c>
      <c r="BN149" s="6"/>
      <c r="BO149" s="6"/>
      <c r="BP149" s="6"/>
      <c r="BQ149" s="6"/>
      <c r="BR149" s="6"/>
      <c r="BS149" s="6"/>
      <c r="BT149" s="6"/>
      <c r="BU149" s="6"/>
      <c r="BV149" s="6"/>
      <c r="BW149" s="6"/>
      <c r="BX149" s="6"/>
      <c r="BY149" s="6">
        <v>39323</v>
      </c>
      <c r="BZ149" s="6"/>
      <c r="CA149" s="6"/>
      <c r="CB149" s="6"/>
      <c r="CC149" s="6"/>
      <c r="CD149" s="6"/>
      <c r="CE149" s="6"/>
      <c r="CF149" s="6"/>
      <c r="CG149" s="6"/>
      <c r="CH149" s="6"/>
      <c r="CI149" s="6"/>
      <c r="CJ149" s="6"/>
      <c r="CK149" s="6"/>
      <c r="CL149" s="6"/>
      <c r="CM149" s="6"/>
      <c r="CN149" s="6"/>
      <c r="CO149" s="6"/>
      <c r="CP149" s="6"/>
      <c r="CQ149" s="6"/>
      <c r="CR149" s="6">
        <v>39352</v>
      </c>
      <c r="CS149" s="6"/>
      <c r="CT149" s="6"/>
      <c r="CU149" s="6"/>
      <c r="CV149" s="6"/>
      <c r="CW149" s="6"/>
      <c r="CX149" s="6"/>
      <c r="CY149" s="6"/>
      <c r="CZ149" s="6"/>
      <c r="DA149" s="6"/>
      <c r="DB149" s="6"/>
      <c r="DC149" s="6"/>
      <c r="DD149" s="6">
        <v>39434</v>
      </c>
      <c r="DE149" s="6"/>
      <c r="DF149" s="6"/>
      <c r="DG149" s="6"/>
      <c r="DH149" s="6">
        <v>39434</v>
      </c>
      <c r="DI149" s="6"/>
      <c r="DJ149" s="6"/>
      <c r="DK149" s="6"/>
      <c r="DL149" s="6"/>
      <c r="DM149" s="6"/>
      <c r="DN149" s="6"/>
      <c r="DO149" s="6"/>
      <c r="DP149" s="6"/>
      <c r="DQ149" s="6"/>
      <c r="DR149" s="6"/>
      <c r="DS149" s="6"/>
      <c r="DT149" s="6"/>
      <c r="DU149" s="6"/>
      <c r="DV149" s="6"/>
      <c r="DW149" s="6"/>
      <c r="DX149" s="6"/>
      <c r="DY149" s="6">
        <v>39437</v>
      </c>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row>
    <row r="150" spans="1:216" x14ac:dyDescent="0.3">
      <c r="A150" s="8" t="str">
        <f>HYPERLINK("https://hpr-rps.hres.ca/reg-content/summary-basis-decision-detailOne.php?lang=en&amp;linkID=SBD00149", "Toviaz TM")</f>
        <v>Toviaz TM</v>
      </c>
      <c r="B150" s="6" t="s">
        <v>454</v>
      </c>
      <c r="C150" s="6" t="s">
        <v>143</v>
      </c>
      <c r="D150" s="6" t="s">
        <v>455</v>
      </c>
      <c r="E150" s="6"/>
      <c r="F150" s="6"/>
      <c r="G150" s="6"/>
      <c r="H150" s="6">
        <v>40603</v>
      </c>
      <c r="I150" s="6"/>
      <c r="J150" s="6"/>
      <c r="K150" s="6"/>
      <c r="L150" s="6"/>
      <c r="M150" s="6"/>
      <c r="N150" s="6"/>
      <c r="O150" s="6"/>
      <c r="P150" s="6"/>
      <c r="Q150" s="6"/>
      <c r="R150" s="6"/>
      <c r="S150" s="6"/>
      <c r="T150" s="6"/>
      <c r="U150" s="6"/>
      <c r="V150" s="6"/>
      <c r="W150" s="6"/>
      <c r="X150" s="6"/>
      <c r="Y150" s="6"/>
      <c r="Z150" s="6"/>
      <c r="AA150" s="6"/>
      <c r="AB150" s="6"/>
      <c r="AC150" s="6"/>
      <c r="AD150" s="6"/>
      <c r="AE150" s="6"/>
      <c r="AF150" s="6">
        <v>40648</v>
      </c>
      <c r="AG150" s="6"/>
      <c r="AH150" s="6"/>
      <c r="AI150" s="6"/>
      <c r="AJ150" s="6"/>
      <c r="AK150" s="6"/>
      <c r="AL150" s="6"/>
      <c r="AM150" s="6"/>
      <c r="AN150" s="6"/>
      <c r="AO150" s="6"/>
      <c r="AP150" s="6"/>
      <c r="AQ150" s="6"/>
      <c r="AR150" s="6">
        <v>40947</v>
      </c>
      <c r="AS150" s="6">
        <v>40896</v>
      </c>
      <c r="AT150" s="6"/>
      <c r="AU150" s="6"/>
      <c r="AV150" s="6">
        <v>40938</v>
      </c>
      <c r="AW150" s="6"/>
      <c r="AX150" s="6">
        <v>40939</v>
      </c>
      <c r="AY150" s="6"/>
      <c r="AZ150" s="6">
        <v>40947</v>
      </c>
      <c r="BA150" s="6"/>
      <c r="BB150" s="6"/>
      <c r="BC150" s="6"/>
      <c r="BD150" s="6"/>
      <c r="BE150" s="6"/>
      <c r="BF150" s="6"/>
      <c r="BG150" s="6"/>
      <c r="BH150" s="6"/>
      <c r="BI150" s="6"/>
      <c r="BJ150" s="6"/>
      <c r="BK150" s="6"/>
      <c r="BL150" s="6"/>
      <c r="BM150" s="6">
        <v>40948</v>
      </c>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c r="FZ150" s="6"/>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row>
    <row r="151" spans="1:216" x14ac:dyDescent="0.3">
      <c r="A151" s="8" t="str">
        <f>HYPERLINK("https://hpr-rps.hres.ca/reg-content/summary-basis-decision-detailOne.php?lang=en&amp;linkID=SBD00150", "Trajenta TM")</f>
        <v>Trajenta TM</v>
      </c>
      <c r="B151" s="6" t="s">
        <v>456</v>
      </c>
      <c r="C151" s="6" t="s">
        <v>105</v>
      </c>
      <c r="D151" s="6" t="s">
        <v>457</v>
      </c>
      <c r="E151" s="6">
        <v>40337</v>
      </c>
      <c r="F151" s="6"/>
      <c r="G151" s="6"/>
      <c r="H151" s="6">
        <v>40407</v>
      </c>
      <c r="I151" s="6"/>
      <c r="J151" s="6"/>
      <c r="K151" s="6"/>
      <c r="L151" s="6"/>
      <c r="M151" s="6"/>
      <c r="N151" s="6"/>
      <c r="O151" s="6"/>
      <c r="P151" s="6"/>
      <c r="Q151" s="6"/>
      <c r="R151" s="6"/>
      <c r="S151" s="6"/>
      <c r="T151" s="6"/>
      <c r="U151" s="6"/>
      <c r="V151" s="6"/>
      <c r="W151" s="6"/>
      <c r="X151" s="6"/>
      <c r="Y151" s="6"/>
      <c r="Z151" s="6"/>
      <c r="AA151" s="6"/>
      <c r="AB151" s="6"/>
      <c r="AC151" s="6"/>
      <c r="AD151" s="6"/>
      <c r="AE151" s="6"/>
      <c r="AF151" s="6">
        <v>40452</v>
      </c>
      <c r="AG151" s="6"/>
      <c r="AH151" s="6"/>
      <c r="AI151" s="6"/>
      <c r="AJ151" s="6"/>
      <c r="AK151" s="6"/>
      <c r="AL151" s="6"/>
      <c r="AM151" s="6"/>
      <c r="AN151" s="6"/>
      <c r="AO151" s="6"/>
      <c r="AP151" s="6"/>
      <c r="AQ151" s="6"/>
      <c r="AR151" s="6">
        <v>40746</v>
      </c>
      <c r="AS151" s="6"/>
      <c r="AT151" s="6"/>
      <c r="AU151" s="6"/>
      <c r="AV151" s="6">
        <v>40746</v>
      </c>
      <c r="AW151" s="6"/>
      <c r="AX151" s="6">
        <v>40577</v>
      </c>
      <c r="AY151" s="6"/>
      <c r="AZ151" s="6">
        <v>40660</v>
      </c>
      <c r="BA151" s="6"/>
      <c r="BB151" s="6"/>
      <c r="BC151" s="6"/>
      <c r="BD151" s="6"/>
      <c r="BE151" s="6"/>
      <c r="BF151" s="6"/>
      <c r="BG151" s="6"/>
      <c r="BH151" s="6"/>
      <c r="BI151" s="6"/>
      <c r="BJ151" s="6"/>
      <c r="BK151" s="6"/>
      <c r="BL151" s="6"/>
      <c r="BM151" s="6">
        <v>40752</v>
      </c>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row>
    <row r="152" spans="1:216" x14ac:dyDescent="0.3">
      <c r="A152" s="8" t="str">
        <f>HYPERLINK("https://hpr-rps.hres.ca/reg-content/summary-basis-decision-detailOne.php?lang=en&amp;linkID=SBD00151", "Tramacet")</f>
        <v>Tramacet</v>
      </c>
      <c r="B152" s="6" t="s">
        <v>458</v>
      </c>
      <c r="C152" s="6" t="s">
        <v>459</v>
      </c>
      <c r="D152" s="6" t="s">
        <v>460</v>
      </c>
      <c r="E152" s="6">
        <v>40337</v>
      </c>
      <c r="F152" s="6"/>
      <c r="G152" s="6"/>
      <c r="H152" s="6">
        <v>40407</v>
      </c>
      <c r="I152" s="6"/>
      <c r="J152" s="6"/>
      <c r="K152" s="6"/>
      <c r="L152" s="6"/>
      <c r="M152" s="6"/>
      <c r="N152" s="6"/>
      <c r="O152" s="6"/>
      <c r="P152" s="6"/>
      <c r="Q152" s="6"/>
      <c r="R152" s="6"/>
      <c r="S152" s="6"/>
      <c r="T152" s="6"/>
      <c r="U152" s="6"/>
      <c r="V152" s="6"/>
      <c r="W152" s="6"/>
      <c r="X152" s="6"/>
      <c r="Y152" s="6"/>
      <c r="Z152" s="6"/>
      <c r="AA152" s="6"/>
      <c r="AB152" s="6"/>
      <c r="AC152" s="6"/>
      <c r="AD152" s="6"/>
      <c r="AE152" s="6"/>
      <c r="AF152" s="6">
        <v>40452</v>
      </c>
      <c r="AG152" s="6"/>
      <c r="AH152" s="6"/>
      <c r="AI152" s="6"/>
      <c r="AJ152" s="6"/>
      <c r="AK152" s="6"/>
      <c r="AL152" s="6"/>
      <c r="AM152" s="6"/>
      <c r="AN152" s="6"/>
      <c r="AO152" s="6"/>
      <c r="AP152" s="6"/>
      <c r="AQ152" s="6"/>
      <c r="AR152" s="6">
        <v>40746</v>
      </c>
      <c r="AS152" s="6"/>
      <c r="AT152" s="6"/>
      <c r="AU152" s="6"/>
      <c r="AV152" s="6">
        <v>40746</v>
      </c>
      <c r="AW152" s="6"/>
      <c r="AX152" s="6">
        <v>40577</v>
      </c>
      <c r="AY152" s="6"/>
      <c r="AZ152" s="6">
        <v>40660</v>
      </c>
      <c r="BA152" s="6"/>
      <c r="BB152" s="6"/>
      <c r="BC152" s="6"/>
      <c r="BD152" s="6"/>
      <c r="BE152" s="6"/>
      <c r="BF152" s="6"/>
      <c r="BG152" s="6"/>
      <c r="BH152" s="6"/>
      <c r="BI152" s="6"/>
      <c r="BJ152" s="6"/>
      <c r="BK152" s="6"/>
      <c r="BL152" s="6"/>
      <c r="BM152" s="6">
        <v>40752</v>
      </c>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c r="FZ152" s="6"/>
      <c r="GA152" s="6"/>
      <c r="GB152" s="6"/>
      <c r="GC152" s="6"/>
      <c r="GD152" s="6"/>
      <c r="GE152" s="6"/>
      <c r="GF152" s="6"/>
      <c r="GG152" s="6"/>
      <c r="GH152" s="6"/>
      <c r="GI152" s="6"/>
      <c r="GJ152" s="6"/>
      <c r="GK152" s="6"/>
      <c r="GL152" s="6"/>
      <c r="GM152" s="6"/>
      <c r="GN152" s="6"/>
      <c r="GO152" s="6"/>
      <c r="GP152" s="6"/>
      <c r="GQ152" s="6"/>
      <c r="GR152" s="6"/>
      <c r="GS152" s="6"/>
      <c r="GT152" s="6"/>
      <c r="GU152" s="6"/>
      <c r="GV152" s="6"/>
      <c r="GW152" s="6"/>
      <c r="GX152" s="6"/>
      <c r="GY152" s="6"/>
      <c r="GZ152" s="6"/>
      <c r="HA152" s="6"/>
      <c r="HB152" s="6"/>
      <c r="HC152" s="6"/>
      <c r="HD152" s="6"/>
      <c r="HE152" s="6"/>
      <c r="HF152" s="6"/>
      <c r="HG152" s="6"/>
      <c r="HH152" s="6"/>
    </row>
    <row r="153" spans="1:216" x14ac:dyDescent="0.3">
      <c r="A153" s="8" t="str">
        <f>HYPERLINK("https://hpr-rps.hres.ca/reg-content/summary-basis-decision-detailOne.php?lang=en&amp;linkID=SBD00152", "Treanda ®")</f>
        <v>Treanda ®</v>
      </c>
      <c r="B153" s="6" t="s">
        <v>461</v>
      </c>
      <c r="C153" s="6" t="s">
        <v>462</v>
      </c>
      <c r="D153" s="6" t="s">
        <v>463</v>
      </c>
      <c r="E153" s="6">
        <v>40731</v>
      </c>
      <c r="F153" s="6"/>
      <c r="G153" s="6"/>
      <c r="H153" s="6">
        <v>40794</v>
      </c>
      <c r="I153" s="6"/>
      <c r="J153" s="6"/>
      <c r="K153" s="6"/>
      <c r="L153" s="6"/>
      <c r="M153" s="6"/>
      <c r="N153" s="6"/>
      <c r="O153" s="6"/>
      <c r="P153" s="6"/>
      <c r="Q153" s="6"/>
      <c r="R153" s="6"/>
      <c r="S153" s="6"/>
      <c r="T153" s="6"/>
      <c r="U153" s="6"/>
      <c r="V153" s="6"/>
      <c r="W153" s="6"/>
      <c r="X153" s="6"/>
      <c r="Y153" s="6"/>
      <c r="Z153" s="6"/>
      <c r="AA153" s="6"/>
      <c r="AB153" s="6"/>
      <c r="AC153" s="6"/>
      <c r="AD153" s="6"/>
      <c r="AE153" s="6"/>
      <c r="AF153" s="6">
        <v>40847</v>
      </c>
      <c r="AG153" s="6"/>
      <c r="AH153" s="6"/>
      <c r="AI153" s="6"/>
      <c r="AJ153" s="6"/>
      <c r="AK153" s="6"/>
      <c r="AL153" s="6"/>
      <c r="AM153" s="6"/>
      <c r="AN153" s="6"/>
      <c r="AO153" s="6"/>
      <c r="AP153" s="6"/>
      <c r="AQ153" s="6"/>
      <c r="AR153" s="6">
        <v>41145</v>
      </c>
      <c r="AS153" s="6"/>
      <c r="AT153" s="6"/>
      <c r="AU153" s="6"/>
      <c r="AV153" s="6">
        <v>41131</v>
      </c>
      <c r="AW153" s="6"/>
      <c r="AX153" s="6"/>
      <c r="AY153" s="6"/>
      <c r="AZ153" s="6">
        <v>41145</v>
      </c>
      <c r="BA153" s="6"/>
      <c r="BB153" s="6"/>
      <c r="BC153" s="6"/>
      <c r="BD153" s="6"/>
      <c r="BE153" s="6"/>
      <c r="BF153" s="6"/>
      <c r="BG153" s="6"/>
      <c r="BH153" s="6"/>
      <c r="BI153" s="6"/>
      <c r="BJ153" s="6"/>
      <c r="BK153" s="6"/>
      <c r="BL153" s="6"/>
      <c r="BM153" s="6">
        <v>41145</v>
      </c>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row>
    <row r="154" spans="1:216" x14ac:dyDescent="0.3">
      <c r="A154" s="8" t="str">
        <f>HYPERLINK("https://hpr-rps.hres.ca/reg-content/summary-basis-decision-detailOne.php?lang=en&amp;linkID=SBD00153", "Tretten ®")</f>
        <v>Tretten ®</v>
      </c>
      <c r="B154" s="6" t="s">
        <v>464</v>
      </c>
      <c r="C154" s="6" t="s">
        <v>301</v>
      </c>
      <c r="D154" s="6" t="s">
        <v>465</v>
      </c>
      <c r="E154" s="6">
        <v>40731</v>
      </c>
      <c r="F154" s="6"/>
      <c r="G154" s="6"/>
      <c r="H154" s="6">
        <v>40794</v>
      </c>
      <c r="I154" s="6"/>
      <c r="J154" s="6"/>
      <c r="K154" s="6"/>
      <c r="L154" s="6"/>
      <c r="M154" s="6"/>
      <c r="N154" s="6"/>
      <c r="O154" s="6"/>
      <c r="P154" s="6"/>
      <c r="Q154" s="6"/>
      <c r="R154" s="6"/>
      <c r="S154" s="6"/>
      <c r="T154" s="6"/>
      <c r="U154" s="6"/>
      <c r="V154" s="6"/>
      <c r="W154" s="6"/>
      <c r="X154" s="6"/>
      <c r="Y154" s="6"/>
      <c r="Z154" s="6"/>
      <c r="AA154" s="6"/>
      <c r="AB154" s="6"/>
      <c r="AC154" s="6"/>
      <c r="AD154" s="6"/>
      <c r="AE154" s="6"/>
      <c r="AF154" s="6">
        <v>40847</v>
      </c>
      <c r="AG154" s="6"/>
      <c r="AH154" s="6"/>
      <c r="AI154" s="6"/>
      <c r="AJ154" s="6"/>
      <c r="AK154" s="6"/>
      <c r="AL154" s="6"/>
      <c r="AM154" s="6"/>
      <c r="AN154" s="6"/>
      <c r="AO154" s="6"/>
      <c r="AP154" s="6"/>
      <c r="AQ154" s="6"/>
      <c r="AR154" s="6">
        <v>41145</v>
      </c>
      <c r="AS154" s="6"/>
      <c r="AT154" s="6"/>
      <c r="AU154" s="6"/>
      <c r="AV154" s="6">
        <v>41131</v>
      </c>
      <c r="AW154" s="6"/>
      <c r="AX154" s="6"/>
      <c r="AY154" s="6"/>
      <c r="AZ154" s="6">
        <v>41145</v>
      </c>
      <c r="BA154" s="6"/>
      <c r="BB154" s="6"/>
      <c r="BC154" s="6"/>
      <c r="BD154" s="6"/>
      <c r="BE154" s="6"/>
      <c r="BF154" s="6"/>
      <c r="BG154" s="6"/>
      <c r="BH154" s="6"/>
      <c r="BI154" s="6"/>
      <c r="BJ154" s="6"/>
      <c r="BK154" s="6"/>
      <c r="BL154" s="6"/>
      <c r="BM154" s="6">
        <v>41145</v>
      </c>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row>
    <row r="155" spans="1:216" x14ac:dyDescent="0.3">
      <c r="A155" s="8" t="str">
        <f>HYPERLINK("https://hpr-rps.hres.ca/reg-content/summary-basis-decision-detailOne.php?lang=en&amp;linkID=SBD00154", "Trosec TM")</f>
        <v>Trosec TM</v>
      </c>
      <c r="B155" s="6" t="s">
        <v>466</v>
      </c>
      <c r="C155" s="6" t="s">
        <v>467</v>
      </c>
      <c r="D155" s="6" t="s">
        <v>468</v>
      </c>
      <c r="E155" s="6"/>
      <c r="F155" s="6"/>
      <c r="G155" s="6"/>
      <c r="H155" s="6">
        <v>38313</v>
      </c>
      <c r="I155" s="6"/>
      <c r="J155" s="6"/>
      <c r="K155" s="6"/>
      <c r="L155" s="6"/>
      <c r="M155" s="6"/>
      <c r="N155" s="6"/>
      <c r="O155" s="6"/>
      <c r="P155" s="6"/>
      <c r="Q155" s="6"/>
      <c r="R155" s="6"/>
      <c r="S155" s="6"/>
      <c r="T155" s="6"/>
      <c r="U155" s="6"/>
      <c r="V155" s="6"/>
      <c r="W155" s="6"/>
      <c r="X155" s="6"/>
      <c r="Y155" s="6"/>
      <c r="Z155" s="6">
        <v>38359</v>
      </c>
      <c r="AA155" s="6"/>
      <c r="AB155" s="6"/>
      <c r="AC155" s="6">
        <v>38383</v>
      </c>
      <c r="AD155" s="6"/>
      <c r="AE155" s="6"/>
      <c r="AF155" s="6">
        <v>38428</v>
      </c>
      <c r="AG155" s="6"/>
      <c r="AH155" s="6"/>
      <c r="AI155" s="6"/>
      <c r="AJ155" s="6"/>
      <c r="AK155" s="6"/>
      <c r="AL155" s="6"/>
      <c r="AM155" s="6"/>
      <c r="AN155" s="6"/>
      <c r="AO155" s="6"/>
      <c r="AP155" s="6"/>
      <c r="AQ155" s="6"/>
      <c r="AR155" s="6">
        <v>38723</v>
      </c>
      <c r="AS155" s="6"/>
      <c r="AT155" s="6"/>
      <c r="AU155" s="6"/>
      <c r="AV155" s="6">
        <v>38702</v>
      </c>
      <c r="AW155" s="6"/>
      <c r="AX155" s="6"/>
      <c r="AY155" s="6"/>
      <c r="AZ155" s="6">
        <v>38726</v>
      </c>
      <c r="BA155" s="6"/>
      <c r="BB155" s="6"/>
      <c r="BC155" s="6"/>
      <c r="BD155" s="6"/>
      <c r="BE155" s="6"/>
      <c r="BF155" s="6"/>
      <c r="BG155" s="6"/>
      <c r="BH155" s="6"/>
      <c r="BI155" s="6"/>
      <c r="BJ155" s="6"/>
      <c r="BK155" s="6"/>
      <c r="BL155" s="6"/>
      <c r="BM155" s="6">
        <v>38727</v>
      </c>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c r="FZ155" s="6"/>
      <c r="GA155" s="6"/>
      <c r="GB155" s="6"/>
      <c r="GC155" s="6"/>
      <c r="GD155" s="6"/>
      <c r="GE155" s="6"/>
      <c r="GF155" s="6"/>
      <c r="GG155" s="6"/>
      <c r="GH155" s="6"/>
      <c r="GI155" s="6"/>
      <c r="GJ155" s="6"/>
      <c r="GK155" s="6"/>
      <c r="GL155" s="6"/>
      <c r="GM155" s="6"/>
      <c r="GN155" s="6"/>
      <c r="GO155" s="6"/>
      <c r="GP155" s="6"/>
      <c r="GQ155" s="6"/>
      <c r="GR155" s="6"/>
      <c r="GS155" s="6"/>
      <c r="GT155" s="6"/>
      <c r="GU155" s="6"/>
      <c r="GV155" s="6"/>
      <c r="GW155" s="6"/>
      <c r="GX155" s="6"/>
      <c r="GY155" s="6"/>
      <c r="GZ155" s="6"/>
      <c r="HA155" s="6"/>
      <c r="HB155" s="6"/>
      <c r="HC155" s="6"/>
      <c r="HD155" s="6"/>
      <c r="HE155" s="6"/>
      <c r="HF155" s="6"/>
      <c r="HG155" s="6"/>
      <c r="HH155" s="6"/>
    </row>
    <row r="156" spans="1:216" x14ac:dyDescent="0.3">
      <c r="A156" s="8" t="str">
        <f>HYPERLINK("https://hpr-rps.hres.ca/reg-content/summary-basis-decision-detailOne.php?lang=en&amp;linkID=SBD00164", "Zelboraf TM")</f>
        <v>Zelboraf TM</v>
      </c>
      <c r="B156" s="6" t="s">
        <v>469</v>
      </c>
      <c r="C156" s="6" t="s">
        <v>470</v>
      </c>
      <c r="D156" s="6" t="s">
        <v>471</v>
      </c>
      <c r="E156" s="6">
        <v>40682</v>
      </c>
      <c r="F156" s="6"/>
      <c r="G156" s="6"/>
      <c r="H156" s="6"/>
      <c r="I156" s="6"/>
      <c r="J156" s="6"/>
      <c r="K156" s="6"/>
      <c r="L156" s="6"/>
      <c r="M156" s="6"/>
      <c r="N156" s="6">
        <v>40708</v>
      </c>
      <c r="O156" s="6"/>
      <c r="P156" s="6"/>
      <c r="Q156" s="6"/>
      <c r="R156" s="6"/>
      <c r="S156" s="6">
        <v>40732</v>
      </c>
      <c r="T156" s="6"/>
      <c r="U156" s="6"/>
      <c r="V156" s="6">
        <v>40742</v>
      </c>
      <c r="W156" s="6"/>
      <c r="X156" s="6"/>
      <c r="Y156" s="6"/>
      <c r="Z156" s="6"/>
      <c r="AA156" s="6"/>
      <c r="AB156" s="6"/>
      <c r="AC156" s="6"/>
      <c r="AD156" s="6"/>
      <c r="AE156" s="6"/>
      <c r="AF156" s="6">
        <v>40774</v>
      </c>
      <c r="AG156" s="6"/>
      <c r="AH156" s="6"/>
      <c r="AI156" s="6"/>
      <c r="AJ156" s="6"/>
      <c r="AK156" s="6"/>
      <c r="AL156" s="6"/>
      <c r="AM156" s="6"/>
      <c r="AN156" s="6"/>
      <c r="AO156" s="6"/>
      <c r="AP156" s="6"/>
      <c r="AQ156" s="6"/>
      <c r="AR156" s="6">
        <v>40953</v>
      </c>
      <c r="AS156" s="6"/>
      <c r="AT156" s="6"/>
      <c r="AU156" s="6"/>
      <c r="AV156" s="6">
        <v>40587</v>
      </c>
      <c r="AW156" s="6"/>
      <c r="AX156" s="6"/>
      <c r="AY156" s="6"/>
      <c r="AZ156" s="6">
        <v>40589</v>
      </c>
      <c r="BA156" s="6"/>
      <c r="BB156" s="6"/>
      <c r="BC156" s="6"/>
      <c r="BD156" s="6"/>
      <c r="BE156" s="6"/>
      <c r="BF156" s="6"/>
      <c r="BG156" s="6"/>
      <c r="BH156" s="6"/>
      <c r="BI156" s="6"/>
      <c r="BJ156" s="6"/>
      <c r="BK156" s="6"/>
      <c r="BL156" s="6"/>
      <c r="BM156" s="6">
        <v>40589</v>
      </c>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row>
    <row r="157" spans="1:216" x14ac:dyDescent="0.3">
      <c r="A157" s="8" t="str">
        <f>HYPERLINK("https://hpr-rps.hres.ca/reg-content/summary-basis-decision-detailOne.php?lang=en&amp;linkID=SBD00155", "Tygacil TM")</f>
        <v>Tygacil TM</v>
      </c>
      <c r="B157" s="6" t="s">
        <v>472</v>
      </c>
      <c r="C157" s="6" t="s">
        <v>368</v>
      </c>
      <c r="D157" s="6" t="s">
        <v>473</v>
      </c>
      <c r="E157" s="6">
        <v>38259</v>
      </c>
      <c r="F157" s="6"/>
      <c r="G157" s="6"/>
      <c r="H157" s="6">
        <v>38490</v>
      </c>
      <c r="I157" s="6"/>
      <c r="J157" s="6"/>
      <c r="K157" s="6"/>
      <c r="L157" s="6"/>
      <c r="M157" s="6"/>
      <c r="N157" s="6"/>
      <c r="O157" s="6"/>
      <c r="P157" s="6"/>
      <c r="Q157" s="6"/>
      <c r="R157" s="6"/>
      <c r="S157" s="6"/>
      <c r="T157" s="6"/>
      <c r="U157" s="6"/>
      <c r="V157" s="6"/>
      <c r="W157" s="6"/>
      <c r="X157" s="6"/>
      <c r="Y157" s="6"/>
      <c r="Z157" s="6"/>
      <c r="AA157" s="6"/>
      <c r="AB157" s="6"/>
      <c r="AC157" s="6"/>
      <c r="AD157" s="6"/>
      <c r="AE157" s="6"/>
      <c r="AF157" s="6">
        <v>38581</v>
      </c>
      <c r="AG157" s="6"/>
      <c r="AH157" s="6"/>
      <c r="AI157" s="6"/>
      <c r="AJ157" s="6"/>
      <c r="AK157" s="6"/>
      <c r="AL157" s="6"/>
      <c r="AM157" s="6"/>
      <c r="AN157" s="6"/>
      <c r="AO157" s="6"/>
      <c r="AP157" s="6"/>
      <c r="AQ157" s="6"/>
      <c r="AR157" s="6">
        <v>38960</v>
      </c>
      <c r="AS157" s="6"/>
      <c r="AT157" s="6"/>
      <c r="AU157" s="6"/>
      <c r="AV157" s="6">
        <v>38922</v>
      </c>
      <c r="AW157" s="6"/>
      <c r="AX157" s="6"/>
      <c r="AY157" s="6"/>
      <c r="AZ157" s="6">
        <v>38967</v>
      </c>
      <c r="BA157" s="6"/>
      <c r="BB157" s="6"/>
      <c r="BC157" s="6"/>
      <c r="BD157" s="6"/>
      <c r="BE157" s="6"/>
      <c r="BF157" s="6"/>
      <c r="BG157" s="6"/>
      <c r="BH157" s="6"/>
      <c r="BI157" s="6"/>
      <c r="BJ157" s="6"/>
      <c r="BK157" s="6"/>
      <c r="BL157" s="6"/>
      <c r="BM157" s="6">
        <v>38974</v>
      </c>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c r="FZ157" s="6"/>
      <c r="GA157" s="6"/>
      <c r="GB157" s="6"/>
      <c r="GC157" s="6"/>
      <c r="GD157" s="6"/>
      <c r="GE157" s="6"/>
      <c r="GF157" s="6"/>
      <c r="GG157" s="6"/>
      <c r="GH157" s="6"/>
      <c r="GI157" s="6"/>
      <c r="GJ157" s="6"/>
      <c r="GK157" s="6"/>
      <c r="GL157" s="6"/>
      <c r="GM157" s="6"/>
      <c r="GN157" s="6"/>
      <c r="GO157" s="6"/>
      <c r="GP157" s="6"/>
      <c r="GQ157" s="6"/>
      <c r="GR157" s="6"/>
      <c r="GS157" s="6"/>
      <c r="GT157" s="6"/>
      <c r="GU157" s="6"/>
      <c r="GV157" s="6"/>
      <c r="GW157" s="6"/>
      <c r="GX157" s="6"/>
      <c r="GY157" s="6"/>
      <c r="GZ157" s="6"/>
      <c r="HA157" s="6"/>
      <c r="HB157" s="6"/>
      <c r="HC157" s="6"/>
      <c r="HD157" s="6"/>
      <c r="HE157" s="6"/>
      <c r="HF157" s="6"/>
      <c r="HG157" s="6"/>
      <c r="HH157" s="6"/>
    </row>
    <row r="158" spans="1:216" x14ac:dyDescent="0.3">
      <c r="A158" s="8" t="str">
        <f>HYPERLINK("https://hpr-rps.hres.ca/reg-content/summary-basis-decision-detailOne.php?lang=en&amp;linkID=SBD00156", "Tykerb TM")</f>
        <v>Tykerb TM</v>
      </c>
      <c r="B158" s="6" t="s">
        <v>474</v>
      </c>
      <c r="C158" s="6" t="s">
        <v>96</v>
      </c>
      <c r="D158" s="6" t="s">
        <v>475</v>
      </c>
      <c r="E158" s="6">
        <v>39420</v>
      </c>
      <c r="F158" s="6"/>
      <c r="G158" s="6"/>
      <c r="H158" s="6">
        <v>39055</v>
      </c>
      <c r="I158" s="6"/>
      <c r="J158" s="6"/>
      <c r="K158" s="6"/>
      <c r="L158" s="6"/>
      <c r="M158" s="6"/>
      <c r="N158" s="6"/>
      <c r="O158" s="6"/>
      <c r="P158" s="6"/>
      <c r="Q158" s="6"/>
      <c r="R158" s="6"/>
      <c r="S158" s="6"/>
      <c r="T158" s="6"/>
      <c r="U158" s="6"/>
      <c r="V158" s="6"/>
      <c r="W158" s="6"/>
      <c r="X158" s="6"/>
      <c r="Y158" s="6"/>
      <c r="Z158" s="6">
        <v>39097</v>
      </c>
      <c r="AA158" s="6"/>
      <c r="AB158" s="6"/>
      <c r="AC158" s="6">
        <v>39100</v>
      </c>
      <c r="AD158" s="6"/>
      <c r="AE158" s="6"/>
      <c r="AF158" s="6">
        <v>39129</v>
      </c>
      <c r="AG158" s="6"/>
      <c r="AH158" s="6"/>
      <c r="AI158" s="6"/>
      <c r="AJ158" s="6"/>
      <c r="AK158" s="6"/>
      <c r="AL158" s="6"/>
      <c r="AM158" s="6"/>
      <c r="AN158" s="6"/>
      <c r="AO158" s="6"/>
      <c r="AP158" s="6"/>
      <c r="AQ158" s="6"/>
      <c r="AR158" s="6"/>
      <c r="AS158" s="6">
        <v>39407</v>
      </c>
      <c r="AT158" s="6"/>
      <c r="AU158" s="6"/>
      <c r="AV158" s="6">
        <v>39408</v>
      </c>
      <c r="AW158" s="6"/>
      <c r="AX158" s="6"/>
      <c r="AY158" s="6"/>
      <c r="AZ158" s="6">
        <v>39429</v>
      </c>
      <c r="BA158" s="6"/>
      <c r="BB158" s="6"/>
      <c r="BC158" s="6"/>
      <c r="BD158" s="6"/>
      <c r="BE158" s="6"/>
      <c r="BF158" s="6"/>
      <c r="BG158" s="6"/>
      <c r="BH158" s="6"/>
      <c r="BI158" s="6"/>
      <c r="BJ158" s="6"/>
      <c r="BK158" s="6"/>
      <c r="BL158" s="6"/>
      <c r="BM158" s="6"/>
      <c r="BN158" s="6"/>
      <c r="BO158" s="6"/>
      <c r="BP158" s="6"/>
      <c r="BQ158" s="6"/>
      <c r="BR158" s="6"/>
      <c r="BS158" s="6"/>
      <c r="BT158" s="6">
        <v>39429</v>
      </c>
      <c r="BU158" s="6"/>
      <c r="BV158" s="6"/>
      <c r="BW158" s="6"/>
      <c r="BX158" s="6"/>
      <c r="BY158" s="6">
        <v>39518</v>
      </c>
      <c r="BZ158" s="6"/>
      <c r="CA158" s="6"/>
      <c r="CB158" s="6"/>
      <c r="CC158" s="6"/>
      <c r="CD158" s="6"/>
      <c r="CE158" s="6"/>
      <c r="CF158" s="6"/>
      <c r="CG158" s="6"/>
      <c r="CH158" s="6"/>
      <c r="CI158" s="6"/>
      <c r="CJ158" s="6"/>
      <c r="CK158" s="6"/>
      <c r="CL158" s="6"/>
      <c r="CM158" s="6"/>
      <c r="CN158" s="6"/>
      <c r="CO158" s="6"/>
      <c r="CP158" s="6"/>
      <c r="CQ158" s="6"/>
      <c r="CR158" s="6">
        <v>39562</v>
      </c>
      <c r="CS158" s="6"/>
      <c r="CT158" s="6"/>
      <c r="CU158" s="6"/>
      <c r="CV158" s="6"/>
      <c r="CW158" s="6"/>
      <c r="CX158" s="6"/>
      <c r="CY158" s="6"/>
      <c r="CZ158" s="6"/>
      <c r="DA158" s="6"/>
      <c r="DB158" s="6"/>
      <c r="DC158" s="6"/>
      <c r="DD158" s="6">
        <v>39927</v>
      </c>
      <c r="DE158" s="6"/>
      <c r="DF158" s="6"/>
      <c r="DG158" s="6"/>
      <c r="DH158" s="6">
        <v>39702</v>
      </c>
      <c r="DI158" s="6"/>
      <c r="DJ158" s="6">
        <v>39710</v>
      </c>
      <c r="DK158" s="6"/>
      <c r="DL158" s="6">
        <v>39945</v>
      </c>
      <c r="DM158" s="6"/>
      <c r="DN158" s="6"/>
      <c r="DO158" s="6"/>
      <c r="DP158" s="6"/>
      <c r="DQ158" s="6"/>
      <c r="DR158" s="6"/>
      <c r="DS158" s="6"/>
      <c r="DT158" s="6"/>
      <c r="DU158" s="6"/>
      <c r="DV158" s="6"/>
      <c r="DW158" s="6"/>
      <c r="DX158" s="6"/>
      <c r="DY158" s="6"/>
      <c r="DZ158" s="6"/>
      <c r="EA158" s="6"/>
      <c r="EB158" s="6"/>
      <c r="EC158" s="6"/>
      <c r="ED158" s="6"/>
      <c r="EE158" s="6">
        <v>39710</v>
      </c>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c r="FZ158" s="6"/>
      <c r="GA158" s="6"/>
      <c r="GB158" s="6"/>
      <c r="GC158" s="6"/>
      <c r="GD158" s="6"/>
      <c r="GE158" s="6"/>
      <c r="GF158" s="6"/>
      <c r="GG158" s="6"/>
      <c r="GH158" s="6"/>
      <c r="GI158" s="6"/>
      <c r="GJ158" s="6"/>
      <c r="GK158" s="6"/>
      <c r="GL158" s="6"/>
      <c r="GM158" s="6"/>
      <c r="GN158" s="6"/>
      <c r="GO158" s="6"/>
      <c r="GP158" s="6"/>
      <c r="GQ158" s="6"/>
      <c r="GR158" s="6"/>
      <c r="GS158" s="6"/>
      <c r="GT158" s="6"/>
      <c r="GU158" s="6"/>
      <c r="GV158" s="6"/>
      <c r="GW158" s="6"/>
      <c r="GX158" s="6"/>
      <c r="GY158" s="6"/>
      <c r="GZ158" s="6"/>
      <c r="HA158" s="6"/>
      <c r="HB158" s="6"/>
      <c r="HC158" s="6"/>
      <c r="HD158" s="6"/>
      <c r="HE158" s="6"/>
      <c r="HF158" s="6"/>
      <c r="HG158" s="6"/>
      <c r="HH158" s="6"/>
    </row>
    <row r="159" spans="1:216" x14ac:dyDescent="0.3">
      <c r="A159" s="8" t="str">
        <f>HYPERLINK("https://hpr-rps.hres.ca/reg-content/summary-basis-decision-detailOne.php?lang=en&amp;linkID=SBD00157", "Tysabri TM")</f>
        <v>Tysabri TM</v>
      </c>
      <c r="B159" s="6" t="s">
        <v>476</v>
      </c>
      <c r="C159" s="6" t="s">
        <v>238</v>
      </c>
      <c r="D159" s="6" t="s">
        <v>477</v>
      </c>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row>
    <row r="160" spans="1:216" x14ac:dyDescent="0.3">
      <c r="A160" s="8" t="str">
        <f>HYPERLINK("https://hpr-rps.hres.ca/reg-content/summary-basis-decision-detailOne.php?lang=en&amp;linkID=SBD00158", "Uloric TM")</f>
        <v>Uloric TM</v>
      </c>
      <c r="B160" s="6" t="s">
        <v>478</v>
      </c>
      <c r="C160" s="6" t="s">
        <v>188</v>
      </c>
      <c r="D160" s="6" t="s">
        <v>479</v>
      </c>
      <c r="E160" s="6">
        <v>39954</v>
      </c>
      <c r="F160" s="6"/>
      <c r="G160" s="6"/>
      <c r="H160" s="6"/>
      <c r="I160" s="6"/>
      <c r="J160" s="6"/>
      <c r="K160" s="6"/>
      <c r="L160" s="6"/>
      <c r="M160" s="6"/>
      <c r="N160" s="6"/>
      <c r="O160" s="6"/>
      <c r="P160" s="6"/>
      <c r="Q160" s="6"/>
      <c r="R160" s="6"/>
      <c r="S160" s="6"/>
      <c r="T160" s="6"/>
      <c r="U160" s="6"/>
      <c r="V160" s="6"/>
      <c r="W160" s="6"/>
      <c r="X160" s="6"/>
      <c r="Y160" s="6"/>
      <c r="Z160" s="6">
        <v>40092</v>
      </c>
      <c r="AA160" s="6"/>
      <c r="AB160" s="6"/>
      <c r="AC160" s="6">
        <v>40100</v>
      </c>
      <c r="AD160" s="6"/>
      <c r="AE160" s="6"/>
      <c r="AF160" s="6">
        <v>40143</v>
      </c>
      <c r="AG160" s="6"/>
      <c r="AH160" s="6"/>
      <c r="AI160" s="6"/>
      <c r="AJ160" s="6"/>
      <c r="AK160" s="6"/>
      <c r="AL160" s="6"/>
      <c r="AM160" s="6"/>
      <c r="AN160" s="6"/>
      <c r="AO160" s="6"/>
      <c r="AP160" s="6"/>
      <c r="AQ160" s="6"/>
      <c r="AR160" s="6">
        <v>40436</v>
      </c>
      <c r="AS160" s="6"/>
      <c r="AT160" s="6"/>
      <c r="AU160" s="6"/>
      <c r="AV160" s="6">
        <v>40441</v>
      </c>
      <c r="AW160" s="6"/>
      <c r="AX160" s="6">
        <v>40389</v>
      </c>
      <c r="AY160" s="6"/>
      <c r="AZ160" s="6">
        <v>40442</v>
      </c>
      <c r="BA160" s="6"/>
      <c r="BB160" s="6"/>
      <c r="BC160" s="6"/>
      <c r="BD160" s="6"/>
      <c r="BE160" s="6"/>
      <c r="BF160" s="6"/>
      <c r="BG160" s="6"/>
      <c r="BH160" s="6"/>
      <c r="BI160" s="6"/>
      <c r="BJ160" s="6"/>
      <c r="BK160" s="6"/>
      <c r="BL160" s="6"/>
      <c r="BM160" s="6">
        <v>40443</v>
      </c>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c r="FZ160" s="6"/>
      <c r="GA160" s="6"/>
      <c r="GB160" s="6"/>
      <c r="GC160" s="6"/>
      <c r="GD160" s="6"/>
      <c r="GE160" s="6"/>
      <c r="GF160" s="6"/>
      <c r="GG160" s="6"/>
      <c r="GH160" s="6"/>
      <c r="GI160" s="6"/>
      <c r="GJ160" s="6"/>
      <c r="GK160" s="6"/>
      <c r="GL160" s="6"/>
      <c r="GM160" s="6"/>
      <c r="GN160" s="6"/>
      <c r="GO160" s="6"/>
      <c r="GP160" s="6"/>
      <c r="GQ160" s="6"/>
      <c r="GR160" s="6"/>
      <c r="GS160" s="6"/>
      <c r="GT160" s="6"/>
      <c r="GU160" s="6"/>
      <c r="GV160" s="6"/>
      <c r="GW160" s="6"/>
      <c r="GX160" s="6"/>
      <c r="GY160" s="6"/>
      <c r="GZ160" s="6"/>
      <c r="HA160" s="6"/>
      <c r="HB160" s="6"/>
      <c r="HC160" s="6"/>
      <c r="HD160" s="6"/>
      <c r="HE160" s="6"/>
      <c r="HF160" s="6"/>
      <c r="HG160" s="6"/>
      <c r="HH160" s="6"/>
    </row>
    <row r="161" spans="1:216" x14ac:dyDescent="0.3">
      <c r="A161" s="8" t="str">
        <f>HYPERLINK("https://hpr-rps.hres.ca/reg-content/summary-basis-decision-detailOne.php?lang=en&amp;linkID=SBD00159", "Vantas ®")</f>
        <v>Vantas ®</v>
      </c>
      <c r="B161" s="6" t="s">
        <v>480</v>
      </c>
      <c r="C161" s="6" t="s">
        <v>481</v>
      </c>
      <c r="D161" s="6" t="s">
        <v>482</v>
      </c>
      <c r="E161" s="6">
        <v>37749</v>
      </c>
      <c r="F161" s="6"/>
      <c r="G161" s="6"/>
      <c r="H161" s="6"/>
      <c r="I161" s="6"/>
      <c r="J161" s="6"/>
      <c r="K161" s="6"/>
      <c r="L161" s="6"/>
      <c r="M161" s="6"/>
      <c r="N161" s="6">
        <v>38057</v>
      </c>
      <c r="O161" s="6"/>
      <c r="P161" s="6"/>
      <c r="Q161" s="6"/>
      <c r="R161" s="6"/>
      <c r="S161" s="6"/>
      <c r="T161" s="6">
        <v>38076</v>
      </c>
      <c r="U161" s="6"/>
      <c r="V161" s="6">
        <v>38170</v>
      </c>
      <c r="W161" s="6"/>
      <c r="X161" s="6"/>
      <c r="Y161" s="6"/>
      <c r="Z161" s="6"/>
      <c r="AA161" s="6"/>
      <c r="AB161" s="6"/>
      <c r="AC161" s="6"/>
      <c r="AD161" s="6"/>
      <c r="AE161" s="6"/>
      <c r="AF161" s="6">
        <v>38219</v>
      </c>
      <c r="AG161" s="6"/>
      <c r="AH161" s="6"/>
      <c r="AI161" s="6"/>
      <c r="AJ161" s="6"/>
      <c r="AK161" s="6"/>
      <c r="AL161" s="6"/>
      <c r="AM161" s="6"/>
      <c r="AN161" s="6"/>
      <c r="AO161" s="6"/>
      <c r="AP161" s="6"/>
      <c r="AQ161" s="6"/>
      <c r="AR161" s="6"/>
      <c r="AS161" s="6"/>
      <c r="AT161" s="6"/>
      <c r="AU161" s="6">
        <v>38411</v>
      </c>
      <c r="AV161" s="6">
        <v>38512</v>
      </c>
      <c r="AW161" s="6"/>
      <c r="AX161" s="6"/>
      <c r="AY161" s="6"/>
      <c r="AZ161" s="6">
        <v>38485</v>
      </c>
      <c r="BA161" s="6"/>
      <c r="BB161" s="6"/>
      <c r="BC161" s="6"/>
      <c r="BD161" s="6"/>
      <c r="BE161" s="6"/>
      <c r="BF161" s="6"/>
      <c r="BG161" s="6"/>
      <c r="BH161" s="6"/>
      <c r="BI161" s="6"/>
      <c r="BJ161" s="6"/>
      <c r="BK161" s="6"/>
      <c r="BL161" s="6"/>
      <c r="BM161" s="6"/>
      <c r="BN161" s="6"/>
      <c r="BO161" s="6"/>
      <c r="BP161" s="6"/>
      <c r="BQ161" s="6"/>
      <c r="BR161" s="6"/>
      <c r="BS161" s="6"/>
      <c r="BT161" s="6">
        <v>38518</v>
      </c>
      <c r="BU161" s="6"/>
      <c r="BV161" s="6"/>
      <c r="BW161" s="6"/>
      <c r="BX161" s="6"/>
      <c r="BY161" s="6">
        <v>38590</v>
      </c>
      <c r="BZ161" s="6"/>
      <c r="CA161" s="6"/>
      <c r="CB161" s="6"/>
      <c r="CC161" s="6"/>
      <c r="CD161" s="6"/>
      <c r="CE161" s="6"/>
      <c r="CF161" s="6"/>
      <c r="CG161" s="6"/>
      <c r="CH161" s="6"/>
      <c r="CI161" s="6"/>
      <c r="CJ161" s="6"/>
      <c r="CK161" s="6"/>
      <c r="CL161" s="6"/>
      <c r="CM161" s="6"/>
      <c r="CN161" s="6"/>
      <c r="CO161" s="6"/>
      <c r="CP161" s="6"/>
      <c r="CQ161" s="6"/>
      <c r="CR161" s="6">
        <v>38636</v>
      </c>
      <c r="CS161" s="6"/>
      <c r="CT161" s="6"/>
      <c r="CU161" s="6"/>
      <c r="CV161" s="6"/>
      <c r="CW161" s="6"/>
      <c r="CX161" s="6"/>
      <c r="CY161" s="6"/>
      <c r="CZ161" s="6"/>
      <c r="DA161" s="6"/>
      <c r="DB161" s="6"/>
      <c r="DC161" s="6"/>
      <c r="DD161" s="6">
        <v>38785</v>
      </c>
      <c r="DE161" s="6"/>
      <c r="DF161" s="6"/>
      <c r="DG161" s="6"/>
      <c r="DH161" s="6">
        <v>38785</v>
      </c>
      <c r="DI161" s="6"/>
      <c r="DJ161" s="6"/>
      <c r="DK161" s="6"/>
      <c r="DL161" s="6"/>
      <c r="DM161" s="6"/>
      <c r="DN161" s="6"/>
      <c r="DO161" s="6"/>
      <c r="DP161" s="6"/>
      <c r="DQ161" s="6"/>
      <c r="DR161" s="6"/>
      <c r="DS161" s="6"/>
      <c r="DT161" s="6"/>
      <c r="DU161" s="6"/>
      <c r="DV161" s="6"/>
      <c r="DW161" s="6"/>
      <c r="DX161" s="6"/>
      <c r="DY161" s="6">
        <v>38786</v>
      </c>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c r="FZ161" s="6"/>
      <c r="GA161" s="6"/>
      <c r="GB161" s="6"/>
      <c r="GC161" s="6"/>
      <c r="GD161" s="6"/>
      <c r="GE161" s="6"/>
      <c r="GF161" s="6"/>
      <c r="GG161" s="6"/>
      <c r="GH161" s="6"/>
      <c r="GI161" s="6"/>
      <c r="GJ161" s="6"/>
      <c r="GK161" s="6"/>
      <c r="GL161" s="6"/>
      <c r="GM161" s="6"/>
      <c r="GN161" s="6"/>
      <c r="GO161" s="6"/>
      <c r="GP161" s="6"/>
      <c r="GQ161" s="6"/>
      <c r="GR161" s="6"/>
      <c r="GS161" s="6"/>
      <c r="GT161" s="6"/>
      <c r="GU161" s="6"/>
      <c r="GV161" s="6"/>
      <c r="GW161" s="6"/>
      <c r="GX161" s="6"/>
      <c r="GY161" s="6"/>
      <c r="GZ161" s="6"/>
      <c r="HA161" s="6"/>
      <c r="HB161" s="6"/>
      <c r="HC161" s="6"/>
      <c r="HD161" s="6"/>
      <c r="HE161" s="6"/>
      <c r="HF161" s="6"/>
      <c r="HG161" s="6"/>
      <c r="HH161" s="6"/>
    </row>
    <row r="162" spans="1:216" x14ac:dyDescent="0.3">
      <c r="A162" s="8" t="str">
        <f>HYPERLINK("https://hpr-rps.hres.ca/reg-content/summary-basis-decision-detailOne.php?lang=en&amp;linkID=SBD00160", "Vasovist TM")</f>
        <v>Vasovist TM</v>
      </c>
      <c r="B162" s="6" t="s">
        <v>483</v>
      </c>
      <c r="C162" s="6" t="s">
        <v>484</v>
      </c>
      <c r="D162" s="6" t="s">
        <v>485</v>
      </c>
      <c r="E162" s="6"/>
      <c r="F162" s="6"/>
      <c r="G162" s="6"/>
      <c r="H162" s="6">
        <v>38343</v>
      </c>
      <c r="I162" s="6"/>
      <c r="J162" s="6"/>
      <c r="K162" s="6"/>
      <c r="L162" s="6"/>
      <c r="M162" s="6"/>
      <c r="N162" s="6"/>
      <c r="O162" s="6"/>
      <c r="P162" s="6"/>
      <c r="Q162" s="6"/>
      <c r="R162" s="6"/>
      <c r="S162" s="6"/>
      <c r="T162" s="6"/>
      <c r="U162" s="6"/>
      <c r="V162" s="6"/>
      <c r="W162" s="6"/>
      <c r="X162" s="6"/>
      <c r="Y162" s="6"/>
      <c r="Z162" s="6"/>
      <c r="AA162" s="6"/>
      <c r="AB162" s="6"/>
      <c r="AC162" s="6"/>
      <c r="AD162" s="6"/>
      <c r="AE162" s="6"/>
      <c r="AF162" s="6">
        <v>38442</v>
      </c>
      <c r="AG162" s="6"/>
      <c r="AH162" s="6"/>
      <c r="AI162" s="6"/>
      <c r="AJ162" s="6"/>
      <c r="AK162" s="6"/>
      <c r="AL162" s="6"/>
      <c r="AM162" s="6"/>
      <c r="AN162" s="6"/>
      <c r="AO162" s="6"/>
      <c r="AP162" s="6"/>
      <c r="AQ162" s="6"/>
      <c r="AR162" s="6"/>
      <c r="AS162" s="6"/>
      <c r="AT162" s="6"/>
      <c r="AU162" s="6"/>
      <c r="AV162" s="6">
        <v>38728</v>
      </c>
      <c r="AW162" s="6"/>
      <c r="AX162" s="6">
        <v>38740</v>
      </c>
      <c r="AY162" s="6"/>
      <c r="AZ162" s="6">
        <v>38740</v>
      </c>
      <c r="BA162" s="6"/>
      <c r="BB162" s="6"/>
      <c r="BC162" s="6"/>
      <c r="BD162" s="6"/>
      <c r="BE162" s="6">
        <v>38741</v>
      </c>
      <c r="BF162" s="6"/>
      <c r="BG162" s="6"/>
      <c r="BH162" s="6"/>
      <c r="BI162" s="6"/>
      <c r="BJ162" s="6"/>
      <c r="BK162" s="6"/>
      <c r="BL162" s="6"/>
      <c r="BM162" s="6"/>
      <c r="BN162" s="6"/>
      <c r="BO162" s="6"/>
      <c r="BP162" s="6"/>
      <c r="BQ162" s="6"/>
      <c r="BR162" s="6"/>
      <c r="BS162" s="6"/>
      <c r="BT162" s="6"/>
      <c r="BU162" s="6"/>
      <c r="BV162" s="6"/>
      <c r="BW162" s="6"/>
      <c r="BX162" s="6"/>
      <c r="BY162" s="6">
        <v>38841</v>
      </c>
      <c r="BZ162" s="6"/>
      <c r="CA162" s="6"/>
      <c r="CB162" s="6"/>
      <c r="CC162" s="6"/>
      <c r="CD162" s="6"/>
      <c r="CE162" s="6"/>
      <c r="CF162" s="6"/>
      <c r="CG162" s="6"/>
      <c r="CH162" s="6"/>
      <c r="CI162" s="6"/>
      <c r="CJ162" s="6"/>
      <c r="CK162" s="6"/>
      <c r="CL162" s="6"/>
      <c r="CM162" s="6"/>
      <c r="CN162" s="6"/>
      <c r="CO162" s="6">
        <v>38841</v>
      </c>
      <c r="CP162" s="6"/>
      <c r="CQ162" s="6"/>
      <c r="CR162" s="6">
        <v>38883</v>
      </c>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v>39021</v>
      </c>
      <c r="DY162" s="6">
        <v>39020</v>
      </c>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row>
    <row r="163" spans="1:216" x14ac:dyDescent="0.3">
      <c r="A163" s="8" t="str">
        <f>HYPERLINK("https://hpr-rps.hres.ca/reg-content/summary-basis-decision-detailOne.php?lang=en&amp;linkID=SBD00161", "Vectibix TM")</f>
        <v>Vectibix TM</v>
      </c>
      <c r="B163" s="6" t="s">
        <v>486</v>
      </c>
      <c r="C163" s="6" t="s">
        <v>289</v>
      </c>
      <c r="D163" s="6" t="s">
        <v>487</v>
      </c>
      <c r="E163" s="6"/>
      <c r="F163" s="6"/>
      <c r="G163" s="6"/>
      <c r="H163" s="6">
        <v>38839</v>
      </c>
      <c r="I163" s="6"/>
      <c r="J163" s="6"/>
      <c r="K163" s="6"/>
      <c r="L163" s="6"/>
      <c r="M163" s="6"/>
      <c r="N163" s="6"/>
      <c r="O163" s="6"/>
      <c r="P163" s="6"/>
      <c r="Q163" s="6"/>
      <c r="R163" s="6"/>
      <c r="S163" s="6"/>
      <c r="T163" s="6"/>
      <c r="U163" s="6"/>
      <c r="V163" s="6"/>
      <c r="W163" s="6"/>
      <c r="X163" s="6">
        <v>39125</v>
      </c>
      <c r="Y163" s="6"/>
      <c r="Z163" s="6"/>
      <c r="AA163" s="6"/>
      <c r="AB163" s="6"/>
      <c r="AC163" s="6"/>
      <c r="AD163" s="6"/>
      <c r="AE163" s="6">
        <v>39184</v>
      </c>
      <c r="AF163" s="6"/>
      <c r="AG163" s="6"/>
      <c r="AH163" s="6"/>
      <c r="AI163" s="6">
        <v>39097</v>
      </c>
      <c r="AJ163" s="6"/>
      <c r="AK163" s="6"/>
      <c r="AL163" s="6"/>
      <c r="AM163" s="6"/>
      <c r="AN163" s="6"/>
      <c r="AO163" s="6"/>
      <c r="AP163" s="6"/>
      <c r="AQ163" s="6"/>
      <c r="AR163" s="6"/>
      <c r="AS163" s="6"/>
      <c r="AT163" s="6"/>
      <c r="AU163" s="6"/>
      <c r="AV163" s="6"/>
      <c r="AW163" s="6"/>
      <c r="AX163" s="6"/>
      <c r="AY163" s="6"/>
      <c r="AZ163" s="6"/>
      <c r="BA163" s="6"/>
      <c r="BB163" s="6"/>
      <c r="BC163" s="6">
        <v>39184</v>
      </c>
      <c r="BD163" s="6"/>
      <c r="BE163" s="6"/>
      <c r="BF163" s="6"/>
      <c r="BG163" s="6"/>
      <c r="BH163" s="6">
        <v>39308</v>
      </c>
      <c r="BI163" s="6"/>
      <c r="BJ163" s="6"/>
      <c r="BK163" s="6"/>
      <c r="BL163" s="6"/>
      <c r="BM163" s="6"/>
      <c r="BN163" s="6"/>
      <c r="BO163" s="6"/>
      <c r="BP163" s="6"/>
      <c r="BQ163" s="6"/>
      <c r="BR163" s="6"/>
      <c r="BS163" s="6"/>
      <c r="BT163" s="6"/>
      <c r="BU163" s="6"/>
      <c r="BV163" s="6"/>
      <c r="BW163" s="6"/>
      <c r="BX163" s="6"/>
      <c r="BY163" s="6"/>
      <c r="BZ163" s="6"/>
      <c r="CA163" s="6">
        <v>39352</v>
      </c>
      <c r="CB163" s="6"/>
      <c r="CC163" s="6"/>
      <c r="CD163" s="6"/>
      <c r="CE163" s="6"/>
      <c r="CF163" s="6"/>
      <c r="CG163" s="6"/>
      <c r="CH163" s="6"/>
      <c r="CI163" s="6"/>
      <c r="CJ163" s="6"/>
      <c r="CK163" s="6"/>
      <c r="CL163" s="6"/>
      <c r="CM163" s="6">
        <v>39499</v>
      </c>
      <c r="CN163" s="6"/>
      <c r="CO163" s="6"/>
      <c r="CP163" s="6"/>
      <c r="CQ163" s="6">
        <v>39352</v>
      </c>
      <c r="CR163" s="6"/>
      <c r="CS163" s="6"/>
      <c r="CT163" s="6"/>
      <c r="CU163" s="6">
        <v>39499</v>
      </c>
      <c r="CV163" s="6"/>
      <c r="CW163" s="6"/>
      <c r="CX163" s="6"/>
      <c r="CY163" s="6"/>
      <c r="CZ163" s="6"/>
      <c r="DA163" s="6"/>
      <c r="DB163" s="6"/>
      <c r="DC163" s="6"/>
      <c r="DD163" s="6"/>
      <c r="DE163" s="6"/>
      <c r="DF163" s="6">
        <v>39500</v>
      </c>
      <c r="DG163" s="6">
        <v>39511</v>
      </c>
      <c r="DH163" s="6"/>
      <c r="DI163" s="6"/>
      <c r="DJ163" s="6"/>
      <c r="DK163" s="6"/>
      <c r="DL163" s="6"/>
      <c r="DM163" s="6"/>
      <c r="DN163" s="6"/>
      <c r="DO163" s="6"/>
      <c r="DP163" s="6"/>
      <c r="DQ163" s="6"/>
      <c r="DR163" s="6"/>
      <c r="DS163" s="6"/>
      <c r="DT163" s="6">
        <v>39541</v>
      </c>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c r="FZ163" s="6"/>
      <c r="GA163" s="6"/>
      <c r="GB163" s="6"/>
      <c r="GC163" s="6"/>
      <c r="GD163" s="6"/>
      <c r="GE163" s="6"/>
      <c r="GF163" s="6"/>
      <c r="GG163" s="6"/>
      <c r="GH163" s="6"/>
      <c r="GI163" s="6"/>
      <c r="GJ163" s="6"/>
      <c r="GK163" s="6"/>
      <c r="GL163" s="6"/>
      <c r="GM163" s="6"/>
      <c r="GN163" s="6"/>
      <c r="GO163" s="6"/>
      <c r="GP163" s="6"/>
      <c r="GQ163" s="6"/>
      <c r="GR163" s="6"/>
      <c r="GS163" s="6"/>
      <c r="GT163" s="6"/>
      <c r="GU163" s="6"/>
      <c r="GV163" s="6"/>
      <c r="GW163" s="6"/>
      <c r="GX163" s="6"/>
      <c r="GY163" s="6"/>
      <c r="GZ163" s="6"/>
      <c r="HA163" s="6"/>
      <c r="HB163" s="6"/>
      <c r="HC163" s="6"/>
      <c r="HD163" s="6"/>
      <c r="HE163" s="6"/>
      <c r="HF163" s="6"/>
      <c r="HG163" s="6"/>
      <c r="HH163" s="6"/>
    </row>
    <row r="164" spans="1:216" x14ac:dyDescent="0.3">
      <c r="A164" s="8" t="str">
        <f>HYPERLINK("https://hpr-rps.hres.ca/reg-content/summary-basis-decision-detailOne.php?lang=en&amp;linkID=SBD00162", "Xiaflex TM")</f>
        <v>Xiaflex TM</v>
      </c>
      <c r="B164" s="6" t="s">
        <v>488</v>
      </c>
      <c r="C164" s="6" t="s">
        <v>489</v>
      </c>
      <c r="D164" s="6" t="s">
        <v>490</v>
      </c>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c r="FZ164" s="6"/>
      <c r="GA164" s="6"/>
      <c r="GB164" s="6"/>
      <c r="GC164" s="6"/>
      <c r="GD164" s="6"/>
      <c r="GE164" s="6"/>
      <c r="GF164" s="6"/>
      <c r="GG164" s="6"/>
      <c r="GH164" s="6"/>
      <c r="GI164" s="6"/>
      <c r="GJ164" s="6"/>
      <c r="GK164" s="6"/>
      <c r="GL164" s="6"/>
      <c r="GM164" s="6"/>
      <c r="GN164" s="6"/>
      <c r="GO164" s="6"/>
      <c r="GP164" s="6"/>
      <c r="GQ164" s="6"/>
      <c r="GR164" s="6"/>
      <c r="GS164" s="6"/>
      <c r="GT164" s="6"/>
      <c r="GU164" s="6"/>
      <c r="GV164" s="6"/>
      <c r="GW164" s="6"/>
      <c r="GX164" s="6"/>
      <c r="GY164" s="6"/>
      <c r="GZ164" s="6"/>
      <c r="HA164" s="6"/>
      <c r="HB164" s="6"/>
      <c r="HC164" s="6"/>
      <c r="HD164" s="6"/>
      <c r="HE164" s="6"/>
      <c r="HF164" s="6"/>
      <c r="HG164" s="6"/>
      <c r="HH164" s="6"/>
    </row>
    <row r="165" spans="1:216" x14ac:dyDescent="0.3">
      <c r="A165" s="8" t="str">
        <f>HYPERLINK("https://hpr-rps.hres.ca/reg-content/summary-basis-decision-detailOne.php?lang=en&amp;linkID=SBD00165", "Zeldox")</f>
        <v>Zeldox</v>
      </c>
      <c r="B165" s="6" t="s">
        <v>491</v>
      </c>
      <c r="C165" s="6" t="s">
        <v>492</v>
      </c>
      <c r="D165" s="6" t="s">
        <v>493</v>
      </c>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c r="FZ165" s="6"/>
      <c r="GA165" s="6"/>
      <c r="GB165" s="6"/>
      <c r="GC165" s="6"/>
      <c r="GD165" s="6"/>
      <c r="GE165" s="6"/>
      <c r="GF165" s="6"/>
      <c r="GG165" s="6"/>
      <c r="GH165" s="6"/>
      <c r="GI165" s="6"/>
      <c r="GJ165" s="6"/>
      <c r="GK165" s="6"/>
      <c r="GL165" s="6"/>
      <c r="GM165" s="6"/>
      <c r="GN165" s="6"/>
      <c r="GO165" s="6"/>
      <c r="GP165" s="6"/>
      <c r="GQ165" s="6"/>
      <c r="GR165" s="6"/>
      <c r="GS165" s="6"/>
      <c r="GT165" s="6"/>
      <c r="GU165" s="6"/>
      <c r="GV165" s="6"/>
      <c r="GW165" s="6"/>
      <c r="GX165" s="6"/>
      <c r="GY165" s="6"/>
      <c r="GZ165" s="6"/>
      <c r="HA165" s="6"/>
      <c r="HB165" s="6"/>
      <c r="HC165" s="6"/>
      <c r="HD165" s="6"/>
      <c r="HE165" s="6"/>
      <c r="HF165" s="6"/>
      <c r="HG165" s="6"/>
      <c r="HH165" s="6"/>
    </row>
    <row r="166" spans="1:216" x14ac:dyDescent="0.3">
      <c r="A166" s="8" t="str">
        <f>HYPERLINK("https://hpr-rps.hres.ca/reg-content/summary-basis-decision-detailOne.php?lang=en&amp;linkID=SBD00166", "Zemplar")</f>
        <v>Zemplar</v>
      </c>
      <c r="B166" s="6" t="s">
        <v>494</v>
      </c>
      <c r="C166" s="6" t="s">
        <v>495</v>
      </c>
      <c r="D166" s="6" t="s">
        <v>496</v>
      </c>
      <c r="E166" s="6">
        <v>40521</v>
      </c>
      <c r="F166" s="6"/>
      <c r="G166" s="6"/>
      <c r="H166" s="6"/>
      <c r="I166" s="6"/>
      <c r="J166" s="6"/>
      <c r="K166" s="6"/>
      <c r="L166" s="6"/>
      <c r="M166" s="6"/>
      <c r="N166" s="6">
        <v>40494</v>
      </c>
      <c r="O166" s="6"/>
      <c r="P166" s="6"/>
      <c r="Q166" s="6"/>
      <c r="R166" s="6"/>
      <c r="S166" s="6">
        <v>40535</v>
      </c>
      <c r="T166" s="6"/>
      <c r="U166" s="6"/>
      <c r="V166" s="6">
        <v>40535</v>
      </c>
      <c r="W166" s="6"/>
      <c r="X166" s="6"/>
      <c r="Y166" s="6"/>
      <c r="Z166" s="6"/>
      <c r="AA166" s="6"/>
      <c r="AB166" s="6"/>
      <c r="AC166" s="6"/>
      <c r="AD166" s="6"/>
      <c r="AE166" s="6"/>
      <c r="AF166" s="6">
        <v>40571</v>
      </c>
      <c r="AG166" s="6"/>
      <c r="AH166" s="6"/>
      <c r="AI166" s="6"/>
      <c r="AJ166" s="6"/>
      <c r="AK166" s="6"/>
      <c r="AL166" s="6"/>
      <c r="AM166" s="6"/>
      <c r="AN166" s="6"/>
      <c r="AO166" s="6"/>
      <c r="AP166" s="6"/>
      <c r="AQ166" s="6"/>
      <c r="AR166" s="6">
        <v>40750</v>
      </c>
      <c r="AS166" s="6">
        <v>40676</v>
      </c>
      <c r="AT166" s="6"/>
      <c r="AU166" s="6"/>
      <c r="AV166" s="6">
        <v>40749</v>
      </c>
      <c r="AW166" s="6"/>
      <c r="AX166" s="6">
        <v>40714</v>
      </c>
      <c r="AY166" s="6"/>
      <c r="AZ166" s="6">
        <v>40750</v>
      </c>
      <c r="BA166" s="6"/>
      <c r="BB166" s="6"/>
      <c r="BC166" s="6"/>
      <c r="BD166" s="6"/>
      <c r="BE166" s="6"/>
      <c r="BF166" s="6"/>
      <c r="BG166" s="6"/>
      <c r="BH166" s="6"/>
      <c r="BI166" s="6"/>
      <c r="BJ166" s="6"/>
      <c r="BK166" s="6"/>
      <c r="BL166" s="6"/>
      <c r="BM166" s="6">
        <v>40750</v>
      </c>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c r="FZ166" s="6"/>
      <c r="GA166" s="6"/>
      <c r="GB166" s="6"/>
      <c r="GC166" s="6"/>
      <c r="GD166" s="6"/>
      <c r="GE166" s="6"/>
      <c r="GF166" s="6"/>
      <c r="GG166" s="6"/>
      <c r="GH166" s="6"/>
      <c r="GI166" s="6"/>
      <c r="GJ166" s="6"/>
      <c r="GK166" s="6"/>
      <c r="GL166" s="6"/>
      <c r="GM166" s="6"/>
      <c r="GN166" s="6"/>
      <c r="GO166" s="6"/>
      <c r="GP166" s="6"/>
      <c r="GQ166" s="6"/>
      <c r="GR166" s="6"/>
      <c r="GS166" s="6"/>
      <c r="GT166" s="6"/>
      <c r="GU166" s="6"/>
      <c r="GV166" s="6"/>
      <c r="GW166" s="6"/>
      <c r="GX166" s="6"/>
      <c r="GY166" s="6"/>
      <c r="GZ166" s="6"/>
      <c r="HA166" s="6"/>
      <c r="HB166" s="6"/>
      <c r="HC166" s="6"/>
      <c r="HD166" s="6"/>
      <c r="HE166" s="6"/>
      <c r="HF166" s="6"/>
      <c r="HG166" s="6"/>
      <c r="HH166" s="6"/>
    </row>
    <row r="167" spans="1:216" x14ac:dyDescent="0.3">
      <c r="A167" s="8" t="str">
        <f>HYPERLINK("https://hpr-rps.hres.ca/reg-content/summary-basis-decision-detailOne.php?lang=en&amp;linkID=SBD00167", "Zevalin ®")</f>
        <v>Zevalin ®</v>
      </c>
      <c r="B167" s="6" t="s">
        <v>497</v>
      </c>
      <c r="C167" s="6" t="s">
        <v>244</v>
      </c>
      <c r="D167" s="6" t="s">
        <v>498</v>
      </c>
      <c r="E167" s="6">
        <v>40941</v>
      </c>
      <c r="F167" s="6"/>
      <c r="G167" s="6">
        <v>41004</v>
      </c>
      <c r="H167" s="6">
        <v>41010</v>
      </c>
      <c r="I167" s="6"/>
      <c r="J167" s="6"/>
      <c r="K167" s="6"/>
      <c r="L167" s="6"/>
      <c r="M167" s="6"/>
      <c r="N167" s="6"/>
      <c r="O167" s="6"/>
      <c r="P167" s="6"/>
      <c r="Q167" s="6"/>
      <c r="R167" s="6"/>
      <c r="S167" s="6"/>
      <c r="T167" s="6"/>
      <c r="U167" s="6"/>
      <c r="V167" s="6"/>
      <c r="W167" s="6"/>
      <c r="X167" s="6"/>
      <c r="Y167" s="6"/>
      <c r="Z167" s="6"/>
      <c r="AA167" s="6"/>
      <c r="AB167" s="6"/>
      <c r="AC167" s="6"/>
      <c r="AD167" s="6"/>
      <c r="AE167" s="6"/>
      <c r="AF167" s="6">
        <v>41051</v>
      </c>
      <c r="AG167" s="6"/>
      <c r="AH167" s="6"/>
      <c r="AI167" s="6"/>
      <c r="AJ167" s="6"/>
      <c r="AK167" s="6"/>
      <c r="AL167" s="6"/>
      <c r="AM167" s="6"/>
      <c r="AN167" s="6"/>
      <c r="AO167" s="6"/>
      <c r="AP167" s="6"/>
      <c r="AQ167" s="6"/>
      <c r="AR167" s="6">
        <v>41247</v>
      </c>
      <c r="AS167" s="6"/>
      <c r="AT167" s="6"/>
      <c r="AU167" s="6"/>
      <c r="AV167" s="6">
        <v>41250</v>
      </c>
      <c r="AW167" s="6"/>
      <c r="AX167" s="6">
        <v>41250</v>
      </c>
      <c r="AY167" s="6"/>
      <c r="AZ167" s="6">
        <v>41250</v>
      </c>
      <c r="BA167" s="6"/>
      <c r="BB167" s="6"/>
      <c r="BC167" s="6"/>
      <c r="BD167" s="6"/>
      <c r="BE167" s="6"/>
      <c r="BF167" s="6"/>
      <c r="BG167" s="6"/>
      <c r="BH167" s="6"/>
      <c r="BI167" s="6"/>
      <c r="BJ167" s="6"/>
      <c r="BK167" s="6"/>
      <c r="BL167" s="6">
        <v>41250</v>
      </c>
      <c r="BM167" s="6">
        <v>41306</v>
      </c>
      <c r="BN167" s="6"/>
      <c r="BO167" s="6"/>
      <c r="BP167" s="6"/>
      <c r="BQ167" s="6"/>
      <c r="BR167" s="6"/>
      <c r="BS167" s="6"/>
      <c r="BT167" s="6"/>
      <c r="BU167" s="6"/>
      <c r="BV167" s="6"/>
      <c r="BW167" s="6"/>
      <c r="BX167" s="6"/>
      <c r="BY167" s="6">
        <v>41267</v>
      </c>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c r="FZ167" s="6"/>
      <c r="GA167" s="6"/>
      <c r="GB167" s="6"/>
      <c r="GC167" s="6"/>
      <c r="GD167" s="6"/>
      <c r="GE167" s="6"/>
      <c r="GF167" s="6"/>
      <c r="GG167" s="6"/>
      <c r="GH167" s="6"/>
      <c r="GI167" s="6"/>
      <c r="GJ167" s="6"/>
      <c r="GK167" s="6"/>
      <c r="GL167" s="6"/>
      <c r="GM167" s="6"/>
      <c r="GN167" s="6"/>
      <c r="GO167" s="6"/>
      <c r="GP167" s="6"/>
      <c r="GQ167" s="6"/>
      <c r="GR167" s="6"/>
      <c r="GS167" s="6"/>
      <c r="GT167" s="6"/>
      <c r="GU167" s="6"/>
      <c r="GV167" s="6"/>
      <c r="GW167" s="6"/>
      <c r="GX167" s="6"/>
      <c r="GY167" s="6"/>
      <c r="GZ167" s="6"/>
      <c r="HA167" s="6"/>
      <c r="HB167" s="6"/>
      <c r="HC167" s="6"/>
      <c r="HD167" s="6"/>
      <c r="HE167" s="6"/>
      <c r="HF167" s="6"/>
      <c r="HG167" s="6"/>
      <c r="HH167" s="6"/>
    </row>
    <row r="168" spans="1:216" x14ac:dyDescent="0.3">
      <c r="A168" s="8" t="str">
        <f>HYPERLINK("https://hpr-rps.hres.ca/reg-content/summary-basis-decision-detailOne.php?lang=en&amp;linkID=SBD00168", "Zolinza TM")</f>
        <v>Zolinza TM</v>
      </c>
      <c r="B168" s="6" t="s">
        <v>499</v>
      </c>
      <c r="C168" s="6" t="s">
        <v>212</v>
      </c>
      <c r="D168" s="6" t="s">
        <v>500</v>
      </c>
      <c r="E168" s="6"/>
      <c r="F168" s="6"/>
      <c r="G168" s="6"/>
      <c r="H168" s="6">
        <v>125310</v>
      </c>
      <c r="I168" s="6"/>
      <c r="J168" s="6"/>
      <c r="K168" s="6"/>
      <c r="L168" s="6"/>
      <c r="M168" s="6"/>
      <c r="N168" s="6"/>
      <c r="O168" s="6"/>
      <c r="P168" s="6"/>
      <c r="Q168" s="6"/>
      <c r="R168" s="6"/>
      <c r="S168" s="6"/>
      <c r="T168" s="6"/>
      <c r="U168" s="6"/>
      <c r="V168" s="6"/>
      <c r="W168" s="6"/>
      <c r="X168" s="6"/>
      <c r="Y168" s="6"/>
      <c r="Z168" s="6"/>
      <c r="AA168" s="6"/>
      <c r="AB168" s="6"/>
      <c r="AC168" s="6"/>
      <c r="AD168" s="6"/>
      <c r="AE168" s="6"/>
      <c r="AF168" s="6">
        <v>125740</v>
      </c>
      <c r="AG168" s="6"/>
      <c r="AH168" s="6"/>
      <c r="AI168" s="6"/>
      <c r="AJ168" s="6"/>
      <c r="AK168" s="6"/>
      <c r="AL168" s="6"/>
      <c r="AM168" s="6"/>
      <c r="AN168" s="6"/>
      <c r="AO168" s="6"/>
      <c r="AP168" s="6"/>
      <c r="AQ168" s="6"/>
      <c r="AR168" s="6"/>
      <c r="AS168" s="6"/>
      <c r="AT168" s="6"/>
      <c r="AU168" s="6"/>
      <c r="AV168" s="6"/>
      <c r="AW168" s="6"/>
      <c r="AX168" s="6"/>
      <c r="AY168" s="6"/>
      <c r="AZ168" s="6">
        <v>128681</v>
      </c>
      <c r="BA168" s="6"/>
      <c r="BB168" s="6"/>
      <c r="BC168" s="6"/>
      <c r="BD168" s="6"/>
      <c r="BE168" s="6"/>
      <c r="BF168" s="6"/>
      <c r="BG168" s="6"/>
      <c r="BH168" s="6"/>
      <c r="BI168" s="6"/>
      <c r="BJ168" s="6"/>
      <c r="BK168" s="6"/>
      <c r="BL168" s="6"/>
      <c r="BM168" s="6"/>
      <c r="BN168" s="6"/>
      <c r="BO168" s="6"/>
      <c r="BP168" s="6"/>
      <c r="BQ168" s="6"/>
      <c r="BR168" s="6"/>
      <c r="BS168" s="6"/>
      <c r="BT168" s="6"/>
      <c r="BU168" s="6">
        <v>128691</v>
      </c>
      <c r="BV168" s="6"/>
      <c r="BW168" s="6"/>
      <c r="BX168" s="6"/>
      <c r="BY168" s="6">
        <v>129420</v>
      </c>
      <c r="BZ168" s="6"/>
      <c r="CA168" s="6"/>
      <c r="CB168" s="6"/>
      <c r="CC168" s="6"/>
      <c r="CD168" s="6"/>
      <c r="CE168" s="6"/>
      <c r="CF168" s="6"/>
      <c r="CG168" s="6"/>
      <c r="CH168" s="6"/>
      <c r="CI168" s="6"/>
      <c r="CJ168" s="6"/>
      <c r="CK168" s="6"/>
      <c r="CL168" s="6"/>
      <c r="CM168" s="6"/>
      <c r="CN168" s="6"/>
      <c r="CO168" s="6"/>
      <c r="CP168" s="6"/>
      <c r="CQ168" s="6"/>
      <c r="CR168" s="6">
        <v>129770</v>
      </c>
      <c r="CS168" s="6"/>
      <c r="CT168" s="6"/>
      <c r="CU168" s="6"/>
      <c r="CV168" s="6"/>
      <c r="CW168" s="6"/>
      <c r="CX168" s="6"/>
      <c r="CY168" s="6"/>
      <c r="CZ168" s="6"/>
      <c r="DA168" s="6"/>
      <c r="DB168" s="6"/>
      <c r="DC168" s="6"/>
      <c r="DD168" s="6"/>
      <c r="DE168" s="6">
        <v>135591</v>
      </c>
      <c r="DF168" s="6"/>
      <c r="DG168" s="6"/>
      <c r="DH168" s="6">
        <v>134460</v>
      </c>
      <c r="DI168" s="6"/>
      <c r="DJ168" s="6"/>
      <c r="DK168" s="6"/>
      <c r="DL168" s="6">
        <v>134591</v>
      </c>
      <c r="DM168" s="6"/>
      <c r="DN168" s="6"/>
      <c r="DO168" s="6"/>
      <c r="DP168" s="6"/>
      <c r="DQ168" s="6"/>
      <c r="DR168" s="6"/>
      <c r="DS168" s="6"/>
      <c r="DT168" s="6"/>
      <c r="DU168" s="6"/>
      <c r="DV168" s="6"/>
      <c r="DW168" s="6"/>
      <c r="DX168" s="6"/>
      <c r="DY168" s="6"/>
      <c r="DZ168" s="6"/>
      <c r="EA168" s="6"/>
      <c r="EB168" s="6"/>
      <c r="EC168" s="6"/>
      <c r="ED168" s="6"/>
      <c r="EE168" s="6"/>
      <c r="EF168" s="6">
        <v>135681</v>
      </c>
      <c r="EG168" s="6"/>
      <c r="EH168" s="6"/>
      <c r="EI168" s="6"/>
      <c r="EJ168" s="6"/>
      <c r="EK168" s="6">
        <v>136210</v>
      </c>
      <c r="EL168" s="6"/>
      <c r="EM168" s="6"/>
      <c r="EN168" s="6"/>
      <c r="EO168" s="6"/>
      <c r="EP168" s="6"/>
      <c r="EQ168" s="6"/>
      <c r="ER168" s="6"/>
      <c r="ES168" s="6"/>
      <c r="ET168" s="6"/>
      <c r="EU168" s="6"/>
      <c r="EV168" s="6"/>
      <c r="EW168" s="6"/>
      <c r="EX168" s="6"/>
      <c r="EY168" s="6"/>
      <c r="EZ168" s="6"/>
      <c r="FA168" s="6"/>
      <c r="FB168" s="6"/>
      <c r="FC168" s="6"/>
      <c r="FD168" s="6">
        <v>136580</v>
      </c>
      <c r="FE168" s="6"/>
      <c r="FF168" s="6"/>
      <c r="FG168" s="6"/>
      <c r="FH168" s="6"/>
      <c r="FI168" s="6"/>
      <c r="FJ168" s="6"/>
      <c r="FK168" s="6"/>
      <c r="FL168" s="6"/>
      <c r="FM168" s="6"/>
      <c r="FN168" s="6"/>
      <c r="FO168" s="6"/>
      <c r="FP168" s="6"/>
      <c r="FQ168" s="6"/>
      <c r="FR168" s="6"/>
      <c r="FS168" s="6"/>
      <c r="FT168" s="6">
        <v>139031</v>
      </c>
      <c r="FU168" s="6"/>
      <c r="FV168" s="6"/>
      <c r="FW168" s="6"/>
      <c r="FX168" s="6">
        <v>137630</v>
      </c>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v>37419</v>
      </c>
      <c r="HB168" s="6"/>
      <c r="HC168" s="6"/>
      <c r="HD168" s="6"/>
      <c r="HE168" s="6"/>
      <c r="HF168" s="6">
        <v>139950</v>
      </c>
      <c r="HG168" s="6"/>
      <c r="HH168" s="6"/>
    </row>
    <row r="169" spans="1:216" x14ac:dyDescent="0.3">
      <c r="A169" s="8" t="str">
        <f>HYPERLINK("https://hpr-rps.hres.ca/reg-content/summary-basis-decision-detailOne.php?lang=en&amp;linkID=SBD00169", "Zytiga TM")</f>
        <v>Zytiga TM</v>
      </c>
      <c r="B169" s="6" t="s">
        <v>501</v>
      </c>
      <c r="C169" s="6" t="s">
        <v>201</v>
      </c>
      <c r="D169" s="6" t="s">
        <v>502</v>
      </c>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row>
    <row r="170" spans="1:216" x14ac:dyDescent="0.3">
      <c r="A170" s="8" t="str">
        <f>HYPERLINK("https://hpr-rps.hres.ca/reg-content/summary-basis-decision-detailTwo.php?lang=en&amp;linkID=SBD00170", "Adcetris")</f>
        <v>Adcetris</v>
      </c>
      <c r="B170" s="6" t="s">
        <v>503</v>
      </c>
      <c r="C170" s="6" t="s">
        <v>504</v>
      </c>
      <c r="D170" s="6" t="s">
        <v>505</v>
      </c>
      <c r="E170" s="6">
        <v>41214</v>
      </c>
      <c r="F170" s="6"/>
      <c r="G170" s="6"/>
      <c r="H170" s="6"/>
      <c r="I170" s="6"/>
      <c r="J170" s="6"/>
      <c r="K170" s="6"/>
      <c r="L170" s="6"/>
      <c r="M170" s="6"/>
      <c r="N170" s="6">
        <v>41263</v>
      </c>
      <c r="O170" s="6"/>
      <c r="P170" s="6"/>
      <c r="Q170" s="6"/>
      <c r="R170" s="6"/>
      <c r="S170" s="6">
        <v>41292</v>
      </c>
      <c r="T170" s="6"/>
      <c r="U170" s="6"/>
      <c r="V170" s="6">
        <v>41330</v>
      </c>
      <c r="W170" s="6"/>
      <c r="X170" s="6"/>
      <c r="Y170" s="6"/>
      <c r="Z170" s="6"/>
      <c r="AA170" s="6"/>
      <c r="AB170" s="6"/>
      <c r="AC170" s="6"/>
      <c r="AD170" s="6"/>
      <c r="AE170" s="6"/>
      <c r="AF170" s="6">
        <v>41358</v>
      </c>
      <c r="AG170" s="6"/>
      <c r="AH170" s="6"/>
      <c r="AI170" s="6"/>
      <c r="AJ170" s="6"/>
      <c r="AK170" s="6"/>
      <c r="AL170" s="6"/>
      <c r="AM170" s="6"/>
      <c r="AN170" s="6"/>
      <c r="AO170" s="6"/>
      <c r="AP170" s="6"/>
      <c r="AQ170" s="6"/>
      <c r="AR170" s="6">
        <v>41530</v>
      </c>
      <c r="AS170" s="6">
        <v>41446</v>
      </c>
      <c r="AT170" s="6"/>
      <c r="AU170" s="6"/>
      <c r="AV170" s="6">
        <v>41529</v>
      </c>
      <c r="AW170" s="6"/>
      <c r="AX170" s="6"/>
      <c r="AY170" s="6"/>
      <c r="AZ170" s="6">
        <v>41534</v>
      </c>
      <c r="BA170" s="6"/>
      <c r="BB170" s="6"/>
      <c r="BC170" s="6"/>
      <c r="BD170" s="6"/>
      <c r="BE170" s="6"/>
      <c r="BF170" s="6"/>
      <c r="BG170" s="6"/>
      <c r="BH170" s="6"/>
      <c r="BI170" s="6"/>
      <c r="BJ170" s="6"/>
      <c r="BK170" s="6"/>
      <c r="BL170" s="6"/>
      <c r="BM170" s="6">
        <v>41536</v>
      </c>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c r="FZ170" s="6"/>
      <c r="GA170" s="6"/>
      <c r="GB170" s="6"/>
      <c r="GC170" s="6"/>
      <c r="GD170" s="6"/>
      <c r="GE170" s="6"/>
      <c r="GF170" s="6"/>
      <c r="GG170" s="6"/>
      <c r="GH170" s="6"/>
      <c r="GI170" s="6"/>
      <c r="GJ170" s="6"/>
      <c r="GK170" s="6"/>
      <c r="GL170" s="6"/>
      <c r="GM170" s="6"/>
      <c r="GN170" s="6"/>
      <c r="GO170" s="6"/>
      <c r="GP170" s="6"/>
      <c r="GQ170" s="6"/>
      <c r="GR170" s="6"/>
      <c r="GS170" s="6"/>
      <c r="GT170" s="6"/>
      <c r="GU170" s="6"/>
      <c r="GV170" s="6"/>
      <c r="GW170" s="6"/>
      <c r="GX170" s="6"/>
      <c r="GY170" s="6"/>
      <c r="GZ170" s="6"/>
      <c r="HA170" s="6"/>
      <c r="HB170" s="6"/>
      <c r="HC170" s="6"/>
      <c r="HD170" s="6"/>
      <c r="HE170" s="6"/>
      <c r="HF170" s="6"/>
      <c r="HG170" s="6"/>
      <c r="HH170" s="6"/>
    </row>
    <row r="171" spans="1:216" x14ac:dyDescent="0.3">
      <c r="A171" s="8" t="str">
        <f>HYPERLINK("https://hpr-rps.hres.ca/reg-content/summary-basis-decision-detailTwo.php?lang=en&amp;linkID=SBD00171", "Adempas")</f>
        <v>Adempas</v>
      </c>
      <c r="B171" s="6" t="s">
        <v>506</v>
      </c>
      <c r="C171" s="6" t="s">
        <v>341</v>
      </c>
      <c r="D171" s="6" t="s">
        <v>507</v>
      </c>
      <c r="E171" s="6">
        <v>41214</v>
      </c>
      <c r="F171" s="6"/>
      <c r="G171" s="6"/>
      <c r="H171" s="6"/>
      <c r="I171" s="6"/>
      <c r="J171" s="6"/>
      <c r="K171" s="6"/>
      <c r="L171" s="6"/>
      <c r="M171" s="6"/>
      <c r="N171" s="6">
        <v>41263</v>
      </c>
      <c r="O171" s="6"/>
      <c r="P171" s="6"/>
      <c r="Q171" s="6"/>
      <c r="R171" s="6"/>
      <c r="S171" s="6">
        <v>41292</v>
      </c>
      <c r="T171" s="6"/>
      <c r="U171" s="6"/>
      <c r="V171" s="6">
        <v>41330</v>
      </c>
      <c r="W171" s="6"/>
      <c r="X171" s="6"/>
      <c r="Y171" s="6"/>
      <c r="Z171" s="6"/>
      <c r="AA171" s="6"/>
      <c r="AB171" s="6"/>
      <c r="AC171" s="6"/>
      <c r="AD171" s="6"/>
      <c r="AE171" s="6"/>
      <c r="AF171" s="6">
        <v>41358</v>
      </c>
      <c r="AG171" s="6"/>
      <c r="AH171" s="6"/>
      <c r="AI171" s="6"/>
      <c r="AJ171" s="6"/>
      <c r="AK171" s="6"/>
      <c r="AL171" s="6"/>
      <c r="AM171" s="6"/>
      <c r="AN171" s="6"/>
      <c r="AO171" s="6"/>
      <c r="AP171" s="6"/>
      <c r="AQ171" s="6"/>
      <c r="AR171" s="6">
        <v>41530</v>
      </c>
      <c r="AS171" s="6">
        <v>41446</v>
      </c>
      <c r="AT171" s="6"/>
      <c r="AU171" s="6"/>
      <c r="AV171" s="6">
        <v>41529</v>
      </c>
      <c r="AW171" s="6"/>
      <c r="AX171" s="6"/>
      <c r="AY171" s="6"/>
      <c r="AZ171" s="6">
        <v>41534</v>
      </c>
      <c r="BA171" s="6"/>
      <c r="BB171" s="6"/>
      <c r="BC171" s="6"/>
      <c r="BD171" s="6"/>
      <c r="BE171" s="6"/>
      <c r="BF171" s="6"/>
      <c r="BG171" s="6"/>
      <c r="BH171" s="6"/>
      <c r="BI171" s="6"/>
      <c r="BJ171" s="6"/>
      <c r="BK171" s="6"/>
      <c r="BL171" s="6"/>
      <c r="BM171" s="6">
        <v>41536</v>
      </c>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c r="FZ171" s="6"/>
      <c r="GA171" s="6"/>
      <c r="GB171" s="6"/>
      <c r="GC171" s="6"/>
      <c r="GD171" s="6"/>
      <c r="GE171" s="6"/>
      <c r="GF171" s="6"/>
      <c r="GG171" s="6"/>
      <c r="GH171" s="6"/>
      <c r="GI171" s="6"/>
      <c r="GJ171" s="6"/>
      <c r="GK171" s="6"/>
      <c r="GL171" s="6"/>
      <c r="GM171" s="6"/>
      <c r="GN171" s="6"/>
      <c r="GO171" s="6"/>
      <c r="GP171" s="6"/>
      <c r="GQ171" s="6"/>
      <c r="GR171" s="6"/>
      <c r="GS171" s="6"/>
      <c r="GT171" s="6"/>
      <c r="GU171" s="6"/>
      <c r="GV171" s="6"/>
      <c r="GW171" s="6"/>
      <c r="GX171" s="6"/>
      <c r="GY171" s="6"/>
      <c r="GZ171" s="6"/>
      <c r="HA171" s="6"/>
      <c r="HB171" s="6"/>
      <c r="HC171" s="6"/>
      <c r="HD171" s="6"/>
      <c r="HE171" s="6"/>
      <c r="HF171" s="6"/>
      <c r="HG171" s="6"/>
      <c r="HH171" s="6"/>
    </row>
    <row r="172" spans="1:216" x14ac:dyDescent="0.3">
      <c r="A172" s="8" t="str">
        <f>HYPERLINK("https://hpr-rps.hres.ca/reg-content/summary-basis-decision-detailTwo.php?lang=en&amp;linkID=SBD00172", "Alprolix")</f>
        <v>Alprolix</v>
      </c>
      <c r="B172" s="6" t="s">
        <v>508</v>
      </c>
      <c r="C172" s="6" t="s">
        <v>509</v>
      </c>
      <c r="D172" s="6" t="s">
        <v>510</v>
      </c>
      <c r="E172" s="6">
        <v>41059</v>
      </c>
      <c r="F172" s="6"/>
      <c r="G172" s="6"/>
      <c r="H172" s="6">
        <v>41110</v>
      </c>
      <c r="I172" s="6"/>
      <c r="J172" s="6"/>
      <c r="K172" s="6"/>
      <c r="L172" s="6"/>
      <c r="M172" s="6"/>
      <c r="N172" s="6"/>
      <c r="O172" s="6"/>
      <c r="P172" s="6"/>
      <c r="Q172" s="6"/>
      <c r="R172" s="6"/>
      <c r="S172" s="6"/>
      <c r="T172" s="6"/>
      <c r="U172" s="6"/>
      <c r="V172" s="6"/>
      <c r="W172" s="6"/>
      <c r="X172" s="6"/>
      <c r="Y172" s="6"/>
      <c r="Z172" s="6"/>
      <c r="AA172" s="6"/>
      <c r="AB172" s="6"/>
      <c r="AC172" s="6"/>
      <c r="AD172" s="6"/>
      <c r="AE172" s="6"/>
      <c r="AF172" s="6">
        <v>41159</v>
      </c>
      <c r="AG172" s="6"/>
      <c r="AH172" s="6"/>
      <c r="AI172" s="6"/>
      <c r="AJ172" s="6"/>
      <c r="AK172" s="6"/>
      <c r="AL172" s="6"/>
      <c r="AM172" s="6"/>
      <c r="AN172" s="6"/>
      <c r="AO172" s="6"/>
      <c r="AP172" s="6"/>
      <c r="AQ172" s="6"/>
      <c r="AR172" s="6">
        <v>41452</v>
      </c>
      <c r="AS172" s="6"/>
      <c r="AT172" s="6"/>
      <c r="AU172" s="6"/>
      <c r="AV172" s="6">
        <v>41442</v>
      </c>
      <c r="AW172" s="6"/>
      <c r="AX172" s="6"/>
      <c r="AY172" s="6"/>
      <c r="AZ172" s="6">
        <v>41452</v>
      </c>
      <c r="BA172" s="6"/>
      <c r="BB172" s="6"/>
      <c r="BC172" s="6"/>
      <c r="BD172" s="6"/>
      <c r="BE172" s="6"/>
      <c r="BF172" s="6"/>
      <c r="BG172" s="6"/>
      <c r="BH172" s="6"/>
      <c r="BI172" s="6"/>
      <c r="BJ172" s="6"/>
      <c r="BK172" s="6"/>
      <c r="BL172" s="6"/>
      <c r="BM172" s="6">
        <v>41458</v>
      </c>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c r="FZ172" s="6"/>
      <c r="GA172" s="6"/>
      <c r="GB172" s="6"/>
      <c r="GC172" s="6"/>
      <c r="GD172" s="6"/>
      <c r="GE172" s="6"/>
      <c r="GF172" s="6"/>
      <c r="GG172" s="6"/>
      <c r="GH172" s="6"/>
      <c r="GI172" s="6"/>
      <c r="GJ172" s="6"/>
      <c r="GK172" s="6"/>
      <c r="GL172" s="6"/>
      <c r="GM172" s="6"/>
      <c r="GN172" s="6"/>
      <c r="GO172" s="6"/>
      <c r="GP172" s="6"/>
      <c r="GQ172" s="6"/>
      <c r="GR172" s="6"/>
      <c r="GS172" s="6"/>
      <c r="GT172" s="6"/>
      <c r="GU172" s="6"/>
      <c r="GV172" s="6"/>
      <c r="GW172" s="6"/>
      <c r="GX172" s="6"/>
      <c r="GY172" s="6"/>
      <c r="GZ172" s="6"/>
      <c r="HA172" s="6"/>
      <c r="HB172" s="6"/>
      <c r="HC172" s="6"/>
      <c r="HD172" s="6"/>
      <c r="HE172" s="6"/>
      <c r="HF172" s="6"/>
      <c r="HG172" s="6"/>
      <c r="HH172" s="6"/>
    </row>
    <row r="173" spans="1:216" x14ac:dyDescent="0.3">
      <c r="A173" s="8" t="str">
        <f>HYPERLINK("https://hpr-rps.hres.ca/reg-content/summary-basis-decision-detailTwo.php?lang=en&amp;linkID=SBD00173", "Bosulif")</f>
        <v>Bosulif</v>
      </c>
      <c r="B173" s="6" t="s">
        <v>511</v>
      </c>
      <c r="C173" s="6" t="s">
        <v>143</v>
      </c>
      <c r="D173" s="6" t="s">
        <v>512</v>
      </c>
      <c r="E173" s="6">
        <v>40612</v>
      </c>
      <c r="F173" s="6"/>
      <c r="G173" s="6"/>
      <c r="H173" s="6">
        <v>40900</v>
      </c>
      <c r="I173" s="6"/>
      <c r="J173" s="6"/>
      <c r="K173" s="6"/>
      <c r="L173" s="6"/>
      <c r="M173" s="6"/>
      <c r="N173" s="6"/>
      <c r="O173" s="6"/>
      <c r="P173" s="6"/>
      <c r="Q173" s="6"/>
      <c r="R173" s="6"/>
      <c r="S173" s="6"/>
      <c r="T173" s="6"/>
      <c r="U173" s="6"/>
      <c r="V173" s="6"/>
      <c r="W173" s="6"/>
      <c r="X173" s="6"/>
      <c r="Y173" s="6"/>
      <c r="Z173" s="6"/>
      <c r="AA173" s="6"/>
      <c r="AB173" s="6"/>
      <c r="AC173" s="6"/>
      <c r="AD173" s="6"/>
      <c r="AE173" s="6"/>
      <c r="AF173" s="6">
        <v>40970</v>
      </c>
      <c r="AG173" s="6"/>
      <c r="AH173" s="6"/>
      <c r="AI173" s="6"/>
      <c r="AJ173" s="6"/>
      <c r="AK173" s="6"/>
      <c r="AL173" s="6"/>
      <c r="AM173" s="6"/>
      <c r="AN173" s="6"/>
      <c r="AO173" s="6"/>
      <c r="AP173" s="6"/>
      <c r="AQ173" s="6"/>
      <c r="AR173" s="6">
        <v>41262</v>
      </c>
      <c r="AS173" s="6"/>
      <c r="AT173" s="6"/>
      <c r="AU173" s="6"/>
      <c r="AV173" s="6">
        <v>41256</v>
      </c>
      <c r="AW173" s="6"/>
      <c r="AX173" s="6">
        <v>41159</v>
      </c>
      <c r="AY173" s="6"/>
      <c r="AZ173" s="6">
        <v>41262</v>
      </c>
      <c r="BA173" s="6"/>
      <c r="BB173" s="6"/>
      <c r="BC173" s="6"/>
      <c r="BD173" s="6"/>
      <c r="BE173" s="6"/>
      <c r="BF173" s="6"/>
      <c r="BG173" s="6"/>
      <c r="BH173" s="6"/>
      <c r="BI173" s="6"/>
      <c r="BJ173" s="6"/>
      <c r="BK173" s="6"/>
      <c r="BL173" s="6"/>
      <c r="BM173" s="6">
        <v>41264</v>
      </c>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row>
    <row r="174" spans="1:216" x14ac:dyDescent="0.3">
      <c r="A174" s="8" t="str">
        <f>HYPERLINK("https://hpr-rps.hres.ca/reg-content/summary-basis-decision-detailTwo.php?lang=en&amp;linkID=SBD00174", "Breo Ellipta")</f>
        <v>Breo Ellipta</v>
      </c>
      <c r="B174" s="6" t="s">
        <v>513</v>
      </c>
      <c r="C174" s="6" t="s">
        <v>96</v>
      </c>
      <c r="D174" s="6" t="s">
        <v>514</v>
      </c>
      <c r="E174" s="6">
        <v>41059</v>
      </c>
      <c r="F174" s="6"/>
      <c r="G174" s="6"/>
      <c r="H174" s="6">
        <v>41110</v>
      </c>
      <c r="I174" s="6"/>
      <c r="J174" s="6"/>
      <c r="K174" s="6"/>
      <c r="L174" s="6"/>
      <c r="M174" s="6"/>
      <c r="N174" s="6"/>
      <c r="O174" s="6"/>
      <c r="P174" s="6"/>
      <c r="Q174" s="6"/>
      <c r="R174" s="6"/>
      <c r="S174" s="6"/>
      <c r="T174" s="6"/>
      <c r="U174" s="6"/>
      <c r="V174" s="6"/>
      <c r="W174" s="6"/>
      <c r="X174" s="6"/>
      <c r="Y174" s="6"/>
      <c r="Z174" s="6"/>
      <c r="AA174" s="6"/>
      <c r="AB174" s="6"/>
      <c r="AC174" s="6"/>
      <c r="AD174" s="6"/>
      <c r="AE174" s="6"/>
      <c r="AF174" s="6">
        <v>41159</v>
      </c>
      <c r="AG174" s="6"/>
      <c r="AH174" s="6"/>
      <c r="AI174" s="6"/>
      <c r="AJ174" s="6"/>
      <c r="AK174" s="6"/>
      <c r="AL174" s="6"/>
      <c r="AM174" s="6"/>
      <c r="AN174" s="6"/>
      <c r="AO174" s="6"/>
      <c r="AP174" s="6"/>
      <c r="AQ174" s="6"/>
      <c r="AR174" s="6">
        <v>41452</v>
      </c>
      <c r="AS174" s="6"/>
      <c r="AT174" s="6"/>
      <c r="AU174" s="6"/>
      <c r="AV174" s="6">
        <v>41442</v>
      </c>
      <c r="AW174" s="6"/>
      <c r="AX174" s="6"/>
      <c r="AY174" s="6"/>
      <c r="AZ174" s="6">
        <v>41452</v>
      </c>
      <c r="BA174" s="6"/>
      <c r="BB174" s="6"/>
      <c r="BC174" s="6"/>
      <c r="BD174" s="6"/>
      <c r="BE174" s="6"/>
      <c r="BF174" s="6"/>
      <c r="BG174" s="6"/>
      <c r="BH174" s="6"/>
      <c r="BI174" s="6"/>
      <c r="BJ174" s="6"/>
      <c r="BK174" s="6"/>
      <c r="BL174" s="6"/>
      <c r="BM174" s="6">
        <v>41458</v>
      </c>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c r="FZ174" s="6"/>
      <c r="GA174" s="6"/>
      <c r="GB174" s="6"/>
      <c r="GC174" s="6"/>
      <c r="GD174" s="6"/>
      <c r="GE174" s="6"/>
      <c r="GF174" s="6"/>
      <c r="GG174" s="6"/>
      <c r="GH174" s="6"/>
      <c r="GI174" s="6"/>
      <c r="GJ174" s="6"/>
      <c r="GK174" s="6"/>
      <c r="GL174" s="6"/>
      <c r="GM174" s="6"/>
      <c r="GN174" s="6"/>
      <c r="GO174" s="6"/>
      <c r="GP174" s="6"/>
      <c r="GQ174" s="6"/>
      <c r="GR174" s="6"/>
      <c r="GS174" s="6"/>
      <c r="GT174" s="6"/>
      <c r="GU174" s="6"/>
      <c r="GV174" s="6"/>
      <c r="GW174" s="6"/>
      <c r="GX174" s="6"/>
      <c r="GY174" s="6"/>
      <c r="GZ174" s="6"/>
      <c r="HA174" s="6"/>
      <c r="HB174" s="6"/>
      <c r="HC174" s="6"/>
      <c r="HD174" s="6"/>
      <c r="HE174" s="6"/>
      <c r="HF174" s="6"/>
      <c r="HG174" s="6"/>
      <c r="HH174" s="6"/>
    </row>
    <row r="175" spans="1:216" x14ac:dyDescent="0.3">
      <c r="A175" s="8" t="str">
        <f>HYPERLINK("https://hpr-rps.hres.ca/reg-content/summary-basis-decision-detailTwo.php?lang=en&amp;linkID=SBD00175", "Bystolic")</f>
        <v>Bystolic</v>
      </c>
      <c r="B175" s="6" t="s">
        <v>515</v>
      </c>
      <c r="C175" s="6" t="s">
        <v>516</v>
      </c>
      <c r="D175" s="6" t="s">
        <v>517</v>
      </c>
      <c r="E175" s="6">
        <v>40612</v>
      </c>
      <c r="F175" s="6"/>
      <c r="G175" s="6"/>
      <c r="H175" s="6">
        <v>40900</v>
      </c>
      <c r="I175" s="6"/>
      <c r="J175" s="6"/>
      <c r="K175" s="6"/>
      <c r="L175" s="6"/>
      <c r="M175" s="6"/>
      <c r="N175" s="6"/>
      <c r="O175" s="6"/>
      <c r="P175" s="6"/>
      <c r="Q175" s="6"/>
      <c r="R175" s="6"/>
      <c r="S175" s="6"/>
      <c r="T175" s="6"/>
      <c r="U175" s="6"/>
      <c r="V175" s="6"/>
      <c r="W175" s="6"/>
      <c r="X175" s="6"/>
      <c r="Y175" s="6"/>
      <c r="Z175" s="6"/>
      <c r="AA175" s="6"/>
      <c r="AB175" s="6"/>
      <c r="AC175" s="6"/>
      <c r="AD175" s="6"/>
      <c r="AE175" s="6"/>
      <c r="AF175" s="6">
        <v>40970</v>
      </c>
      <c r="AG175" s="6"/>
      <c r="AH175" s="6"/>
      <c r="AI175" s="6"/>
      <c r="AJ175" s="6"/>
      <c r="AK175" s="6"/>
      <c r="AL175" s="6"/>
      <c r="AM175" s="6"/>
      <c r="AN175" s="6"/>
      <c r="AO175" s="6"/>
      <c r="AP175" s="6"/>
      <c r="AQ175" s="6"/>
      <c r="AR175" s="6">
        <v>41262</v>
      </c>
      <c r="AS175" s="6"/>
      <c r="AT175" s="6"/>
      <c r="AU175" s="6"/>
      <c r="AV175" s="6">
        <v>41256</v>
      </c>
      <c r="AW175" s="6"/>
      <c r="AX175" s="6">
        <v>41159</v>
      </c>
      <c r="AY175" s="6"/>
      <c r="AZ175" s="6">
        <v>41262</v>
      </c>
      <c r="BA175" s="6"/>
      <c r="BB175" s="6"/>
      <c r="BC175" s="6"/>
      <c r="BD175" s="6"/>
      <c r="BE175" s="6"/>
      <c r="BF175" s="6"/>
      <c r="BG175" s="6"/>
      <c r="BH175" s="6"/>
      <c r="BI175" s="6"/>
      <c r="BJ175" s="6"/>
      <c r="BK175" s="6"/>
      <c r="BL175" s="6"/>
      <c r="BM175" s="6">
        <v>41264</v>
      </c>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c r="FZ175" s="6"/>
      <c r="GA175" s="6"/>
      <c r="GB175" s="6"/>
      <c r="GC175" s="6"/>
      <c r="GD175" s="6"/>
      <c r="GE175" s="6"/>
      <c r="GF175" s="6"/>
      <c r="GG175" s="6"/>
      <c r="GH175" s="6"/>
      <c r="GI175" s="6"/>
      <c r="GJ175" s="6"/>
      <c r="GK175" s="6"/>
      <c r="GL175" s="6"/>
      <c r="GM175" s="6"/>
      <c r="GN175" s="6"/>
      <c r="GO175" s="6"/>
      <c r="GP175" s="6"/>
      <c r="GQ175" s="6"/>
      <c r="GR175" s="6"/>
      <c r="GS175" s="6"/>
      <c r="GT175" s="6"/>
      <c r="GU175" s="6"/>
      <c r="GV175" s="6"/>
      <c r="GW175" s="6"/>
      <c r="GX175" s="6"/>
      <c r="GY175" s="6"/>
      <c r="GZ175" s="6"/>
      <c r="HA175" s="6"/>
      <c r="HB175" s="6"/>
      <c r="HC175" s="6"/>
      <c r="HD175" s="6"/>
      <c r="HE175" s="6"/>
      <c r="HF175" s="6"/>
      <c r="HG175" s="6"/>
      <c r="HH175" s="6"/>
    </row>
    <row r="176" spans="1:216" x14ac:dyDescent="0.3">
      <c r="A176" s="8" t="str">
        <f>HYPERLINK("https://hpr-rps.hres.ca/reg-content/summary-basis-decision-detailTwo.php?lang=en&amp;linkID=SBD00176", "Carbaglu")</f>
        <v>Carbaglu</v>
      </c>
      <c r="B176" s="6" t="s">
        <v>518</v>
      </c>
      <c r="C176" s="6" t="s">
        <v>519</v>
      </c>
      <c r="D176" s="6" t="s">
        <v>520</v>
      </c>
      <c r="E176" s="6">
        <v>41236</v>
      </c>
      <c r="F176" s="6"/>
      <c r="G176" s="6"/>
      <c r="H176" s="6"/>
      <c r="I176" s="6"/>
      <c r="J176" s="6"/>
      <c r="K176" s="6"/>
      <c r="L176" s="6"/>
      <c r="M176" s="6"/>
      <c r="N176" s="6">
        <v>41562</v>
      </c>
      <c r="O176" s="6"/>
      <c r="P176" s="6"/>
      <c r="Q176" s="6"/>
      <c r="R176" s="6"/>
      <c r="S176" s="6">
        <v>41593</v>
      </c>
      <c r="T176" s="6"/>
      <c r="U176" s="6"/>
      <c r="V176" s="6">
        <v>41653</v>
      </c>
      <c r="W176" s="6"/>
      <c r="X176" s="6"/>
      <c r="Y176" s="6"/>
      <c r="Z176" s="6"/>
      <c r="AA176" s="6"/>
      <c r="AB176" s="6"/>
      <c r="AC176" s="6"/>
      <c r="AD176" s="6"/>
      <c r="AE176" s="6"/>
      <c r="AF176" s="6">
        <v>41768</v>
      </c>
      <c r="AG176" s="6"/>
      <c r="AH176" s="6"/>
      <c r="AI176" s="6"/>
      <c r="AJ176" s="6"/>
      <c r="AK176" s="6"/>
      <c r="AL176" s="6"/>
      <c r="AM176" s="6"/>
      <c r="AN176" s="6"/>
      <c r="AO176" s="6"/>
      <c r="AP176" s="6"/>
      <c r="AQ176" s="6"/>
      <c r="AR176" s="6">
        <v>41935</v>
      </c>
      <c r="AS176" s="6"/>
      <c r="AT176" s="6"/>
      <c r="AU176" s="6"/>
      <c r="AV176" s="6">
        <v>41948</v>
      </c>
      <c r="AW176" s="6"/>
      <c r="AX176" s="6"/>
      <c r="AY176" s="6"/>
      <c r="AZ176" s="6">
        <v>41950</v>
      </c>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v>41997</v>
      </c>
      <c r="BZ176" s="6"/>
      <c r="CA176" s="6"/>
      <c r="CB176" s="6"/>
      <c r="CC176" s="6"/>
      <c r="CD176" s="6"/>
      <c r="CE176" s="6"/>
      <c r="CF176" s="6"/>
      <c r="CG176" s="6"/>
      <c r="CH176" s="6"/>
      <c r="CI176" s="6"/>
      <c r="CJ176" s="6"/>
      <c r="CK176" s="6"/>
      <c r="CL176" s="6"/>
      <c r="CM176" s="6"/>
      <c r="CN176" s="6"/>
      <c r="CO176" s="6"/>
      <c r="CP176" s="6"/>
      <c r="CQ176" s="6"/>
      <c r="CR176" s="6">
        <v>42025</v>
      </c>
      <c r="CS176" s="6"/>
      <c r="CT176" s="6"/>
      <c r="CU176" s="6"/>
      <c r="CV176" s="6"/>
      <c r="CW176" s="6"/>
      <c r="CX176" s="6"/>
      <c r="CY176" s="6"/>
      <c r="CZ176" s="6"/>
      <c r="DA176" s="6"/>
      <c r="DB176" s="6"/>
      <c r="DC176" s="6"/>
      <c r="DD176" s="6"/>
      <c r="DE176" s="6"/>
      <c r="DF176" s="6"/>
      <c r="DG176" s="6"/>
      <c r="DH176" s="6">
        <v>42060</v>
      </c>
      <c r="DI176" s="6"/>
      <c r="DJ176" s="6"/>
      <c r="DK176" s="6"/>
      <c r="DL176" s="6">
        <v>42096</v>
      </c>
      <c r="DM176" s="6"/>
      <c r="DN176" s="6"/>
      <c r="DO176" s="6"/>
      <c r="DP176" s="6"/>
      <c r="DQ176" s="6"/>
      <c r="DR176" s="6"/>
      <c r="DS176" s="6"/>
      <c r="DT176" s="6"/>
      <c r="DU176" s="6"/>
      <c r="DV176" s="6"/>
      <c r="DW176" s="6"/>
      <c r="DX176" s="6"/>
      <c r="DY176" s="6">
        <v>42104</v>
      </c>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c r="FZ176" s="6"/>
      <c r="GA176" s="6"/>
      <c r="GB176" s="6"/>
      <c r="GC176" s="6"/>
      <c r="GD176" s="6"/>
      <c r="GE176" s="6"/>
      <c r="GF176" s="6"/>
      <c r="GG176" s="6"/>
      <c r="GH176" s="6"/>
      <c r="GI176" s="6"/>
      <c r="GJ176" s="6"/>
      <c r="GK176" s="6"/>
      <c r="GL176" s="6"/>
      <c r="GM176" s="6"/>
      <c r="GN176" s="6"/>
      <c r="GO176" s="6"/>
      <c r="GP176" s="6"/>
      <c r="GQ176" s="6"/>
      <c r="GR176" s="6"/>
      <c r="GS176" s="6"/>
      <c r="GT176" s="6"/>
      <c r="GU176" s="6"/>
      <c r="GV176" s="6"/>
      <c r="GW176" s="6"/>
      <c r="GX176" s="6"/>
      <c r="GY176" s="6"/>
      <c r="GZ176" s="6"/>
      <c r="HA176" s="6"/>
      <c r="HB176" s="6"/>
      <c r="HC176" s="6"/>
      <c r="HD176" s="6"/>
      <c r="HE176" s="6"/>
      <c r="HF176" s="6"/>
      <c r="HG176" s="6"/>
      <c r="HH176" s="6"/>
    </row>
    <row r="177" spans="1:216" x14ac:dyDescent="0.3">
      <c r="A177" s="8" t="str">
        <f>HYPERLINK("https://hpr-rps.hres.ca/reg-content/summary-basis-decision-detailTwo.php?lang=en&amp;linkID=SBD00177", "Constella")</f>
        <v>Constella</v>
      </c>
      <c r="B177" s="6" t="s">
        <v>521</v>
      </c>
      <c r="C177" s="6" t="s">
        <v>516</v>
      </c>
      <c r="D177" s="6" t="s">
        <v>522</v>
      </c>
      <c r="E177" s="6">
        <v>41193</v>
      </c>
      <c r="F177" s="6"/>
      <c r="G177" s="6"/>
      <c r="H177" s="6">
        <v>41257</v>
      </c>
      <c r="I177" s="6"/>
      <c r="J177" s="6"/>
      <c r="K177" s="6"/>
      <c r="L177" s="6"/>
      <c r="M177" s="6"/>
      <c r="N177" s="6"/>
      <c r="O177" s="6"/>
      <c r="P177" s="6"/>
      <c r="Q177" s="6"/>
      <c r="R177" s="6"/>
      <c r="S177" s="6"/>
      <c r="T177" s="6"/>
      <c r="U177" s="6"/>
      <c r="V177" s="6"/>
      <c r="W177" s="6"/>
      <c r="X177" s="6"/>
      <c r="Y177" s="6"/>
      <c r="Z177" s="6"/>
      <c r="AA177" s="6"/>
      <c r="AB177" s="6"/>
      <c r="AC177" s="6"/>
      <c r="AD177" s="6"/>
      <c r="AE177" s="6"/>
      <c r="AF177" s="6">
        <v>41311</v>
      </c>
      <c r="AG177" s="6"/>
      <c r="AH177" s="6"/>
      <c r="AI177" s="6"/>
      <c r="AJ177" s="6"/>
      <c r="AK177" s="6"/>
      <c r="AL177" s="6"/>
      <c r="AM177" s="6"/>
      <c r="AN177" s="6"/>
      <c r="AO177" s="6"/>
      <c r="AP177" s="6"/>
      <c r="AQ177" s="6"/>
      <c r="AR177" s="6">
        <v>41604</v>
      </c>
      <c r="AS177" s="6"/>
      <c r="AT177" s="6"/>
      <c r="AU177" s="6"/>
      <c r="AV177" s="6">
        <v>41591</v>
      </c>
      <c r="AW177" s="6"/>
      <c r="AX177" s="6">
        <v>41437</v>
      </c>
      <c r="AY177" s="6"/>
      <c r="AZ177" s="6">
        <v>41604</v>
      </c>
      <c r="BA177" s="6"/>
      <c r="BB177" s="6"/>
      <c r="BC177" s="6"/>
      <c r="BD177" s="6"/>
      <c r="BE177" s="6"/>
      <c r="BF177" s="6"/>
      <c r="BG177" s="6"/>
      <c r="BH177" s="6"/>
      <c r="BI177" s="6"/>
      <c r="BJ177" s="6"/>
      <c r="BK177" s="6"/>
      <c r="BL177" s="6"/>
      <c r="BM177" s="6">
        <v>41610</v>
      </c>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row>
    <row r="178" spans="1:216" x14ac:dyDescent="0.3">
      <c r="A178" s="8" t="str">
        <f>HYPERLINK("https://hpr-rps.hres.ca/reg-content/summary-basis-decision-detailTwo.php?lang=en&amp;linkID=SBD00178", "Cosentyx")</f>
        <v>Cosentyx</v>
      </c>
      <c r="B178" s="6" t="s">
        <v>523</v>
      </c>
      <c r="C178" s="6" t="s">
        <v>87</v>
      </c>
      <c r="D178" s="6" t="s">
        <v>524</v>
      </c>
      <c r="E178" s="6">
        <v>41340</v>
      </c>
      <c r="F178" s="6">
        <v>41486</v>
      </c>
      <c r="G178" s="6"/>
      <c r="H178" s="6">
        <v>41625</v>
      </c>
      <c r="I178" s="6"/>
      <c r="J178" s="6"/>
      <c r="K178" s="6"/>
      <c r="L178" s="6"/>
      <c r="M178" s="6"/>
      <c r="N178" s="6"/>
      <c r="O178" s="6"/>
      <c r="P178" s="6"/>
      <c r="Q178" s="6"/>
      <c r="R178" s="6"/>
      <c r="S178" s="6"/>
      <c r="T178" s="6"/>
      <c r="U178" s="6"/>
      <c r="V178" s="6"/>
      <c r="W178" s="6"/>
      <c r="X178" s="6"/>
      <c r="Y178" s="6"/>
      <c r="Z178" s="6">
        <v>41687</v>
      </c>
      <c r="AA178" s="6"/>
      <c r="AB178" s="6"/>
      <c r="AC178" s="6">
        <v>41716</v>
      </c>
      <c r="AD178" s="6"/>
      <c r="AE178" s="6"/>
      <c r="AF178" s="6">
        <v>41764</v>
      </c>
      <c r="AG178" s="6"/>
      <c r="AH178" s="6"/>
      <c r="AI178" s="6"/>
      <c r="AJ178" s="6"/>
      <c r="AK178" s="6"/>
      <c r="AL178" s="6"/>
      <c r="AM178" s="6"/>
      <c r="AN178" s="6"/>
      <c r="AO178" s="6">
        <v>42037</v>
      </c>
      <c r="AP178" s="6"/>
      <c r="AQ178" s="6"/>
      <c r="AR178" s="6">
        <v>42055</v>
      </c>
      <c r="AS178" s="6"/>
      <c r="AT178" s="6"/>
      <c r="AU178" s="6"/>
      <c r="AV178" s="6">
        <v>42062</v>
      </c>
      <c r="AW178" s="6"/>
      <c r="AX178" s="6"/>
      <c r="AY178" s="6"/>
      <c r="AZ178" s="6">
        <v>42062</v>
      </c>
      <c r="BA178" s="6"/>
      <c r="BB178" s="6"/>
      <c r="BC178" s="6"/>
      <c r="BD178" s="6"/>
      <c r="BE178" s="6"/>
      <c r="BF178" s="6"/>
      <c r="BG178" s="6"/>
      <c r="BH178" s="6"/>
      <c r="BI178" s="6"/>
      <c r="BJ178" s="6"/>
      <c r="BK178" s="6"/>
      <c r="BL178" s="6"/>
      <c r="BM178" s="6">
        <v>42062</v>
      </c>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row>
    <row r="179" spans="1:216" x14ac:dyDescent="0.3">
      <c r="A179" s="8" t="str">
        <f>HYPERLINK("https://hpr-rps.hres.ca/reg-content/summary-basis-decision-detailTwo.php?lang=en&amp;linkID=SBD00179", "Cyramza")</f>
        <v>Cyramza</v>
      </c>
      <c r="B179" s="6" t="s">
        <v>525</v>
      </c>
      <c r="C179" s="6" t="s">
        <v>140</v>
      </c>
      <c r="D179" s="6" t="s">
        <v>526</v>
      </c>
      <c r="E179" s="6">
        <v>41501</v>
      </c>
      <c r="F179" s="6"/>
      <c r="G179" s="6"/>
      <c r="H179" s="6">
        <v>41848</v>
      </c>
      <c r="I179" s="6"/>
      <c r="J179" s="6"/>
      <c r="K179" s="6"/>
      <c r="L179" s="6"/>
      <c r="M179" s="6"/>
      <c r="N179" s="6"/>
      <c r="O179" s="6"/>
      <c r="P179" s="6"/>
      <c r="Q179" s="6"/>
      <c r="R179" s="6"/>
      <c r="S179" s="6"/>
      <c r="T179" s="6"/>
      <c r="U179" s="6"/>
      <c r="V179" s="6"/>
      <c r="W179" s="6"/>
      <c r="X179" s="6"/>
      <c r="Y179" s="6"/>
      <c r="Z179" s="6"/>
      <c r="AA179" s="6"/>
      <c r="AB179" s="6"/>
      <c r="AC179" s="6"/>
      <c r="AD179" s="6"/>
      <c r="AE179" s="6"/>
      <c r="AF179" s="6">
        <v>41901</v>
      </c>
      <c r="AG179" s="6"/>
      <c r="AH179" s="6"/>
      <c r="AI179" s="6"/>
      <c r="AJ179" s="6"/>
      <c r="AK179" s="6"/>
      <c r="AL179" s="6"/>
      <c r="AM179" s="6"/>
      <c r="AN179" s="6"/>
      <c r="AO179" s="6"/>
      <c r="AP179" s="6"/>
      <c r="AQ179" s="6"/>
      <c r="AR179" s="6">
        <v>42200</v>
      </c>
      <c r="AS179" s="6">
        <v>42180</v>
      </c>
      <c r="AT179" s="6"/>
      <c r="AU179" s="6"/>
      <c r="AV179" s="6">
        <v>42200</v>
      </c>
      <c r="AW179" s="6"/>
      <c r="AX179" s="6">
        <v>42177</v>
      </c>
      <c r="AY179" s="6"/>
      <c r="AZ179" s="6">
        <v>42157</v>
      </c>
      <c r="BA179" s="6"/>
      <c r="BB179" s="6"/>
      <c r="BC179" s="6"/>
      <c r="BD179" s="6"/>
      <c r="BE179" s="6"/>
      <c r="BF179" s="6"/>
      <c r="BG179" s="6"/>
      <c r="BH179" s="6"/>
      <c r="BI179" s="6"/>
      <c r="BJ179" s="6"/>
      <c r="BK179" s="6"/>
      <c r="BL179" s="6"/>
      <c r="BM179" s="6">
        <v>42201</v>
      </c>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c r="FZ179" s="6"/>
      <c r="GA179" s="6"/>
      <c r="GB179" s="6"/>
      <c r="GC179" s="6"/>
      <c r="GD179" s="6"/>
      <c r="GE179" s="6"/>
      <c r="GF179" s="6"/>
      <c r="GG179" s="6"/>
      <c r="GH179" s="6"/>
      <c r="GI179" s="6"/>
      <c r="GJ179" s="6"/>
      <c r="GK179" s="6"/>
      <c r="GL179" s="6"/>
      <c r="GM179" s="6"/>
      <c r="GN179" s="6"/>
      <c r="GO179" s="6"/>
      <c r="GP179" s="6"/>
      <c r="GQ179" s="6"/>
      <c r="GR179" s="6"/>
      <c r="GS179" s="6"/>
      <c r="GT179" s="6"/>
      <c r="GU179" s="6"/>
      <c r="GV179" s="6"/>
      <c r="GW179" s="6"/>
      <c r="GX179" s="6"/>
      <c r="GY179" s="6"/>
      <c r="GZ179" s="6"/>
      <c r="HA179" s="6"/>
      <c r="HB179" s="6"/>
      <c r="HC179" s="6"/>
      <c r="HD179" s="6"/>
      <c r="HE179" s="6"/>
      <c r="HF179" s="6"/>
      <c r="HG179" s="6"/>
      <c r="HH179" s="6"/>
    </row>
    <row r="180" spans="1:216" x14ac:dyDescent="0.3">
      <c r="A180" s="8" t="str">
        <f>HYPERLINK("https://hpr-rps.hres.ca/reg-content/summary-basis-decision-detailTwo.php?lang=en&amp;linkID=SBD00180", "Daklinza")</f>
        <v>Daklinza</v>
      </c>
      <c r="B180" s="6" t="s">
        <v>527</v>
      </c>
      <c r="C180" s="6" t="s">
        <v>81</v>
      </c>
      <c r="D180" s="6" t="s">
        <v>528</v>
      </c>
      <c r="E180" s="6"/>
      <c r="F180" s="6"/>
      <c r="G180" s="6"/>
      <c r="H180" s="6">
        <v>41775</v>
      </c>
      <c r="I180" s="6"/>
      <c r="J180" s="6"/>
      <c r="K180" s="6"/>
      <c r="L180" s="6"/>
      <c r="M180" s="6"/>
      <c r="N180" s="6"/>
      <c r="O180" s="6"/>
      <c r="P180" s="6"/>
      <c r="Q180" s="6"/>
      <c r="R180" s="6"/>
      <c r="S180" s="6"/>
      <c r="T180" s="6"/>
      <c r="U180" s="6"/>
      <c r="V180" s="6"/>
      <c r="W180" s="6"/>
      <c r="X180" s="6"/>
      <c r="Y180" s="6"/>
      <c r="Z180" s="6"/>
      <c r="AA180" s="6"/>
      <c r="AB180" s="6"/>
      <c r="AC180" s="6"/>
      <c r="AD180" s="6"/>
      <c r="AE180" s="6"/>
      <c r="AF180" s="6">
        <v>41838</v>
      </c>
      <c r="AG180" s="6"/>
      <c r="AH180" s="6"/>
      <c r="AI180" s="6"/>
      <c r="AJ180" s="6"/>
      <c r="AK180" s="6"/>
      <c r="AL180" s="6"/>
      <c r="AM180" s="6"/>
      <c r="AN180" s="6"/>
      <c r="AO180" s="6"/>
      <c r="AP180" s="6"/>
      <c r="AQ180" s="6"/>
      <c r="AR180" s="6">
        <v>42222</v>
      </c>
      <c r="AS180" s="6">
        <v>42153</v>
      </c>
      <c r="AT180" s="6"/>
      <c r="AU180" s="6"/>
      <c r="AV180" s="6">
        <v>42185</v>
      </c>
      <c r="AW180" s="6"/>
      <c r="AX180" s="6"/>
      <c r="AY180" s="6"/>
      <c r="AZ180" s="6">
        <v>42223</v>
      </c>
      <c r="BA180" s="6"/>
      <c r="BB180" s="6"/>
      <c r="BC180" s="6"/>
      <c r="BD180" s="6"/>
      <c r="BE180" s="6"/>
      <c r="BF180" s="6"/>
      <c r="BG180" s="6"/>
      <c r="BH180" s="6"/>
      <c r="BI180" s="6"/>
      <c r="BJ180" s="6"/>
      <c r="BK180" s="6"/>
      <c r="BL180" s="6">
        <v>42200</v>
      </c>
      <c r="BM180" s="6">
        <v>42229</v>
      </c>
      <c r="BN180" s="6"/>
      <c r="BO180" s="6"/>
      <c r="BP180" s="6"/>
      <c r="BQ180" s="6"/>
      <c r="BR180" s="6"/>
      <c r="BS180" s="6"/>
      <c r="BT180" s="6"/>
      <c r="BU180" s="6"/>
      <c r="BV180" s="6"/>
      <c r="BW180" s="6"/>
      <c r="BX180" s="6"/>
      <c r="BY180" s="6">
        <v>42212</v>
      </c>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c r="FZ180" s="6"/>
      <c r="GA180" s="6"/>
      <c r="GB180" s="6"/>
      <c r="GC180" s="6"/>
      <c r="GD180" s="6"/>
      <c r="GE180" s="6"/>
      <c r="GF180" s="6"/>
      <c r="GG180" s="6"/>
      <c r="GH180" s="6"/>
      <c r="GI180" s="6"/>
      <c r="GJ180" s="6"/>
      <c r="GK180" s="6"/>
      <c r="GL180" s="6"/>
      <c r="GM180" s="6"/>
      <c r="GN180" s="6"/>
      <c r="GO180" s="6"/>
      <c r="GP180" s="6"/>
      <c r="GQ180" s="6"/>
      <c r="GR180" s="6"/>
      <c r="GS180" s="6"/>
      <c r="GT180" s="6"/>
      <c r="GU180" s="6"/>
      <c r="GV180" s="6"/>
      <c r="GW180" s="6"/>
      <c r="GX180" s="6"/>
      <c r="GY180" s="6"/>
      <c r="GZ180" s="6"/>
      <c r="HA180" s="6"/>
      <c r="HB180" s="6"/>
      <c r="HC180" s="6"/>
      <c r="HD180" s="6"/>
      <c r="HE180" s="6"/>
      <c r="HF180" s="6"/>
      <c r="HG180" s="6"/>
      <c r="HH180" s="6"/>
    </row>
    <row r="181" spans="1:216" x14ac:dyDescent="0.3">
      <c r="A181" s="8" t="str">
        <f>HYPERLINK("https://hpr-rps.hres.ca/reg-content/summary-basis-decision-detailTwo.php?lang=en&amp;linkID=SBD00181", "Diacomit")</f>
        <v>Diacomit</v>
      </c>
      <c r="B181" s="6" t="s">
        <v>529</v>
      </c>
      <c r="C181" s="6" t="s">
        <v>530</v>
      </c>
      <c r="D181" s="6" t="s">
        <v>531</v>
      </c>
      <c r="E181" s="6">
        <v>40078</v>
      </c>
      <c r="F181" s="6"/>
      <c r="G181" s="6"/>
      <c r="H181" s="6">
        <v>40459</v>
      </c>
      <c r="I181" s="6"/>
      <c r="J181" s="6"/>
      <c r="K181" s="6"/>
      <c r="L181" s="6"/>
      <c r="M181" s="6"/>
      <c r="N181" s="6"/>
      <c r="O181" s="6"/>
      <c r="P181" s="6"/>
      <c r="Q181" s="6"/>
      <c r="R181" s="6"/>
      <c r="S181" s="6"/>
      <c r="T181" s="6"/>
      <c r="U181" s="6"/>
      <c r="V181" s="6"/>
      <c r="W181" s="6"/>
      <c r="X181" s="6"/>
      <c r="Y181" s="6"/>
      <c r="Z181" s="6">
        <v>40520</v>
      </c>
      <c r="AA181" s="6"/>
      <c r="AB181" s="6"/>
      <c r="AC181" s="6">
        <v>40553</v>
      </c>
      <c r="AD181" s="6"/>
      <c r="AE181" s="6"/>
      <c r="AF181" s="6">
        <v>40564</v>
      </c>
      <c r="AG181" s="6"/>
      <c r="AH181" s="6"/>
      <c r="AI181" s="6"/>
      <c r="AJ181" s="6"/>
      <c r="AK181" s="6"/>
      <c r="AL181" s="6"/>
      <c r="AM181" s="6"/>
      <c r="AN181" s="6"/>
      <c r="AO181" s="6"/>
      <c r="AP181" s="6"/>
      <c r="AQ181" s="6"/>
      <c r="AR181" s="6">
        <v>40834</v>
      </c>
      <c r="AS181" s="6">
        <v>40834</v>
      </c>
      <c r="AT181" s="6"/>
      <c r="AU181" s="6"/>
      <c r="AV181" s="6">
        <v>40834</v>
      </c>
      <c r="AW181" s="6"/>
      <c r="AX181" s="6"/>
      <c r="AY181" s="6"/>
      <c r="AZ181" s="6">
        <v>40834</v>
      </c>
      <c r="BA181" s="6"/>
      <c r="BB181" s="6"/>
      <c r="BC181" s="6"/>
      <c r="BD181" s="6"/>
      <c r="BE181" s="6"/>
      <c r="BF181" s="6"/>
      <c r="BG181" s="6"/>
      <c r="BH181" s="6"/>
      <c r="BI181" s="6"/>
      <c r="BJ181" s="6"/>
      <c r="BK181" s="6"/>
      <c r="BL181" s="6"/>
      <c r="BM181" s="6"/>
      <c r="BN181" s="6"/>
      <c r="BO181" s="6"/>
      <c r="BP181" s="6">
        <v>40834</v>
      </c>
      <c r="BQ181" s="6"/>
      <c r="BR181" s="6"/>
      <c r="BS181" s="6"/>
      <c r="BT181" s="6"/>
      <c r="BU181" s="6"/>
      <c r="BV181" s="6"/>
      <c r="BW181" s="6"/>
      <c r="BX181" s="6"/>
      <c r="BY181" s="6">
        <v>40926</v>
      </c>
      <c r="BZ181" s="6"/>
      <c r="CA181" s="6"/>
      <c r="CB181" s="6"/>
      <c r="CC181" s="6"/>
      <c r="CD181" s="6"/>
      <c r="CE181" s="6"/>
      <c r="CF181" s="6"/>
      <c r="CG181" s="6"/>
      <c r="CH181" s="6"/>
      <c r="CI181" s="6"/>
      <c r="CJ181" s="6"/>
      <c r="CK181" s="6"/>
      <c r="CL181" s="6"/>
      <c r="CM181" s="6"/>
      <c r="CN181" s="6"/>
      <c r="CO181" s="6"/>
      <c r="CP181" s="6"/>
      <c r="CQ181" s="6"/>
      <c r="CR181" s="6">
        <v>40970</v>
      </c>
      <c r="CS181" s="6"/>
      <c r="CT181" s="6"/>
      <c r="CU181" s="6"/>
      <c r="CV181" s="6"/>
      <c r="CW181" s="6"/>
      <c r="CX181" s="6"/>
      <c r="CY181" s="6"/>
      <c r="CZ181" s="6"/>
      <c r="DA181" s="6"/>
      <c r="DB181" s="6"/>
      <c r="DC181" s="6"/>
      <c r="DD181" s="6">
        <v>41256</v>
      </c>
      <c r="DE181" s="6">
        <v>41187</v>
      </c>
      <c r="DF181" s="6"/>
      <c r="DG181" s="6"/>
      <c r="DH181" s="6">
        <v>41257</v>
      </c>
      <c r="DI181" s="6"/>
      <c r="DJ181" s="6"/>
      <c r="DK181" s="6"/>
      <c r="DL181" s="6">
        <v>41260</v>
      </c>
      <c r="DM181" s="6"/>
      <c r="DN181" s="6"/>
      <c r="DO181" s="6"/>
      <c r="DP181" s="6"/>
      <c r="DQ181" s="6"/>
      <c r="DR181" s="6"/>
      <c r="DS181" s="6"/>
      <c r="DT181" s="6"/>
      <c r="DU181" s="6"/>
      <c r="DV181" s="6"/>
      <c r="DW181" s="6"/>
      <c r="DX181" s="6"/>
      <c r="DY181" s="6">
        <v>41264</v>
      </c>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c r="FZ181" s="6"/>
      <c r="GA181" s="6"/>
      <c r="GB181" s="6"/>
      <c r="GC181" s="6"/>
      <c r="GD181" s="6"/>
      <c r="GE181" s="6"/>
      <c r="GF181" s="6"/>
      <c r="GG181" s="6"/>
      <c r="GH181" s="6"/>
      <c r="GI181" s="6"/>
      <c r="GJ181" s="6"/>
      <c r="GK181" s="6"/>
      <c r="GL181" s="6"/>
      <c r="GM181" s="6"/>
      <c r="GN181" s="6"/>
      <c r="GO181" s="6"/>
      <c r="GP181" s="6"/>
      <c r="GQ181" s="6"/>
      <c r="GR181" s="6"/>
      <c r="GS181" s="6"/>
      <c r="GT181" s="6"/>
      <c r="GU181" s="6"/>
      <c r="GV181" s="6"/>
      <c r="GW181" s="6"/>
      <c r="GX181" s="6"/>
      <c r="GY181" s="6"/>
      <c r="GZ181" s="6"/>
      <c r="HA181" s="6"/>
      <c r="HB181" s="6"/>
      <c r="HC181" s="6"/>
      <c r="HD181" s="6"/>
      <c r="HE181" s="6"/>
      <c r="HF181" s="6"/>
      <c r="HG181" s="6"/>
      <c r="HH181" s="6"/>
    </row>
    <row r="182" spans="1:216" x14ac:dyDescent="0.3">
      <c r="A182" s="8" t="str">
        <f>HYPERLINK("https://hpr-rps.hres.ca/reg-content/summary-basis-decision-detailTwo.php?lang=en&amp;linkID=SBD00182", "Duavive")</f>
        <v>Duavive</v>
      </c>
      <c r="B182" s="6" t="s">
        <v>532</v>
      </c>
      <c r="C182" s="6" t="s">
        <v>143</v>
      </c>
      <c r="D182" s="6" t="s">
        <v>533</v>
      </c>
      <c r="E182" s="6">
        <v>41501</v>
      </c>
      <c r="F182" s="6"/>
      <c r="G182" s="6"/>
      <c r="H182" s="6">
        <v>41848</v>
      </c>
      <c r="I182" s="6"/>
      <c r="J182" s="6"/>
      <c r="K182" s="6"/>
      <c r="L182" s="6"/>
      <c r="M182" s="6"/>
      <c r="N182" s="6"/>
      <c r="O182" s="6"/>
      <c r="P182" s="6"/>
      <c r="Q182" s="6"/>
      <c r="R182" s="6"/>
      <c r="S182" s="6"/>
      <c r="T182" s="6"/>
      <c r="U182" s="6"/>
      <c r="V182" s="6"/>
      <c r="W182" s="6"/>
      <c r="X182" s="6"/>
      <c r="Y182" s="6"/>
      <c r="Z182" s="6"/>
      <c r="AA182" s="6"/>
      <c r="AB182" s="6"/>
      <c r="AC182" s="6"/>
      <c r="AD182" s="6"/>
      <c r="AE182" s="6"/>
      <c r="AF182" s="6">
        <v>41901</v>
      </c>
      <c r="AG182" s="6"/>
      <c r="AH182" s="6"/>
      <c r="AI182" s="6"/>
      <c r="AJ182" s="6"/>
      <c r="AK182" s="6"/>
      <c r="AL182" s="6"/>
      <c r="AM182" s="6"/>
      <c r="AN182" s="6"/>
      <c r="AO182" s="6"/>
      <c r="AP182" s="6"/>
      <c r="AQ182" s="6"/>
      <c r="AR182" s="6">
        <v>42200</v>
      </c>
      <c r="AS182" s="6">
        <v>42180</v>
      </c>
      <c r="AT182" s="6"/>
      <c r="AU182" s="6"/>
      <c r="AV182" s="6">
        <v>42200</v>
      </c>
      <c r="AW182" s="6"/>
      <c r="AX182" s="6">
        <v>42177</v>
      </c>
      <c r="AY182" s="6"/>
      <c r="AZ182" s="6">
        <v>42157</v>
      </c>
      <c r="BA182" s="6"/>
      <c r="BB182" s="6"/>
      <c r="BC182" s="6"/>
      <c r="BD182" s="6"/>
      <c r="BE182" s="6"/>
      <c r="BF182" s="6"/>
      <c r="BG182" s="6"/>
      <c r="BH182" s="6"/>
      <c r="BI182" s="6"/>
      <c r="BJ182" s="6"/>
      <c r="BK182" s="6"/>
      <c r="BL182" s="6"/>
      <c r="BM182" s="6">
        <v>42201</v>
      </c>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row>
    <row r="183" spans="1:216" x14ac:dyDescent="0.3">
      <c r="A183" s="8" t="str">
        <f>HYPERLINK("https://hpr-rps.hres.ca/reg-content/summary-basis-decision-detailTwo.php?lang=en&amp;linkID=SBD00185", "Egrifta")</f>
        <v>Egrifta</v>
      </c>
      <c r="B183" s="6" t="s">
        <v>534</v>
      </c>
      <c r="C183" s="6" t="s">
        <v>535</v>
      </c>
      <c r="D183" s="6" t="s">
        <v>536</v>
      </c>
      <c r="E183" s="6">
        <v>40323</v>
      </c>
      <c r="F183" s="6"/>
      <c r="G183" s="6"/>
      <c r="H183" s="6">
        <v>41443</v>
      </c>
      <c r="I183" s="6"/>
      <c r="J183" s="6"/>
      <c r="K183" s="6"/>
      <c r="L183" s="6"/>
      <c r="M183" s="6"/>
      <c r="N183" s="6"/>
      <c r="O183" s="6"/>
      <c r="P183" s="6"/>
      <c r="Q183" s="6"/>
      <c r="R183" s="6"/>
      <c r="S183" s="6"/>
      <c r="T183" s="6"/>
      <c r="U183" s="6"/>
      <c r="V183" s="6"/>
      <c r="W183" s="6"/>
      <c r="X183" s="6"/>
      <c r="Y183" s="6"/>
      <c r="Z183" s="6"/>
      <c r="AA183" s="6"/>
      <c r="AB183" s="6"/>
      <c r="AC183" s="6"/>
      <c r="AD183" s="6"/>
      <c r="AE183" s="6"/>
      <c r="AF183" s="6">
        <v>41488</v>
      </c>
      <c r="AG183" s="6"/>
      <c r="AH183" s="6"/>
      <c r="AI183" s="6"/>
      <c r="AJ183" s="6"/>
      <c r="AK183" s="6"/>
      <c r="AL183" s="6"/>
      <c r="AM183" s="6"/>
      <c r="AN183" s="6"/>
      <c r="AO183" s="6">
        <v>41662</v>
      </c>
      <c r="AP183" s="6"/>
      <c r="AQ183" s="6"/>
      <c r="AR183" s="6">
        <v>41782</v>
      </c>
      <c r="AS183" s="6"/>
      <c r="AT183" s="6"/>
      <c r="AU183" s="6"/>
      <c r="AV183" s="6">
        <v>41787</v>
      </c>
      <c r="AW183" s="6"/>
      <c r="AX183" s="6"/>
      <c r="AY183" s="6"/>
      <c r="AZ183" s="6">
        <v>41785</v>
      </c>
      <c r="BA183" s="6"/>
      <c r="BB183" s="6"/>
      <c r="BC183" s="6"/>
      <c r="BD183" s="6"/>
      <c r="BE183" s="6"/>
      <c r="BF183" s="6"/>
      <c r="BG183" s="6"/>
      <c r="BH183" s="6"/>
      <c r="BI183" s="6"/>
      <c r="BJ183" s="6"/>
      <c r="BK183" s="6"/>
      <c r="BL183" s="6"/>
      <c r="BM183" s="6">
        <v>41788</v>
      </c>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row>
    <row r="184" spans="1:216" x14ac:dyDescent="0.3">
      <c r="A184" s="8" t="str">
        <f>HYPERLINK("https://hpr-rps.hres.ca/reg-content/summary-basis-decision-detailTwo.php?lang=en&amp;linkID=SBD00183", "Durezol")</f>
        <v>Durezol</v>
      </c>
      <c r="B184" s="6" t="s">
        <v>537</v>
      </c>
      <c r="C184" s="6" t="s">
        <v>538</v>
      </c>
      <c r="D184" s="6" t="s">
        <v>539</v>
      </c>
      <c r="E184" s="6">
        <v>41354</v>
      </c>
      <c r="F184" s="6"/>
      <c r="G184" s="6"/>
      <c r="H184" s="6">
        <v>41582</v>
      </c>
      <c r="I184" s="6"/>
      <c r="J184" s="6"/>
      <c r="K184" s="6"/>
      <c r="L184" s="6"/>
      <c r="M184" s="6"/>
      <c r="N184" s="6"/>
      <c r="O184" s="6"/>
      <c r="P184" s="6"/>
      <c r="Q184" s="6"/>
      <c r="R184" s="6"/>
      <c r="S184" s="6"/>
      <c r="T184" s="6"/>
      <c r="U184" s="6"/>
      <c r="V184" s="6"/>
      <c r="W184" s="6"/>
      <c r="X184" s="6"/>
      <c r="Y184" s="6"/>
      <c r="Z184" s="6"/>
      <c r="AA184" s="6"/>
      <c r="AB184" s="6"/>
      <c r="AC184" s="6"/>
      <c r="AD184" s="6"/>
      <c r="AE184" s="6"/>
      <c r="AF184" s="6">
        <v>41635</v>
      </c>
      <c r="AG184" s="6"/>
      <c r="AH184" s="6"/>
      <c r="AI184" s="6"/>
      <c r="AJ184" s="6"/>
      <c r="AK184" s="6"/>
      <c r="AL184" s="6"/>
      <c r="AM184" s="6"/>
      <c r="AN184" s="6"/>
      <c r="AO184" s="6"/>
      <c r="AP184" s="6"/>
      <c r="AQ184" s="6"/>
      <c r="AR184" s="6">
        <v>41920</v>
      </c>
      <c r="AS184" s="6"/>
      <c r="AT184" s="6"/>
      <c r="AU184" s="6"/>
      <c r="AV184" s="6">
        <v>41922</v>
      </c>
      <c r="AW184" s="6"/>
      <c r="AX184" s="6"/>
      <c r="AY184" s="6"/>
      <c r="AZ184" s="6">
        <v>41927</v>
      </c>
      <c r="BA184" s="6"/>
      <c r="BB184" s="6"/>
      <c r="BC184" s="6"/>
      <c r="BD184" s="6"/>
      <c r="BE184" s="6"/>
      <c r="BF184" s="6"/>
      <c r="BG184" s="6"/>
      <c r="BH184" s="6"/>
      <c r="BI184" s="6"/>
      <c r="BJ184" s="6"/>
      <c r="BK184" s="6"/>
      <c r="BL184" s="6"/>
      <c r="BM184" s="6">
        <v>41935</v>
      </c>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c r="FZ184" s="6"/>
      <c r="GA184" s="6"/>
      <c r="GB184" s="6"/>
      <c r="GC184" s="6"/>
      <c r="GD184" s="6"/>
      <c r="GE184" s="6"/>
      <c r="GF184" s="6"/>
      <c r="GG184" s="6"/>
      <c r="GH184" s="6"/>
      <c r="GI184" s="6"/>
      <c r="GJ184" s="6"/>
      <c r="GK184" s="6"/>
      <c r="GL184" s="6"/>
      <c r="GM184" s="6"/>
      <c r="GN184" s="6"/>
      <c r="GO184" s="6"/>
      <c r="GP184" s="6"/>
      <c r="GQ184" s="6"/>
      <c r="GR184" s="6"/>
      <c r="GS184" s="6"/>
      <c r="GT184" s="6"/>
      <c r="GU184" s="6"/>
      <c r="GV184" s="6"/>
      <c r="GW184" s="6"/>
      <c r="GX184" s="6"/>
      <c r="GY184" s="6"/>
      <c r="GZ184" s="6"/>
      <c r="HA184" s="6"/>
      <c r="HB184" s="6"/>
      <c r="HC184" s="6"/>
      <c r="HD184" s="6"/>
      <c r="HE184" s="6"/>
      <c r="HF184" s="6"/>
      <c r="HG184" s="6"/>
      <c r="HH184" s="6"/>
    </row>
    <row r="185" spans="1:216" x14ac:dyDescent="0.3">
      <c r="A185" s="8" t="str">
        <f>HYPERLINK("https://hpr-rps.hres.ca/reg-content/summary-basis-decision-detailTwo.php?lang=en&amp;linkID=SBD00184", "Dymista")</f>
        <v>Dymista</v>
      </c>
      <c r="B185" s="6" t="s">
        <v>540</v>
      </c>
      <c r="C185" s="6" t="s">
        <v>541</v>
      </c>
      <c r="D185" s="6" t="s">
        <v>542</v>
      </c>
      <c r="E185" s="6">
        <v>41354</v>
      </c>
      <c r="F185" s="6"/>
      <c r="G185" s="6"/>
      <c r="H185" s="6">
        <v>41582</v>
      </c>
      <c r="I185" s="6"/>
      <c r="J185" s="6"/>
      <c r="K185" s="6"/>
      <c r="L185" s="6"/>
      <c r="M185" s="6"/>
      <c r="N185" s="6"/>
      <c r="O185" s="6"/>
      <c r="P185" s="6"/>
      <c r="Q185" s="6"/>
      <c r="R185" s="6"/>
      <c r="S185" s="6"/>
      <c r="T185" s="6"/>
      <c r="U185" s="6"/>
      <c r="V185" s="6"/>
      <c r="W185" s="6"/>
      <c r="X185" s="6"/>
      <c r="Y185" s="6"/>
      <c r="Z185" s="6"/>
      <c r="AA185" s="6"/>
      <c r="AB185" s="6"/>
      <c r="AC185" s="6"/>
      <c r="AD185" s="6"/>
      <c r="AE185" s="6"/>
      <c r="AF185" s="6">
        <v>41635</v>
      </c>
      <c r="AG185" s="6"/>
      <c r="AH185" s="6"/>
      <c r="AI185" s="6"/>
      <c r="AJ185" s="6"/>
      <c r="AK185" s="6"/>
      <c r="AL185" s="6"/>
      <c r="AM185" s="6"/>
      <c r="AN185" s="6"/>
      <c r="AO185" s="6"/>
      <c r="AP185" s="6"/>
      <c r="AQ185" s="6"/>
      <c r="AR185" s="6">
        <v>41920</v>
      </c>
      <c r="AS185" s="6"/>
      <c r="AT185" s="6"/>
      <c r="AU185" s="6"/>
      <c r="AV185" s="6">
        <v>41922</v>
      </c>
      <c r="AW185" s="6"/>
      <c r="AX185" s="6"/>
      <c r="AY185" s="6"/>
      <c r="AZ185" s="6">
        <v>41927</v>
      </c>
      <c r="BA185" s="6"/>
      <c r="BB185" s="6"/>
      <c r="BC185" s="6"/>
      <c r="BD185" s="6"/>
      <c r="BE185" s="6"/>
      <c r="BF185" s="6"/>
      <c r="BG185" s="6"/>
      <c r="BH185" s="6"/>
      <c r="BI185" s="6"/>
      <c r="BJ185" s="6"/>
      <c r="BK185" s="6"/>
      <c r="BL185" s="6"/>
      <c r="BM185" s="6">
        <v>41935</v>
      </c>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c r="FZ185" s="6"/>
      <c r="GA185" s="6"/>
      <c r="GB185" s="6"/>
      <c r="GC185" s="6"/>
      <c r="GD185" s="6"/>
      <c r="GE185" s="6"/>
      <c r="GF185" s="6"/>
      <c r="GG185" s="6"/>
      <c r="GH185" s="6"/>
      <c r="GI185" s="6"/>
      <c r="GJ185" s="6"/>
      <c r="GK185" s="6"/>
      <c r="GL185" s="6"/>
      <c r="GM185" s="6"/>
      <c r="GN185" s="6"/>
      <c r="GO185" s="6"/>
      <c r="GP185" s="6"/>
      <c r="GQ185" s="6"/>
      <c r="GR185" s="6"/>
      <c r="GS185" s="6"/>
      <c r="GT185" s="6"/>
      <c r="GU185" s="6"/>
      <c r="GV185" s="6"/>
      <c r="GW185" s="6"/>
      <c r="GX185" s="6"/>
      <c r="GY185" s="6"/>
      <c r="GZ185" s="6"/>
      <c r="HA185" s="6"/>
      <c r="HB185" s="6"/>
      <c r="HC185" s="6"/>
      <c r="HD185" s="6"/>
      <c r="HE185" s="6"/>
      <c r="HF185" s="6"/>
      <c r="HG185" s="6"/>
      <c r="HH185" s="6"/>
    </row>
    <row r="186" spans="1:216" x14ac:dyDescent="0.3">
      <c r="A186" s="8" t="str">
        <f>HYPERLINK("https://hpr-rps.hres.ca/reg-content/summary-basis-decision-detailTwo.php?lang=en&amp;linkID=SBD00186", "Elelyso")</f>
        <v>Elelyso</v>
      </c>
      <c r="B186" s="6" t="s">
        <v>543</v>
      </c>
      <c r="C186" s="6" t="s">
        <v>143</v>
      </c>
      <c r="D186" s="6" t="s">
        <v>544</v>
      </c>
      <c r="E186" s="6">
        <v>40323</v>
      </c>
      <c r="F186" s="6"/>
      <c r="G186" s="6"/>
      <c r="H186" s="6">
        <v>41443</v>
      </c>
      <c r="I186" s="6"/>
      <c r="J186" s="6"/>
      <c r="K186" s="6"/>
      <c r="L186" s="6"/>
      <c r="M186" s="6"/>
      <c r="N186" s="6"/>
      <c r="O186" s="6"/>
      <c r="P186" s="6"/>
      <c r="Q186" s="6"/>
      <c r="R186" s="6"/>
      <c r="S186" s="6"/>
      <c r="T186" s="6"/>
      <c r="U186" s="6"/>
      <c r="V186" s="6"/>
      <c r="W186" s="6"/>
      <c r="X186" s="6"/>
      <c r="Y186" s="6"/>
      <c r="Z186" s="6"/>
      <c r="AA186" s="6"/>
      <c r="AB186" s="6"/>
      <c r="AC186" s="6"/>
      <c r="AD186" s="6"/>
      <c r="AE186" s="6"/>
      <c r="AF186" s="6">
        <v>41488</v>
      </c>
      <c r="AG186" s="6"/>
      <c r="AH186" s="6"/>
      <c r="AI186" s="6"/>
      <c r="AJ186" s="6"/>
      <c r="AK186" s="6"/>
      <c r="AL186" s="6"/>
      <c r="AM186" s="6"/>
      <c r="AN186" s="6"/>
      <c r="AO186" s="6">
        <v>41662</v>
      </c>
      <c r="AP186" s="6"/>
      <c r="AQ186" s="6"/>
      <c r="AR186" s="6">
        <v>41782</v>
      </c>
      <c r="AS186" s="6"/>
      <c r="AT186" s="6"/>
      <c r="AU186" s="6"/>
      <c r="AV186" s="6">
        <v>41787</v>
      </c>
      <c r="AW186" s="6"/>
      <c r="AX186" s="6"/>
      <c r="AY186" s="6"/>
      <c r="AZ186" s="6">
        <v>41785</v>
      </c>
      <c r="BA186" s="6"/>
      <c r="BB186" s="6"/>
      <c r="BC186" s="6"/>
      <c r="BD186" s="6"/>
      <c r="BE186" s="6"/>
      <c r="BF186" s="6"/>
      <c r="BG186" s="6"/>
      <c r="BH186" s="6"/>
      <c r="BI186" s="6"/>
      <c r="BJ186" s="6"/>
      <c r="BK186" s="6"/>
      <c r="BL186" s="6"/>
      <c r="BM186" s="6">
        <v>41788</v>
      </c>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c r="FZ186" s="6"/>
      <c r="GA186" s="6"/>
      <c r="GB186" s="6"/>
      <c r="GC186" s="6"/>
      <c r="GD186" s="6"/>
      <c r="GE186" s="6"/>
      <c r="GF186" s="6"/>
      <c r="GG186" s="6"/>
      <c r="GH186" s="6"/>
      <c r="GI186" s="6"/>
      <c r="GJ186" s="6"/>
      <c r="GK186" s="6"/>
      <c r="GL186" s="6"/>
      <c r="GM186" s="6"/>
      <c r="GN186" s="6"/>
      <c r="GO186" s="6"/>
      <c r="GP186" s="6"/>
      <c r="GQ186" s="6"/>
      <c r="GR186" s="6"/>
      <c r="GS186" s="6"/>
      <c r="GT186" s="6"/>
      <c r="GU186" s="6"/>
      <c r="GV186" s="6"/>
      <c r="GW186" s="6"/>
      <c r="GX186" s="6"/>
      <c r="GY186" s="6"/>
      <c r="GZ186" s="6"/>
      <c r="HA186" s="6"/>
      <c r="HB186" s="6"/>
      <c r="HC186" s="6"/>
      <c r="HD186" s="6"/>
      <c r="HE186" s="6"/>
      <c r="HF186" s="6"/>
      <c r="HG186" s="6"/>
      <c r="HH186" s="6"/>
    </row>
    <row r="187" spans="1:216" x14ac:dyDescent="0.3">
      <c r="A187" s="8" t="str">
        <f>HYPERLINK("https://hpr-rps.hres.ca/reg-content/summary-basis-decision-detailTwo.php?lang=en&amp;linkID=SBD00187", "Sivextro")</f>
        <v>Sivextro</v>
      </c>
      <c r="B187" s="6" t="s">
        <v>545</v>
      </c>
      <c r="C187" s="6" t="s">
        <v>546</v>
      </c>
      <c r="D187" s="6" t="s">
        <v>547</v>
      </c>
      <c r="E187" s="6">
        <v>41570</v>
      </c>
      <c r="F187" s="6"/>
      <c r="G187" s="6"/>
      <c r="H187" s="6"/>
      <c r="I187" s="6"/>
      <c r="J187" s="6"/>
      <c r="K187" s="6"/>
      <c r="L187" s="6"/>
      <c r="M187" s="6"/>
      <c r="N187" s="6">
        <v>41690</v>
      </c>
      <c r="O187" s="6"/>
      <c r="P187" s="6"/>
      <c r="Q187" s="6"/>
      <c r="R187" s="6"/>
      <c r="S187" s="6"/>
      <c r="T187" s="6">
        <v>41723</v>
      </c>
      <c r="U187" s="6"/>
      <c r="V187" s="6">
        <v>41730</v>
      </c>
      <c r="W187" s="6"/>
      <c r="X187" s="6"/>
      <c r="Y187" s="6"/>
      <c r="Z187" s="6"/>
      <c r="AA187" s="6"/>
      <c r="AB187" s="6"/>
      <c r="AC187" s="6"/>
      <c r="AD187" s="6"/>
      <c r="AE187" s="6"/>
      <c r="AF187" s="6">
        <v>41780</v>
      </c>
      <c r="AG187" s="6"/>
      <c r="AH187" s="6"/>
      <c r="AI187" s="6"/>
      <c r="AJ187" s="6"/>
      <c r="AK187" s="6"/>
      <c r="AL187" s="6"/>
      <c r="AM187" s="6"/>
      <c r="AN187" s="6"/>
      <c r="AO187" s="6"/>
      <c r="AP187" s="6"/>
      <c r="AQ187" s="6"/>
      <c r="AR187" s="6">
        <v>42074</v>
      </c>
      <c r="AS187" s="6">
        <v>42020</v>
      </c>
      <c r="AT187" s="6"/>
      <c r="AU187" s="6"/>
      <c r="AV187" s="6">
        <v>42067</v>
      </c>
      <c r="AW187" s="6"/>
      <c r="AX187" s="6"/>
      <c r="AY187" s="6"/>
      <c r="AZ187" s="6">
        <v>42079</v>
      </c>
      <c r="BA187" s="6"/>
      <c r="BB187" s="6"/>
      <c r="BC187" s="6"/>
      <c r="BD187" s="6"/>
      <c r="BE187" s="6"/>
      <c r="BF187" s="6"/>
      <c r="BG187" s="6"/>
      <c r="BH187" s="6"/>
      <c r="BI187" s="6"/>
      <c r="BJ187" s="6"/>
      <c r="BK187" s="6"/>
      <c r="BL187" s="6"/>
      <c r="BM187" s="6">
        <v>42080</v>
      </c>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row>
    <row r="188" spans="1:216" x14ac:dyDescent="0.3">
      <c r="A188" s="8" t="str">
        <f>HYPERLINK("https://hpr-rps.hres.ca/reg-content/summary-basis-decision-detailTwo.php?lang=en&amp;linkID=SBD00188", "Sovaldi")</f>
        <v>Sovaldi</v>
      </c>
      <c r="B188" s="6" t="s">
        <v>548</v>
      </c>
      <c r="C188" s="6" t="s">
        <v>549</v>
      </c>
      <c r="D188" s="6" t="s">
        <v>550</v>
      </c>
      <c r="E188" s="6">
        <v>41353</v>
      </c>
      <c r="F188" s="6"/>
      <c r="G188" s="6"/>
      <c r="H188" s="6"/>
      <c r="I188" s="6"/>
      <c r="J188" s="6"/>
      <c r="K188" s="6"/>
      <c r="L188" s="6"/>
      <c r="M188" s="6"/>
      <c r="N188" s="6">
        <v>41379</v>
      </c>
      <c r="O188" s="6"/>
      <c r="P188" s="6"/>
      <c r="Q188" s="6"/>
      <c r="R188" s="6"/>
      <c r="S188" s="6">
        <v>41411</v>
      </c>
      <c r="T188" s="6"/>
      <c r="U188" s="6"/>
      <c r="V188" s="6"/>
      <c r="W188" s="6"/>
      <c r="X188" s="6"/>
      <c r="Y188" s="6"/>
      <c r="Z188" s="6"/>
      <c r="AA188" s="6"/>
      <c r="AB188" s="6"/>
      <c r="AC188" s="6"/>
      <c r="AD188" s="6"/>
      <c r="AE188" s="6"/>
      <c r="AF188" s="6">
        <v>41439</v>
      </c>
      <c r="AG188" s="6"/>
      <c r="AH188" s="6"/>
      <c r="AI188" s="6"/>
      <c r="AJ188" s="6"/>
      <c r="AK188" s="6"/>
      <c r="AL188" s="6"/>
      <c r="AM188" s="6"/>
      <c r="AN188" s="6"/>
      <c r="AO188" s="6"/>
      <c r="AP188" s="6"/>
      <c r="AQ188" s="6"/>
      <c r="AR188" s="6">
        <v>41620</v>
      </c>
      <c r="AS188" s="6">
        <v>41591</v>
      </c>
      <c r="AT188" s="6"/>
      <c r="AU188" s="6"/>
      <c r="AV188" s="6">
        <v>41605</v>
      </c>
      <c r="AW188" s="6"/>
      <c r="AX188" s="6"/>
      <c r="AY188" s="6"/>
      <c r="AZ188" s="6">
        <v>41620</v>
      </c>
      <c r="BA188" s="6"/>
      <c r="BB188" s="6"/>
      <c r="BC188" s="6"/>
      <c r="BD188" s="6"/>
      <c r="BE188" s="6"/>
      <c r="BF188" s="6"/>
      <c r="BG188" s="6"/>
      <c r="BH188" s="6"/>
      <c r="BI188" s="6"/>
      <c r="BJ188" s="6"/>
      <c r="BK188" s="6"/>
      <c r="BL188" s="6"/>
      <c r="BM188" s="6">
        <v>41621</v>
      </c>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row>
    <row r="189" spans="1:216" x14ac:dyDescent="0.3">
      <c r="A189" s="8" t="str">
        <f>HYPERLINK("https://hpr-rps.hres.ca/reg-content/summary-basis-decision-detailTwo.php?lang=en&amp;linkID=SBD00189", "Stivarga")</f>
        <v>Stivarga</v>
      </c>
      <c r="B189" s="6" t="s">
        <v>551</v>
      </c>
      <c r="C189" s="6" t="s">
        <v>341</v>
      </c>
      <c r="D189" s="6" t="s">
        <v>552</v>
      </c>
      <c r="E189" s="6">
        <v>41073</v>
      </c>
      <c r="F189" s="6"/>
      <c r="G189" s="6"/>
      <c r="H189" s="6"/>
      <c r="I189" s="6"/>
      <c r="J189" s="6"/>
      <c r="K189" s="6"/>
      <c r="L189" s="6"/>
      <c r="M189" s="6"/>
      <c r="N189" s="6">
        <v>41089</v>
      </c>
      <c r="O189" s="6"/>
      <c r="P189" s="6"/>
      <c r="Q189" s="6"/>
      <c r="R189" s="6"/>
      <c r="S189" s="6">
        <v>41128</v>
      </c>
      <c r="T189" s="6"/>
      <c r="U189" s="6"/>
      <c r="V189" s="6">
        <v>41136</v>
      </c>
      <c r="W189" s="6"/>
      <c r="X189" s="6"/>
      <c r="Y189" s="6"/>
      <c r="Z189" s="6"/>
      <c r="AA189" s="6"/>
      <c r="AB189" s="6"/>
      <c r="AC189" s="6"/>
      <c r="AD189" s="6"/>
      <c r="AE189" s="6"/>
      <c r="AF189" s="6">
        <v>41165</v>
      </c>
      <c r="AG189" s="6"/>
      <c r="AH189" s="6"/>
      <c r="AI189" s="6"/>
      <c r="AJ189" s="6"/>
      <c r="AK189" s="6"/>
      <c r="AL189" s="6"/>
      <c r="AM189" s="6"/>
      <c r="AN189" s="6"/>
      <c r="AO189" s="6"/>
      <c r="AP189" s="6"/>
      <c r="AQ189" s="6"/>
      <c r="AR189" s="6">
        <v>41339</v>
      </c>
      <c r="AS189" s="6">
        <v>41242</v>
      </c>
      <c r="AT189" s="6"/>
      <c r="AU189" s="6"/>
      <c r="AV189" s="6">
        <v>41339</v>
      </c>
      <c r="AW189" s="6"/>
      <c r="AX189" s="6">
        <v>41270</v>
      </c>
      <c r="AY189" s="6"/>
      <c r="AZ189" s="6">
        <v>41341</v>
      </c>
      <c r="BA189" s="6"/>
      <c r="BB189" s="6"/>
      <c r="BC189" s="6"/>
      <c r="BD189" s="6"/>
      <c r="BE189" s="6"/>
      <c r="BF189" s="6"/>
      <c r="BG189" s="6"/>
      <c r="BH189" s="6"/>
      <c r="BI189" s="6"/>
      <c r="BJ189" s="6"/>
      <c r="BK189" s="6"/>
      <c r="BL189" s="6"/>
      <c r="BM189" s="6">
        <v>41344</v>
      </c>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c r="FZ189" s="6"/>
      <c r="GA189" s="6"/>
      <c r="GB189" s="6"/>
      <c r="GC189" s="6"/>
      <c r="GD189" s="6"/>
      <c r="GE189" s="6"/>
      <c r="GF189" s="6"/>
      <c r="GG189" s="6"/>
      <c r="GH189" s="6"/>
      <c r="GI189" s="6"/>
      <c r="GJ189" s="6"/>
      <c r="GK189" s="6"/>
      <c r="GL189" s="6"/>
      <c r="GM189" s="6"/>
      <c r="GN189" s="6"/>
      <c r="GO189" s="6"/>
      <c r="GP189" s="6"/>
      <c r="GQ189" s="6"/>
      <c r="GR189" s="6"/>
      <c r="GS189" s="6"/>
      <c r="GT189" s="6"/>
      <c r="GU189" s="6"/>
      <c r="GV189" s="6"/>
      <c r="GW189" s="6"/>
      <c r="GX189" s="6"/>
      <c r="GY189" s="6"/>
      <c r="GZ189" s="6"/>
      <c r="HA189" s="6"/>
      <c r="HB189" s="6"/>
      <c r="HC189" s="6"/>
      <c r="HD189" s="6"/>
      <c r="HE189" s="6"/>
      <c r="HF189" s="6"/>
      <c r="HG189" s="6"/>
      <c r="HH189" s="6"/>
    </row>
    <row r="190" spans="1:216" x14ac:dyDescent="0.3">
      <c r="A190" s="8" t="str">
        <f>HYPERLINK("https://hpr-rps.hres.ca/reg-content/summary-basis-decision-detailTwo.php?lang=en&amp;linkID=SBD00190", "Strensiq")</f>
        <v>Strensiq</v>
      </c>
      <c r="B190" s="6" t="s">
        <v>553</v>
      </c>
      <c r="C190" s="6" t="s">
        <v>554</v>
      </c>
      <c r="D190" s="6" t="s">
        <v>555</v>
      </c>
      <c r="E190" s="6">
        <v>41815</v>
      </c>
      <c r="F190" s="6"/>
      <c r="G190" s="6"/>
      <c r="H190" s="6"/>
      <c r="I190" s="6"/>
      <c r="J190" s="6"/>
      <c r="K190" s="6"/>
      <c r="L190" s="6"/>
      <c r="M190" s="6"/>
      <c r="N190" s="6">
        <v>41859</v>
      </c>
      <c r="O190" s="6">
        <v>41890</v>
      </c>
      <c r="P190" s="6"/>
      <c r="Q190" s="6"/>
      <c r="R190" s="6"/>
      <c r="S190" s="6"/>
      <c r="T190" s="6"/>
      <c r="U190" s="6"/>
      <c r="V190" s="6">
        <v>41942</v>
      </c>
      <c r="W190" s="6"/>
      <c r="X190" s="6"/>
      <c r="Y190" s="6"/>
      <c r="Z190" s="6"/>
      <c r="AA190" s="6"/>
      <c r="AB190" s="6"/>
      <c r="AC190" s="6"/>
      <c r="AD190" s="6"/>
      <c r="AE190" s="6"/>
      <c r="AF190" s="6">
        <v>41985</v>
      </c>
      <c r="AG190" s="6"/>
      <c r="AH190" s="6"/>
      <c r="AI190" s="6"/>
      <c r="AJ190" s="6"/>
      <c r="AK190" s="6"/>
      <c r="AL190" s="6"/>
      <c r="AM190" s="6"/>
      <c r="AN190" s="6"/>
      <c r="AO190" s="6"/>
      <c r="AP190" s="6"/>
      <c r="AQ190" s="6"/>
      <c r="AR190" s="6">
        <v>42179</v>
      </c>
      <c r="AS190" s="6"/>
      <c r="AT190" s="6"/>
      <c r="AU190" s="6"/>
      <c r="AV190" s="6">
        <v>42184</v>
      </c>
      <c r="AW190" s="6"/>
      <c r="AX190" s="6"/>
      <c r="AY190" s="6"/>
      <c r="AZ190" s="6">
        <v>42230</v>
      </c>
      <c r="BA190" s="6"/>
      <c r="BB190" s="6"/>
      <c r="BC190" s="6"/>
      <c r="BD190" s="6"/>
      <c r="BE190" s="6"/>
      <c r="BF190" s="6"/>
      <c r="BG190" s="6"/>
      <c r="BH190" s="6"/>
      <c r="BI190" s="6"/>
      <c r="BJ190" s="6"/>
      <c r="BK190" s="6"/>
      <c r="BL190" s="6">
        <v>42185</v>
      </c>
      <c r="BM190" s="6">
        <v>42230</v>
      </c>
      <c r="BN190" s="6"/>
      <c r="BO190" s="6"/>
      <c r="BP190" s="6"/>
      <c r="BQ190" s="6"/>
      <c r="BR190" s="6"/>
      <c r="BS190" s="6"/>
      <c r="BT190" s="6"/>
      <c r="BU190" s="6"/>
      <c r="BV190" s="6"/>
      <c r="BW190" s="6"/>
      <c r="BX190" s="6"/>
      <c r="BY190" s="6">
        <v>42195</v>
      </c>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c r="FZ190" s="6"/>
      <c r="GA190" s="6"/>
      <c r="GB190" s="6"/>
      <c r="GC190" s="6"/>
      <c r="GD190" s="6"/>
      <c r="GE190" s="6"/>
      <c r="GF190" s="6"/>
      <c r="GG190" s="6"/>
      <c r="GH190" s="6"/>
      <c r="GI190" s="6"/>
      <c r="GJ190" s="6"/>
      <c r="GK190" s="6"/>
      <c r="GL190" s="6"/>
      <c r="GM190" s="6"/>
      <c r="GN190" s="6"/>
      <c r="GO190" s="6"/>
      <c r="GP190" s="6"/>
      <c r="GQ190" s="6"/>
      <c r="GR190" s="6"/>
      <c r="GS190" s="6"/>
      <c r="GT190" s="6"/>
      <c r="GU190" s="6"/>
      <c r="GV190" s="6"/>
      <c r="GW190" s="6"/>
      <c r="GX190" s="6"/>
      <c r="GY190" s="6"/>
      <c r="GZ190" s="6"/>
      <c r="HA190" s="6"/>
      <c r="HB190" s="6"/>
      <c r="HC190" s="6"/>
      <c r="HD190" s="6"/>
      <c r="HE190" s="6"/>
      <c r="HF190" s="6"/>
      <c r="HG190" s="6"/>
      <c r="HH190" s="6"/>
    </row>
    <row r="191" spans="1:216" x14ac:dyDescent="0.3">
      <c r="A191" s="8" t="str">
        <f>HYPERLINK("https://hpr-rps.hres.ca/reg-content/summary-basis-decision-detailTwo.php?lang=en&amp;linkID=SBD00191", "Stribild")</f>
        <v>Stribild</v>
      </c>
      <c r="B191" s="6" t="s">
        <v>556</v>
      </c>
      <c r="C191" s="6" t="s">
        <v>549</v>
      </c>
      <c r="D191" s="6" t="s">
        <v>557</v>
      </c>
      <c r="E191" s="6">
        <v>41655</v>
      </c>
      <c r="F191" s="6"/>
      <c r="G191" s="6"/>
      <c r="H191" s="6"/>
      <c r="I191" s="6"/>
      <c r="J191" s="6"/>
      <c r="K191" s="6"/>
      <c r="L191" s="6"/>
      <c r="M191" s="6"/>
      <c r="N191" s="6">
        <v>41689</v>
      </c>
      <c r="O191" s="6"/>
      <c r="P191" s="6"/>
      <c r="Q191" s="6"/>
      <c r="R191" s="6"/>
      <c r="S191" s="6">
        <v>41726</v>
      </c>
      <c r="T191" s="6"/>
      <c r="U191" s="6"/>
      <c r="V191" s="6">
        <v>41757</v>
      </c>
      <c r="W191" s="6"/>
      <c r="X191" s="6"/>
      <c r="Y191" s="6"/>
      <c r="Z191" s="6"/>
      <c r="AA191" s="6"/>
      <c r="AB191" s="6"/>
      <c r="AC191" s="6"/>
      <c r="AD191" s="6"/>
      <c r="AE191" s="6"/>
      <c r="AF191" s="6">
        <v>41796</v>
      </c>
      <c r="AG191" s="6"/>
      <c r="AH191" s="6"/>
      <c r="AI191" s="6"/>
      <c r="AJ191" s="6"/>
      <c r="AK191" s="6"/>
      <c r="AL191" s="6"/>
      <c r="AM191" s="6"/>
      <c r="AN191" s="6"/>
      <c r="AO191" s="6"/>
      <c r="AP191" s="6"/>
      <c r="AQ191" s="6"/>
      <c r="AR191" s="6">
        <v>41970</v>
      </c>
      <c r="AS191" s="6"/>
      <c r="AT191" s="6"/>
      <c r="AU191" s="6"/>
      <c r="AV191" s="6">
        <v>41976</v>
      </c>
      <c r="AW191" s="6"/>
      <c r="AX191" s="6"/>
      <c r="AY191" s="6"/>
      <c r="AZ191" s="6">
        <v>41971</v>
      </c>
      <c r="BA191" s="6"/>
      <c r="BB191" s="6"/>
      <c r="BC191" s="6"/>
      <c r="BD191" s="6"/>
      <c r="BE191" s="6"/>
      <c r="BF191" s="6"/>
      <c r="BG191" s="6"/>
      <c r="BH191" s="6"/>
      <c r="BI191" s="6"/>
      <c r="BJ191" s="6"/>
      <c r="BK191" s="6"/>
      <c r="BL191" s="6"/>
      <c r="BM191" s="6">
        <v>41976</v>
      </c>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row>
    <row r="192" spans="1:216" x14ac:dyDescent="0.3">
      <c r="A192" s="8" t="str">
        <f>HYPERLINK("https://hpr-rps.hres.ca/reg-content/summary-basis-decision-detailTwo.php?lang=en&amp;linkID=SBD00192", "Striverdi Respimat")</f>
        <v>Striverdi Respimat</v>
      </c>
      <c r="B192" s="6" t="s">
        <v>558</v>
      </c>
      <c r="C192" s="6" t="s">
        <v>559</v>
      </c>
      <c r="D192" s="6" t="s">
        <v>560</v>
      </c>
      <c r="E192" s="6">
        <v>41038</v>
      </c>
      <c r="F192" s="6"/>
      <c r="G192" s="6"/>
      <c r="H192" s="6">
        <v>41180</v>
      </c>
      <c r="I192" s="6"/>
      <c r="J192" s="6"/>
      <c r="K192" s="6"/>
      <c r="L192" s="6"/>
      <c r="M192" s="6"/>
      <c r="N192" s="6"/>
      <c r="O192" s="6"/>
      <c r="P192" s="6"/>
      <c r="Q192" s="6"/>
      <c r="R192" s="6"/>
      <c r="S192" s="6"/>
      <c r="T192" s="6"/>
      <c r="U192" s="6"/>
      <c r="V192" s="6"/>
      <c r="W192" s="6"/>
      <c r="X192" s="6"/>
      <c r="Y192" s="6"/>
      <c r="Z192" s="6"/>
      <c r="AA192" s="6"/>
      <c r="AB192" s="6"/>
      <c r="AC192" s="6"/>
      <c r="AD192" s="6"/>
      <c r="AE192" s="6"/>
      <c r="AF192" s="6">
        <v>41229</v>
      </c>
      <c r="AG192" s="6"/>
      <c r="AH192" s="6"/>
      <c r="AI192" s="6"/>
      <c r="AJ192" s="6"/>
      <c r="AK192" s="6"/>
      <c r="AL192" s="6"/>
      <c r="AM192" s="6"/>
      <c r="AN192" s="6"/>
      <c r="AO192" s="6"/>
      <c r="AP192" s="6"/>
      <c r="AQ192" s="6"/>
      <c r="AR192" s="6"/>
      <c r="AS192" s="6">
        <v>41407</v>
      </c>
      <c r="AT192" s="6"/>
      <c r="AU192" s="6"/>
      <c r="AV192" s="6">
        <v>41480</v>
      </c>
      <c r="AW192" s="6"/>
      <c r="AX192" s="6"/>
      <c r="AY192" s="6"/>
      <c r="AZ192" s="6">
        <v>41498</v>
      </c>
      <c r="BA192" s="6"/>
      <c r="BB192" s="6"/>
      <c r="BC192" s="6"/>
      <c r="BD192" s="6"/>
      <c r="BE192" s="6"/>
      <c r="BF192" s="6"/>
      <c r="BG192" s="6"/>
      <c r="BH192" s="6"/>
      <c r="BI192" s="6"/>
      <c r="BJ192" s="6"/>
      <c r="BK192" s="6"/>
      <c r="BL192" s="6"/>
      <c r="BM192" s="6"/>
      <c r="BN192" s="6"/>
      <c r="BO192" s="6"/>
      <c r="BP192" s="6">
        <v>41499</v>
      </c>
      <c r="BQ192" s="6"/>
      <c r="BR192" s="6"/>
      <c r="BS192" s="6"/>
      <c r="BT192" s="6"/>
      <c r="BU192" s="6"/>
      <c r="BV192" s="6"/>
      <c r="BW192" s="6"/>
      <c r="BX192" s="6"/>
      <c r="BY192" s="6">
        <v>41586</v>
      </c>
      <c r="BZ192" s="6"/>
      <c r="CA192" s="6"/>
      <c r="CB192" s="6"/>
      <c r="CC192" s="6"/>
      <c r="CD192" s="6"/>
      <c r="CE192" s="6"/>
      <c r="CF192" s="6"/>
      <c r="CG192" s="6"/>
      <c r="CH192" s="6"/>
      <c r="CI192" s="6"/>
      <c r="CJ192" s="6"/>
      <c r="CK192" s="6"/>
      <c r="CL192" s="6"/>
      <c r="CM192" s="6"/>
      <c r="CN192" s="6"/>
      <c r="CO192" s="6"/>
      <c r="CP192" s="6"/>
      <c r="CQ192" s="6"/>
      <c r="CR192" s="6">
        <v>41635</v>
      </c>
      <c r="CS192" s="6"/>
      <c r="CT192" s="6"/>
      <c r="CU192" s="6"/>
      <c r="CV192" s="6"/>
      <c r="CW192" s="6"/>
      <c r="CX192" s="6"/>
      <c r="CY192" s="6"/>
      <c r="CZ192" s="6"/>
      <c r="DA192" s="6"/>
      <c r="DB192" s="6"/>
      <c r="DC192" s="6"/>
      <c r="DD192" s="6">
        <v>41931</v>
      </c>
      <c r="DE192" s="6"/>
      <c r="DF192" s="6"/>
      <c r="DG192" s="6"/>
      <c r="DH192" s="6">
        <v>41901</v>
      </c>
      <c r="DI192" s="6"/>
      <c r="DJ192" s="6"/>
      <c r="DK192" s="6"/>
      <c r="DL192" s="6">
        <v>41934</v>
      </c>
      <c r="DM192" s="6"/>
      <c r="DN192" s="6"/>
      <c r="DO192" s="6"/>
      <c r="DP192" s="6"/>
      <c r="DQ192" s="6"/>
      <c r="DR192" s="6"/>
      <c r="DS192" s="6"/>
      <c r="DT192" s="6"/>
      <c r="DU192" s="6"/>
      <c r="DV192" s="6"/>
      <c r="DW192" s="6"/>
      <c r="DX192" s="6"/>
      <c r="DY192" s="6">
        <v>41934</v>
      </c>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c r="FZ192" s="6"/>
      <c r="GA192" s="6"/>
      <c r="GB192" s="6"/>
      <c r="GC192" s="6"/>
      <c r="GD192" s="6"/>
      <c r="GE192" s="6"/>
      <c r="GF192" s="6"/>
      <c r="GG192" s="6"/>
      <c r="GH192" s="6"/>
      <c r="GI192" s="6"/>
      <c r="GJ192" s="6"/>
      <c r="GK192" s="6"/>
      <c r="GL192" s="6"/>
      <c r="GM192" s="6"/>
      <c r="GN192" s="6"/>
      <c r="GO192" s="6"/>
      <c r="GP192" s="6"/>
      <c r="GQ192" s="6"/>
      <c r="GR192" s="6"/>
      <c r="GS192" s="6"/>
      <c r="GT192" s="6"/>
      <c r="GU192" s="6"/>
      <c r="GV192" s="6"/>
      <c r="GW192" s="6"/>
      <c r="GX192" s="6"/>
      <c r="GY192" s="6"/>
      <c r="GZ192" s="6"/>
      <c r="HA192" s="6"/>
      <c r="HB192" s="6"/>
      <c r="HC192" s="6"/>
      <c r="HD192" s="6"/>
      <c r="HE192" s="6"/>
      <c r="HF192" s="6"/>
      <c r="HG192" s="6"/>
      <c r="HH192" s="6"/>
    </row>
    <row r="193" spans="1:216" x14ac:dyDescent="0.3">
      <c r="A193" s="8" t="str">
        <f>HYPERLINK("https://hpr-rps.hres.ca/reg-content/summary-basis-decision-detailTwo.php?lang=en&amp;linkID=SBD00193", "Sylvant")</f>
        <v>Sylvant</v>
      </c>
      <c r="B193" s="6" t="s">
        <v>561</v>
      </c>
      <c r="C193" s="6" t="s">
        <v>201</v>
      </c>
      <c r="D193" s="6" t="s">
        <v>562</v>
      </c>
      <c r="E193" s="6">
        <v>41655</v>
      </c>
      <c r="F193" s="6"/>
      <c r="G193" s="6"/>
      <c r="H193" s="6"/>
      <c r="I193" s="6"/>
      <c r="J193" s="6"/>
      <c r="K193" s="6"/>
      <c r="L193" s="6"/>
      <c r="M193" s="6"/>
      <c r="N193" s="6">
        <v>41689</v>
      </c>
      <c r="O193" s="6"/>
      <c r="P193" s="6"/>
      <c r="Q193" s="6"/>
      <c r="R193" s="6"/>
      <c r="S193" s="6">
        <v>41726</v>
      </c>
      <c r="T193" s="6"/>
      <c r="U193" s="6"/>
      <c r="V193" s="6">
        <v>41757</v>
      </c>
      <c r="W193" s="6"/>
      <c r="X193" s="6"/>
      <c r="Y193" s="6"/>
      <c r="Z193" s="6"/>
      <c r="AA193" s="6"/>
      <c r="AB193" s="6"/>
      <c r="AC193" s="6"/>
      <c r="AD193" s="6"/>
      <c r="AE193" s="6"/>
      <c r="AF193" s="6">
        <v>41796</v>
      </c>
      <c r="AG193" s="6"/>
      <c r="AH193" s="6"/>
      <c r="AI193" s="6"/>
      <c r="AJ193" s="6"/>
      <c r="AK193" s="6"/>
      <c r="AL193" s="6"/>
      <c r="AM193" s="6"/>
      <c r="AN193" s="6"/>
      <c r="AO193" s="6"/>
      <c r="AP193" s="6"/>
      <c r="AQ193" s="6"/>
      <c r="AR193" s="6">
        <v>41970</v>
      </c>
      <c r="AS193" s="6"/>
      <c r="AT193" s="6"/>
      <c r="AU193" s="6"/>
      <c r="AV193" s="6">
        <v>41976</v>
      </c>
      <c r="AW193" s="6"/>
      <c r="AX193" s="6"/>
      <c r="AY193" s="6"/>
      <c r="AZ193" s="6">
        <v>41971</v>
      </c>
      <c r="BA193" s="6"/>
      <c r="BB193" s="6"/>
      <c r="BC193" s="6"/>
      <c r="BD193" s="6"/>
      <c r="BE193" s="6"/>
      <c r="BF193" s="6"/>
      <c r="BG193" s="6"/>
      <c r="BH193" s="6"/>
      <c r="BI193" s="6"/>
      <c r="BJ193" s="6"/>
      <c r="BK193" s="6"/>
      <c r="BL193" s="6"/>
      <c r="BM193" s="6">
        <v>41976</v>
      </c>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c r="FZ193" s="6"/>
      <c r="GA193" s="6"/>
      <c r="GB193" s="6"/>
      <c r="GC193" s="6"/>
      <c r="GD193" s="6"/>
      <c r="GE193" s="6"/>
      <c r="GF193" s="6"/>
      <c r="GG193" s="6"/>
      <c r="GH193" s="6"/>
      <c r="GI193" s="6"/>
      <c r="GJ193" s="6"/>
      <c r="GK193" s="6"/>
      <c r="GL193" s="6"/>
      <c r="GM193" s="6"/>
      <c r="GN193" s="6"/>
      <c r="GO193" s="6"/>
      <c r="GP193" s="6"/>
      <c r="GQ193" s="6"/>
      <c r="GR193" s="6"/>
      <c r="GS193" s="6"/>
      <c r="GT193" s="6"/>
      <c r="GU193" s="6"/>
      <c r="GV193" s="6"/>
      <c r="GW193" s="6"/>
      <c r="GX193" s="6"/>
      <c r="GY193" s="6"/>
      <c r="GZ193" s="6"/>
      <c r="HA193" s="6"/>
      <c r="HB193" s="6"/>
      <c r="HC193" s="6"/>
      <c r="HD193" s="6"/>
      <c r="HE193" s="6"/>
      <c r="HF193" s="6"/>
      <c r="HG193" s="6"/>
      <c r="HH193" s="6"/>
    </row>
    <row r="194" spans="1:216" x14ac:dyDescent="0.3">
      <c r="A194" s="8" t="str">
        <f>HYPERLINK("https://hpr-rps.hres.ca/reg-content/summary-basis-decision-detailTwo.php?lang=en&amp;linkID=SBD00194", "Tafinlar")</f>
        <v>Tafinlar</v>
      </c>
      <c r="B194" s="6" t="s">
        <v>563</v>
      </c>
      <c r="C194" s="6" t="s">
        <v>96</v>
      </c>
      <c r="D194" s="6" t="s">
        <v>564</v>
      </c>
      <c r="E194" s="6">
        <v>41046</v>
      </c>
      <c r="F194" s="6"/>
      <c r="G194" s="6"/>
      <c r="H194" s="6">
        <v>41121</v>
      </c>
      <c r="I194" s="6"/>
      <c r="J194" s="6"/>
      <c r="K194" s="6"/>
      <c r="L194" s="6"/>
      <c r="M194" s="6"/>
      <c r="N194" s="6"/>
      <c r="O194" s="6"/>
      <c r="P194" s="6"/>
      <c r="Q194" s="6"/>
      <c r="R194" s="6"/>
      <c r="S194" s="6"/>
      <c r="T194" s="6"/>
      <c r="U194" s="6"/>
      <c r="V194" s="6"/>
      <c r="W194" s="6"/>
      <c r="X194" s="6"/>
      <c r="Y194" s="6"/>
      <c r="Z194" s="6"/>
      <c r="AA194" s="6"/>
      <c r="AB194" s="6"/>
      <c r="AC194" s="6"/>
      <c r="AD194" s="6"/>
      <c r="AE194" s="6"/>
      <c r="AF194" s="6">
        <v>41172</v>
      </c>
      <c r="AG194" s="6"/>
      <c r="AH194" s="6"/>
      <c r="AI194" s="6"/>
      <c r="AJ194" s="6"/>
      <c r="AK194" s="6"/>
      <c r="AL194" s="6"/>
      <c r="AM194" s="6"/>
      <c r="AN194" s="6"/>
      <c r="AO194" s="6"/>
      <c r="AP194" s="6"/>
      <c r="AQ194" s="6"/>
      <c r="AR194" s="6">
        <v>41470</v>
      </c>
      <c r="AS194" s="6">
        <v>41337</v>
      </c>
      <c r="AT194" s="6"/>
      <c r="AU194" s="6"/>
      <c r="AV194" s="6">
        <v>41443</v>
      </c>
      <c r="AW194" s="6"/>
      <c r="AX194" s="6"/>
      <c r="AY194" s="6"/>
      <c r="AZ194" s="6">
        <v>41467</v>
      </c>
      <c r="BA194" s="6"/>
      <c r="BB194" s="6"/>
      <c r="BC194" s="6"/>
      <c r="BD194" s="6"/>
      <c r="BE194" s="6"/>
      <c r="BF194" s="6"/>
      <c r="BG194" s="6"/>
      <c r="BH194" s="6"/>
      <c r="BI194" s="6"/>
      <c r="BJ194" s="6"/>
      <c r="BK194" s="6"/>
      <c r="BL194" s="6"/>
      <c r="BM194" s="6">
        <v>41471</v>
      </c>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row>
    <row r="195" spans="1:216" x14ac:dyDescent="0.3">
      <c r="A195" s="8" t="str">
        <f>HYPERLINK("https://hpr-rps.hres.ca/reg-content/summary-basis-decision-detailTwo.php?lang=en&amp;linkID=SBD00195", "Tecfidera")</f>
        <v>Tecfidera</v>
      </c>
      <c r="B195" s="6" t="s">
        <v>565</v>
      </c>
      <c r="C195" s="6" t="s">
        <v>509</v>
      </c>
      <c r="D195" s="6" t="s">
        <v>566</v>
      </c>
      <c r="E195" s="6">
        <v>40941</v>
      </c>
      <c r="F195" s="6"/>
      <c r="G195" s="6"/>
      <c r="H195" s="6">
        <v>41015</v>
      </c>
      <c r="I195" s="6"/>
      <c r="J195" s="6"/>
      <c r="K195" s="6"/>
      <c r="L195" s="6"/>
      <c r="M195" s="6"/>
      <c r="N195" s="6"/>
      <c r="O195" s="6"/>
      <c r="P195" s="6"/>
      <c r="Q195" s="6"/>
      <c r="R195" s="6"/>
      <c r="S195" s="6"/>
      <c r="T195" s="6"/>
      <c r="U195" s="6"/>
      <c r="V195" s="6"/>
      <c r="W195" s="6"/>
      <c r="X195" s="6"/>
      <c r="Y195" s="6"/>
      <c r="Z195" s="6"/>
      <c r="AA195" s="6"/>
      <c r="AB195" s="6"/>
      <c r="AC195" s="6"/>
      <c r="AD195" s="6"/>
      <c r="AE195" s="6"/>
      <c r="AF195" s="6">
        <v>41015</v>
      </c>
      <c r="AG195" s="6"/>
      <c r="AH195" s="6"/>
      <c r="AI195" s="6"/>
      <c r="AJ195" s="6"/>
      <c r="AK195" s="6"/>
      <c r="AL195" s="6"/>
      <c r="AM195" s="6"/>
      <c r="AN195" s="6"/>
      <c r="AO195" s="6"/>
      <c r="AP195" s="6"/>
      <c r="AQ195" s="6"/>
      <c r="AR195" s="6">
        <v>41348</v>
      </c>
      <c r="AS195" s="6">
        <v>41284</v>
      </c>
      <c r="AT195" s="6"/>
      <c r="AU195" s="6"/>
      <c r="AV195" s="6">
        <v>41352</v>
      </c>
      <c r="AW195" s="6"/>
      <c r="AX195" s="6"/>
      <c r="AY195" s="6"/>
      <c r="AZ195" s="6">
        <v>41365</v>
      </c>
      <c r="BA195" s="6"/>
      <c r="BB195" s="6"/>
      <c r="BC195" s="6"/>
      <c r="BD195" s="6"/>
      <c r="BE195" s="6"/>
      <c r="BF195" s="6"/>
      <c r="BG195" s="6"/>
      <c r="BH195" s="6"/>
      <c r="BI195" s="6"/>
      <c r="BJ195" s="6"/>
      <c r="BK195" s="6"/>
      <c r="BL195" s="6"/>
      <c r="BM195" s="6">
        <v>41367</v>
      </c>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row>
    <row r="196" spans="1:216" x14ac:dyDescent="0.3">
      <c r="A196" s="8" t="str">
        <f>HYPERLINK("https://hpr-rps.hres.ca/reg-content/summary-basis-decision-detailTwo.php?lang=en&amp;linkID=SBD00196", "Tivicay")</f>
        <v>Tivicay</v>
      </c>
      <c r="B196" s="6" t="s">
        <v>567</v>
      </c>
      <c r="C196" s="6" t="s">
        <v>568</v>
      </c>
      <c r="D196" s="6" t="s">
        <v>569</v>
      </c>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row>
    <row r="197" spans="1:216" x14ac:dyDescent="0.3">
      <c r="A197" s="8" t="str">
        <f>HYPERLINK("https://hpr-rps.hres.ca/reg-content/summary-basis-decision-detailTwo.php?lang=en&amp;linkID=SBD00197", "Trintellix")</f>
        <v>Trintellix</v>
      </c>
      <c r="B197" s="6" t="s">
        <v>570</v>
      </c>
      <c r="C197" s="6" t="s">
        <v>462</v>
      </c>
      <c r="D197" s="6" t="s">
        <v>571</v>
      </c>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c r="FZ197" s="6"/>
      <c r="GA197" s="6"/>
      <c r="GB197" s="6"/>
      <c r="GC197" s="6"/>
      <c r="GD197" s="6"/>
      <c r="GE197" s="6"/>
      <c r="GF197" s="6"/>
      <c r="GG197" s="6"/>
      <c r="GH197" s="6"/>
      <c r="GI197" s="6"/>
      <c r="GJ197" s="6"/>
      <c r="GK197" s="6"/>
      <c r="GL197" s="6"/>
      <c r="GM197" s="6"/>
      <c r="GN197" s="6"/>
      <c r="GO197" s="6"/>
      <c r="GP197" s="6"/>
      <c r="GQ197" s="6"/>
      <c r="GR197" s="6"/>
      <c r="GS197" s="6"/>
      <c r="GT197" s="6"/>
      <c r="GU197" s="6"/>
      <c r="GV197" s="6"/>
      <c r="GW197" s="6"/>
      <c r="GX197" s="6"/>
      <c r="GY197" s="6"/>
      <c r="GZ197" s="6"/>
      <c r="HA197" s="6"/>
      <c r="HB197" s="6"/>
      <c r="HC197" s="6"/>
      <c r="HD197" s="6"/>
      <c r="HE197" s="6"/>
      <c r="HF197" s="6"/>
      <c r="HG197" s="6"/>
      <c r="HH197" s="6"/>
    </row>
    <row r="198" spans="1:216" x14ac:dyDescent="0.3">
      <c r="A198" s="8" t="str">
        <f>HYPERLINK("https://hpr-rps.hres.ca/reg-content/summary-basis-decision-detailTwo.php?lang=en&amp;linkID=SBD00198", "Tudorza Genuair")</f>
        <v>Tudorza Genuair</v>
      </c>
      <c r="B198" s="6" t="s">
        <v>572</v>
      </c>
      <c r="C198" s="6" t="s">
        <v>573</v>
      </c>
      <c r="D198" s="6" t="s">
        <v>574</v>
      </c>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c r="FZ198" s="6"/>
      <c r="GA198" s="6"/>
      <c r="GB198" s="6"/>
      <c r="GC198" s="6"/>
      <c r="GD198" s="6"/>
      <c r="GE198" s="6"/>
      <c r="GF198" s="6"/>
      <c r="GG198" s="6"/>
      <c r="GH198" s="6"/>
      <c r="GI198" s="6"/>
      <c r="GJ198" s="6"/>
      <c r="GK198" s="6"/>
      <c r="GL198" s="6"/>
      <c r="GM198" s="6"/>
      <c r="GN198" s="6"/>
      <c r="GO198" s="6"/>
      <c r="GP198" s="6"/>
      <c r="GQ198" s="6"/>
      <c r="GR198" s="6"/>
      <c r="GS198" s="6"/>
      <c r="GT198" s="6"/>
      <c r="GU198" s="6"/>
      <c r="GV198" s="6"/>
      <c r="GW198" s="6"/>
      <c r="GX198" s="6"/>
      <c r="GY198" s="6"/>
      <c r="GZ198" s="6"/>
      <c r="HA198" s="6"/>
      <c r="HB198" s="6"/>
      <c r="HC198" s="6"/>
      <c r="HD198" s="6"/>
      <c r="HE198" s="6"/>
      <c r="HF198" s="6"/>
      <c r="HG198" s="6"/>
      <c r="HH198" s="6"/>
    </row>
    <row r="199" spans="1:216" x14ac:dyDescent="0.3">
      <c r="A199" s="8" t="str">
        <f>HYPERLINK("https://hpr-rps.hres.ca/reg-content/summary-basis-decision-detailTwo.php?lang=en&amp;linkID=SBD00199", "Vimizim")</f>
        <v>Vimizim</v>
      </c>
      <c r="B199" s="6" t="s">
        <v>575</v>
      </c>
      <c r="C199" s="6" t="s">
        <v>576</v>
      </c>
      <c r="D199" s="6" t="s">
        <v>577</v>
      </c>
      <c r="E199" s="6">
        <v>41479</v>
      </c>
      <c r="F199" s="6"/>
      <c r="G199" s="6"/>
      <c r="H199" s="6"/>
      <c r="I199" s="6"/>
      <c r="J199" s="6"/>
      <c r="K199" s="6"/>
      <c r="L199" s="6"/>
      <c r="M199" s="6"/>
      <c r="N199" s="6">
        <v>41550</v>
      </c>
      <c r="O199" s="6"/>
      <c r="P199" s="6"/>
      <c r="Q199" s="6"/>
      <c r="R199" s="6"/>
      <c r="S199" s="6">
        <v>41579</v>
      </c>
      <c r="T199" s="6"/>
      <c r="U199" s="6"/>
      <c r="V199" s="6">
        <v>41604</v>
      </c>
      <c r="W199" s="6"/>
      <c r="X199" s="6"/>
      <c r="Y199" s="6"/>
      <c r="Z199" s="6"/>
      <c r="AA199" s="6"/>
      <c r="AB199" s="6"/>
      <c r="AC199" s="6"/>
      <c r="AD199" s="6"/>
      <c r="AE199" s="6"/>
      <c r="AF199" s="6">
        <v>41642</v>
      </c>
      <c r="AG199" s="6"/>
      <c r="AH199" s="6"/>
      <c r="AI199" s="6"/>
      <c r="AJ199" s="6"/>
      <c r="AK199" s="6"/>
      <c r="AL199" s="6"/>
      <c r="AM199" s="6"/>
      <c r="AN199" s="6"/>
      <c r="AO199" s="6">
        <v>41806</v>
      </c>
      <c r="AP199" s="6"/>
      <c r="AQ199" s="6"/>
      <c r="AR199" s="6">
        <v>41815</v>
      </c>
      <c r="AS199" s="6"/>
      <c r="AT199" s="6"/>
      <c r="AU199" s="6"/>
      <c r="AV199" s="6">
        <v>41817</v>
      </c>
      <c r="AW199" s="6"/>
      <c r="AX199" s="6"/>
      <c r="AY199" s="6"/>
      <c r="AZ199" s="6">
        <v>41818</v>
      </c>
      <c r="BA199" s="6"/>
      <c r="BB199" s="6"/>
      <c r="BC199" s="6"/>
      <c r="BD199" s="6"/>
      <c r="BE199" s="6"/>
      <c r="BF199" s="6"/>
      <c r="BG199" s="6"/>
      <c r="BH199" s="6"/>
      <c r="BI199" s="6"/>
      <c r="BJ199" s="6"/>
      <c r="BK199" s="6"/>
      <c r="BL199" s="6"/>
      <c r="BM199" s="6">
        <v>41822</v>
      </c>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row>
    <row r="200" spans="1:216" x14ac:dyDescent="0.3">
      <c r="A200" s="8" t="str">
        <f>HYPERLINK("https://hpr-rps.hres.ca/reg-content/summary-basis-decision-detailTwo.php?lang=en&amp;linkID=SBD00200", "Xeljanz")</f>
        <v>Xeljanz</v>
      </c>
      <c r="B200" s="6" t="s">
        <v>578</v>
      </c>
      <c r="C200" s="6" t="s">
        <v>143</v>
      </c>
      <c r="D200" s="6" t="s">
        <v>579</v>
      </c>
      <c r="E200" s="6">
        <v>40941</v>
      </c>
      <c r="F200" s="6"/>
      <c r="G200" s="6"/>
      <c r="H200" s="6">
        <v>41015</v>
      </c>
      <c r="I200" s="6"/>
      <c r="J200" s="6"/>
      <c r="K200" s="6"/>
      <c r="L200" s="6"/>
      <c r="M200" s="6"/>
      <c r="N200" s="6"/>
      <c r="O200" s="6"/>
      <c r="P200" s="6"/>
      <c r="Q200" s="6"/>
      <c r="R200" s="6"/>
      <c r="S200" s="6"/>
      <c r="T200" s="6"/>
      <c r="U200" s="6"/>
      <c r="V200" s="6"/>
      <c r="W200" s="6"/>
      <c r="X200" s="6"/>
      <c r="Y200" s="6"/>
      <c r="Z200" s="6"/>
      <c r="AA200" s="6"/>
      <c r="AB200" s="6"/>
      <c r="AC200" s="6"/>
      <c r="AD200" s="6"/>
      <c r="AE200" s="6"/>
      <c r="AF200" s="6">
        <v>41015</v>
      </c>
      <c r="AG200" s="6"/>
      <c r="AH200" s="6"/>
      <c r="AI200" s="6"/>
      <c r="AJ200" s="6"/>
      <c r="AK200" s="6"/>
      <c r="AL200" s="6"/>
      <c r="AM200" s="6"/>
      <c r="AN200" s="6"/>
      <c r="AO200" s="6"/>
      <c r="AP200" s="6"/>
      <c r="AQ200" s="6"/>
      <c r="AR200" s="6">
        <v>41348</v>
      </c>
      <c r="AS200" s="6">
        <v>41284</v>
      </c>
      <c r="AT200" s="6"/>
      <c r="AU200" s="6"/>
      <c r="AV200" s="6">
        <v>41352</v>
      </c>
      <c r="AW200" s="6"/>
      <c r="AX200" s="6"/>
      <c r="AY200" s="6"/>
      <c r="AZ200" s="6">
        <v>41365</v>
      </c>
      <c r="BA200" s="6"/>
      <c r="BB200" s="6"/>
      <c r="BC200" s="6"/>
      <c r="BD200" s="6"/>
      <c r="BE200" s="6"/>
      <c r="BF200" s="6"/>
      <c r="BG200" s="6"/>
      <c r="BH200" s="6"/>
      <c r="BI200" s="6"/>
      <c r="BJ200" s="6"/>
      <c r="BK200" s="6"/>
      <c r="BL200" s="6"/>
      <c r="BM200" s="6">
        <v>41367</v>
      </c>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c r="FZ200" s="6"/>
      <c r="GA200" s="6"/>
      <c r="GB200" s="6"/>
      <c r="GC200" s="6"/>
      <c r="GD200" s="6"/>
      <c r="GE200" s="6"/>
      <c r="GF200" s="6"/>
      <c r="GG200" s="6"/>
      <c r="GH200" s="6"/>
      <c r="GI200" s="6"/>
      <c r="GJ200" s="6"/>
      <c r="GK200" s="6"/>
      <c r="GL200" s="6"/>
      <c r="GM200" s="6"/>
      <c r="GN200" s="6"/>
      <c r="GO200" s="6"/>
      <c r="GP200" s="6"/>
      <c r="GQ200" s="6"/>
      <c r="GR200" s="6"/>
      <c r="GS200" s="6"/>
      <c r="GT200" s="6"/>
      <c r="GU200" s="6"/>
      <c r="GV200" s="6"/>
      <c r="GW200" s="6"/>
      <c r="GX200" s="6"/>
      <c r="GY200" s="6"/>
      <c r="GZ200" s="6"/>
      <c r="HA200" s="6"/>
      <c r="HB200" s="6"/>
      <c r="HC200" s="6"/>
      <c r="HD200" s="6"/>
      <c r="HE200" s="6"/>
      <c r="HF200" s="6"/>
      <c r="HG200" s="6"/>
      <c r="HH200" s="6"/>
    </row>
    <row r="201" spans="1:216" x14ac:dyDescent="0.3">
      <c r="A201" s="8" t="str">
        <f>HYPERLINK("https://hpr-rps.hres.ca/reg-content/summary-basis-decision-detailTwo.php?lang=en&amp;linkID=SBD00201", "Xofigo")</f>
        <v>Xofigo</v>
      </c>
      <c r="B201" s="6" t="s">
        <v>580</v>
      </c>
      <c r="C201" s="6" t="s">
        <v>341</v>
      </c>
      <c r="D201" s="6" t="s">
        <v>581</v>
      </c>
      <c r="E201" s="6">
        <v>41010</v>
      </c>
      <c r="F201" s="6"/>
      <c r="G201" s="6"/>
      <c r="H201" s="6">
        <v>41277</v>
      </c>
      <c r="I201" s="6"/>
      <c r="J201" s="6"/>
      <c r="K201" s="6"/>
      <c r="L201" s="6"/>
      <c r="M201" s="6"/>
      <c r="N201" s="6"/>
      <c r="O201" s="6"/>
      <c r="P201" s="6"/>
      <c r="Q201" s="6"/>
      <c r="R201" s="6"/>
      <c r="S201" s="6"/>
      <c r="T201" s="6"/>
      <c r="U201" s="6"/>
      <c r="V201" s="6"/>
      <c r="W201" s="6"/>
      <c r="X201" s="6"/>
      <c r="Y201" s="6"/>
      <c r="Z201" s="6"/>
      <c r="AA201" s="6"/>
      <c r="AB201" s="6"/>
      <c r="AC201" s="6"/>
      <c r="AD201" s="6"/>
      <c r="AE201" s="6"/>
      <c r="AF201" s="6">
        <v>41320</v>
      </c>
      <c r="AG201" s="6"/>
      <c r="AH201" s="6"/>
      <c r="AI201" s="6"/>
      <c r="AJ201" s="6"/>
      <c r="AK201" s="6"/>
      <c r="AL201" s="6"/>
      <c r="AM201" s="6"/>
      <c r="AN201" s="6"/>
      <c r="AO201" s="6"/>
      <c r="AP201" s="6"/>
      <c r="AQ201" s="6"/>
      <c r="AR201" s="6">
        <v>41619</v>
      </c>
      <c r="AS201" s="6"/>
      <c r="AT201" s="6"/>
      <c r="AU201" s="6"/>
      <c r="AV201" s="6">
        <v>41600</v>
      </c>
      <c r="AW201" s="6"/>
      <c r="AX201" s="6"/>
      <c r="AY201" s="6"/>
      <c r="AZ201" s="6">
        <v>41614</v>
      </c>
      <c r="BA201" s="6"/>
      <c r="BB201" s="6"/>
      <c r="BC201" s="6"/>
      <c r="BD201" s="6"/>
      <c r="BE201" s="6"/>
      <c r="BF201" s="6"/>
      <c r="BG201" s="6"/>
      <c r="BH201" s="6"/>
      <c r="BI201" s="6"/>
      <c r="BJ201" s="6"/>
      <c r="BK201" s="6"/>
      <c r="BL201" s="6"/>
      <c r="BM201" s="6">
        <v>41620</v>
      </c>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row>
    <row r="202" spans="1:216" x14ac:dyDescent="0.3">
      <c r="A202" s="8" t="str">
        <f>HYPERLINK("https://hpr-rps.hres.ca/reg-content/summary-basis-decision-detailTwo.php?lang=en&amp;linkID=SBD00202", "Xtandi")</f>
        <v>Xtandi</v>
      </c>
      <c r="B202" s="6" t="s">
        <v>582</v>
      </c>
      <c r="C202" s="6" t="s">
        <v>331</v>
      </c>
      <c r="D202" s="6" t="s">
        <v>583</v>
      </c>
      <c r="E202" s="6">
        <v>41010</v>
      </c>
      <c r="F202" s="6"/>
      <c r="G202" s="6"/>
      <c r="H202" s="6">
        <v>41277</v>
      </c>
      <c r="I202" s="6"/>
      <c r="J202" s="6"/>
      <c r="K202" s="6"/>
      <c r="L202" s="6"/>
      <c r="M202" s="6"/>
      <c r="N202" s="6"/>
      <c r="O202" s="6"/>
      <c r="P202" s="6"/>
      <c r="Q202" s="6"/>
      <c r="R202" s="6"/>
      <c r="S202" s="6"/>
      <c r="T202" s="6"/>
      <c r="U202" s="6"/>
      <c r="V202" s="6"/>
      <c r="W202" s="6"/>
      <c r="X202" s="6"/>
      <c r="Y202" s="6"/>
      <c r="Z202" s="6"/>
      <c r="AA202" s="6"/>
      <c r="AB202" s="6"/>
      <c r="AC202" s="6"/>
      <c r="AD202" s="6"/>
      <c r="AE202" s="6"/>
      <c r="AF202" s="6">
        <v>41320</v>
      </c>
      <c r="AG202" s="6"/>
      <c r="AH202" s="6"/>
      <c r="AI202" s="6"/>
      <c r="AJ202" s="6"/>
      <c r="AK202" s="6"/>
      <c r="AL202" s="6"/>
      <c r="AM202" s="6"/>
      <c r="AN202" s="6"/>
      <c r="AO202" s="6"/>
      <c r="AP202" s="6"/>
      <c r="AQ202" s="6"/>
      <c r="AR202" s="6">
        <v>41619</v>
      </c>
      <c r="AS202" s="6"/>
      <c r="AT202" s="6"/>
      <c r="AU202" s="6"/>
      <c r="AV202" s="6">
        <v>41600</v>
      </c>
      <c r="AW202" s="6"/>
      <c r="AX202" s="6"/>
      <c r="AY202" s="6"/>
      <c r="AZ202" s="6">
        <v>41614</v>
      </c>
      <c r="BA202" s="6"/>
      <c r="BB202" s="6"/>
      <c r="BC202" s="6"/>
      <c r="BD202" s="6"/>
      <c r="BE202" s="6"/>
      <c r="BF202" s="6"/>
      <c r="BG202" s="6"/>
      <c r="BH202" s="6"/>
      <c r="BI202" s="6"/>
      <c r="BJ202" s="6"/>
      <c r="BK202" s="6"/>
      <c r="BL202" s="6"/>
      <c r="BM202" s="6">
        <v>41620</v>
      </c>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c r="FZ202" s="6"/>
      <c r="GA202" s="6"/>
      <c r="GB202" s="6"/>
      <c r="GC202" s="6"/>
      <c r="GD202" s="6"/>
      <c r="GE202" s="6"/>
      <c r="GF202" s="6"/>
      <c r="GG202" s="6"/>
      <c r="GH202" s="6"/>
      <c r="GI202" s="6"/>
      <c r="GJ202" s="6"/>
      <c r="GK202" s="6"/>
      <c r="GL202" s="6"/>
      <c r="GM202" s="6"/>
      <c r="GN202" s="6"/>
      <c r="GO202" s="6"/>
      <c r="GP202" s="6"/>
      <c r="GQ202" s="6"/>
      <c r="GR202" s="6"/>
      <c r="GS202" s="6"/>
      <c r="GT202" s="6"/>
      <c r="GU202" s="6"/>
      <c r="GV202" s="6"/>
      <c r="GW202" s="6"/>
      <c r="GX202" s="6"/>
      <c r="GY202" s="6"/>
      <c r="GZ202" s="6"/>
      <c r="HA202" s="6"/>
      <c r="HB202" s="6"/>
      <c r="HC202" s="6"/>
      <c r="HD202" s="6"/>
      <c r="HE202" s="6"/>
      <c r="HF202" s="6"/>
      <c r="HG202" s="6"/>
      <c r="HH202" s="6"/>
    </row>
    <row r="203" spans="1:216" x14ac:dyDescent="0.3">
      <c r="A203" s="8" t="str">
        <f>HYPERLINK("https://hpr-rps.hres.ca/reg-content/summary-basis-decision-detailTwo.php?lang=en&amp;linkID=SBD00203", "Zaxine")</f>
        <v>Zaxine</v>
      </c>
      <c r="B203" s="6" t="s">
        <v>584</v>
      </c>
      <c r="C203" s="6" t="s">
        <v>585</v>
      </c>
      <c r="D203" s="6" t="s">
        <v>586</v>
      </c>
      <c r="E203" s="6">
        <v>41591</v>
      </c>
      <c r="F203" s="6"/>
      <c r="G203" s="6"/>
      <c r="H203" s="6">
        <v>41698</v>
      </c>
      <c r="I203" s="6"/>
      <c r="J203" s="6"/>
      <c r="K203" s="6"/>
      <c r="L203" s="6"/>
      <c r="M203" s="6"/>
      <c r="N203" s="6"/>
      <c r="O203" s="6"/>
      <c r="P203" s="6"/>
      <c r="Q203" s="6"/>
      <c r="R203" s="6"/>
      <c r="S203" s="6"/>
      <c r="T203" s="6"/>
      <c r="U203" s="6"/>
      <c r="V203" s="6"/>
      <c r="W203" s="6"/>
      <c r="X203" s="6"/>
      <c r="Y203" s="6"/>
      <c r="Z203" s="6"/>
      <c r="AA203" s="6"/>
      <c r="AB203" s="6"/>
      <c r="AC203" s="6"/>
      <c r="AD203" s="6"/>
      <c r="AE203" s="6"/>
      <c r="AF203" s="6">
        <v>41754</v>
      </c>
      <c r="AG203" s="6"/>
      <c r="AH203" s="6"/>
      <c r="AI203" s="6"/>
      <c r="AJ203" s="6"/>
      <c r="AK203" s="6"/>
      <c r="AL203" s="6"/>
      <c r="AM203" s="6"/>
      <c r="AN203" s="6"/>
      <c r="AO203" s="6"/>
      <c r="AP203" s="6"/>
      <c r="AQ203" s="6"/>
      <c r="AR203" s="6">
        <v>42080</v>
      </c>
      <c r="AS203" s="6"/>
      <c r="AT203" s="6"/>
      <c r="AU203" s="6"/>
      <c r="AV203" s="6">
        <v>42047</v>
      </c>
      <c r="AW203" s="6"/>
      <c r="AX203" s="6"/>
      <c r="AY203" s="6"/>
      <c r="AZ203" s="6">
        <v>42089</v>
      </c>
      <c r="BA203" s="6"/>
      <c r="BB203" s="6"/>
      <c r="BC203" s="6"/>
      <c r="BD203" s="6"/>
      <c r="BE203" s="6"/>
      <c r="BF203" s="6"/>
      <c r="BG203" s="6"/>
      <c r="BH203" s="6"/>
      <c r="BI203" s="6"/>
      <c r="BJ203" s="6"/>
      <c r="BK203" s="6"/>
      <c r="BL203" s="6">
        <v>42054</v>
      </c>
      <c r="BM203" s="6">
        <v>42065</v>
      </c>
      <c r="BN203" s="6"/>
      <c r="BO203" s="6"/>
      <c r="BP203" s="6"/>
      <c r="BQ203" s="6"/>
      <c r="BR203" s="6"/>
      <c r="BS203" s="6"/>
      <c r="BT203" s="6"/>
      <c r="BU203" s="6"/>
      <c r="BV203" s="6"/>
      <c r="BW203" s="6"/>
      <c r="BX203" s="6"/>
      <c r="BY203" s="6">
        <v>42060</v>
      </c>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c r="FZ203" s="6"/>
      <c r="GA203" s="6"/>
      <c r="GB203" s="6"/>
      <c r="GC203" s="6"/>
      <c r="GD203" s="6"/>
      <c r="GE203" s="6"/>
      <c r="GF203" s="6"/>
      <c r="GG203" s="6"/>
      <c r="GH203" s="6"/>
      <c r="GI203" s="6"/>
      <c r="GJ203" s="6"/>
      <c r="GK203" s="6"/>
      <c r="GL203" s="6"/>
      <c r="GM203" s="6"/>
      <c r="GN203" s="6"/>
      <c r="GO203" s="6"/>
      <c r="GP203" s="6"/>
      <c r="GQ203" s="6"/>
      <c r="GR203" s="6"/>
      <c r="GS203" s="6"/>
      <c r="GT203" s="6"/>
      <c r="GU203" s="6"/>
      <c r="GV203" s="6"/>
      <c r="GW203" s="6"/>
      <c r="GX203" s="6"/>
      <c r="GY203" s="6"/>
      <c r="GZ203" s="6"/>
      <c r="HA203" s="6"/>
      <c r="HB203" s="6"/>
      <c r="HC203" s="6"/>
      <c r="HD203" s="6"/>
      <c r="HE203" s="6"/>
      <c r="HF203" s="6"/>
      <c r="HG203" s="6"/>
      <c r="HH203" s="6"/>
    </row>
    <row r="204" spans="1:216" x14ac:dyDescent="0.3">
      <c r="A204" s="8" t="str">
        <f>HYPERLINK("https://hpr-rps.hres.ca/reg-content/summary-basis-decision-detailTwo.php?lang=en&amp;linkID=SBD00204", "Zonovate")</f>
        <v>Zonovate</v>
      </c>
      <c r="B204" s="6" t="s">
        <v>587</v>
      </c>
      <c r="C204" s="6" t="s">
        <v>301</v>
      </c>
      <c r="D204" s="6" t="s">
        <v>588</v>
      </c>
      <c r="E204" s="6">
        <v>41660</v>
      </c>
      <c r="F204" s="6"/>
      <c r="G204" s="6">
        <v>41813</v>
      </c>
      <c r="H204" s="6">
        <v>41806</v>
      </c>
      <c r="I204" s="6">
        <v>41837</v>
      </c>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row>
    <row r="205" spans="1:216" x14ac:dyDescent="0.3">
      <c r="A205" s="8" t="str">
        <f>HYPERLINK("https://hpr-rps.hres.ca/reg-content/summary-basis-decision-detailTwo.php?lang=en&amp;linkID=SBD00205", "Zydelig")</f>
        <v>Zydelig</v>
      </c>
      <c r="B205" s="6" t="s">
        <v>589</v>
      </c>
      <c r="C205" s="6" t="s">
        <v>134</v>
      </c>
      <c r="D205" s="6" t="s">
        <v>590</v>
      </c>
      <c r="E205" s="6">
        <v>41591</v>
      </c>
      <c r="F205" s="6"/>
      <c r="G205" s="6"/>
      <c r="H205" s="6">
        <v>41698</v>
      </c>
      <c r="I205" s="6"/>
      <c r="J205" s="6"/>
      <c r="K205" s="6"/>
      <c r="L205" s="6"/>
      <c r="M205" s="6"/>
      <c r="N205" s="6"/>
      <c r="O205" s="6"/>
      <c r="P205" s="6"/>
      <c r="Q205" s="6"/>
      <c r="R205" s="6"/>
      <c r="S205" s="6"/>
      <c r="T205" s="6"/>
      <c r="U205" s="6"/>
      <c r="V205" s="6"/>
      <c r="W205" s="6"/>
      <c r="X205" s="6"/>
      <c r="Y205" s="6"/>
      <c r="Z205" s="6"/>
      <c r="AA205" s="6"/>
      <c r="AB205" s="6"/>
      <c r="AC205" s="6"/>
      <c r="AD205" s="6"/>
      <c r="AE205" s="6"/>
      <c r="AF205" s="6">
        <v>41754</v>
      </c>
      <c r="AG205" s="6"/>
      <c r="AH205" s="6"/>
      <c r="AI205" s="6"/>
      <c r="AJ205" s="6"/>
      <c r="AK205" s="6"/>
      <c r="AL205" s="6"/>
      <c r="AM205" s="6"/>
      <c r="AN205" s="6"/>
      <c r="AO205" s="6"/>
      <c r="AP205" s="6"/>
      <c r="AQ205" s="6"/>
      <c r="AR205" s="6">
        <v>42080</v>
      </c>
      <c r="AS205" s="6"/>
      <c r="AT205" s="6"/>
      <c r="AU205" s="6"/>
      <c r="AV205" s="6">
        <v>42047</v>
      </c>
      <c r="AW205" s="6"/>
      <c r="AX205" s="6"/>
      <c r="AY205" s="6"/>
      <c r="AZ205" s="6">
        <v>42089</v>
      </c>
      <c r="BA205" s="6"/>
      <c r="BB205" s="6"/>
      <c r="BC205" s="6"/>
      <c r="BD205" s="6"/>
      <c r="BE205" s="6"/>
      <c r="BF205" s="6"/>
      <c r="BG205" s="6"/>
      <c r="BH205" s="6"/>
      <c r="BI205" s="6"/>
      <c r="BJ205" s="6"/>
      <c r="BK205" s="6"/>
      <c r="BL205" s="6">
        <v>42054</v>
      </c>
      <c r="BM205" s="6">
        <v>42065</v>
      </c>
      <c r="BN205" s="6"/>
      <c r="BO205" s="6"/>
      <c r="BP205" s="6"/>
      <c r="BQ205" s="6"/>
      <c r="BR205" s="6"/>
      <c r="BS205" s="6"/>
      <c r="BT205" s="6"/>
      <c r="BU205" s="6"/>
      <c r="BV205" s="6"/>
      <c r="BW205" s="6"/>
      <c r="BX205" s="6"/>
      <c r="BY205" s="6">
        <v>42060</v>
      </c>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row>
    <row r="206" spans="1:216" x14ac:dyDescent="0.3">
      <c r="A206" s="8" t="str">
        <f>HYPERLINK("https://hpr-rps.hres.ca/reg-content/summary-basis-decision-detailTwo.php?lang=en&amp;linkID=SBD00206", "Zykadia")</f>
        <v>Zykadia</v>
      </c>
      <c r="B206" s="6" t="s">
        <v>591</v>
      </c>
      <c r="C206" s="6" t="s">
        <v>87</v>
      </c>
      <c r="D206" s="6" t="s">
        <v>592</v>
      </c>
      <c r="E206" s="6">
        <v>41660</v>
      </c>
      <c r="F206" s="6"/>
      <c r="G206" s="6">
        <v>41813</v>
      </c>
      <c r="H206" s="6">
        <v>41806</v>
      </c>
      <c r="I206" s="6">
        <v>41837</v>
      </c>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row>
    <row r="207" spans="1:216" x14ac:dyDescent="0.3">
      <c r="A207" s="8" t="str">
        <f>HYPERLINK("https://hpr-rps.hres.ca/reg-content/summary-basis-decision-detailTwo.php?lang=en&amp;linkID=SBD00207", "Blincyto")</f>
        <v>Blincyto</v>
      </c>
      <c r="B207" s="6" t="s">
        <v>593</v>
      </c>
      <c r="C207" s="6" t="s">
        <v>289</v>
      </c>
      <c r="D207" s="6" t="s">
        <v>594</v>
      </c>
      <c r="E207" s="6">
        <v>41373</v>
      </c>
      <c r="F207" s="6"/>
      <c r="G207" s="6"/>
      <c r="H207" s="6">
        <v>42034</v>
      </c>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c r="FZ207" s="6"/>
      <c r="GA207" s="6"/>
      <c r="GB207" s="6"/>
      <c r="GC207" s="6"/>
      <c r="GD207" s="6"/>
      <c r="GE207" s="6"/>
      <c r="GF207" s="6"/>
      <c r="GG207" s="6"/>
      <c r="GH207" s="6"/>
      <c r="GI207" s="6"/>
      <c r="GJ207" s="6"/>
      <c r="GK207" s="6"/>
      <c r="GL207" s="6"/>
      <c r="GM207" s="6"/>
      <c r="GN207" s="6"/>
      <c r="GO207" s="6"/>
      <c r="GP207" s="6"/>
      <c r="GQ207" s="6"/>
      <c r="GR207" s="6"/>
      <c r="GS207" s="6"/>
      <c r="GT207" s="6"/>
      <c r="GU207" s="6"/>
      <c r="GV207" s="6"/>
      <c r="GW207" s="6"/>
      <c r="GX207" s="6"/>
      <c r="GY207" s="6"/>
      <c r="GZ207" s="6"/>
      <c r="HA207" s="6"/>
      <c r="HB207" s="6"/>
      <c r="HC207" s="6"/>
      <c r="HD207" s="6"/>
      <c r="HE207" s="6"/>
      <c r="HF207" s="6"/>
      <c r="HG207" s="6"/>
      <c r="HH207" s="6"/>
    </row>
    <row r="208" spans="1:216" x14ac:dyDescent="0.3">
      <c r="A208" s="8" t="str">
        <f>HYPERLINK("https://hpr-rps.hres.ca/reg-content/summary-basis-decision-detailTwo.php?lang=en&amp;linkID=SBD00208", "Entresto")</f>
        <v>Entresto</v>
      </c>
      <c r="B208" s="6" t="s">
        <v>595</v>
      </c>
      <c r="C208" s="6" t="s">
        <v>87</v>
      </c>
      <c r="D208" s="6" t="s">
        <v>596</v>
      </c>
      <c r="E208" s="6">
        <v>41942</v>
      </c>
      <c r="F208" s="6"/>
      <c r="G208" s="6"/>
      <c r="H208" s="6"/>
      <c r="I208" s="6"/>
      <c r="J208" s="6"/>
      <c r="K208" s="6"/>
      <c r="L208" s="6"/>
      <c r="M208" s="6"/>
      <c r="N208" s="6">
        <v>42037</v>
      </c>
      <c r="O208" s="6"/>
      <c r="P208" s="6"/>
      <c r="Q208" s="6"/>
      <c r="R208" s="6"/>
      <c r="S208" s="6">
        <v>42065</v>
      </c>
      <c r="T208" s="6"/>
      <c r="U208" s="6"/>
      <c r="V208" s="6">
        <v>42069</v>
      </c>
      <c r="W208" s="6"/>
      <c r="X208" s="6"/>
      <c r="Y208" s="6"/>
      <c r="Z208" s="6"/>
      <c r="AA208" s="6"/>
      <c r="AB208" s="6"/>
      <c r="AC208" s="6"/>
      <c r="AD208" s="6"/>
      <c r="AE208" s="6"/>
      <c r="AF208" s="6">
        <v>42094</v>
      </c>
      <c r="AG208" s="6"/>
      <c r="AH208" s="6"/>
      <c r="AI208" s="6"/>
      <c r="AJ208" s="6"/>
      <c r="AK208" s="6"/>
      <c r="AL208" s="6"/>
      <c r="AM208" s="6"/>
      <c r="AN208" s="6"/>
      <c r="AO208" s="6"/>
      <c r="AP208" s="6"/>
      <c r="AQ208" s="6"/>
      <c r="AR208" s="6">
        <v>42278</v>
      </c>
      <c r="AS208" s="6">
        <v>42272</v>
      </c>
      <c r="AT208" s="6"/>
      <c r="AU208" s="6"/>
      <c r="AV208" s="6">
        <v>42277</v>
      </c>
      <c r="AW208" s="6"/>
      <c r="AX208" s="6"/>
      <c r="AY208" s="6"/>
      <c r="AZ208" s="6">
        <v>42278</v>
      </c>
      <c r="BA208" s="6"/>
      <c r="BB208" s="6"/>
      <c r="BC208" s="6"/>
      <c r="BD208" s="6"/>
      <c r="BE208" s="6"/>
      <c r="BF208" s="6"/>
      <c r="BG208" s="6"/>
      <c r="BH208" s="6"/>
      <c r="BI208" s="6"/>
      <c r="BJ208" s="6"/>
      <c r="BK208" s="6"/>
      <c r="BL208" s="6"/>
      <c r="BM208" s="6">
        <v>42279</v>
      </c>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c r="FZ208" s="6"/>
      <c r="GA208" s="6"/>
      <c r="GB208" s="6"/>
      <c r="GC208" s="6"/>
      <c r="GD208" s="6"/>
      <c r="GE208" s="6"/>
      <c r="GF208" s="6"/>
      <c r="GG208" s="6"/>
      <c r="GH208" s="6"/>
      <c r="GI208" s="6"/>
      <c r="GJ208" s="6"/>
      <c r="GK208" s="6"/>
      <c r="GL208" s="6"/>
      <c r="GM208" s="6"/>
      <c r="GN208" s="6"/>
      <c r="GO208" s="6"/>
      <c r="GP208" s="6"/>
      <c r="GQ208" s="6"/>
      <c r="GR208" s="6"/>
      <c r="GS208" s="6"/>
      <c r="GT208" s="6"/>
      <c r="GU208" s="6"/>
      <c r="GV208" s="6"/>
      <c r="GW208" s="6"/>
      <c r="GX208" s="6"/>
      <c r="GY208" s="6"/>
      <c r="GZ208" s="6"/>
      <c r="HA208" s="6"/>
      <c r="HB208" s="6"/>
      <c r="HC208" s="6"/>
      <c r="HD208" s="6"/>
      <c r="HE208" s="6"/>
      <c r="HF208" s="6"/>
      <c r="HG208" s="6"/>
      <c r="HH208" s="6"/>
    </row>
    <row r="209" spans="1:216" x14ac:dyDescent="0.3">
      <c r="A209" s="8" t="str">
        <f>HYPERLINK("https://hpr-rps.hres.ca/reg-content/summary-basis-decision-detailTwo.php?lang=en&amp;linkID=SBD00211", "Entyvio")</f>
        <v>Entyvio</v>
      </c>
      <c r="B209" s="6" t="s">
        <v>597</v>
      </c>
      <c r="C209" s="6" t="s">
        <v>241</v>
      </c>
      <c r="D209" s="6" t="s">
        <v>598</v>
      </c>
      <c r="E209" s="6">
        <v>41372</v>
      </c>
      <c r="F209" s="6"/>
      <c r="G209" s="6"/>
      <c r="H209" s="6">
        <v>41576</v>
      </c>
      <c r="I209" s="6"/>
      <c r="J209" s="6"/>
      <c r="K209" s="6"/>
      <c r="L209" s="6"/>
      <c r="M209" s="6"/>
      <c r="N209" s="6"/>
      <c r="O209" s="6"/>
      <c r="P209" s="6"/>
      <c r="Q209" s="6"/>
      <c r="R209" s="6"/>
      <c r="S209" s="6"/>
      <c r="T209" s="6"/>
      <c r="U209" s="6"/>
      <c r="V209" s="6"/>
      <c r="W209" s="6"/>
      <c r="X209" s="6"/>
      <c r="Y209" s="6"/>
      <c r="Z209" s="6">
        <v>41652</v>
      </c>
      <c r="AA209" s="6"/>
      <c r="AB209" s="6"/>
      <c r="AC209" s="6">
        <v>41681</v>
      </c>
      <c r="AD209" s="6"/>
      <c r="AE209" s="6"/>
      <c r="AF209" s="6">
        <v>41733</v>
      </c>
      <c r="AG209" s="6"/>
      <c r="AH209" s="6"/>
      <c r="AI209" s="6"/>
      <c r="AJ209" s="6"/>
      <c r="AK209" s="6"/>
      <c r="AL209" s="6"/>
      <c r="AM209" s="6"/>
      <c r="AN209" s="6"/>
      <c r="AO209" s="6"/>
      <c r="AP209" s="6"/>
      <c r="AQ209" s="6"/>
      <c r="AR209" s="6">
        <v>42033</v>
      </c>
      <c r="AS209" s="6"/>
      <c r="AT209" s="6"/>
      <c r="AU209" s="6"/>
      <c r="AV209" s="6">
        <v>42033</v>
      </c>
      <c r="AW209" s="6"/>
      <c r="AX209" s="6"/>
      <c r="AY209" s="6"/>
      <c r="AZ209" s="6">
        <v>42033</v>
      </c>
      <c r="BA209" s="6"/>
      <c r="BB209" s="6"/>
      <c r="BC209" s="6"/>
      <c r="BD209" s="6"/>
      <c r="BE209" s="6"/>
      <c r="BF209" s="6"/>
      <c r="BG209" s="6"/>
      <c r="BH209" s="6"/>
      <c r="BI209" s="6"/>
      <c r="BJ209" s="6"/>
      <c r="BK209" s="6"/>
      <c r="BL209" s="6"/>
      <c r="BM209" s="6">
        <v>42033</v>
      </c>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row>
    <row r="210" spans="1:216" x14ac:dyDescent="0.3">
      <c r="A210" s="8" t="str">
        <f>HYPERLINK("https://hpr-rps.hres.ca/reg-content/summary-basis-decision-detailTwo.php?lang=en&amp;linkID=SBD00209", "Lenvima")</f>
        <v>Lenvima</v>
      </c>
      <c r="B210" s="6" t="s">
        <v>599</v>
      </c>
      <c r="C210" s="6" t="s">
        <v>90</v>
      </c>
      <c r="D210" s="6" t="s">
        <v>600</v>
      </c>
      <c r="E210" s="6">
        <v>41913</v>
      </c>
      <c r="F210" s="6"/>
      <c r="G210" s="6"/>
      <c r="H210" s="6">
        <v>42012</v>
      </c>
      <c r="I210" s="6"/>
      <c r="J210" s="6"/>
      <c r="K210" s="6"/>
      <c r="L210" s="6"/>
      <c r="M210" s="6"/>
      <c r="N210" s="6"/>
      <c r="O210" s="6"/>
      <c r="P210" s="6"/>
      <c r="Q210" s="6"/>
      <c r="R210" s="6"/>
      <c r="S210" s="6"/>
      <c r="T210" s="6"/>
      <c r="U210" s="6"/>
      <c r="V210" s="6"/>
      <c r="W210" s="6"/>
      <c r="X210" s="6"/>
      <c r="Y210" s="6"/>
      <c r="Z210" s="6"/>
      <c r="AA210" s="6"/>
      <c r="AB210" s="6"/>
      <c r="AC210" s="6"/>
      <c r="AD210" s="6"/>
      <c r="AE210" s="6"/>
      <c r="AF210" s="6">
        <v>42061</v>
      </c>
      <c r="AG210" s="6"/>
      <c r="AH210" s="6"/>
      <c r="AI210" s="6"/>
      <c r="AJ210" s="6"/>
      <c r="AK210" s="6"/>
      <c r="AL210" s="6"/>
      <c r="AM210" s="6"/>
      <c r="AN210" s="6"/>
      <c r="AO210" s="6"/>
      <c r="AP210" s="6"/>
      <c r="AQ210" s="6"/>
      <c r="AR210" s="6">
        <v>42356</v>
      </c>
      <c r="AS210" s="6">
        <v>42263</v>
      </c>
      <c r="AT210" s="6"/>
      <c r="AU210" s="6"/>
      <c r="AV210" s="6">
        <v>42359</v>
      </c>
      <c r="AW210" s="6"/>
      <c r="AX210" s="6">
        <v>42285</v>
      </c>
      <c r="AY210" s="6"/>
      <c r="AZ210" s="6">
        <v>42360</v>
      </c>
      <c r="BA210" s="6"/>
      <c r="BB210" s="6"/>
      <c r="BC210" s="6"/>
      <c r="BD210" s="6"/>
      <c r="BE210" s="6"/>
      <c r="BF210" s="6"/>
      <c r="BG210" s="6"/>
      <c r="BH210" s="6"/>
      <c r="BI210" s="6"/>
      <c r="BJ210" s="6"/>
      <c r="BK210" s="6"/>
      <c r="BL210" s="6"/>
      <c r="BM210" s="6">
        <v>42360</v>
      </c>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row>
    <row r="211" spans="1:216" x14ac:dyDescent="0.3">
      <c r="A211" s="8" t="str">
        <f>HYPERLINK("https://hpr-rps.hres.ca/reg-content/summary-basis-decision-detailTwo.php?lang=en&amp;linkID=SBD00210", "Eloctate")</f>
        <v>Eloctate</v>
      </c>
      <c r="B211" s="6" t="s">
        <v>601</v>
      </c>
      <c r="C211" s="6" t="s">
        <v>509</v>
      </c>
      <c r="D211" s="6" t="s">
        <v>602</v>
      </c>
      <c r="E211" s="6">
        <v>41416</v>
      </c>
      <c r="F211" s="6"/>
      <c r="G211" s="6"/>
      <c r="H211" s="6">
        <v>41485</v>
      </c>
      <c r="I211" s="6"/>
      <c r="J211" s="6"/>
      <c r="K211" s="6"/>
      <c r="L211" s="6"/>
      <c r="M211" s="6"/>
      <c r="N211" s="6"/>
      <c r="O211" s="6"/>
      <c r="P211" s="6"/>
      <c r="Q211" s="6"/>
      <c r="R211" s="6"/>
      <c r="S211" s="6"/>
      <c r="T211" s="6"/>
      <c r="U211" s="6"/>
      <c r="V211" s="6"/>
      <c r="W211" s="6"/>
      <c r="X211" s="6"/>
      <c r="Y211" s="6"/>
      <c r="Z211" s="6">
        <v>41535</v>
      </c>
      <c r="AA211" s="6"/>
      <c r="AB211" s="6"/>
      <c r="AC211" s="6">
        <v>41549</v>
      </c>
      <c r="AD211" s="6"/>
      <c r="AE211" s="6"/>
      <c r="AF211" s="6">
        <v>41576</v>
      </c>
      <c r="AG211" s="6"/>
      <c r="AH211" s="6"/>
      <c r="AI211" s="6"/>
      <c r="AJ211" s="6"/>
      <c r="AK211" s="6"/>
      <c r="AL211" s="6"/>
      <c r="AM211" s="6"/>
      <c r="AN211" s="6"/>
      <c r="AO211" s="6">
        <v>41806</v>
      </c>
      <c r="AP211" s="6"/>
      <c r="AQ211" s="6"/>
      <c r="AR211" s="6">
        <v>41870</v>
      </c>
      <c r="AS211" s="6"/>
      <c r="AT211" s="6"/>
      <c r="AU211" s="6"/>
      <c r="AV211" s="6">
        <v>41871</v>
      </c>
      <c r="AW211" s="6"/>
      <c r="AX211" s="6">
        <v>41870</v>
      </c>
      <c r="AY211" s="6"/>
      <c r="AZ211" s="6">
        <v>41870</v>
      </c>
      <c r="BA211" s="6"/>
      <c r="BB211" s="6"/>
      <c r="BC211" s="6"/>
      <c r="BD211" s="6"/>
      <c r="BE211" s="6"/>
      <c r="BF211" s="6"/>
      <c r="BG211" s="6"/>
      <c r="BH211" s="6"/>
      <c r="BI211" s="6"/>
      <c r="BJ211" s="6"/>
      <c r="BK211" s="6"/>
      <c r="BL211" s="6"/>
      <c r="BM211" s="6">
        <v>41873</v>
      </c>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row>
    <row r="212" spans="1:216" x14ac:dyDescent="0.3">
      <c r="A212" s="8" t="str">
        <f>HYPERLINK("https://hpr-rps.hres.ca/reg-content/summary-basis-decision-detailTwo.php?lang=en&amp;linkID=SBD00212", "Erivedge")</f>
        <v>Erivedge</v>
      </c>
      <c r="B212" s="6" t="s">
        <v>603</v>
      </c>
      <c r="C212" s="6" t="s">
        <v>84</v>
      </c>
      <c r="D212" s="6" t="s">
        <v>604</v>
      </c>
      <c r="E212" s="6">
        <v>40932</v>
      </c>
      <c r="F212" s="6"/>
      <c r="G212" s="6"/>
      <c r="H212" s="6">
        <v>41001</v>
      </c>
      <c r="I212" s="6"/>
      <c r="J212" s="6"/>
      <c r="K212" s="6"/>
      <c r="L212" s="6"/>
      <c r="M212" s="6"/>
      <c r="N212" s="6"/>
      <c r="O212" s="6"/>
      <c r="P212" s="6"/>
      <c r="Q212" s="6"/>
      <c r="R212" s="6"/>
      <c r="S212" s="6"/>
      <c r="T212" s="6"/>
      <c r="U212" s="6"/>
      <c r="V212" s="6"/>
      <c r="W212" s="6"/>
      <c r="X212" s="6"/>
      <c r="Y212" s="6"/>
      <c r="Z212" s="6"/>
      <c r="AA212" s="6"/>
      <c r="AB212" s="6"/>
      <c r="AC212" s="6"/>
      <c r="AD212" s="6"/>
      <c r="AE212" s="6"/>
      <c r="AF212" s="6">
        <v>41036</v>
      </c>
      <c r="AG212" s="6"/>
      <c r="AH212" s="6"/>
      <c r="AI212" s="6"/>
      <c r="AJ212" s="6"/>
      <c r="AK212" s="6"/>
      <c r="AL212" s="6"/>
      <c r="AM212" s="6"/>
      <c r="AN212" s="6"/>
      <c r="AO212" s="6"/>
      <c r="AP212" s="6"/>
      <c r="AQ212" s="6"/>
      <c r="AR212" s="6"/>
      <c r="AS212" s="6"/>
      <c r="AT212" s="6"/>
      <c r="AU212" s="6"/>
      <c r="AV212" s="6">
        <v>41227</v>
      </c>
      <c r="AW212" s="6"/>
      <c r="AX212" s="6">
        <v>41205</v>
      </c>
      <c r="AY212" s="6"/>
      <c r="AZ212" s="6">
        <v>41235</v>
      </c>
      <c r="BA212" s="6"/>
      <c r="BB212" s="6"/>
      <c r="BC212" s="6"/>
      <c r="BD212" s="6"/>
      <c r="BE212" s="6"/>
      <c r="BF212" s="6"/>
      <c r="BG212" s="6"/>
      <c r="BH212" s="6">
        <v>41187</v>
      </c>
      <c r="BI212" s="6"/>
      <c r="BJ212" s="6"/>
      <c r="BK212" s="6"/>
      <c r="BL212" s="6"/>
      <c r="BM212" s="6"/>
      <c r="BN212" s="6"/>
      <c r="BO212" s="6"/>
      <c r="BP212" s="6"/>
      <c r="BQ212" s="6"/>
      <c r="BR212" s="6"/>
      <c r="BS212" s="6"/>
      <c r="BT212" s="6">
        <v>41236</v>
      </c>
      <c r="BU212" s="6"/>
      <c r="BV212" s="6"/>
      <c r="BW212" s="6"/>
      <c r="BX212" s="6"/>
      <c r="BY212" s="6"/>
      <c r="BZ212" s="6"/>
      <c r="CA212" s="6"/>
      <c r="CB212" s="6"/>
      <c r="CC212" s="6">
        <v>41354</v>
      </c>
      <c r="CD212" s="6"/>
      <c r="CE212" s="6"/>
      <c r="CF212" s="6"/>
      <c r="CG212" s="6"/>
      <c r="CH212" s="6"/>
      <c r="CI212" s="6"/>
      <c r="CJ212" s="6"/>
      <c r="CK212" s="6"/>
      <c r="CL212" s="6"/>
      <c r="CM212" s="6"/>
      <c r="CN212" s="6"/>
      <c r="CO212" s="6"/>
      <c r="CP212" s="6"/>
      <c r="CQ212" s="6"/>
      <c r="CR212" s="6">
        <v>41380</v>
      </c>
      <c r="CS212" s="6"/>
      <c r="CT212" s="6"/>
      <c r="CU212" s="6"/>
      <c r="CV212" s="6"/>
      <c r="CW212" s="6"/>
      <c r="CX212" s="6"/>
      <c r="CY212" s="6"/>
      <c r="CZ212" s="6"/>
      <c r="DA212" s="6"/>
      <c r="DB212" s="6"/>
      <c r="DC212" s="6"/>
      <c r="DD212" s="6">
        <v>41463</v>
      </c>
      <c r="DE212" s="6"/>
      <c r="DF212" s="6"/>
      <c r="DG212" s="6"/>
      <c r="DH212" s="6"/>
      <c r="DI212" s="6"/>
      <c r="DJ212" s="6"/>
      <c r="DK212" s="6"/>
      <c r="DL212" s="6">
        <v>41227</v>
      </c>
      <c r="DM212" s="6"/>
      <c r="DN212" s="6"/>
      <c r="DO212" s="6"/>
      <c r="DP212" s="6"/>
      <c r="DQ212" s="6"/>
      <c r="DR212" s="6"/>
      <c r="DS212" s="6"/>
      <c r="DT212" s="6"/>
      <c r="DU212" s="6"/>
      <c r="DV212" s="6"/>
      <c r="DW212" s="6"/>
      <c r="DX212" s="6"/>
      <c r="DY212" s="6">
        <v>41467</v>
      </c>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row>
    <row r="213" spans="1:216" x14ac:dyDescent="0.3">
      <c r="A213" s="8" t="str">
        <f>HYPERLINK("https://hpr-rps.hres.ca/reg-content/summary-basis-decision-detailTwo.php?lang=en&amp;linkID=SBD00213", "Esbriet")</f>
        <v>Esbriet</v>
      </c>
      <c r="B213" s="6" t="s">
        <v>605</v>
      </c>
      <c r="C213" s="6" t="s">
        <v>606</v>
      </c>
      <c r="D213" s="6" t="s">
        <v>607</v>
      </c>
      <c r="E213" s="6">
        <v>41372</v>
      </c>
      <c r="F213" s="6"/>
      <c r="G213" s="6"/>
      <c r="H213" s="6">
        <v>41499</v>
      </c>
      <c r="I213" s="6"/>
      <c r="J213" s="6"/>
      <c r="K213" s="6"/>
      <c r="L213" s="6"/>
      <c r="M213" s="6"/>
      <c r="N213" s="6"/>
      <c r="O213" s="6"/>
      <c r="P213" s="6"/>
      <c r="Q213" s="6"/>
      <c r="R213" s="6"/>
      <c r="S213" s="6"/>
      <c r="T213" s="6"/>
      <c r="U213" s="6"/>
      <c r="V213" s="6"/>
      <c r="W213" s="6"/>
      <c r="X213" s="6"/>
      <c r="Y213" s="6"/>
      <c r="Z213" s="6"/>
      <c r="AA213" s="6"/>
      <c r="AB213" s="6"/>
      <c r="AC213" s="6"/>
      <c r="AD213" s="6"/>
      <c r="AE213" s="6"/>
      <c r="AF213" s="6">
        <v>41546</v>
      </c>
      <c r="AG213" s="6"/>
      <c r="AH213" s="6"/>
      <c r="AI213" s="6"/>
      <c r="AJ213" s="6"/>
      <c r="AK213" s="6"/>
      <c r="AL213" s="6"/>
      <c r="AM213" s="6"/>
      <c r="AN213" s="6"/>
      <c r="AO213" s="6"/>
      <c r="AP213" s="6"/>
      <c r="AQ213" s="6"/>
      <c r="AR213" s="6">
        <v>41827</v>
      </c>
      <c r="AS213" s="6"/>
      <c r="AT213" s="6"/>
      <c r="AU213" s="6"/>
      <c r="AV213" s="6">
        <v>41837</v>
      </c>
      <c r="AW213" s="6"/>
      <c r="AX213" s="6">
        <v>41747</v>
      </c>
      <c r="AY213" s="6"/>
      <c r="AZ213" s="6">
        <v>41838</v>
      </c>
      <c r="BA213" s="6"/>
      <c r="BB213" s="6"/>
      <c r="BC213" s="6"/>
      <c r="BD213" s="6"/>
      <c r="BE213" s="6"/>
      <c r="BF213" s="6"/>
      <c r="BG213" s="6"/>
      <c r="BH213" s="6"/>
      <c r="BI213" s="6"/>
      <c r="BJ213" s="6"/>
      <c r="BK213" s="6"/>
      <c r="BL213" s="6"/>
      <c r="BM213" s="6"/>
      <c r="BN213" s="6"/>
      <c r="BO213" s="6"/>
      <c r="BP213" s="6"/>
      <c r="BQ213" s="6"/>
      <c r="BR213" s="6"/>
      <c r="BS213" s="6"/>
      <c r="BT213" s="6">
        <v>41842</v>
      </c>
      <c r="BU213" s="6"/>
      <c r="BV213" s="6"/>
      <c r="BW213" s="6"/>
      <c r="BX213" s="6"/>
      <c r="BY213" s="6">
        <v>41974</v>
      </c>
      <c r="BZ213" s="6"/>
      <c r="CA213" s="6"/>
      <c r="CB213" s="6"/>
      <c r="CC213" s="6"/>
      <c r="CD213" s="6"/>
      <c r="CE213" s="6"/>
      <c r="CF213" s="6"/>
      <c r="CG213" s="6"/>
      <c r="CH213" s="6"/>
      <c r="CI213" s="6"/>
      <c r="CJ213" s="6"/>
      <c r="CK213" s="6"/>
      <c r="CL213" s="6"/>
      <c r="CM213" s="6"/>
      <c r="CN213" s="6"/>
      <c r="CO213" s="6"/>
      <c r="CP213" s="6"/>
      <c r="CQ213" s="6"/>
      <c r="CR213" s="6">
        <v>41995</v>
      </c>
      <c r="CS213" s="6"/>
      <c r="CT213" s="6"/>
      <c r="CU213" s="6"/>
      <c r="CV213" s="6"/>
      <c r="CW213" s="6"/>
      <c r="CX213" s="6"/>
      <c r="CY213" s="6"/>
      <c r="CZ213" s="6"/>
      <c r="DA213" s="6"/>
      <c r="DB213" s="6"/>
      <c r="DC213" s="6"/>
      <c r="DD213" s="6"/>
      <c r="DE213" s="6"/>
      <c r="DF213" s="6"/>
      <c r="DG213" s="6"/>
      <c r="DH213" s="6">
        <v>42128</v>
      </c>
      <c r="DI213" s="6"/>
      <c r="DJ213" s="6">
        <v>42132</v>
      </c>
      <c r="DK213" s="6"/>
      <c r="DL213" s="6">
        <v>42131</v>
      </c>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c r="FZ213" s="6"/>
      <c r="GA213" s="6"/>
      <c r="GB213" s="6"/>
      <c r="GC213" s="6"/>
      <c r="GD213" s="6"/>
      <c r="GE213" s="6"/>
      <c r="GF213" s="6"/>
      <c r="GG213" s="6"/>
      <c r="GH213" s="6"/>
      <c r="GI213" s="6"/>
      <c r="GJ213" s="6"/>
      <c r="GK213" s="6"/>
      <c r="GL213" s="6"/>
      <c r="GM213" s="6"/>
      <c r="GN213" s="6"/>
      <c r="GO213" s="6"/>
      <c r="GP213" s="6"/>
      <c r="GQ213" s="6"/>
      <c r="GR213" s="6"/>
      <c r="GS213" s="6"/>
      <c r="GT213" s="6"/>
      <c r="GU213" s="6"/>
      <c r="GV213" s="6"/>
      <c r="GW213" s="6"/>
      <c r="GX213" s="6"/>
      <c r="GY213" s="6"/>
      <c r="GZ213" s="6"/>
      <c r="HA213" s="6"/>
      <c r="HB213" s="6"/>
      <c r="HC213" s="6"/>
      <c r="HD213" s="6"/>
      <c r="HE213" s="6"/>
      <c r="HF213" s="6"/>
      <c r="HG213" s="6"/>
      <c r="HH213" s="6"/>
    </row>
    <row r="214" spans="1:216" x14ac:dyDescent="0.3">
      <c r="A214" s="8" t="str">
        <f>HYPERLINK("https://hpr-rps.hres.ca/reg-content/summary-basis-decision-detailTwo.php?lang=en&amp;linkID=SBD00214", "Eylea")</f>
        <v>Eylea</v>
      </c>
      <c r="B214" s="6" t="s">
        <v>608</v>
      </c>
      <c r="C214" s="6" t="s">
        <v>341</v>
      </c>
      <c r="D214" s="6" t="s">
        <v>609</v>
      </c>
      <c r="E214" s="6">
        <v>41372</v>
      </c>
      <c r="F214" s="6"/>
      <c r="G214" s="6"/>
      <c r="H214" s="6">
        <v>41499</v>
      </c>
      <c r="I214" s="6"/>
      <c r="J214" s="6"/>
      <c r="K214" s="6"/>
      <c r="L214" s="6"/>
      <c r="M214" s="6"/>
      <c r="N214" s="6"/>
      <c r="O214" s="6"/>
      <c r="P214" s="6"/>
      <c r="Q214" s="6"/>
      <c r="R214" s="6"/>
      <c r="S214" s="6"/>
      <c r="T214" s="6"/>
      <c r="U214" s="6"/>
      <c r="V214" s="6"/>
      <c r="W214" s="6"/>
      <c r="X214" s="6"/>
      <c r="Y214" s="6"/>
      <c r="Z214" s="6"/>
      <c r="AA214" s="6"/>
      <c r="AB214" s="6"/>
      <c r="AC214" s="6"/>
      <c r="AD214" s="6"/>
      <c r="AE214" s="6"/>
      <c r="AF214" s="6">
        <v>41546</v>
      </c>
      <c r="AG214" s="6"/>
      <c r="AH214" s="6"/>
      <c r="AI214" s="6"/>
      <c r="AJ214" s="6"/>
      <c r="AK214" s="6"/>
      <c r="AL214" s="6"/>
      <c r="AM214" s="6"/>
      <c r="AN214" s="6"/>
      <c r="AO214" s="6"/>
      <c r="AP214" s="6"/>
      <c r="AQ214" s="6"/>
      <c r="AR214" s="6">
        <v>41827</v>
      </c>
      <c r="AS214" s="6"/>
      <c r="AT214" s="6"/>
      <c r="AU214" s="6"/>
      <c r="AV214" s="6">
        <v>41837</v>
      </c>
      <c r="AW214" s="6"/>
      <c r="AX214" s="6">
        <v>41747</v>
      </c>
      <c r="AY214" s="6"/>
      <c r="AZ214" s="6">
        <v>41838</v>
      </c>
      <c r="BA214" s="6"/>
      <c r="BB214" s="6"/>
      <c r="BC214" s="6"/>
      <c r="BD214" s="6"/>
      <c r="BE214" s="6"/>
      <c r="BF214" s="6"/>
      <c r="BG214" s="6"/>
      <c r="BH214" s="6"/>
      <c r="BI214" s="6"/>
      <c r="BJ214" s="6"/>
      <c r="BK214" s="6"/>
      <c r="BL214" s="6"/>
      <c r="BM214" s="6"/>
      <c r="BN214" s="6"/>
      <c r="BO214" s="6"/>
      <c r="BP214" s="6"/>
      <c r="BQ214" s="6"/>
      <c r="BR214" s="6"/>
      <c r="BS214" s="6"/>
      <c r="BT214" s="6">
        <v>41842</v>
      </c>
      <c r="BU214" s="6"/>
      <c r="BV214" s="6"/>
      <c r="BW214" s="6"/>
      <c r="BX214" s="6"/>
      <c r="BY214" s="6">
        <v>41974</v>
      </c>
      <c r="BZ214" s="6"/>
      <c r="CA214" s="6"/>
      <c r="CB214" s="6"/>
      <c r="CC214" s="6"/>
      <c r="CD214" s="6"/>
      <c r="CE214" s="6"/>
      <c r="CF214" s="6"/>
      <c r="CG214" s="6"/>
      <c r="CH214" s="6"/>
      <c r="CI214" s="6"/>
      <c r="CJ214" s="6"/>
      <c r="CK214" s="6"/>
      <c r="CL214" s="6"/>
      <c r="CM214" s="6"/>
      <c r="CN214" s="6"/>
      <c r="CO214" s="6"/>
      <c r="CP214" s="6"/>
      <c r="CQ214" s="6"/>
      <c r="CR214" s="6">
        <v>41995</v>
      </c>
      <c r="CS214" s="6"/>
      <c r="CT214" s="6"/>
      <c r="CU214" s="6"/>
      <c r="CV214" s="6"/>
      <c r="CW214" s="6"/>
      <c r="CX214" s="6"/>
      <c r="CY214" s="6"/>
      <c r="CZ214" s="6"/>
      <c r="DA214" s="6"/>
      <c r="DB214" s="6"/>
      <c r="DC214" s="6"/>
      <c r="DD214" s="6"/>
      <c r="DE214" s="6"/>
      <c r="DF214" s="6"/>
      <c r="DG214" s="6"/>
      <c r="DH214" s="6">
        <v>42128</v>
      </c>
      <c r="DI214" s="6"/>
      <c r="DJ214" s="6">
        <v>42132</v>
      </c>
      <c r="DK214" s="6"/>
      <c r="DL214" s="6">
        <v>42131</v>
      </c>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row>
    <row r="215" spans="1:216" x14ac:dyDescent="0.3">
      <c r="A215" s="8" t="str">
        <f>HYPERLINK("https://hpr-rps.hres.ca/reg-content/summary-basis-decision-detailTwo.php?lang=en&amp;linkID=SBD00215", "Ferriprox")</f>
        <v>Ferriprox</v>
      </c>
      <c r="B215" s="6" t="s">
        <v>610</v>
      </c>
      <c r="C215" s="6" t="s">
        <v>611</v>
      </c>
      <c r="D215" s="6" t="s">
        <v>612</v>
      </c>
      <c r="E215" s="6">
        <v>41072</v>
      </c>
      <c r="F215" s="6"/>
      <c r="G215" s="6"/>
      <c r="H215" s="6">
        <v>41333</v>
      </c>
      <c r="I215" s="6"/>
      <c r="J215" s="6"/>
      <c r="K215" s="6"/>
      <c r="L215" s="6"/>
      <c r="M215" s="6"/>
      <c r="N215" s="6"/>
      <c r="O215" s="6"/>
      <c r="P215" s="6"/>
      <c r="Q215" s="6"/>
      <c r="R215" s="6"/>
      <c r="S215" s="6"/>
      <c r="T215" s="6"/>
      <c r="U215" s="6"/>
      <c r="V215" s="6"/>
      <c r="W215" s="6"/>
      <c r="X215" s="6"/>
      <c r="Y215" s="6"/>
      <c r="Z215" s="6">
        <v>41395</v>
      </c>
      <c r="AA215" s="6"/>
      <c r="AB215" s="6"/>
      <c r="AC215" s="6">
        <v>41438</v>
      </c>
      <c r="AD215" s="6"/>
      <c r="AE215" s="6"/>
      <c r="AF215" s="6">
        <v>41484</v>
      </c>
      <c r="AG215" s="6"/>
      <c r="AH215" s="6"/>
      <c r="AI215" s="6"/>
      <c r="AJ215" s="6"/>
      <c r="AK215" s="6"/>
      <c r="AL215" s="6"/>
      <c r="AM215" s="6"/>
      <c r="AN215" s="6"/>
      <c r="AO215" s="6"/>
      <c r="AP215" s="6"/>
      <c r="AQ215" s="6"/>
      <c r="AR215" s="6"/>
      <c r="AS215" s="6">
        <v>41631</v>
      </c>
      <c r="AT215" s="6"/>
      <c r="AU215" s="6"/>
      <c r="AV215" s="6">
        <v>41674</v>
      </c>
      <c r="AW215" s="6"/>
      <c r="AX215" s="6"/>
      <c r="AY215" s="6"/>
      <c r="AZ215" s="6"/>
      <c r="BA215" s="6"/>
      <c r="BB215" s="6"/>
      <c r="BC215" s="6"/>
      <c r="BD215" s="6"/>
      <c r="BE215" s="6"/>
      <c r="BF215" s="6"/>
      <c r="BG215" s="6"/>
      <c r="BH215" s="6"/>
      <c r="BI215" s="6"/>
      <c r="BJ215" s="6"/>
      <c r="BK215" s="6"/>
      <c r="BL215" s="6"/>
      <c r="BM215" s="6"/>
      <c r="BN215" s="6"/>
      <c r="BO215" s="6"/>
      <c r="BP215" s="6">
        <v>41684</v>
      </c>
      <c r="BQ215" s="6"/>
      <c r="BR215" s="6"/>
      <c r="BS215" s="6"/>
      <c r="BT215" s="6"/>
      <c r="BU215" s="6"/>
      <c r="BV215" s="6"/>
      <c r="BW215" s="6"/>
      <c r="BX215" s="6"/>
      <c r="BY215" s="6">
        <v>41774</v>
      </c>
      <c r="BZ215" s="6"/>
      <c r="CA215" s="6"/>
      <c r="CB215" s="6"/>
      <c r="CC215" s="6"/>
      <c r="CD215" s="6"/>
      <c r="CE215" s="6"/>
      <c r="CF215" s="6"/>
      <c r="CG215" s="6"/>
      <c r="CH215" s="6"/>
      <c r="CI215" s="6"/>
      <c r="CJ215" s="6"/>
      <c r="CK215" s="6"/>
      <c r="CL215" s="6"/>
      <c r="CM215" s="6"/>
      <c r="CN215" s="6"/>
      <c r="CO215" s="6"/>
      <c r="CP215" s="6"/>
      <c r="CQ215" s="6"/>
      <c r="CR215" s="6">
        <v>41809</v>
      </c>
      <c r="CS215" s="6"/>
      <c r="CT215" s="6"/>
      <c r="CU215" s="6"/>
      <c r="CV215" s="6"/>
      <c r="CW215" s="6"/>
      <c r="CX215" s="6"/>
      <c r="CY215" s="6"/>
      <c r="CZ215" s="6"/>
      <c r="DA215" s="6"/>
      <c r="DB215" s="6"/>
      <c r="DC215" s="6"/>
      <c r="DD215" s="6">
        <v>42017</v>
      </c>
      <c r="DE215" s="6"/>
      <c r="DF215" s="6"/>
      <c r="DG215" s="6"/>
      <c r="DH215" s="6">
        <v>42044</v>
      </c>
      <c r="DI215" s="6"/>
      <c r="DJ215" s="6">
        <v>42016</v>
      </c>
      <c r="DK215" s="6"/>
      <c r="DL215" s="6">
        <v>42024</v>
      </c>
      <c r="DM215" s="6"/>
      <c r="DN215" s="6"/>
      <c r="DO215" s="6"/>
      <c r="DP215" s="6"/>
      <c r="DQ215" s="6"/>
      <c r="DR215" s="6"/>
      <c r="DS215" s="6"/>
      <c r="DT215" s="6"/>
      <c r="DU215" s="6"/>
      <c r="DV215" s="6"/>
      <c r="DW215" s="6"/>
      <c r="DX215" s="6"/>
      <c r="DY215" s="6">
        <v>42048</v>
      </c>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row>
    <row r="216" spans="1:216" x14ac:dyDescent="0.3">
      <c r="A216" s="8" t="str">
        <f>HYPERLINK("https://hpr-rps.hres.ca/reg-content/summary-basis-decision-detailTwo.php?lang=en&amp;linkID=SBD00216", "Fetzima")</f>
        <v>Fetzima</v>
      </c>
      <c r="B216" s="6" t="s">
        <v>613</v>
      </c>
      <c r="C216" s="6" t="s">
        <v>614</v>
      </c>
      <c r="D216" s="6" t="s">
        <v>615</v>
      </c>
      <c r="E216" s="6">
        <v>41372</v>
      </c>
      <c r="F216" s="6"/>
      <c r="G216" s="6"/>
      <c r="H216" s="6">
        <v>41499</v>
      </c>
      <c r="I216" s="6"/>
      <c r="J216" s="6"/>
      <c r="K216" s="6"/>
      <c r="L216" s="6"/>
      <c r="M216" s="6"/>
      <c r="N216" s="6"/>
      <c r="O216" s="6"/>
      <c r="P216" s="6"/>
      <c r="Q216" s="6"/>
      <c r="R216" s="6"/>
      <c r="S216" s="6"/>
      <c r="T216" s="6"/>
      <c r="U216" s="6"/>
      <c r="V216" s="6"/>
      <c r="W216" s="6"/>
      <c r="X216" s="6"/>
      <c r="Y216" s="6"/>
      <c r="Z216" s="6"/>
      <c r="AA216" s="6"/>
      <c r="AB216" s="6"/>
      <c r="AC216" s="6"/>
      <c r="AD216" s="6"/>
      <c r="AE216" s="6"/>
      <c r="AF216" s="6">
        <v>41546</v>
      </c>
      <c r="AG216" s="6"/>
      <c r="AH216" s="6"/>
      <c r="AI216" s="6"/>
      <c r="AJ216" s="6"/>
      <c r="AK216" s="6"/>
      <c r="AL216" s="6"/>
      <c r="AM216" s="6"/>
      <c r="AN216" s="6"/>
      <c r="AO216" s="6"/>
      <c r="AP216" s="6"/>
      <c r="AQ216" s="6"/>
      <c r="AR216" s="6">
        <v>41827</v>
      </c>
      <c r="AS216" s="6"/>
      <c r="AT216" s="6"/>
      <c r="AU216" s="6"/>
      <c r="AV216" s="6">
        <v>41837</v>
      </c>
      <c r="AW216" s="6"/>
      <c r="AX216" s="6">
        <v>41747</v>
      </c>
      <c r="AY216" s="6"/>
      <c r="AZ216" s="6">
        <v>41838</v>
      </c>
      <c r="BA216" s="6"/>
      <c r="BB216" s="6"/>
      <c r="BC216" s="6"/>
      <c r="BD216" s="6"/>
      <c r="BE216" s="6"/>
      <c r="BF216" s="6"/>
      <c r="BG216" s="6"/>
      <c r="BH216" s="6"/>
      <c r="BI216" s="6"/>
      <c r="BJ216" s="6"/>
      <c r="BK216" s="6"/>
      <c r="BL216" s="6"/>
      <c r="BM216" s="6"/>
      <c r="BN216" s="6"/>
      <c r="BO216" s="6"/>
      <c r="BP216" s="6"/>
      <c r="BQ216" s="6"/>
      <c r="BR216" s="6"/>
      <c r="BS216" s="6"/>
      <c r="BT216" s="6">
        <v>41842</v>
      </c>
      <c r="BU216" s="6"/>
      <c r="BV216" s="6"/>
      <c r="BW216" s="6"/>
      <c r="BX216" s="6"/>
      <c r="BY216" s="6">
        <v>41974</v>
      </c>
      <c r="BZ216" s="6"/>
      <c r="CA216" s="6"/>
      <c r="CB216" s="6"/>
      <c r="CC216" s="6"/>
      <c r="CD216" s="6"/>
      <c r="CE216" s="6"/>
      <c r="CF216" s="6"/>
      <c r="CG216" s="6"/>
      <c r="CH216" s="6"/>
      <c r="CI216" s="6"/>
      <c r="CJ216" s="6"/>
      <c r="CK216" s="6"/>
      <c r="CL216" s="6"/>
      <c r="CM216" s="6"/>
      <c r="CN216" s="6"/>
      <c r="CO216" s="6"/>
      <c r="CP216" s="6"/>
      <c r="CQ216" s="6"/>
      <c r="CR216" s="6">
        <v>41995</v>
      </c>
      <c r="CS216" s="6"/>
      <c r="CT216" s="6"/>
      <c r="CU216" s="6"/>
      <c r="CV216" s="6"/>
      <c r="CW216" s="6"/>
      <c r="CX216" s="6"/>
      <c r="CY216" s="6"/>
      <c r="CZ216" s="6"/>
      <c r="DA216" s="6"/>
      <c r="DB216" s="6"/>
      <c r="DC216" s="6"/>
      <c r="DD216" s="6"/>
      <c r="DE216" s="6"/>
      <c r="DF216" s="6"/>
      <c r="DG216" s="6"/>
      <c r="DH216" s="6">
        <v>42128</v>
      </c>
      <c r="DI216" s="6"/>
      <c r="DJ216" s="6">
        <v>42132</v>
      </c>
      <c r="DK216" s="6"/>
      <c r="DL216" s="6">
        <v>42131</v>
      </c>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c r="FZ216" s="6"/>
      <c r="GA216" s="6"/>
      <c r="GB216" s="6"/>
      <c r="GC216" s="6"/>
      <c r="GD216" s="6"/>
      <c r="GE216" s="6"/>
      <c r="GF216" s="6"/>
      <c r="GG216" s="6"/>
      <c r="GH216" s="6"/>
      <c r="GI216" s="6"/>
      <c r="GJ216" s="6"/>
      <c r="GK216" s="6"/>
      <c r="GL216" s="6"/>
      <c r="GM216" s="6"/>
      <c r="GN216" s="6"/>
      <c r="GO216" s="6"/>
      <c r="GP216" s="6"/>
      <c r="GQ216" s="6"/>
      <c r="GR216" s="6"/>
      <c r="GS216" s="6"/>
      <c r="GT216" s="6"/>
      <c r="GU216" s="6"/>
      <c r="GV216" s="6"/>
      <c r="GW216" s="6"/>
      <c r="GX216" s="6"/>
      <c r="GY216" s="6"/>
      <c r="GZ216" s="6"/>
      <c r="HA216" s="6"/>
      <c r="HB216" s="6"/>
      <c r="HC216" s="6"/>
      <c r="HD216" s="6"/>
      <c r="HE216" s="6"/>
      <c r="HF216" s="6"/>
      <c r="HG216" s="6"/>
      <c r="HH216" s="6"/>
    </row>
    <row r="217" spans="1:216" x14ac:dyDescent="0.3">
      <c r="A217" s="8" t="str">
        <f>HYPERLINK("https://hpr-rps.hres.ca/reg-content/summary-basis-decision-detailTwo.php?lang=en&amp;linkID=SBD00217", "Fibristal")</f>
        <v>Fibristal</v>
      </c>
      <c r="B217" s="6" t="s">
        <v>616</v>
      </c>
      <c r="C217" s="6" t="s">
        <v>617</v>
      </c>
      <c r="D217" s="6" t="s">
        <v>618</v>
      </c>
      <c r="E217" s="6">
        <v>40954</v>
      </c>
      <c r="F217" s="6"/>
      <c r="G217" s="6"/>
      <c r="H217" s="6">
        <v>41089</v>
      </c>
      <c r="I217" s="6"/>
      <c r="J217" s="6"/>
      <c r="K217" s="6"/>
      <c r="L217" s="6"/>
      <c r="M217" s="6"/>
      <c r="N217" s="6"/>
      <c r="O217" s="6"/>
      <c r="P217" s="6"/>
      <c r="Q217" s="6"/>
      <c r="R217" s="6"/>
      <c r="S217" s="6"/>
      <c r="T217" s="6"/>
      <c r="U217" s="6"/>
      <c r="V217" s="6"/>
      <c r="W217" s="6"/>
      <c r="X217" s="6"/>
      <c r="Y217" s="6"/>
      <c r="Z217" s="6">
        <v>41141</v>
      </c>
      <c r="AA217" s="6"/>
      <c r="AB217" s="6"/>
      <c r="AC217" s="6">
        <v>41145</v>
      </c>
      <c r="AD217" s="6"/>
      <c r="AE217" s="6"/>
      <c r="AF217" s="6">
        <v>41151</v>
      </c>
      <c r="AG217" s="6"/>
      <c r="AH217" s="6"/>
      <c r="AI217" s="6"/>
      <c r="AJ217" s="6"/>
      <c r="AK217" s="6"/>
      <c r="AL217" s="6"/>
      <c r="AM217" s="6"/>
      <c r="AN217" s="6"/>
      <c r="AO217" s="6"/>
      <c r="AP217" s="6"/>
      <c r="AQ217" s="6"/>
      <c r="AR217" s="6">
        <v>41432</v>
      </c>
      <c r="AS217" s="6"/>
      <c r="AT217" s="6"/>
      <c r="AU217" s="6"/>
      <c r="AV217" s="6">
        <v>41432</v>
      </c>
      <c r="AW217" s="6"/>
      <c r="AX217" s="6"/>
      <c r="AY217" s="6"/>
      <c r="AZ217" s="6">
        <v>41439</v>
      </c>
      <c r="BA217" s="6"/>
      <c r="BB217" s="6"/>
      <c r="BC217" s="6"/>
      <c r="BD217" s="6"/>
      <c r="BE217" s="6"/>
      <c r="BF217" s="6"/>
      <c r="BG217" s="6"/>
      <c r="BH217" s="6"/>
      <c r="BI217" s="6"/>
      <c r="BJ217" s="6"/>
      <c r="BK217" s="6"/>
      <c r="BL217" s="6"/>
      <c r="BM217" s="6">
        <v>41449</v>
      </c>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c r="FZ217" s="6"/>
      <c r="GA217" s="6"/>
      <c r="GB217" s="6"/>
      <c r="GC217" s="6"/>
      <c r="GD217" s="6"/>
      <c r="GE217" s="6"/>
      <c r="GF217" s="6"/>
      <c r="GG217" s="6"/>
      <c r="GH217" s="6"/>
      <c r="GI217" s="6"/>
      <c r="GJ217" s="6"/>
      <c r="GK217" s="6"/>
      <c r="GL217" s="6"/>
      <c r="GM217" s="6"/>
      <c r="GN217" s="6"/>
      <c r="GO217" s="6"/>
      <c r="GP217" s="6"/>
      <c r="GQ217" s="6"/>
      <c r="GR217" s="6"/>
      <c r="GS217" s="6"/>
      <c r="GT217" s="6"/>
      <c r="GU217" s="6"/>
      <c r="GV217" s="6"/>
      <c r="GW217" s="6"/>
      <c r="GX217" s="6"/>
      <c r="GY217" s="6"/>
      <c r="GZ217" s="6"/>
      <c r="HA217" s="6"/>
      <c r="HB217" s="6"/>
      <c r="HC217" s="6"/>
      <c r="HD217" s="6"/>
      <c r="HE217" s="6"/>
      <c r="HF217" s="6"/>
      <c r="HG217" s="6"/>
      <c r="HH217" s="6"/>
    </row>
    <row r="218" spans="1:216" x14ac:dyDescent="0.3">
      <c r="A218" s="8" t="str">
        <f>HYPERLINK("https://hpr-rps.hres.ca/reg-content/summary-basis-decision-detailTwo.php?lang=en&amp;linkID=SBD00218", "Firazyr")</f>
        <v>Firazyr</v>
      </c>
      <c r="B218" s="6" t="s">
        <v>619</v>
      </c>
      <c r="C218" s="6" t="s">
        <v>620</v>
      </c>
      <c r="D218" s="6" t="s">
        <v>621</v>
      </c>
      <c r="E218" s="6">
        <v>40730</v>
      </c>
      <c r="F218" s="6"/>
      <c r="G218" s="6"/>
      <c r="H218" s="6">
        <v>40968</v>
      </c>
      <c r="I218" s="6"/>
      <c r="J218" s="6"/>
      <c r="K218" s="6"/>
      <c r="L218" s="6"/>
      <c r="M218" s="6"/>
      <c r="N218" s="6"/>
      <c r="O218" s="6"/>
      <c r="P218" s="6"/>
      <c r="Q218" s="6"/>
      <c r="R218" s="6"/>
      <c r="S218" s="6"/>
      <c r="T218" s="6"/>
      <c r="U218" s="6"/>
      <c r="V218" s="6"/>
      <c r="W218" s="6"/>
      <c r="X218" s="6"/>
      <c r="Y218" s="6"/>
      <c r="Z218" s="6"/>
      <c r="AA218" s="6"/>
      <c r="AB218" s="6"/>
      <c r="AC218" s="6"/>
      <c r="AD218" s="6"/>
      <c r="AE218" s="6"/>
      <c r="AF218" s="6">
        <v>41068</v>
      </c>
      <c r="AG218" s="6"/>
      <c r="AH218" s="6"/>
      <c r="AI218" s="6"/>
      <c r="AJ218" s="6"/>
      <c r="AK218" s="6"/>
      <c r="AL218" s="6"/>
      <c r="AM218" s="6"/>
      <c r="AN218" s="6"/>
      <c r="AO218" s="6"/>
      <c r="AP218" s="6"/>
      <c r="AQ218" s="6"/>
      <c r="AR218" s="6">
        <v>41353</v>
      </c>
      <c r="AS218" s="6">
        <v>41303</v>
      </c>
      <c r="AT218" s="6"/>
      <c r="AU218" s="6"/>
      <c r="AV218" s="6">
        <v>41351</v>
      </c>
      <c r="AW218" s="6"/>
      <c r="AX218" s="6"/>
      <c r="AY218" s="6"/>
      <c r="AZ218" s="6">
        <v>41367</v>
      </c>
      <c r="BA218" s="6"/>
      <c r="BB218" s="6"/>
      <c r="BC218" s="6"/>
      <c r="BD218" s="6"/>
      <c r="BE218" s="6"/>
      <c r="BF218" s="6"/>
      <c r="BG218" s="6"/>
      <c r="BH218" s="6"/>
      <c r="BI218" s="6"/>
      <c r="BJ218" s="6"/>
      <c r="BK218" s="6"/>
      <c r="BL218" s="6"/>
      <c r="BM218" s="6">
        <v>41368</v>
      </c>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row>
    <row r="219" spans="1:216" x14ac:dyDescent="0.3">
      <c r="A219" s="8" t="str">
        <f>HYPERLINK("https://hpr-rps.hres.ca/reg-content/summary-basis-decision-detailTwo.php?lang=en&amp;linkID=SBD00219", "Forxiga")</f>
        <v>Forxiga</v>
      </c>
      <c r="B219" s="6" t="s">
        <v>622</v>
      </c>
      <c r="C219" s="6" t="s">
        <v>137</v>
      </c>
      <c r="D219" s="6" t="s">
        <v>623</v>
      </c>
      <c r="E219" s="6">
        <v>40406</v>
      </c>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v>40619</v>
      </c>
      <c r="AG219" s="6"/>
      <c r="AH219" s="6"/>
      <c r="AI219" s="6"/>
      <c r="AJ219" s="6"/>
      <c r="AK219" s="6"/>
      <c r="AL219" s="6"/>
      <c r="AM219" s="6"/>
      <c r="AN219" s="6"/>
      <c r="AO219" s="6"/>
      <c r="AP219" s="6"/>
      <c r="AQ219" s="6"/>
      <c r="AR219" s="6"/>
      <c r="AS219" s="6"/>
      <c r="AT219" s="6"/>
      <c r="AU219" s="6"/>
      <c r="AV219" s="6"/>
      <c r="AW219" s="6"/>
      <c r="AX219" s="6"/>
      <c r="AY219" s="6"/>
      <c r="AZ219" s="6">
        <v>40919</v>
      </c>
      <c r="BA219" s="6"/>
      <c r="BB219" s="6"/>
      <c r="BC219" s="6"/>
      <c r="BD219" s="6"/>
      <c r="BE219" s="6"/>
      <c r="BF219" s="6"/>
      <c r="BG219" s="6"/>
      <c r="BH219" s="6"/>
      <c r="BI219" s="6"/>
      <c r="BJ219" s="6"/>
      <c r="BK219" s="6"/>
      <c r="BL219" s="6"/>
      <c r="BM219" s="6"/>
      <c r="BN219" s="6"/>
      <c r="BO219" s="6"/>
      <c r="BP219" s="6"/>
      <c r="BQ219" s="6"/>
      <c r="BR219" s="6"/>
      <c r="BS219" s="6"/>
      <c r="BT219" s="6">
        <v>40919</v>
      </c>
      <c r="BU219" s="6"/>
      <c r="BV219" s="6"/>
      <c r="BW219" s="6"/>
      <c r="BX219" s="6"/>
      <c r="BY219" s="6"/>
      <c r="BZ219" s="6"/>
      <c r="CA219" s="6"/>
      <c r="CB219" s="6"/>
      <c r="CC219" s="6"/>
      <c r="CD219" s="6"/>
      <c r="CE219" s="6"/>
      <c r="CF219" s="6">
        <v>41003</v>
      </c>
      <c r="CG219" s="6"/>
      <c r="CH219" s="6"/>
      <c r="CI219" s="6"/>
      <c r="CJ219" s="6"/>
      <c r="CK219" s="6"/>
      <c r="CL219" s="6"/>
      <c r="CM219" s="6"/>
      <c r="CN219" s="6"/>
      <c r="CO219" s="6"/>
      <c r="CP219" s="6"/>
      <c r="CQ219" s="6"/>
      <c r="CR219" s="6">
        <v>41304</v>
      </c>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v>41544</v>
      </c>
      <c r="EC219" s="6"/>
      <c r="ED219" s="6"/>
      <c r="EE219" s="6"/>
      <c r="EF219" s="6"/>
      <c r="EG219" s="6">
        <v>41632</v>
      </c>
      <c r="EH219" s="6"/>
      <c r="EI219" s="6"/>
      <c r="EJ219" s="6"/>
      <c r="EK219" s="6"/>
      <c r="EL219" s="6"/>
      <c r="EM219" s="6"/>
      <c r="EN219" s="6"/>
      <c r="EO219" s="6"/>
      <c r="EP219" s="6"/>
      <c r="EQ219" s="6"/>
      <c r="ER219" s="6"/>
      <c r="ES219" s="6"/>
      <c r="ET219" s="6"/>
      <c r="EU219" s="6"/>
      <c r="EV219" s="6"/>
      <c r="EW219" s="6"/>
      <c r="EX219" s="6"/>
      <c r="EY219" s="6"/>
      <c r="EZ219" s="6"/>
      <c r="FA219" s="6"/>
      <c r="FB219" s="6"/>
      <c r="FC219" s="6"/>
      <c r="FD219" s="6">
        <v>41687</v>
      </c>
      <c r="FE219" s="6"/>
      <c r="FF219" s="6"/>
      <c r="FG219" s="6"/>
      <c r="FH219" s="6"/>
      <c r="FI219" s="6"/>
      <c r="FJ219" s="6"/>
      <c r="FK219" s="6"/>
      <c r="FL219" s="6"/>
      <c r="FM219" s="6"/>
      <c r="FN219" s="6"/>
      <c r="FO219" s="6"/>
      <c r="FP219" s="6">
        <v>41985</v>
      </c>
      <c r="FQ219" s="6"/>
      <c r="FR219" s="6"/>
      <c r="FS219" s="6"/>
      <c r="FT219" s="6">
        <v>41964</v>
      </c>
      <c r="FU219" s="6"/>
      <c r="FV219" s="6"/>
      <c r="FW219" s="6"/>
      <c r="FX219" s="6">
        <v>41985</v>
      </c>
      <c r="FY219" s="6"/>
      <c r="FZ219" s="6"/>
      <c r="GA219" s="6"/>
      <c r="GB219" s="6"/>
      <c r="GC219" s="6"/>
      <c r="GD219" s="6"/>
      <c r="GE219" s="6"/>
      <c r="GF219" s="6"/>
      <c r="GG219" s="6"/>
      <c r="GH219" s="6"/>
      <c r="GI219" s="6"/>
      <c r="GJ219" s="6"/>
      <c r="GK219" s="6">
        <v>41985</v>
      </c>
      <c r="GL219" s="6"/>
      <c r="GM219" s="6"/>
      <c r="GN219" s="6"/>
      <c r="GO219" s="6"/>
      <c r="GP219" s="6"/>
      <c r="GQ219" s="6"/>
      <c r="GR219" s="6"/>
      <c r="GS219" s="6"/>
      <c r="GT219" s="6"/>
      <c r="GU219" s="6"/>
      <c r="GV219" s="6"/>
      <c r="GW219" s="6"/>
      <c r="GX219" s="6"/>
      <c r="GY219" s="6"/>
      <c r="GZ219" s="6"/>
      <c r="HA219" s="6"/>
      <c r="HB219" s="6"/>
      <c r="HC219" s="6"/>
      <c r="HD219" s="6"/>
      <c r="HE219" s="6"/>
      <c r="HF219" s="6"/>
      <c r="HG219" s="6"/>
      <c r="HH219" s="6"/>
    </row>
    <row r="220" spans="1:216" x14ac:dyDescent="0.3">
      <c r="A220" s="8" t="str">
        <f>HYPERLINK("https://hpr-rps.hres.ca/reg-content/summary-basis-decision-detailTwo.php?lang=en&amp;linkID=SBD00220", "Fycompa")</f>
        <v>Fycompa</v>
      </c>
      <c r="B220" s="6" t="s">
        <v>624</v>
      </c>
      <c r="C220" s="6" t="s">
        <v>90</v>
      </c>
      <c r="D220" s="6" t="s">
        <v>625</v>
      </c>
      <c r="E220" s="6">
        <v>40406</v>
      </c>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v>40619</v>
      </c>
      <c r="AG220" s="6"/>
      <c r="AH220" s="6"/>
      <c r="AI220" s="6"/>
      <c r="AJ220" s="6"/>
      <c r="AK220" s="6"/>
      <c r="AL220" s="6"/>
      <c r="AM220" s="6"/>
      <c r="AN220" s="6"/>
      <c r="AO220" s="6"/>
      <c r="AP220" s="6"/>
      <c r="AQ220" s="6"/>
      <c r="AR220" s="6"/>
      <c r="AS220" s="6"/>
      <c r="AT220" s="6"/>
      <c r="AU220" s="6"/>
      <c r="AV220" s="6"/>
      <c r="AW220" s="6"/>
      <c r="AX220" s="6"/>
      <c r="AY220" s="6"/>
      <c r="AZ220" s="6">
        <v>40919</v>
      </c>
      <c r="BA220" s="6"/>
      <c r="BB220" s="6"/>
      <c r="BC220" s="6"/>
      <c r="BD220" s="6"/>
      <c r="BE220" s="6"/>
      <c r="BF220" s="6"/>
      <c r="BG220" s="6"/>
      <c r="BH220" s="6"/>
      <c r="BI220" s="6"/>
      <c r="BJ220" s="6"/>
      <c r="BK220" s="6"/>
      <c r="BL220" s="6"/>
      <c r="BM220" s="6"/>
      <c r="BN220" s="6"/>
      <c r="BO220" s="6"/>
      <c r="BP220" s="6"/>
      <c r="BQ220" s="6"/>
      <c r="BR220" s="6"/>
      <c r="BS220" s="6"/>
      <c r="BT220" s="6">
        <v>40919</v>
      </c>
      <c r="BU220" s="6"/>
      <c r="BV220" s="6"/>
      <c r="BW220" s="6"/>
      <c r="BX220" s="6"/>
      <c r="BY220" s="6"/>
      <c r="BZ220" s="6"/>
      <c r="CA220" s="6"/>
      <c r="CB220" s="6"/>
      <c r="CC220" s="6"/>
      <c r="CD220" s="6"/>
      <c r="CE220" s="6"/>
      <c r="CF220" s="6">
        <v>41003</v>
      </c>
      <c r="CG220" s="6"/>
      <c r="CH220" s="6"/>
      <c r="CI220" s="6"/>
      <c r="CJ220" s="6"/>
      <c r="CK220" s="6"/>
      <c r="CL220" s="6"/>
      <c r="CM220" s="6"/>
      <c r="CN220" s="6"/>
      <c r="CO220" s="6"/>
      <c r="CP220" s="6"/>
      <c r="CQ220" s="6"/>
      <c r="CR220" s="6">
        <v>41304</v>
      </c>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v>41544</v>
      </c>
      <c r="EC220" s="6"/>
      <c r="ED220" s="6"/>
      <c r="EE220" s="6"/>
      <c r="EF220" s="6"/>
      <c r="EG220" s="6">
        <v>41632</v>
      </c>
      <c r="EH220" s="6"/>
      <c r="EI220" s="6"/>
      <c r="EJ220" s="6"/>
      <c r="EK220" s="6"/>
      <c r="EL220" s="6"/>
      <c r="EM220" s="6"/>
      <c r="EN220" s="6"/>
      <c r="EO220" s="6"/>
      <c r="EP220" s="6"/>
      <c r="EQ220" s="6"/>
      <c r="ER220" s="6"/>
      <c r="ES220" s="6"/>
      <c r="ET220" s="6"/>
      <c r="EU220" s="6"/>
      <c r="EV220" s="6"/>
      <c r="EW220" s="6"/>
      <c r="EX220" s="6"/>
      <c r="EY220" s="6"/>
      <c r="EZ220" s="6"/>
      <c r="FA220" s="6"/>
      <c r="FB220" s="6"/>
      <c r="FC220" s="6"/>
      <c r="FD220" s="6">
        <v>41687</v>
      </c>
      <c r="FE220" s="6"/>
      <c r="FF220" s="6"/>
      <c r="FG220" s="6"/>
      <c r="FH220" s="6"/>
      <c r="FI220" s="6"/>
      <c r="FJ220" s="6"/>
      <c r="FK220" s="6"/>
      <c r="FL220" s="6"/>
      <c r="FM220" s="6"/>
      <c r="FN220" s="6"/>
      <c r="FO220" s="6"/>
      <c r="FP220" s="6">
        <v>41985</v>
      </c>
      <c r="FQ220" s="6"/>
      <c r="FR220" s="6"/>
      <c r="FS220" s="6"/>
      <c r="FT220" s="6">
        <v>41964</v>
      </c>
      <c r="FU220" s="6"/>
      <c r="FV220" s="6"/>
      <c r="FW220" s="6"/>
      <c r="FX220" s="6">
        <v>41985</v>
      </c>
      <c r="FY220" s="6"/>
      <c r="FZ220" s="6"/>
      <c r="GA220" s="6"/>
      <c r="GB220" s="6"/>
      <c r="GC220" s="6"/>
      <c r="GD220" s="6"/>
      <c r="GE220" s="6"/>
      <c r="GF220" s="6"/>
      <c r="GG220" s="6"/>
      <c r="GH220" s="6"/>
      <c r="GI220" s="6"/>
      <c r="GJ220" s="6"/>
      <c r="GK220" s="6">
        <v>41985</v>
      </c>
      <c r="GL220" s="6"/>
      <c r="GM220" s="6"/>
      <c r="GN220" s="6"/>
      <c r="GO220" s="6"/>
      <c r="GP220" s="6"/>
      <c r="GQ220" s="6"/>
      <c r="GR220" s="6"/>
      <c r="GS220" s="6"/>
      <c r="GT220" s="6"/>
      <c r="GU220" s="6"/>
      <c r="GV220" s="6"/>
      <c r="GW220" s="6"/>
      <c r="GX220" s="6"/>
      <c r="GY220" s="6"/>
      <c r="GZ220" s="6"/>
      <c r="HA220" s="6"/>
      <c r="HB220" s="6"/>
      <c r="HC220" s="6"/>
      <c r="HD220" s="6"/>
      <c r="HE220" s="6"/>
      <c r="HF220" s="6"/>
      <c r="HG220" s="6"/>
      <c r="HH220" s="6"/>
    </row>
    <row r="221" spans="1:216" x14ac:dyDescent="0.3">
      <c r="A221" s="8" t="str">
        <f>HYPERLINK("https://hpr-rps.hres.ca/reg-content/summary-basis-decision-detailTwo.php?lang=en&amp;linkID=SBD00221", "Galexos")</f>
        <v>Galexos</v>
      </c>
      <c r="B221" s="6" t="s">
        <v>626</v>
      </c>
      <c r="C221" s="6" t="s">
        <v>201</v>
      </c>
      <c r="D221" s="6" t="s">
        <v>627</v>
      </c>
      <c r="E221" s="6">
        <v>41320</v>
      </c>
      <c r="F221" s="6"/>
      <c r="G221" s="6"/>
      <c r="H221" s="6"/>
      <c r="I221" s="6"/>
      <c r="J221" s="6"/>
      <c r="K221" s="6"/>
      <c r="L221" s="6"/>
      <c r="M221" s="6"/>
      <c r="N221" s="6">
        <v>41341</v>
      </c>
      <c r="O221" s="6"/>
      <c r="P221" s="6"/>
      <c r="Q221" s="6"/>
      <c r="R221" s="6"/>
      <c r="S221" s="6">
        <v>41375</v>
      </c>
      <c r="T221" s="6"/>
      <c r="U221" s="6"/>
      <c r="V221" s="6">
        <v>41379</v>
      </c>
      <c r="W221" s="6"/>
      <c r="X221" s="6"/>
      <c r="Y221" s="6"/>
      <c r="Z221" s="6"/>
      <c r="AA221" s="6"/>
      <c r="AB221" s="6"/>
      <c r="AC221" s="6"/>
      <c r="AD221" s="6"/>
      <c r="AE221" s="6"/>
      <c r="AF221" s="6">
        <v>41416</v>
      </c>
      <c r="AG221" s="6"/>
      <c r="AH221" s="6"/>
      <c r="AI221" s="6"/>
      <c r="AJ221" s="6"/>
      <c r="AK221" s="6"/>
      <c r="AL221" s="6"/>
      <c r="AM221" s="6"/>
      <c r="AN221" s="6"/>
      <c r="AO221" s="6"/>
      <c r="AP221" s="6"/>
      <c r="AQ221" s="6"/>
      <c r="AR221" s="6">
        <v>41593</v>
      </c>
      <c r="AS221" s="6">
        <v>41530</v>
      </c>
      <c r="AT221" s="6"/>
      <c r="AU221" s="6"/>
      <c r="AV221" s="6">
        <v>41586</v>
      </c>
      <c r="AW221" s="6"/>
      <c r="AX221" s="6"/>
      <c r="AY221" s="6"/>
      <c r="AZ221" s="6">
        <v>41593</v>
      </c>
      <c r="BA221" s="6"/>
      <c r="BB221" s="6"/>
      <c r="BC221" s="6"/>
      <c r="BD221" s="6"/>
      <c r="BE221" s="6"/>
      <c r="BF221" s="6"/>
      <c r="BG221" s="6"/>
      <c r="BH221" s="6"/>
      <c r="BI221" s="6"/>
      <c r="BJ221" s="6"/>
      <c r="BK221" s="6"/>
      <c r="BL221" s="6"/>
      <c r="BM221" s="6">
        <v>41596</v>
      </c>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row>
    <row r="222" spans="1:216" x14ac:dyDescent="0.3">
      <c r="A222" s="8" t="str">
        <f>HYPERLINK("https://hpr-rps.hres.ca/reg-content/summary-basis-decision-detailTwo.php?lang=en&amp;linkID=SBD00222", "Gardasil 9")</f>
        <v>Gardasil 9</v>
      </c>
      <c r="B222" s="6" t="s">
        <v>628</v>
      </c>
      <c r="C222" s="6" t="s">
        <v>418</v>
      </c>
      <c r="D222" s="6" t="s">
        <v>629</v>
      </c>
      <c r="E222" s="6">
        <v>40486</v>
      </c>
      <c r="F222" s="6"/>
      <c r="G222" s="6"/>
      <c r="H222" s="6">
        <v>40998</v>
      </c>
      <c r="I222" s="6"/>
      <c r="J222" s="6"/>
      <c r="K222" s="6"/>
      <c r="L222" s="6"/>
      <c r="M222" s="6"/>
      <c r="N222" s="6"/>
      <c r="O222" s="6"/>
      <c r="P222" s="6"/>
      <c r="Q222" s="6"/>
      <c r="R222" s="6"/>
      <c r="S222" s="6"/>
      <c r="T222" s="6"/>
      <c r="U222" s="6"/>
      <c r="V222" s="6"/>
      <c r="W222" s="6"/>
      <c r="X222" s="6"/>
      <c r="Y222" s="6"/>
      <c r="Z222" s="6"/>
      <c r="AA222" s="6"/>
      <c r="AB222" s="6"/>
      <c r="AC222" s="6"/>
      <c r="AD222" s="6"/>
      <c r="AE222" s="6"/>
      <c r="AF222" s="6">
        <v>41054</v>
      </c>
      <c r="AG222" s="6"/>
      <c r="AH222" s="6"/>
      <c r="AI222" s="6"/>
      <c r="AJ222" s="6"/>
      <c r="AK222" s="6"/>
      <c r="AL222" s="6"/>
      <c r="AM222" s="6"/>
      <c r="AN222" s="6"/>
      <c r="AO222" s="6"/>
      <c r="AP222" s="6"/>
      <c r="AQ222" s="6"/>
      <c r="AR222" s="6">
        <v>41351</v>
      </c>
      <c r="AS222" s="6">
        <v>41327</v>
      </c>
      <c r="AT222" s="6"/>
      <c r="AU222" s="6"/>
      <c r="AV222" s="6">
        <v>41344</v>
      </c>
      <c r="AW222" s="6"/>
      <c r="AX222" s="6"/>
      <c r="AY222" s="6"/>
      <c r="AZ222" s="6">
        <v>41352</v>
      </c>
      <c r="BA222" s="6"/>
      <c r="BB222" s="6"/>
      <c r="BC222" s="6"/>
      <c r="BD222" s="6"/>
      <c r="BE222" s="6"/>
      <c r="BF222" s="6"/>
      <c r="BG222" s="6"/>
      <c r="BH222" s="6"/>
      <c r="BI222" s="6"/>
      <c r="BJ222" s="6"/>
      <c r="BK222" s="6"/>
      <c r="BL222" s="6"/>
      <c r="BM222" s="6">
        <v>41354</v>
      </c>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c r="FZ222" s="6"/>
      <c r="GA222" s="6"/>
      <c r="GB222" s="6"/>
      <c r="GC222" s="6"/>
      <c r="GD222" s="6"/>
      <c r="GE222" s="6"/>
      <c r="GF222" s="6"/>
      <c r="GG222" s="6"/>
      <c r="GH222" s="6"/>
      <c r="GI222" s="6"/>
      <c r="GJ222" s="6"/>
      <c r="GK222" s="6"/>
      <c r="GL222" s="6"/>
      <c r="GM222" s="6"/>
      <c r="GN222" s="6"/>
      <c r="GO222" s="6"/>
      <c r="GP222" s="6"/>
      <c r="GQ222" s="6"/>
      <c r="GR222" s="6"/>
      <c r="GS222" s="6"/>
      <c r="GT222" s="6"/>
      <c r="GU222" s="6"/>
      <c r="GV222" s="6"/>
      <c r="GW222" s="6"/>
      <c r="GX222" s="6"/>
      <c r="GY222" s="6"/>
      <c r="GZ222" s="6"/>
      <c r="HA222" s="6"/>
      <c r="HB222" s="6"/>
      <c r="HC222" s="6"/>
      <c r="HD222" s="6"/>
      <c r="HE222" s="6"/>
      <c r="HF222" s="6"/>
      <c r="HG222" s="6"/>
      <c r="HH222" s="6"/>
    </row>
    <row r="223" spans="1:216" x14ac:dyDescent="0.3">
      <c r="A223" s="8" t="str">
        <f>HYPERLINK("https://hpr-rps.hres.ca/reg-content/summary-basis-decision-detailTwo.php?lang=en&amp;linkID=SBD00223", "Gazyva")</f>
        <v>Gazyva</v>
      </c>
      <c r="B223" s="6" t="s">
        <v>630</v>
      </c>
      <c r="C223" s="6" t="s">
        <v>84</v>
      </c>
      <c r="D223" s="6" t="s">
        <v>631</v>
      </c>
      <c r="E223" s="6">
        <v>40878</v>
      </c>
      <c r="F223" s="6"/>
      <c r="G223" s="6"/>
      <c r="H223" s="6"/>
      <c r="I223" s="6"/>
      <c r="J223" s="6"/>
      <c r="K223" s="6"/>
      <c r="L223" s="6"/>
      <c r="M223" s="6"/>
      <c r="N223" s="6">
        <v>40962</v>
      </c>
      <c r="O223" s="6"/>
      <c r="P223" s="6"/>
      <c r="Q223" s="6"/>
      <c r="R223" s="6"/>
      <c r="S223" s="6">
        <v>40990</v>
      </c>
      <c r="T223" s="6"/>
      <c r="U223" s="6"/>
      <c r="V223" s="6">
        <v>41029</v>
      </c>
      <c r="W223" s="6"/>
      <c r="X223" s="6"/>
      <c r="Y223" s="6"/>
      <c r="Z223" s="6"/>
      <c r="AA223" s="6"/>
      <c r="AB223" s="6"/>
      <c r="AC223" s="6"/>
      <c r="AD223" s="6"/>
      <c r="AE223" s="6"/>
      <c r="AF223" s="6">
        <v>41060</v>
      </c>
      <c r="AG223" s="6"/>
      <c r="AH223" s="6"/>
      <c r="AI223" s="6"/>
      <c r="AJ223" s="6"/>
      <c r="AK223" s="6"/>
      <c r="AL223" s="6"/>
      <c r="AM223" s="6"/>
      <c r="AN223" s="6"/>
      <c r="AO223" s="6"/>
      <c r="AP223" s="6"/>
      <c r="AQ223" s="6"/>
      <c r="AR223" s="6">
        <v>41229</v>
      </c>
      <c r="AS223" s="6">
        <v>41151</v>
      </c>
      <c r="AT223" s="6"/>
      <c r="AU223" s="6"/>
      <c r="AV223" s="6">
        <v>41232</v>
      </c>
      <c r="AW223" s="6"/>
      <c r="AX223" s="6"/>
      <c r="AY223" s="6"/>
      <c r="AZ223" s="6">
        <v>41236</v>
      </c>
      <c r="BA223" s="6"/>
      <c r="BB223" s="6"/>
      <c r="BC223" s="6"/>
      <c r="BD223" s="6"/>
      <c r="BE223" s="6"/>
      <c r="BF223" s="6"/>
      <c r="BG223" s="6"/>
      <c r="BH223" s="6"/>
      <c r="BI223" s="6"/>
      <c r="BJ223" s="6"/>
      <c r="BK223" s="6"/>
      <c r="BL223" s="6"/>
      <c r="BM223" s="6">
        <v>41239</v>
      </c>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row>
    <row r="224" spans="1:216" x14ac:dyDescent="0.3">
      <c r="A224" s="8" t="str">
        <f>HYPERLINK("https://hpr-rps.hres.ca/reg-content/summary-basis-decision-detailTwo.php?lang=en&amp;linkID=SBD00224", "Juxtapid")</f>
        <v>Juxtapid</v>
      </c>
      <c r="B224" s="6" t="s">
        <v>632</v>
      </c>
      <c r="C224" s="6" t="s">
        <v>633</v>
      </c>
      <c r="D224" s="6" t="s">
        <v>634</v>
      </c>
      <c r="E224" s="6"/>
      <c r="F224" s="6"/>
      <c r="G224" s="6"/>
      <c r="H224" s="6">
        <v>41234</v>
      </c>
      <c r="I224" s="6"/>
      <c r="J224" s="6"/>
      <c r="K224" s="6"/>
      <c r="L224" s="6"/>
      <c r="M224" s="6"/>
      <c r="N224" s="6"/>
      <c r="O224" s="6"/>
      <c r="P224" s="6"/>
      <c r="Q224" s="6"/>
      <c r="R224" s="6"/>
      <c r="S224" s="6"/>
      <c r="T224" s="6"/>
      <c r="U224" s="6"/>
      <c r="V224" s="6"/>
      <c r="W224" s="6"/>
      <c r="X224" s="6"/>
      <c r="Y224" s="6"/>
      <c r="Z224" s="6">
        <v>41292</v>
      </c>
      <c r="AA224" s="6"/>
      <c r="AB224" s="6"/>
      <c r="AC224" s="6">
        <v>41333</v>
      </c>
      <c r="AD224" s="6"/>
      <c r="AE224" s="6"/>
      <c r="AF224" s="6">
        <v>41376</v>
      </c>
      <c r="AG224" s="6"/>
      <c r="AH224" s="6"/>
      <c r="AI224" s="6"/>
      <c r="AJ224" s="6"/>
      <c r="AK224" s="6"/>
      <c r="AL224" s="6"/>
      <c r="AM224" s="6"/>
      <c r="AN224" s="6"/>
      <c r="AO224" s="6"/>
      <c r="AP224" s="6"/>
      <c r="AQ224" s="6"/>
      <c r="AR224" s="6">
        <v>41663</v>
      </c>
      <c r="AS224" s="6">
        <v>41585</v>
      </c>
      <c r="AT224" s="6"/>
      <c r="AU224" s="6"/>
      <c r="AV224" s="6">
        <v>41666</v>
      </c>
      <c r="AW224" s="6"/>
      <c r="AX224" s="6"/>
      <c r="AY224" s="6"/>
      <c r="AZ224" s="6">
        <v>41624</v>
      </c>
      <c r="BA224" s="6"/>
      <c r="BB224" s="6"/>
      <c r="BC224" s="6"/>
      <c r="BD224" s="6"/>
      <c r="BE224" s="6"/>
      <c r="BF224" s="6"/>
      <c r="BG224" s="6"/>
      <c r="BH224" s="6"/>
      <c r="BI224" s="6"/>
      <c r="BJ224" s="6"/>
      <c r="BK224" s="6"/>
      <c r="BL224" s="6"/>
      <c r="BM224" s="6">
        <v>41674</v>
      </c>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row>
    <row r="225" spans="1:216" x14ac:dyDescent="0.3">
      <c r="A225" s="8" t="str">
        <f>HYPERLINK("https://hpr-rps.hres.ca/reg-content/summary-basis-decision-detailTwo.php?lang=en&amp;linkID=SBD00225", "Kadcyla")</f>
        <v>Kadcyla</v>
      </c>
      <c r="B225" s="6" t="s">
        <v>635</v>
      </c>
      <c r="C225" s="6" t="s">
        <v>84</v>
      </c>
      <c r="D225" s="6" t="s">
        <v>636</v>
      </c>
      <c r="E225" s="6">
        <v>41186</v>
      </c>
      <c r="F225" s="6"/>
      <c r="G225" s="6"/>
      <c r="H225" s="6">
        <v>41192</v>
      </c>
      <c r="I225" s="6"/>
      <c r="J225" s="6"/>
      <c r="K225" s="6"/>
      <c r="L225" s="6"/>
      <c r="M225" s="6"/>
      <c r="N225" s="6"/>
      <c r="O225" s="6"/>
      <c r="P225" s="6"/>
      <c r="Q225" s="6"/>
      <c r="R225" s="6"/>
      <c r="S225" s="6"/>
      <c r="T225" s="6"/>
      <c r="U225" s="6"/>
      <c r="V225" s="6"/>
      <c r="W225" s="6"/>
      <c r="X225" s="6"/>
      <c r="Y225" s="6"/>
      <c r="Z225" s="6"/>
      <c r="AA225" s="6"/>
      <c r="AB225" s="6"/>
      <c r="AC225" s="6"/>
      <c r="AD225" s="6"/>
      <c r="AE225" s="6"/>
      <c r="AF225" s="6">
        <v>41236</v>
      </c>
      <c r="AG225" s="6"/>
      <c r="AH225" s="6"/>
      <c r="AI225" s="6"/>
      <c r="AJ225" s="6"/>
      <c r="AK225" s="6"/>
      <c r="AL225" s="6"/>
      <c r="AM225" s="6"/>
      <c r="AN225" s="6"/>
      <c r="AO225" s="6">
        <v>41442</v>
      </c>
      <c r="AP225" s="6"/>
      <c r="AQ225" s="6"/>
      <c r="AR225" s="6">
        <v>41453</v>
      </c>
      <c r="AS225" s="6"/>
      <c r="AT225" s="6"/>
      <c r="AU225" s="6"/>
      <c r="AV225" s="6">
        <v>41528</v>
      </c>
      <c r="AW225" s="6"/>
      <c r="AX225" s="6"/>
      <c r="AY225" s="6"/>
      <c r="AZ225" s="6">
        <v>41529</v>
      </c>
      <c r="BA225" s="6"/>
      <c r="BB225" s="6"/>
      <c r="BC225" s="6"/>
      <c r="BD225" s="6"/>
      <c r="BE225" s="6"/>
      <c r="BF225" s="6"/>
      <c r="BG225" s="6"/>
      <c r="BH225" s="6"/>
      <c r="BI225" s="6"/>
      <c r="BJ225" s="6"/>
      <c r="BK225" s="6"/>
      <c r="BL225" s="6">
        <v>41533</v>
      </c>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row>
    <row r="226" spans="1:216" x14ac:dyDescent="0.3">
      <c r="A226" s="8" t="str">
        <f>HYPERLINK("https://hpr-rps.hres.ca/reg-content/summary-basis-decision-detailTwo.php?lang=en&amp;linkID=SBD00226", "Kalydeco")</f>
        <v>Kalydeco</v>
      </c>
      <c r="B226" s="6" t="s">
        <v>637</v>
      </c>
      <c r="C226" s="6" t="s">
        <v>232</v>
      </c>
      <c r="D226" s="6" t="s">
        <v>638</v>
      </c>
      <c r="E226" s="6">
        <v>40878</v>
      </c>
      <c r="F226" s="6"/>
      <c r="G226" s="6"/>
      <c r="H226" s="6"/>
      <c r="I226" s="6"/>
      <c r="J226" s="6"/>
      <c r="K226" s="6"/>
      <c r="L226" s="6"/>
      <c r="M226" s="6"/>
      <c r="N226" s="6">
        <v>40962</v>
      </c>
      <c r="O226" s="6"/>
      <c r="P226" s="6"/>
      <c r="Q226" s="6"/>
      <c r="R226" s="6"/>
      <c r="S226" s="6">
        <v>40990</v>
      </c>
      <c r="T226" s="6"/>
      <c r="U226" s="6"/>
      <c r="V226" s="6">
        <v>41029</v>
      </c>
      <c r="W226" s="6"/>
      <c r="X226" s="6"/>
      <c r="Y226" s="6"/>
      <c r="Z226" s="6"/>
      <c r="AA226" s="6"/>
      <c r="AB226" s="6"/>
      <c r="AC226" s="6"/>
      <c r="AD226" s="6"/>
      <c r="AE226" s="6"/>
      <c r="AF226" s="6">
        <v>41060</v>
      </c>
      <c r="AG226" s="6"/>
      <c r="AH226" s="6"/>
      <c r="AI226" s="6"/>
      <c r="AJ226" s="6"/>
      <c r="AK226" s="6"/>
      <c r="AL226" s="6"/>
      <c r="AM226" s="6"/>
      <c r="AN226" s="6"/>
      <c r="AO226" s="6"/>
      <c r="AP226" s="6"/>
      <c r="AQ226" s="6"/>
      <c r="AR226" s="6">
        <v>41229</v>
      </c>
      <c r="AS226" s="6">
        <v>41151</v>
      </c>
      <c r="AT226" s="6"/>
      <c r="AU226" s="6"/>
      <c r="AV226" s="6">
        <v>41232</v>
      </c>
      <c r="AW226" s="6"/>
      <c r="AX226" s="6"/>
      <c r="AY226" s="6"/>
      <c r="AZ226" s="6">
        <v>41236</v>
      </c>
      <c r="BA226" s="6"/>
      <c r="BB226" s="6"/>
      <c r="BC226" s="6"/>
      <c r="BD226" s="6"/>
      <c r="BE226" s="6"/>
      <c r="BF226" s="6"/>
      <c r="BG226" s="6"/>
      <c r="BH226" s="6"/>
      <c r="BI226" s="6"/>
      <c r="BJ226" s="6"/>
      <c r="BK226" s="6"/>
      <c r="BL226" s="6"/>
      <c r="BM226" s="6">
        <v>41239</v>
      </c>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row>
    <row r="227" spans="1:216" x14ac:dyDescent="0.3">
      <c r="A227" s="8" t="str">
        <f>HYPERLINK("https://hpr-rps.hres.ca/reg-content/summary-basis-decision-detailTwo.php?lang=en&amp;linkID=SBD00227", "Keytruda")</f>
        <v>Keytruda</v>
      </c>
      <c r="B227" s="6" t="s">
        <v>639</v>
      </c>
      <c r="C227" s="6" t="s">
        <v>418</v>
      </c>
      <c r="D227" s="6" t="s">
        <v>640</v>
      </c>
      <c r="E227" s="6"/>
      <c r="F227" s="6"/>
      <c r="G227" s="6"/>
      <c r="H227" s="6">
        <v>41234</v>
      </c>
      <c r="I227" s="6"/>
      <c r="J227" s="6"/>
      <c r="K227" s="6"/>
      <c r="L227" s="6"/>
      <c r="M227" s="6"/>
      <c r="N227" s="6"/>
      <c r="O227" s="6"/>
      <c r="P227" s="6"/>
      <c r="Q227" s="6"/>
      <c r="R227" s="6"/>
      <c r="S227" s="6"/>
      <c r="T227" s="6"/>
      <c r="U227" s="6"/>
      <c r="V227" s="6"/>
      <c r="W227" s="6"/>
      <c r="X227" s="6"/>
      <c r="Y227" s="6"/>
      <c r="Z227" s="6">
        <v>41292</v>
      </c>
      <c r="AA227" s="6"/>
      <c r="AB227" s="6"/>
      <c r="AC227" s="6">
        <v>41333</v>
      </c>
      <c r="AD227" s="6"/>
      <c r="AE227" s="6"/>
      <c r="AF227" s="6">
        <v>41376</v>
      </c>
      <c r="AG227" s="6"/>
      <c r="AH227" s="6"/>
      <c r="AI227" s="6"/>
      <c r="AJ227" s="6"/>
      <c r="AK227" s="6"/>
      <c r="AL227" s="6"/>
      <c r="AM227" s="6"/>
      <c r="AN227" s="6"/>
      <c r="AO227" s="6"/>
      <c r="AP227" s="6"/>
      <c r="AQ227" s="6"/>
      <c r="AR227" s="6">
        <v>41663</v>
      </c>
      <c r="AS227" s="6">
        <v>41585</v>
      </c>
      <c r="AT227" s="6"/>
      <c r="AU227" s="6"/>
      <c r="AV227" s="6">
        <v>41666</v>
      </c>
      <c r="AW227" s="6"/>
      <c r="AX227" s="6"/>
      <c r="AY227" s="6"/>
      <c r="AZ227" s="6">
        <v>41624</v>
      </c>
      <c r="BA227" s="6"/>
      <c r="BB227" s="6"/>
      <c r="BC227" s="6"/>
      <c r="BD227" s="6"/>
      <c r="BE227" s="6"/>
      <c r="BF227" s="6"/>
      <c r="BG227" s="6"/>
      <c r="BH227" s="6"/>
      <c r="BI227" s="6"/>
      <c r="BJ227" s="6"/>
      <c r="BK227" s="6"/>
      <c r="BL227" s="6"/>
      <c r="BM227" s="6">
        <v>41674</v>
      </c>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row>
    <row r="228" spans="1:216" x14ac:dyDescent="0.3">
      <c r="A228" s="8" t="str">
        <f>HYPERLINK("https://hpr-rps.hres.ca/reg-content/summary-basis-decision-detailTwo.php?lang=en&amp;linkID=SBD00228", "Mekinist")</f>
        <v>Mekinist</v>
      </c>
      <c r="B228" s="6" t="s">
        <v>641</v>
      </c>
      <c r="C228" s="6" t="s">
        <v>96</v>
      </c>
      <c r="D228" s="6" t="s">
        <v>642</v>
      </c>
      <c r="E228" s="6">
        <v>41064</v>
      </c>
      <c r="F228" s="6"/>
      <c r="G228" s="6"/>
      <c r="H228" s="6">
        <v>41150</v>
      </c>
      <c r="I228" s="6"/>
      <c r="J228" s="6"/>
      <c r="K228" s="6"/>
      <c r="L228" s="6"/>
      <c r="M228" s="6"/>
      <c r="N228" s="6"/>
      <c r="O228" s="6"/>
      <c r="P228" s="6"/>
      <c r="Q228" s="6"/>
      <c r="R228" s="6"/>
      <c r="S228" s="6"/>
      <c r="T228" s="6"/>
      <c r="U228" s="6"/>
      <c r="V228" s="6"/>
      <c r="W228" s="6"/>
      <c r="X228" s="6"/>
      <c r="Y228" s="6"/>
      <c r="Z228" s="6">
        <v>41221</v>
      </c>
      <c r="AA228" s="6"/>
      <c r="AB228" s="6"/>
      <c r="AC228" s="6">
        <v>41262</v>
      </c>
      <c r="AD228" s="6"/>
      <c r="AE228" s="6"/>
      <c r="AF228" s="6">
        <v>41305</v>
      </c>
      <c r="AG228" s="6"/>
      <c r="AH228" s="6"/>
      <c r="AI228" s="6"/>
      <c r="AJ228" s="6"/>
      <c r="AK228" s="6"/>
      <c r="AL228" s="6"/>
      <c r="AM228" s="6"/>
      <c r="AN228" s="6"/>
      <c r="AO228" s="6"/>
      <c r="AP228" s="6"/>
      <c r="AQ228" s="6"/>
      <c r="AR228" s="6">
        <v>41604</v>
      </c>
      <c r="AS228" s="6">
        <v>41523</v>
      </c>
      <c r="AT228" s="6"/>
      <c r="AU228" s="6"/>
      <c r="AV228" s="6">
        <v>41597</v>
      </c>
      <c r="AW228" s="6"/>
      <c r="AX228" s="6"/>
      <c r="AY228" s="6"/>
      <c r="AZ228" s="6">
        <v>41604</v>
      </c>
      <c r="BA228" s="6"/>
      <c r="BB228" s="6"/>
      <c r="BC228" s="6"/>
      <c r="BD228" s="6"/>
      <c r="BE228" s="6"/>
      <c r="BF228" s="6"/>
      <c r="BG228" s="6"/>
      <c r="BH228" s="6"/>
      <c r="BI228" s="6"/>
      <c r="BJ228" s="6"/>
      <c r="BK228" s="6"/>
      <c r="BL228" s="6"/>
      <c r="BM228" s="6">
        <v>41605</v>
      </c>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row>
    <row r="229" spans="1:216" x14ac:dyDescent="0.3">
      <c r="A229" s="8" t="str">
        <f>HYPERLINK("https://hpr-rps.hres.ca/reg-content/summary-basis-decision-detailTwo.php?lang=en&amp;linkID=SBD00229", "Movantik")</f>
        <v>Movantik</v>
      </c>
      <c r="B229" s="6" t="s">
        <v>643</v>
      </c>
      <c r="C229" s="6" t="s">
        <v>137</v>
      </c>
      <c r="D229" s="6" t="s">
        <v>644</v>
      </c>
      <c r="E229" s="6">
        <v>41186</v>
      </c>
      <c r="F229" s="6"/>
      <c r="G229" s="6"/>
      <c r="H229" s="6">
        <v>41192</v>
      </c>
      <c r="I229" s="6"/>
      <c r="J229" s="6"/>
      <c r="K229" s="6"/>
      <c r="L229" s="6"/>
      <c r="M229" s="6"/>
      <c r="N229" s="6"/>
      <c r="O229" s="6"/>
      <c r="P229" s="6"/>
      <c r="Q229" s="6"/>
      <c r="R229" s="6"/>
      <c r="S229" s="6"/>
      <c r="T229" s="6"/>
      <c r="U229" s="6"/>
      <c r="V229" s="6"/>
      <c r="W229" s="6"/>
      <c r="X229" s="6"/>
      <c r="Y229" s="6"/>
      <c r="Z229" s="6"/>
      <c r="AA229" s="6"/>
      <c r="AB229" s="6"/>
      <c r="AC229" s="6"/>
      <c r="AD229" s="6"/>
      <c r="AE229" s="6"/>
      <c r="AF229" s="6">
        <v>41236</v>
      </c>
      <c r="AG229" s="6"/>
      <c r="AH229" s="6"/>
      <c r="AI229" s="6"/>
      <c r="AJ229" s="6"/>
      <c r="AK229" s="6"/>
      <c r="AL229" s="6"/>
      <c r="AM229" s="6"/>
      <c r="AN229" s="6"/>
      <c r="AO229" s="6">
        <v>41442</v>
      </c>
      <c r="AP229" s="6"/>
      <c r="AQ229" s="6"/>
      <c r="AR229" s="6">
        <v>41453</v>
      </c>
      <c r="AS229" s="6"/>
      <c r="AT229" s="6"/>
      <c r="AU229" s="6"/>
      <c r="AV229" s="6">
        <v>41528</v>
      </c>
      <c r="AW229" s="6"/>
      <c r="AX229" s="6"/>
      <c r="AY229" s="6"/>
      <c r="AZ229" s="6">
        <v>41529</v>
      </c>
      <c r="BA229" s="6"/>
      <c r="BB229" s="6"/>
      <c r="BC229" s="6"/>
      <c r="BD229" s="6"/>
      <c r="BE229" s="6"/>
      <c r="BF229" s="6"/>
      <c r="BG229" s="6"/>
      <c r="BH229" s="6"/>
      <c r="BI229" s="6"/>
      <c r="BJ229" s="6"/>
      <c r="BK229" s="6"/>
      <c r="BL229" s="6">
        <v>41533</v>
      </c>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row>
    <row r="230" spans="1:216" x14ac:dyDescent="0.3">
      <c r="A230" s="8" t="str">
        <f>HYPERLINK("https://hpr-rps.hres.ca/reg-content/summary-basis-decision-detailTwo.php?lang=en&amp;linkID=SBD00230", "Myrbetriq")</f>
        <v>Myrbetriq</v>
      </c>
      <c r="B230" s="6" t="s">
        <v>645</v>
      </c>
      <c r="C230" s="6" t="s">
        <v>331</v>
      </c>
      <c r="D230" s="6" t="s">
        <v>646</v>
      </c>
      <c r="E230" s="6">
        <v>41530</v>
      </c>
      <c r="F230" s="6"/>
      <c r="G230" s="6"/>
      <c r="H230" s="6">
        <v>41579</v>
      </c>
      <c r="I230" s="6"/>
      <c r="J230" s="6"/>
      <c r="K230" s="6"/>
      <c r="L230" s="6"/>
      <c r="M230" s="6"/>
      <c r="N230" s="6"/>
      <c r="O230" s="6"/>
      <c r="P230" s="6"/>
      <c r="Q230" s="6"/>
      <c r="R230" s="6"/>
      <c r="S230" s="6"/>
      <c r="T230" s="6"/>
      <c r="U230" s="6"/>
      <c r="V230" s="6"/>
      <c r="W230" s="6"/>
      <c r="X230" s="6"/>
      <c r="Y230" s="6"/>
      <c r="Z230" s="6"/>
      <c r="AA230" s="6"/>
      <c r="AB230" s="6"/>
      <c r="AC230" s="6"/>
      <c r="AD230" s="6"/>
      <c r="AE230" s="6"/>
      <c r="AF230" s="6">
        <v>41635</v>
      </c>
      <c r="AG230" s="6"/>
      <c r="AH230" s="6"/>
      <c r="AI230" s="6"/>
      <c r="AJ230" s="6"/>
      <c r="AK230" s="6"/>
      <c r="AL230" s="6"/>
      <c r="AM230" s="6"/>
      <c r="AN230" s="6"/>
      <c r="AO230" s="6">
        <v>41911</v>
      </c>
      <c r="AP230" s="6"/>
      <c r="AQ230" s="6"/>
      <c r="AR230" s="6">
        <v>41929</v>
      </c>
      <c r="AS230" s="6"/>
      <c r="AT230" s="6">
        <v>41925</v>
      </c>
      <c r="AU230" s="6"/>
      <c r="AV230" s="6">
        <v>41932</v>
      </c>
      <c r="AW230" s="6"/>
      <c r="AX230" s="6"/>
      <c r="AY230" s="6"/>
      <c r="AZ230" s="6">
        <v>41935</v>
      </c>
      <c r="BA230" s="6"/>
      <c r="BB230" s="6"/>
      <c r="BC230" s="6"/>
      <c r="BD230" s="6"/>
      <c r="BE230" s="6"/>
      <c r="BF230" s="6"/>
      <c r="BG230" s="6"/>
      <c r="BH230" s="6"/>
      <c r="BI230" s="6"/>
      <c r="BJ230" s="6"/>
      <c r="BK230" s="6"/>
      <c r="BL230" s="6"/>
      <c r="BM230" s="6">
        <v>41935</v>
      </c>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row>
    <row r="231" spans="1:216" x14ac:dyDescent="0.3">
      <c r="A231" s="8" t="str">
        <f>HYPERLINK("https://hpr-rps.hres.ca/reg-content/summary-basis-decision-detailTwo.php?lang=en&amp;linkID=SBD00231", "Naglazyme")</f>
        <v>Naglazyme</v>
      </c>
      <c r="B231" s="6" t="s">
        <v>647</v>
      </c>
      <c r="C231" s="6" t="s">
        <v>292</v>
      </c>
      <c r="D231" s="6" t="s">
        <v>648</v>
      </c>
      <c r="E231" s="6">
        <v>41186</v>
      </c>
      <c r="F231" s="6"/>
      <c r="G231" s="6"/>
      <c r="H231" s="6">
        <v>41192</v>
      </c>
      <c r="I231" s="6"/>
      <c r="J231" s="6"/>
      <c r="K231" s="6"/>
      <c r="L231" s="6"/>
      <c r="M231" s="6"/>
      <c r="N231" s="6"/>
      <c r="O231" s="6"/>
      <c r="P231" s="6"/>
      <c r="Q231" s="6"/>
      <c r="R231" s="6"/>
      <c r="S231" s="6"/>
      <c r="T231" s="6"/>
      <c r="U231" s="6"/>
      <c r="V231" s="6"/>
      <c r="W231" s="6"/>
      <c r="X231" s="6"/>
      <c r="Y231" s="6"/>
      <c r="Z231" s="6"/>
      <c r="AA231" s="6"/>
      <c r="AB231" s="6"/>
      <c r="AC231" s="6"/>
      <c r="AD231" s="6"/>
      <c r="AE231" s="6"/>
      <c r="AF231" s="6">
        <v>41236</v>
      </c>
      <c r="AG231" s="6"/>
      <c r="AH231" s="6"/>
      <c r="AI231" s="6"/>
      <c r="AJ231" s="6"/>
      <c r="AK231" s="6"/>
      <c r="AL231" s="6"/>
      <c r="AM231" s="6"/>
      <c r="AN231" s="6"/>
      <c r="AO231" s="6">
        <v>41442</v>
      </c>
      <c r="AP231" s="6"/>
      <c r="AQ231" s="6"/>
      <c r="AR231" s="6">
        <v>41453</v>
      </c>
      <c r="AS231" s="6"/>
      <c r="AT231" s="6"/>
      <c r="AU231" s="6"/>
      <c r="AV231" s="6">
        <v>41528</v>
      </c>
      <c r="AW231" s="6"/>
      <c r="AX231" s="6"/>
      <c r="AY231" s="6"/>
      <c r="AZ231" s="6">
        <v>41529</v>
      </c>
      <c r="BA231" s="6"/>
      <c r="BB231" s="6"/>
      <c r="BC231" s="6"/>
      <c r="BD231" s="6"/>
      <c r="BE231" s="6"/>
      <c r="BF231" s="6"/>
      <c r="BG231" s="6"/>
      <c r="BH231" s="6"/>
      <c r="BI231" s="6"/>
      <c r="BJ231" s="6"/>
      <c r="BK231" s="6"/>
      <c r="BL231" s="6">
        <v>41533</v>
      </c>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row>
    <row r="232" spans="1:216" x14ac:dyDescent="0.3">
      <c r="A232" s="8" t="str">
        <f>HYPERLINK("https://hpr-rps.hres.ca/reg-content/summary-basis-decision-detailTwo.php?lang=en&amp;linkID=SBD00232", "Nesina")</f>
        <v>Nesina</v>
      </c>
      <c r="B232" s="6" t="s">
        <v>649</v>
      </c>
      <c r="C232" s="6" t="s">
        <v>241</v>
      </c>
      <c r="D232" s="6" t="s">
        <v>650</v>
      </c>
      <c r="E232" s="6">
        <v>41064</v>
      </c>
      <c r="F232" s="6"/>
      <c r="G232" s="6"/>
      <c r="H232" s="6">
        <v>41150</v>
      </c>
      <c r="I232" s="6"/>
      <c r="J232" s="6"/>
      <c r="K232" s="6"/>
      <c r="L232" s="6"/>
      <c r="M232" s="6"/>
      <c r="N232" s="6"/>
      <c r="O232" s="6"/>
      <c r="P232" s="6"/>
      <c r="Q232" s="6"/>
      <c r="R232" s="6"/>
      <c r="S232" s="6"/>
      <c r="T232" s="6"/>
      <c r="U232" s="6"/>
      <c r="V232" s="6"/>
      <c r="W232" s="6"/>
      <c r="X232" s="6"/>
      <c r="Y232" s="6"/>
      <c r="Z232" s="6">
        <v>41221</v>
      </c>
      <c r="AA232" s="6"/>
      <c r="AB232" s="6"/>
      <c r="AC232" s="6">
        <v>41262</v>
      </c>
      <c r="AD232" s="6"/>
      <c r="AE232" s="6"/>
      <c r="AF232" s="6">
        <v>41305</v>
      </c>
      <c r="AG232" s="6"/>
      <c r="AH232" s="6"/>
      <c r="AI232" s="6"/>
      <c r="AJ232" s="6"/>
      <c r="AK232" s="6"/>
      <c r="AL232" s="6"/>
      <c r="AM232" s="6"/>
      <c r="AN232" s="6"/>
      <c r="AO232" s="6"/>
      <c r="AP232" s="6"/>
      <c r="AQ232" s="6"/>
      <c r="AR232" s="6">
        <v>41604</v>
      </c>
      <c r="AS232" s="6">
        <v>41523</v>
      </c>
      <c r="AT232" s="6"/>
      <c r="AU232" s="6"/>
      <c r="AV232" s="6">
        <v>41597</v>
      </c>
      <c r="AW232" s="6"/>
      <c r="AX232" s="6"/>
      <c r="AY232" s="6"/>
      <c r="AZ232" s="6">
        <v>41604</v>
      </c>
      <c r="BA232" s="6"/>
      <c r="BB232" s="6"/>
      <c r="BC232" s="6"/>
      <c r="BD232" s="6"/>
      <c r="BE232" s="6"/>
      <c r="BF232" s="6"/>
      <c r="BG232" s="6"/>
      <c r="BH232" s="6"/>
      <c r="BI232" s="6"/>
      <c r="BJ232" s="6"/>
      <c r="BK232" s="6"/>
      <c r="BL232" s="6"/>
      <c r="BM232" s="6">
        <v>41605</v>
      </c>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row>
    <row r="233" spans="1:216" x14ac:dyDescent="0.3">
      <c r="A233" s="8" t="str">
        <f>HYPERLINK("https://hpr-rps.hres.ca/reg-content/summary-basis-decision-detailTwo.php?lang=en&amp;linkID=SBD00233", "Neupro")</f>
        <v>Neupro</v>
      </c>
      <c r="B233" s="6" t="s">
        <v>651</v>
      </c>
      <c r="C233" s="6" t="s">
        <v>164</v>
      </c>
      <c r="D233" s="6" t="s">
        <v>652</v>
      </c>
      <c r="E233" s="6">
        <v>40486</v>
      </c>
      <c r="F233" s="6"/>
      <c r="G233" s="6"/>
      <c r="H233" s="6">
        <v>40998</v>
      </c>
      <c r="I233" s="6"/>
      <c r="J233" s="6"/>
      <c r="K233" s="6"/>
      <c r="L233" s="6"/>
      <c r="M233" s="6"/>
      <c r="N233" s="6"/>
      <c r="O233" s="6"/>
      <c r="P233" s="6"/>
      <c r="Q233" s="6"/>
      <c r="R233" s="6"/>
      <c r="S233" s="6"/>
      <c r="T233" s="6"/>
      <c r="U233" s="6"/>
      <c r="V233" s="6"/>
      <c r="W233" s="6"/>
      <c r="X233" s="6"/>
      <c r="Y233" s="6"/>
      <c r="Z233" s="6"/>
      <c r="AA233" s="6"/>
      <c r="AB233" s="6"/>
      <c r="AC233" s="6"/>
      <c r="AD233" s="6"/>
      <c r="AE233" s="6"/>
      <c r="AF233" s="6">
        <v>41054</v>
      </c>
      <c r="AG233" s="6"/>
      <c r="AH233" s="6"/>
      <c r="AI233" s="6"/>
      <c r="AJ233" s="6"/>
      <c r="AK233" s="6"/>
      <c r="AL233" s="6"/>
      <c r="AM233" s="6"/>
      <c r="AN233" s="6"/>
      <c r="AO233" s="6"/>
      <c r="AP233" s="6"/>
      <c r="AQ233" s="6"/>
      <c r="AR233" s="6">
        <v>41351</v>
      </c>
      <c r="AS233" s="6">
        <v>41327</v>
      </c>
      <c r="AT233" s="6"/>
      <c r="AU233" s="6"/>
      <c r="AV233" s="6">
        <v>41344</v>
      </c>
      <c r="AW233" s="6"/>
      <c r="AX233" s="6"/>
      <c r="AY233" s="6"/>
      <c r="AZ233" s="6">
        <v>41352</v>
      </c>
      <c r="BA233" s="6"/>
      <c r="BB233" s="6"/>
      <c r="BC233" s="6"/>
      <c r="BD233" s="6"/>
      <c r="BE233" s="6"/>
      <c r="BF233" s="6"/>
      <c r="BG233" s="6"/>
      <c r="BH233" s="6"/>
      <c r="BI233" s="6"/>
      <c r="BJ233" s="6"/>
      <c r="BK233" s="6"/>
      <c r="BL233" s="6"/>
      <c r="BM233" s="6">
        <v>41354</v>
      </c>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row>
    <row r="234" spans="1:216" x14ac:dyDescent="0.3">
      <c r="A234" s="8" t="str">
        <f>HYPERLINK("https://hpr-rps.hres.ca/reg-content/summary-basis-decision-detailTwo.php?lang=en&amp;linkID=SBD00234", "Nimenrix")</f>
        <v>Nimenrix</v>
      </c>
      <c r="B234" s="6" t="s">
        <v>653</v>
      </c>
      <c r="C234" s="6" t="s">
        <v>96</v>
      </c>
      <c r="D234" s="6" t="s">
        <v>654</v>
      </c>
      <c r="E234" s="6">
        <v>40486</v>
      </c>
      <c r="F234" s="6"/>
      <c r="G234" s="6"/>
      <c r="H234" s="6">
        <v>40998</v>
      </c>
      <c r="I234" s="6"/>
      <c r="J234" s="6"/>
      <c r="K234" s="6"/>
      <c r="L234" s="6"/>
      <c r="M234" s="6"/>
      <c r="N234" s="6"/>
      <c r="O234" s="6"/>
      <c r="P234" s="6"/>
      <c r="Q234" s="6"/>
      <c r="R234" s="6"/>
      <c r="S234" s="6"/>
      <c r="T234" s="6"/>
      <c r="U234" s="6"/>
      <c r="V234" s="6"/>
      <c r="W234" s="6"/>
      <c r="X234" s="6"/>
      <c r="Y234" s="6"/>
      <c r="Z234" s="6"/>
      <c r="AA234" s="6"/>
      <c r="AB234" s="6"/>
      <c r="AC234" s="6"/>
      <c r="AD234" s="6"/>
      <c r="AE234" s="6"/>
      <c r="AF234" s="6">
        <v>41054</v>
      </c>
      <c r="AG234" s="6"/>
      <c r="AH234" s="6"/>
      <c r="AI234" s="6"/>
      <c r="AJ234" s="6"/>
      <c r="AK234" s="6"/>
      <c r="AL234" s="6"/>
      <c r="AM234" s="6"/>
      <c r="AN234" s="6"/>
      <c r="AO234" s="6"/>
      <c r="AP234" s="6"/>
      <c r="AQ234" s="6"/>
      <c r="AR234" s="6">
        <v>41351</v>
      </c>
      <c r="AS234" s="6">
        <v>41327</v>
      </c>
      <c r="AT234" s="6"/>
      <c r="AU234" s="6"/>
      <c r="AV234" s="6">
        <v>41344</v>
      </c>
      <c r="AW234" s="6"/>
      <c r="AX234" s="6"/>
      <c r="AY234" s="6"/>
      <c r="AZ234" s="6">
        <v>41352</v>
      </c>
      <c r="BA234" s="6"/>
      <c r="BB234" s="6"/>
      <c r="BC234" s="6"/>
      <c r="BD234" s="6"/>
      <c r="BE234" s="6"/>
      <c r="BF234" s="6"/>
      <c r="BG234" s="6"/>
      <c r="BH234" s="6"/>
      <c r="BI234" s="6"/>
      <c r="BJ234" s="6"/>
      <c r="BK234" s="6"/>
      <c r="BL234" s="6"/>
      <c r="BM234" s="6">
        <v>41354</v>
      </c>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row>
    <row r="235" spans="1:216" x14ac:dyDescent="0.3">
      <c r="A235" s="8" t="str">
        <f>HYPERLINK("https://hpr-rps.hres.ca/reg-content/summary-basis-decision-detailTwo.php?lang=en&amp;linkID=SBD00235", "Nuwiq")</f>
        <v>Nuwiq</v>
      </c>
      <c r="B235" s="6" t="s">
        <v>655</v>
      </c>
      <c r="C235" s="6" t="s">
        <v>656</v>
      </c>
      <c r="D235" s="6" t="s">
        <v>657</v>
      </c>
      <c r="E235" s="6">
        <v>41320</v>
      </c>
      <c r="F235" s="6"/>
      <c r="G235" s="6"/>
      <c r="H235" s="6"/>
      <c r="I235" s="6"/>
      <c r="J235" s="6"/>
      <c r="K235" s="6"/>
      <c r="L235" s="6"/>
      <c r="M235" s="6"/>
      <c r="N235" s="6">
        <v>41341</v>
      </c>
      <c r="O235" s="6"/>
      <c r="P235" s="6"/>
      <c r="Q235" s="6"/>
      <c r="R235" s="6"/>
      <c r="S235" s="6">
        <v>41375</v>
      </c>
      <c r="T235" s="6"/>
      <c r="U235" s="6"/>
      <c r="V235" s="6">
        <v>41379</v>
      </c>
      <c r="W235" s="6"/>
      <c r="X235" s="6"/>
      <c r="Y235" s="6"/>
      <c r="Z235" s="6"/>
      <c r="AA235" s="6"/>
      <c r="AB235" s="6"/>
      <c r="AC235" s="6"/>
      <c r="AD235" s="6"/>
      <c r="AE235" s="6"/>
      <c r="AF235" s="6">
        <v>41416</v>
      </c>
      <c r="AG235" s="6"/>
      <c r="AH235" s="6"/>
      <c r="AI235" s="6"/>
      <c r="AJ235" s="6"/>
      <c r="AK235" s="6"/>
      <c r="AL235" s="6"/>
      <c r="AM235" s="6"/>
      <c r="AN235" s="6"/>
      <c r="AO235" s="6"/>
      <c r="AP235" s="6"/>
      <c r="AQ235" s="6"/>
      <c r="AR235" s="6">
        <v>41593</v>
      </c>
      <c r="AS235" s="6">
        <v>41530</v>
      </c>
      <c r="AT235" s="6"/>
      <c r="AU235" s="6"/>
      <c r="AV235" s="6">
        <v>41586</v>
      </c>
      <c r="AW235" s="6"/>
      <c r="AX235" s="6"/>
      <c r="AY235" s="6"/>
      <c r="AZ235" s="6">
        <v>41593</v>
      </c>
      <c r="BA235" s="6"/>
      <c r="BB235" s="6"/>
      <c r="BC235" s="6"/>
      <c r="BD235" s="6"/>
      <c r="BE235" s="6"/>
      <c r="BF235" s="6"/>
      <c r="BG235" s="6"/>
      <c r="BH235" s="6"/>
      <c r="BI235" s="6"/>
      <c r="BJ235" s="6"/>
      <c r="BK235" s="6"/>
      <c r="BL235" s="6"/>
      <c r="BM235" s="6">
        <v>41596</v>
      </c>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row>
    <row r="236" spans="1:216" x14ac:dyDescent="0.3">
      <c r="A236" s="8" t="str">
        <f>HYPERLINK("https://hpr-rps.hres.ca/reg-content/summary-basis-decision-detailTwo.php?lang=en&amp;linkID=SBD00236", "Ofev")</f>
        <v>Ofev</v>
      </c>
      <c r="B236" s="6" t="s">
        <v>658</v>
      </c>
      <c r="C236" s="6" t="s">
        <v>659</v>
      </c>
      <c r="D236" s="6" t="s">
        <v>660</v>
      </c>
      <c r="E236" s="6">
        <v>41530</v>
      </c>
      <c r="F236" s="6"/>
      <c r="G236" s="6"/>
      <c r="H236" s="6">
        <v>41579</v>
      </c>
      <c r="I236" s="6"/>
      <c r="J236" s="6"/>
      <c r="K236" s="6"/>
      <c r="L236" s="6"/>
      <c r="M236" s="6"/>
      <c r="N236" s="6"/>
      <c r="O236" s="6"/>
      <c r="P236" s="6"/>
      <c r="Q236" s="6"/>
      <c r="R236" s="6"/>
      <c r="S236" s="6"/>
      <c r="T236" s="6"/>
      <c r="U236" s="6"/>
      <c r="V236" s="6"/>
      <c r="W236" s="6"/>
      <c r="X236" s="6"/>
      <c r="Y236" s="6"/>
      <c r="Z236" s="6"/>
      <c r="AA236" s="6"/>
      <c r="AB236" s="6"/>
      <c r="AC236" s="6"/>
      <c r="AD236" s="6"/>
      <c r="AE236" s="6"/>
      <c r="AF236" s="6">
        <v>41635</v>
      </c>
      <c r="AG236" s="6"/>
      <c r="AH236" s="6"/>
      <c r="AI236" s="6"/>
      <c r="AJ236" s="6"/>
      <c r="AK236" s="6"/>
      <c r="AL236" s="6"/>
      <c r="AM236" s="6"/>
      <c r="AN236" s="6"/>
      <c r="AO236" s="6">
        <v>41911</v>
      </c>
      <c r="AP236" s="6"/>
      <c r="AQ236" s="6"/>
      <c r="AR236" s="6">
        <v>41929</v>
      </c>
      <c r="AS236" s="6"/>
      <c r="AT236" s="6">
        <v>41925</v>
      </c>
      <c r="AU236" s="6"/>
      <c r="AV236" s="6">
        <v>41932</v>
      </c>
      <c r="AW236" s="6"/>
      <c r="AX236" s="6"/>
      <c r="AY236" s="6"/>
      <c r="AZ236" s="6">
        <v>41935</v>
      </c>
      <c r="BA236" s="6"/>
      <c r="BB236" s="6"/>
      <c r="BC236" s="6"/>
      <c r="BD236" s="6"/>
      <c r="BE236" s="6"/>
      <c r="BF236" s="6"/>
      <c r="BG236" s="6"/>
      <c r="BH236" s="6"/>
      <c r="BI236" s="6"/>
      <c r="BJ236" s="6"/>
      <c r="BK236" s="6"/>
      <c r="BL236" s="6"/>
      <c r="BM236" s="6">
        <v>41935</v>
      </c>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row>
    <row r="237" spans="1:216" x14ac:dyDescent="0.3">
      <c r="A237" s="8" t="str">
        <f>HYPERLINK("https://hpr-rps.hres.ca/reg-content/summary-basis-decision-detailTwo.php?lang=en&amp;linkID=SBD00245", "Varithena")</f>
        <v>Varithena</v>
      </c>
      <c r="B237" s="6" t="s">
        <v>661</v>
      </c>
      <c r="C237" s="6" t="s">
        <v>662</v>
      </c>
      <c r="D237" s="6" t="s">
        <v>663</v>
      </c>
      <c r="E237" s="6">
        <v>41745</v>
      </c>
      <c r="F237" s="6"/>
      <c r="G237" s="6"/>
      <c r="H237" s="6">
        <v>41871</v>
      </c>
      <c r="I237" s="6"/>
      <c r="J237" s="6"/>
      <c r="K237" s="6"/>
      <c r="L237" s="6"/>
      <c r="M237" s="6"/>
      <c r="N237" s="6"/>
      <c r="O237" s="6"/>
      <c r="P237" s="6"/>
      <c r="Q237" s="6"/>
      <c r="R237" s="6"/>
      <c r="S237" s="6"/>
      <c r="T237" s="6"/>
      <c r="U237" s="6"/>
      <c r="V237" s="6"/>
      <c r="W237" s="6"/>
      <c r="X237" s="6"/>
      <c r="Y237" s="6"/>
      <c r="Z237" s="6"/>
      <c r="AA237" s="6"/>
      <c r="AB237" s="6"/>
      <c r="AC237" s="6"/>
      <c r="AD237" s="6"/>
      <c r="AE237" s="6"/>
      <c r="AF237" s="6">
        <v>41920</v>
      </c>
      <c r="AG237" s="6"/>
      <c r="AH237" s="6"/>
      <c r="AI237" s="6"/>
      <c r="AJ237" s="6"/>
      <c r="AK237" s="6"/>
      <c r="AL237" s="6"/>
      <c r="AM237" s="6"/>
      <c r="AN237" s="6"/>
      <c r="AO237" s="6"/>
      <c r="AP237" s="6"/>
      <c r="AQ237" s="6"/>
      <c r="AR237" s="6">
        <v>42216</v>
      </c>
      <c r="AS237" s="6"/>
      <c r="AT237" s="6"/>
      <c r="AU237" s="6"/>
      <c r="AV237" s="6">
        <v>42215</v>
      </c>
      <c r="AW237" s="6"/>
      <c r="AX237" s="6"/>
      <c r="AY237" s="6"/>
      <c r="AZ237" s="6">
        <v>42216</v>
      </c>
      <c r="BA237" s="6"/>
      <c r="BB237" s="6"/>
      <c r="BC237" s="6"/>
      <c r="BD237" s="6"/>
      <c r="BE237" s="6"/>
      <c r="BF237" s="6"/>
      <c r="BG237" s="6"/>
      <c r="BH237" s="6"/>
      <c r="BI237" s="6"/>
      <c r="BJ237" s="6"/>
      <c r="BK237" s="6"/>
      <c r="BL237" s="6"/>
      <c r="BM237" s="6">
        <v>42220</v>
      </c>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row>
    <row r="238" spans="1:216" x14ac:dyDescent="0.3">
      <c r="A238" s="8" t="str">
        <f>HYPERLINK("https://hpr-rps.hres.ca/reg-content/summary-basis-decision-detailTwo.php?lang=en&amp;linkID=SBD00237", "Opsumit")</f>
        <v>Opsumit</v>
      </c>
      <c r="B238" s="6" t="s">
        <v>664</v>
      </c>
      <c r="C238" s="6" t="s">
        <v>665</v>
      </c>
      <c r="D238" s="6" t="s">
        <v>666</v>
      </c>
      <c r="E238" s="6">
        <v>41628</v>
      </c>
      <c r="F238" s="6"/>
      <c r="G238" s="6"/>
      <c r="H238" s="6"/>
      <c r="I238" s="6"/>
      <c r="J238" s="6"/>
      <c r="K238" s="6"/>
      <c r="L238" s="6"/>
      <c r="M238" s="6"/>
      <c r="N238" s="6">
        <v>41759</v>
      </c>
      <c r="O238" s="6"/>
      <c r="P238" s="6"/>
      <c r="Q238" s="6"/>
      <c r="R238" s="6"/>
      <c r="S238" s="6"/>
      <c r="T238" s="6">
        <v>41788</v>
      </c>
      <c r="U238" s="6"/>
      <c r="V238" s="6">
        <v>41866</v>
      </c>
      <c r="W238" s="6"/>
      <c r="X238" s="6"/>
      <c r="Y238" s="6"/>
      <c r="Z238" s="6">
        <v>41922</v>
      </c>
      <c r="AA238" s="6"/>
      <c r="AB238" s="6"/>
      <c r="AC238" s="6">
        <v>41941</v>
      </c>
      <c r="AD238" s="6"/>
      <c r="AE238" s="6"/>
      <c r="AF238" s="6">
        <v>41985</v>
      </c>
      <c r="AG238" s="6"/>
      <c r="AH238" s="6"/>
      <c r="AI238" s="6"/>
      <c r="AJ238" s="6"/>
      <c r="AK238" s="6"/>
      <c r="AL238" s="6"/>
      <c r="AM238" s="6"/>
      <c r="AN238" s="6"/>
      <c r="AO238" s="6">
        <v>42205</v>
      </c>
      <c r="AP238" s="6"/>
      <c r="AQ238" s="6"/>
      <c r="AR238" s="6">
        <v>42284</v>
      </c>
      <c r="AS238" s="6"/>
      <c r="AT238" s="6"/>
      <c r="AU238" s="6"/>
      <c r="AV238" s="6">
        <v>42286</v>
      </c>
      <c r="AW238" s="6"/>
      <c r="AX238" s="6"/>
      <c r="AY238" s="6"/>
      <c r="AZ238" s="6">
        <v>42178</v>
      </c>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c r="FZ238" s="6"/>
      <c r="GA238" s="6"/>
      <c r="GB238" s="6"/>
      <c r="GC238" s="6"/>
      <c r="GD238" s="6"/>
      <c r="GE238" s="6"/>
      <c r="GF238" s="6"/>
      <c r="GG238" s="6"/>
      <c r="GH238" s="6"/>
      <c r="GI238" s="6"/>
      <c r="GJ238" s="6"/>
      <c r="GK238" s="6"/>
      <c r="GL238" s="6"/>
      <c r="GM238" s="6"/>
      <c r="GN238" s="6"/>
      <c r="GO238" s="6"/>
      <c r="GP238" s="6"/>
      <c r="GQ238" s="6"/>
      <c r="GR238" s="6"/>
      <c r="GS238" s="6"/>
      <c r="GT238" s="6"/>
      <c r="GU238" s="6"/>
      <c r="GV238" s="6"/>
      <c r="GW238" s="6"/>
      <c r="GX238" s="6"/>
      <c r="GY238" s="6"/>
      <c r="GZ238" s="6"/>
      <c r="HA238" s="6"/>
      <c r="HB238" s="6"/>
      <c r="HC238" s="6"/>
      <c r="HD238" s="6"/>
      <c r="HE238" s="6"/>
      <c r="HF238" s="6"/>
      <c r="HG238" s="6"/>
      <c r="HH238" s="6"/>
    </row>
    <row r="239" spans="1:216" x14ac:dyDescent="0.3">
      <c r="A239" s="8" t="str">
        <f>HYPERLINK("https://hpr-rps.hres.ca/reg-content/summary-basis-decision-detailTwo.php?lang=en&amp;linkID=SBD00238", "Otezla")</f>
        <v>Otezla</v>
      </c>
      <c r="B239" s="6" t="s">
        <v>667</v>
      </c>
      <c r="C239" s="6" t="s">
        <v>668</v>
      </c>
      <c r="D239" s="6" t="s">
        <v>669</v>
      </c>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c r="FZ239" s="6"/>
      <c r="GA239" s="6"/>
      <c r="GB239" s="6"/>
      <c r="GC239" s="6"/>
      <c r="GD239" s="6"/>
      <c r="GE239" s="6"/>
      <c r="GF239" s="6"/>
      <c r="GG239" s="6"/>
      <c r="GH239" s="6"/>
      <c r="GI239" s="6"/>
      <c r="GJ239" s="6"/>
      <c r="GK239" s="6"/>
      <c r="GL239" s="6"/>
      <c r="GM239" s="6"/>
      <c r="GN239" s="6"/>
      <c r="GO239" s="6"/>
      <c r="GP239" s="6"/>
      <c r="GQ239" s="6"/>
      <c r="GR239" s="6"/>
      <c r="GS239" s="6"/>
      <c r="GT239" s="6"/>
      <c r="GU239" s="6"/>
      <c r="GV239" s="6"/>
      <c r="GW239" s="6"/>
      <c r="GX239" s="6"/>
      <c r="GY239" s="6"/>
      <c r="GZ239" s="6"/>
      <c r="HA239" s="6"/>
      <c r="HB239" s="6"/>
      <c r="HC239" s="6"/>
      <c r="HD239" s="6"/>
      <c r="HE239" s="6"/>
      <c r="HF239" s="6"/>
      <c r="HG239" s="6"/>
      <c r="HH239" s="6"/>
    </row>
    <row r="240" spans="1:216" x14ac:dyDescent="0.3">
      <c r="A240" s="8" t="str">
        <f>HYPERLINK("https://hpr-rps.hres.ca/reg-content/summary-basis-decision-detailTwo.php?lang=en&amp;linkID=SBD00239", "Mifegymiso")</f>
        <v>Mifegymiso</v>
      </c>
      <c r="B240" s="6" t="s">
        <v>670</v>
      </c>
      <c r="C240" s="6" t="s">
        <v>671</v>
      </c>
      <c r="D240" s="6" t="s">
        <v>672</v>
      </c>
      <c r="E240" s="6">
        <v>41628</v>
      </c>
      <c r="F240" s="6"/>
      <c r="G240" s="6"/>
      <c r="H240" s="6"/>
      <c r="I240" s="6"/>
      <c r="J240" s="6"/>
      <c r="K240" s="6"/>
      <c r="L240" s="6"/>
      <c r="M240" s="6"/>
      <c r="N240" s="6">
        <v>41759</v>
      </c>
      <c r="O240" s="6"/>
      <c r="P240" s="6"/>
      <c r="Q240" s="6"/>
      <c r="R240" s="6"/>
      <c r="S240" s="6"/>
      <c r="T240" s="6">
        <v>41788</v>
      </c>
      <c r="U240" s="6"/>
      <c r="V240" s="6">
        <v>41866</v>
      </c>
      <c r="W240" s="6"/>
      <c r="X240" s="6"/>
      <c r="Y240" s="6"/>
      <c r="Z240" s="6">
        <v>41922</v>
      </c>
      <c r="AA240" s="6"/>
      <c r="AB240" s="6"/>
      <c r="AC240" s="6">
        <v>41941</v>
      </c>
      <c r="AD240" s="6"/>
      <c r="AE240" s="6"/>
      <c r="AF240" s="6">
        <v>41985</v>
      </c>
      <c r="AG240" s="6"/>
      <c r="AH240" s="6"/>
      <c r="AI240" s="6"/>
      <c r="AJ240" s="6"/>
      <c r="AK240" s="6"/>
      <c r="AL240" s="6"/>
      <c r="AM240" s="6"/>
      <c r="AN240" s="6"/>
      <c r="AO240" s="6">
        <v>42205</v>
      </c>
      <c r="AP240" s="6"/>
      <c r="AQ240" s="6"/>
      <c r="AR240" s="6">
        <v>42284</v>
      </c>
      <c r="AS240" s="6"/>
      <c r="AT240" s="6"/>
      <c r="AU240" s="6"/>
      <c r="AV240" s="6">
        <v>42286</v>
      </c>
      <c r="AW240" s="6"/>
      <c r="AX240" s="6"/>
      <c r="AY240" s="6"/>
      <c r="AZ240" s="6">
        <v>42178</v>
      </c>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c r="FZ240" s="6"/>
      <c r="GA240" s="6"/>
      <c r="GB240" s="6"/>
      <c r="GC240" s="6"/>
      <c r="GD240" s="6"/>
      <c r="GE240" s="6"/>
      <c r="GF240" s="6"/>
      <c r="GG240" s="6"/>
      <c r="GH240" s="6"/>
      <c r="GI240" s="6"/>
      <c r="GJ240" s="6"/>
      <c r="GK240" s="6"/>
      <c r="GL240" s="6"/>
      <c r="GM240" s="6"/>
      <c r="GN240" s="6"/>
      <c r="GO240" s="6"/>
      <c r="GP240" s="6"/>
      <c r="GQ240" s="6"/>
      <c r="GR240" s="6"/>
      <c r="GS240" s="6"/>
      <c r="GT240" s="6"/>
      <c r="GU240" s="6"/>
      <c r="GV240" s="6"/>
      <c r="GW240" s="6"/>
      <c r="GX240" s="6"/>
      <c r="GY240" s="6"/>
      <c r="GZ240" s="6"/>
      <c r="HA240" s="6"/>
      <c r="HB240" s="6"/>
      <c r="HC240" s="6"/>
      <c r="HD240" s="6"/>
      <c r="HE240" s="6"/>
      <c r="HF240" s="6"/>
      <c r="HG240" s="6"/>
      <c r="HH240" s="6"/>
    </row>
    <row r="241" spans="1:216" x14ac:dyDescent="0.3">
      <c r="A241" s="8" t="str">
        <f>HYPERLINK("https://hpr-rps.hres.ca/reg-content/summary-basis-decision-detailTwo.php?lang=en&amp;linkID=SBD00240", "Obizur")</f>
        <v>Obizur</v>
      </c>
      <c r="B241" s="6" t="s">
        <v>673</v>
      </c>
      <c r="C241" s="6" t="s">
        <v>674</v>
      </c>
      <c r="D241" s="6" t="s">
        <v>675</v>
      </c>
      <c r="E241" s="6">
        <v>41628</v>
      </c>
      <c r="F241" s="6"/>
      <c r="G241" s="6"/>
      <c r="H241" s="6"/>
      <c r="I241" s="6"/>
      <c r="J241" s="6"/>
      <c r="K241" s="6"/>
      <c r="L241" s="6"/>
      <c r="M241" s="6"/>
      <c r="N241" s="6">
        <v>41759</v>
      </c>
      <c r="O241" s="6"/>
      <c r="P241" s="6"/>
      <c r="Q241" s="6"/>
      <c r="R241" s="6"/>
      <c r="S241" s="6"/>
      <c r="T241" s="6">
        <v>41788</v>
      </c>
      <c r="U241" s="6"/>
      <c r="V241" s="6">
        <v>41866</v>
      </c>
      <c r="W241" s="6"/>
      <c r="X241" s="6"/>
      <c r="Y241" s="6"/>
      <c r="Z241" s="6">
        <v>41922</v>
      </c>
      <c r="AA241" s="6"/>
      <c r="AB241" s="6"/>
      <c r="AC241" s="6">
        <v>41941</v>
      </c>
      <c r="AD241" s="6"/>
      <c r="AE241" s="6"/>
      <c r="AF241" s="6">
        <v>41985</v>
      </c>
      <c r="AG241" s="6"/>
      <c r="AH241" s="6"/>
      <c r="AI241" s="6"/>
      <c r="AJ241" s="6"/>
      <c r="AK241" s="6"/>
      <c r="AL241" s="6"/>
      <c r="AM241" s="6"/>
      <c r="AN241" s="6"/>
      <c r="AO241" s="6">
        <v>42205</v>
      </c>
      <c r="AP241" s="6"/>
      <c r="AQ241" s="6"/>
      <c r="AR241" s="6">
        <v>42284</v>
      </c>
      <c r="AS241" s="6"/>
      <c r="AT241" s="6"/>
      <c r="AU241" s="6"/>
      <c r="AV241" s="6">
        <v>42286</v>
      </c>
      <c r="AW241" s="6"/>
      <c r="AX241" s="6"/>
      <c r="AY241" s="6"/>
      <c r="AZ241" s="6">
        <v>42178</v>
      </c>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c r="FZ241" s="6"/>
      <c r="GA241" s="6"/>
      <c r="GB241" s="6"/>
      <c r="GC241" s="6"/>
      <c r="GD241" s="6"/>
      <c r="GE241" s="6"/>
      <c r="GF241" s="6"/>
      <c r="GG241" s="6"/>
      <c r="GH241" s="6"/>
      <c r="GI241" s="6"/>
      <c r="GJ241" s="6"/>
      <c r="GK241" s="6"/>
      <c r="GL241" s="6"/>
      <c r="GM241" s="6"/>
      <c r="GN241" s="6"/>
      <c r="GO241" s="6"/>
      <c r="GP241" s="6"/>
      <c r="GQ241" s="6"/>
      <c r="GR241" s="6"/>
      <c r="GS241" s="6"/>
      <c r="GT241" s="6"/>
      <c r="GU241" s="6"/>
      <c r="GV241" s="6"/>
      <c r="GW241" s="6"/>
      <c r="GX241" s="6"/>
      <c r="GY241" s="6"/>
      <c r="GZ241" s="6"/>
      <c r="HA241" s="6"/>
      <c r="HB241" s="6"/>
      <c r="HC241" s="6"/>
      <c r="HD241" s="6"/>
      <c r="HE241" s="6"/>
      <c r="HF241" s="6"/>
      <c r="HG241" s="6"/>
      <c r="HH241" s="6"/>
    </row>
    <row r="242" spans="1:216" x14ac:dyDescent="0.3">
      <c r="A242" s="8" t="str">
        <f>HYPERLINK("https://hpr-rps.hres.ca/reg-content/summary-basis-decision-detailTwo.php?lang=en&amp;linkID=SBD00241", "Plegridy")</f>
        <v>Plegridy</v>
      </c>
      <c r="B242" s="6" t="s">
        <v>676</v>
      </c>
      <c r="C242" s="6" t="s">
        <v>677</v>
      </c>
      <c r="D242" s="6" t="s">
        <v>678</v>
      </c>
      <c r="E242" s="6">
        <v>41437</v>
      </c>
      <c r="F242" s="6"/>
      <c r="G242" s="6"/>
      <c r="H242" s="6">
        <v>41486</v>
      </c>
      <c r="I242" s="6"/>
      <c r="J242" s="6"/>
      <c r="K242" s="6"/>
      <c r="L242" s="6"/>
      <c r="M242" s="6"/>
      <c r="N242" s="6"/>
      <c r="O242" s="6"/>
      <c r="P242" s="6"/>
      <c r="Q242" s="6"/>
      <c r="R242" s="6"/>
      <c r="S242" s="6"/>
      <c r="T242" s="6"/>
      <c r="U242" s="6"/>
      <c r="V242" s="6"/>
      <c r="W242" s="6"/>
      <c r="X242" s="6"/>
      <c r="Y242" s="6"/>
      <c r="Z242" s="6"/>
      <c r="AA242" s="6"/>
      <c r="AB242" s="6"/>
      <c r="AC242" s="6"/>
      <c r="AD242" s="6"/>
      <c r="AE242" s="6"/>
      <c r="AF242" s="6">
        <v>41537</v>
      </c>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v>41837</v>
      </c>
      <c r="BQ242" s="6"/>
      <c r="BR242" s="6"/>
      <c r="BS242" s="6"/>
      <c r="BT242" s="6"/>
      <c r="BU242" s="6"/>
      <c r="BV242" s="6"/>
      <c r="BW242" s="6"/>
      <c r="BX242" s="6"/>
      <c r="BY242" s="6">
        <v>41890</v>
      </c>
      <c r="BZ242" s="6"/>
      <c r="CA242" s="6"/>
      <c r="CB242" s="6"/>
      <c r="CC242" s="6"/>
      <c r="CD242" s="6"/>
      <c r="CE242" s="6"/>
      <c r="CF242" s="6"/>
      <c r="CG242" s="6"/>
      <c r="CH242" s="6"/>
      <c r="CI242" s="6"/>
      <c r="CJ242" s="6"/>
      <c r="CK242" s="6"/>
      <c r="CL242" s="6"/>
      <c r="CM242" s="6"/>
      <c r="CN242" s="6"/>
      <c r="CO242" s="6"/>
      <c r="CP242" s="6"/>
      <c r="CQ242" s="6"/>
      <c r="CR242" s="6">
        <v>41926</v>
      </c>
      <c r="CS242" s="6"/>
      <c r="CT242" s="6"/>
      <c r="CU242" s="6"/>
      <c r="CV242" s="6"/>
      <c r="CW242" s="6"/>
      <c r="CX242" s="6"/>
      <c r="CY242" s="6"/>
      <c r="CZ242" s="6"/>
      <c r="DA242" s="6">
        <v>41652</v>
      </c>
      <c r="DB242" s="6"/>
      <c r="DC242" s="6"/>
      <c r="DD242" s="6">
        <v>42222</v>
      </c>
      <c r="DE242" s="6"/>
      <c r="DF242" s="6"/>
      <c r="DG242" s="6"/>
      <c r="DH242" s="6">
        <v>42145</v>
      </c>
      <c r="DI242" s="6"/>
      <c r="DJ242" s="6"/>
      <c r="DK242" s="6"/>
      <c r="DL242" s="6">
        <v>42226</v>
      </c>
      <c r="DM242" s="6"/>
      <c r="DN242" s="6"/>
      <c r="DO242" s="6"/>
      <c r="DP242" s="6"/>
      <c r="DQ242" s="6"/>
      <c r="DR242" s="6"/>
      <c r="DS242" s="6"/>
      <c r="DT242" s="6"/>
      <c r="DU242" s="6"/>
      <c r="DV242" s="6"/>
      <c r="DW242" s="6"/>
      <c r="DX242" s="6"/>
      <c r="DY242" s="6">
        <v>42226</v>
      </c>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c r="FZ242" s="6"/>
      <c r="GA242" s="6"/>
      <c r="GB242" s="6"/>
      <c r="GC242" s="6"/>
      <c r="GD242" s="6"/>
      <c r="GE242" s="6"/>
      <c r="GF242" s="6"/>
      <c r="GG242" s="6"/>
      <c r="GH242" s="6"/>
      <c r="GI242" s="6"/>
      <c r="GJ242" s="6"/>
      <c r="GK242" s="6"/>
      <c r="GL242" s="6"/>
      <c r="GM242" s="6"/>
      <c r="GN242" s="6"/>
      <c r="GO242" s="6"/>
      <c r="GP242" s="6"/>
      <c r="GQ242" s="6"/>
      <c r="GR242" s="6"/>
      <c r="GS242" s="6"/>
      <c r="GT242" s="6"/>
      <c r="GU242" s="6"/>
      <c r="GV242" s="6"/>
      <c r="GW242" s="6"/>
      <c r="GX242" s="6"/>
      <c r="GY242" s="6"/>
      <c r="GZ242" s="6"/>
      <c r="HA242" s="6"/>
      <c r="HB242" s="6"/>
      <c r="HC242" s="6"/>
      <c r="HD242" s="6"/>
      <c r="HE242" s="6"/>
      <c r="HF242" s="6"/>
      <c r="HG242" s="6"/>
      <c r="HH242" s="6"/>
    </row>
    <row r="243" spans="1:216" x14ac:dyDescent="0.3">
      <c r="A243" s="8" t="str">
        <f>HYPERLINK("https://hpr-rps.hres.ca/reg-content/summary-basis-decision-detailTwo.php?lang=en&amp;linkID=SBD00242", "Repatha")</f>
        <v>Repatha</v>
      </c>
      <c r="B243" s="6" t="s">
        <v>679</v>
      </c>
      <c r="C243" s="6" t="s">
        <v>289</v>
      </c>
      <c r="D243" s="6" t="s">
        <v>680</v>
      </c>
      <c r="E243" s="6">
        <v>41682</v>
      </c>
      <c r="F243" s="6"/>
      <c r="G243" s="6"/>
      <c r="H243" s="6">
        <v>41907</v>
      </c>
      <c r="I243" s="6"/>
      <c r="J243" s="6"/>
      <c r="K243" s="6"/>
      <c r="L243" s="6"/>
      <c r="M243" s="6"/>
      <c r="N243" s="6"/>
      <c r="O243" s="6"/>
      <c r="P243" s="6"/>
      <c r="Q243" s="6"/>
      <c r="R243" s="6"/>
      <c r="S243" s="6"/>
      <c r="T243" s="6"/>
      <c r="U243" s="6"/>
      <c r="V243" s="6"/>
      <c r="W243" s="6"/>
      <c r="X243" s="6"/>
      <c r="Y243" s="6"/>
      <c r="Z243" s="6"/>
      <c r="AA243" s="6"/>
      <c r="AB243" s="6"/>
      <c r="AC243" s="6"/>
      <c r="AD243" s="6"/>
      <c r="AE243" s="6"/>
      <c r="AF243" s="6">
        <v>41957</v>
      </c>
      <c r="AG243" s="6"/>
      <c r="AH243" s="6"/>
      <c r="AI243" s="6"/>
      <c r="AJ243" s="6"/>
      <c r="AK243" s="6"/>
      <c r="AL243" s="6"/>
      <c r="AM243" s="6"/>
      <c r="AN243" s="6"/>
      <c r="AO243" s="6"/>
      <c r="AP243" s="6"/>
      <c r="AQ243" s="6"/>
      <c r="AR243" s="6">
        <v>42244</v>
      </c>
      <c r="AS243" s="6"/>
      <c r="AT243" s="6"/>
      <c r="AU243" s="6"/>
      <c r="AV243" s="6">
        <v>42256</v>
      </c>
      <c r="AW243" s="6"/>
      <c r="AX243" s="6"/>
      <c r="AY243" s="6"/>
      <c r="AZ243" s="6">
        <v>42257</v>
      </c>
      <c r="BA243" s="6"/>
      <c r="BB243" s="6"/>
      <c r="BC243" s="6">
        <v>42115</v>
      </c>
      <c r="BD243" s="6"/>
      <c r="BE243" s="6"/>
      <c r="BF243" s="6"/>
      <c r="BG243" s="6"/>
      <c r="BH243" s="6"/>
      <c r="BI243" s="6"/>
      <c r="BJ243" s="6"/>
      <c r="BK243" s="6"/>
      <c r="BL243" s="6"/>
      <c r="BM243" s="6">
        <v>42257</v>
      </c>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c r="FZ243" s="6"/>
      <c r="GA243" s="6"/>
      <c r="GB243" s="6"/>
      <c r="GC243" s="6"/>
      <c r="GD243" s="6"/>
      <c r="GE243" s="6"/>
      <c r="GF243" s="6"/>
      <c r="GG243" s="6"/>
      <c r="GH243" s="6"/>
      <c r="GI243" s="6"/>
      <c r="GJ243" s="6"/>
      <c r="GK243" s="6"/>
      <c r="GL243" s="6"/>
      <c r="GM243" s="6"/>
      <c r="GN243" s="6"/>
      <c r="GO243" s="6"/>
      <c r="GP243" s="6"/>
      <c r="GQ243" s="6"/>
      <c r="GR243" s="6"/>
      <c r="GS243" s="6"/>
      <c r="GT243" s="6"/>
      <c r="GU243" s="6"/>
      <c r="GV243" s="6"/>
      <c r="GW243" s="6"/>
      <c r="GX243" s="6"/>
      <c r="GY243" s="6"/>
      <c r="GZ243" s="6"/>
      <c r="HA243" s="6"/>
      <c r="HB243" s="6"/>
      <c r="HC243" s="6"/>
      <c r="HD243" s="6"/>
      <c r="HE243" s="6"/>
      <c r="HF243" s="6"/>
      <c r="HG243" s="6"/>
      <c r="HH243" s="6"/>
    </row>
    <row r="244" spans="1:216" x14ac:dyDescent="0.3">
      <c r="A244" s="8" t="str">
        <f>HYPERLINK("https://hpr-rps.hres.ca/reg-content/summary-basis-decision-detailTwo.php?lang=en&amp;linkID=SBD00243", "Saflutan")</f>
        <v>Saflutan</v>
      </c>
      <c r="B244" s="6" t="s">
        <v>681</v>
      </c>
      <c r="C244" s="6" t="s">
        <v>418</v>
      </c>
      <c r="D244" s="6" t="s">
        <v>682</v>
      </c>
      <c r="E244" s="6">
        <v>41682</v>
      </c>
      <c r="F244" s="6"/>
      <c r="G244" s="6"/>
      <c r="H244" s="6">
        <v>41907</v>
      </c>
      <c r="I244" s="6"/>
      <c r="J244" s="6"/>
      <c r="K244" s="6"/>
      <c r="L244" s="6"/>
      <c r="M244" s="6"/>
      <c r="N244" s="6"/>
      <c r="O244" s="6"/>
      <c r="P244" s="6"/>
      <c r="Q244" s="6"/>
      <c r="R244" s="6"/>
      <c r="S244" s="6"/>
      <c r="T244" s="6"/>
      <c r="U244" s="6"/>
      <c r="V244" s="6"/>
      <c r="W244" s="6"/>
      <c r="X244" s="6"/>
      <c r="Y244" s="6"/>
      <c r="Z244" s="6"/>
      <c r="AA244" s="6"/>
      <c r="AB244" s="6"/>
      <c r="AC244" s="6"/>
      <c r="AD244" s="6"/>
      <c r="AE244" s="6"/>
      <c r="AF244" s="6">
        <v>41957</v>
      </c>
      <c r="AG244" s="6"/>
      <c r="AH244" s="6"/>
      <c r="AI244" s="6"/>
      <c r="AJ244" s="6"/>
      <c r="AK244" s="6"/>
      <c r="AL244" s="6"/>
      <c r="AM244" s="6"/>
      <c r="AN244" s="6"/>
      <c r="AO244" s="6"/>
      <c r="AP244" s="6"/>
      <c r="AQ244" s="6"/>
      <c r="AR244" s="6">
        <v>42244</v>
      </c>
      <c r="AS244" s="6"/>
      <c r="AT244" s="6"/>
      <c r="AU244" s="6"/>
      <c r="AV244" s="6">
        <v>42256</v>
      </c>
      <c r="AW244" s="6"/>
      <c r="AX244" s="6"/>
      <c r="AY244" s="6"/>
      <c r="AZ244" s="6">
        <v>42257</v>
      </c>
      <c r="BA244" s="6"/>
      <c r="BB244" s="6"/>
      <c r="BC244" s="6">
        <v>42115</v>
      </c>
      <c r="BD244" s="6"/>
      <c r="BE244" s="6"/>
      <c r="BF244" s="6"/>
      <c r="BG244" s="6"/>
      <c r="BH244" s="6"/>
      <c r="BI244" s="6"/>
      <c r="BJ244" s="6"/>
      <c r="BK244" s="6"/>
      <c r="BL244" s="6"/>
      <c r="BM244" s="6">
        <v>42257</v>
      </c>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c r="FZ244" s="6"/>
      <c r="GA244" s="6"/>
      <c r="GB244" s="6"/>
      <c r="GC244" s="6"/>
      <c r="GD244" s="6"/>
      <c r="GE244" s="6"/>
      <c r="GF244" s="6"/>
      <c r="GG244" s="6"/>
      <c r="GH244" s="6"/>
      <c r="GI244" s="6"/>
      <c r="GJ244" s="6"/>
      <c r="GK244" s="6"/>
      <c r="GL244" s="6"/>
      <c r="GM244" s="6"/>
      <c r="GN244" s="6"/>
      <c r="GO244" s="6"/>
      <c r="GP244" s="6"/>
      <c r="GQ244" s="6"/>
      <c r="GR244" s="6"/>
      <c r="GS244" s="6"/>
      <c r="GT244" s="6"/>
      <c r="GU244" s="6"/>
      <c r="GV244" s="6"/>
      <c r="GW244" s="6"/>
      <c r="GX244" s="6"/>
      <c r="GY244" s="6"/>
      <c r="GZ244" s="6"/>
      <c r="HA244" s="6"/>
      <c r="HB244" s="6"/>
      <c r="HC244" s="6"/>
      <c r="HD244" s="6"/>
      <c r="HE244" s="6"/>
      <c r="HF244" s="6"/>
      <c r="HG244" s="6"/>
      <c r="HH244" s="6"/>
    </row>
    <row r="245" spans="1:216" x14ac:dyDescent="0.3">
      <c r="A245" s="8" t="str">
        <f>HYPERLINK("https://hpr-rps.hres.ca/reg-content/summary-basis-decision-detailTwo.php?lang=en&amp;linkID=SBD00246", "Viibryd")</f>
        <v>Viibryd</v>
      </c>
      <c r="B245" s="6" t="s">
        <v>683</v>
      </c>
      <c r="C245" s="6" t="s">
        <v>516</v>
      </c>
      <c r="D245" s="6" t="s">
        <v>684</v>
      </c>
      <c r="E245" s="6">
        <v>41136</v>
      </c>
      <c r="F245" s="6"/>
      <c r="G245" s="6"/>
      <c r="H245" s="6">
        <v>41849</v>
      </c>
      <c r="I245" s="6"/>
      <c r="J245" s="6"/>
      <c r="K245" s="6"/>
      <c r="L245" s="6"/>
      <c r="M245" s="6"/>
      <c r="N245" s="6"/>
      <c r="O245" s="6"/>
      <c r="P245" s="6"/>
      <c r="Q245" s="6"/>
      <c r="R245" s="6"/>
      <c r="S245" s="6"/>
      <c r="T245" s="6"/>
      <c r="U245" s="6"/>
      <c r="V245" s="6"/>
      <c r="W245" s="6"/>
      <c r="X245" s="6"/>
      <c r="Y245" s="6"/>
      <c r="Z245" s="6"/>
      <c r="AA245" s="6"/>
      <c r="AB245" s="6"/>
      <c r="AC245" s="6"/>
      <c r="AD245" s="6"/>
      <c r="AE245" s="6"/>
      <c r="AF245" s="6">
        <v>41901</v>
      </c>
      <c r="AG245" s="6"/>
      <c r="AH245" s="6"/>
      <c r="AI245" s="6"/>
      <c r="AJ245" s="6"/>
      <c r="AK245" s="6"/>
      <c r="AL245" s="6"/>
      <c r="AM245" s="6"/>
      <c r="AN245" s="6"/>
      <c r="AO245" s="6"/>
      <c r="AP245" s="6"/>
      <c r="AQ245" s="6"/>
      <c r="AR245" s="6">
        <v>42200</v>
      </c>
      <c r="AS245" s="6">
        <v>42122</v>
      </c>
      <c r="AT245" s="6"/>
      <c r="AU245" s="6"/>
      <c r="AV245" s="6">
        <v>42200</v>
      </c>
      <c r="AW245" s="6"/>
      <c r="AX245" s="6"/>
      <c r="AY245" s="6"/>
      <c r="AZ245" s="6">
        <v>42200</v>
      </c>
      <c r="BA245" s="6"/>
      <c r="BB245" s="6"/>
      <c r="BC245" s="6"/>
      <c r="BD245" s="6"/>
      <c r="BE245" s="6"/>
      <c r="BF245" s="6"/>
      <c r="BG245" s="6"/>
      <c r="BH245" s="6"/>
      <c r="BI245" s="6"/>
      <c r="BJ245" s="6"/>
      <c r="BK245" s="6"/>
      <c r="BL245" s="6"/>
      <c r="BM245" s="6">
        <v>42201</v>
      </c>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c r="FZ245" s="6"/>
      <c r="GA245" s="6"/>
      <c r="GB245" s="6"/>
      <c r="GC245" s="6"/>
      <c r="GD245" s="6"/>
      <c r="GE245" s="6"/>
      <c r="GF245" s="6"/>
      <c r="GG245" s="6"/>
      <c r="GH245" s="6"/>
      <c r="GI245" s="6"/>
      <c r="GJ245" s="6"/>
      <c r="GK245" s="6"/>
      <c r="GL245" s="6"/>
      <c r="GM245" s="6"/>
      <c r="GN245" s="6"/>
      <c r="GO245" s="6"/>
      <c r="GP245" s="6"/>
      <c r="GQ245" s="6"/>
      <c r="GR245" s="6"/>
      <c r="GS245" s="6"/>
      <c r="GT245" s="6"/>
      <c r="GU245" s="6"/>
      <c r="GV245" s="6"/>
      <c r="GW245" s="6"/>
      <c r="GX245" s="6"/>
      <c r="GY245" s="6"/>
      <c r="GZ245" s="6"/>
      <c r="HA245" s="6"/>
      <c r="HB245" s="6"/>
      <c r="HC245" s="6"/>
      <c r="HD245" s="6"/>
      <c r="HE245" s="6"/>
      <c r="HF245" s="6"/>
      <c r="HG245" s="6"/>
      <c r="HH245" s="6"/>
    </row>
    <row r="246" spans="1:216" x14ac:dyDescent="0.3">
      <c r="A246" s="8" t="str">
        <f>HYPERLINK("https://hpr-rps.hres.ca/reg-content/summary-basis-decision-detailTwo.php?lang=en&amp;linkID=SBD00247", "Zerbaxa")</f>
        <v>Zerbaxa</v>
      </c>
      <c r="B246" s="6" t="s">
        <v>685</v>
      </c>
      <c r="C246" s="6" t="s">
        <v>418</v>
      </c>
      <c r="D246" s="6" t="s">
        <v>686</v>
      </c>
      <c r="E246" s="6">
        <v>41808</v>
      </c>
      <c r="F246" s="6"/>
      <c r="G246" s="6"/>
      <c r="H246" s="6">
        <v>41897</v>
      </c>
      <c r="I246" s="6"/>
      <c r="J246" s="6"/>
      <c r="K246" s="6"/>
      <c r="L246" s="6"/>
      <c r="M246" s="6"/>
      <c r="N246" s="6"/>
      <c r="O246" s="6"/>
      <c r="P246" s="6"/>
      <c r="Q246" s="6"/>
      <c r="R246" s="6"/>
      <c r="S246" s="6"/>
      <c r="T246" s="6"/>
      <c r="U246" s="6"/>
      <c r="V246" s="6"/>
      <c r="W246" s="6"/>
      <c r="X246" s="6"/>
      <c r="Y246" s="6"/>
      <c r="Z246" s="6">
        <v>41950</v>
      </c>
      <c r="AA246" s="6"/>
      <c r="AB246" s="6"/>
      <c r="AC246" s="6">
        <v>41961</v>
      </c>
      <c r="AD246" s="6"/>
      <c r="AE246" s="6"/>
      <c r="AF246" s="6">
        <v>41977</v>
      </c>
      <c r="AG246" s="6"/>
      <c r="AH246" s="6"/>
      <c r="AI246" s="6"/>
      <c r="AJ246" s="6"/>
      <c r="AK246" s="6"/>
      <c r="AL246" s="6"/>
      <c r="AM246" s="6"/>
      <c r="AN246" s="6"/>
      <c r="AO246" s="6"/>
      <c r="AP246" s="6"/>
      <c r="AQ246" s="6"/>
      <c r="AR246" s="6">
        <v>42277</v>
      </c>
      <c r="AS246" s="6"/>
      <c r="AT246" s="6"/>
      <c r="AU246" s="6"/>
      <c r="AV246" s="6">
        <v>42277</v>
      </c>
      <c r="AW246" s="6"/>
      <c r="AX246" s="6"/>
      <c r="AY246" s="6"/>
      <c r="AZ246" s="6">
        <v>42277</v>
      </c>
      <c r="BA246" s="6"/>
      <c r="BB246" s="6"/>
      <c r="BC246" s="6"/>
      <c r="BD246" s="6"/>
      <c r="BE246" s="6"/>
      <c r="BF246" s="6"/>
      <c r="BG246" s="6"/>
      <c r="BH246" s="6"/>
      <c r="BI246" s="6"/>
      <c r="BJ246" s="6"/>
      <c r="BK246" s="6"/>
      <c r="BL246" s="6"/>
      <c r="BM246" s="6">
        <v>42277</v>
      </c>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c r="FZ246" s="6"/>
      <c r="GA246" s="6"/>
      <c r="GB246" s="6"/>
      <c r="GC246" s="6"/>
      <c r="GD246" s="6"/>
      <c r="GE246" s="6"/>
      <c r="GF246" s="6"/>
      <c r="GG246" s="6"/>
      <c r="GH246" s="6"/>
      <c r="GI246" s="6"/>
      <c r="GJ246" s="6"/>
      <c r="GK246" s="6"/>
      <c r="GL246" s="6"/>
      <c r="GM246" s="6"/>
      <c r="GN246" s="6"/>
      <c r="GO246" s="6"/>
      <c r="GP246" s="6"/>
      <c r="GQ246" s="6"/>
      <c r="GR246" s="6"/>
      <c r="GS246" s="6"/>
      <c r="GT246" s="6"/>
      <c r="GU246" s="6"/>
      <c r="GV246" s="6"/>
      <c r="GW246" s="6"/>
      <c r="GX246" s="6"/>
      <c r="GY246" s="6"/>
      <c r="GZ246" s="6"/>
      <c r="HA246" s="6"/>
      <c r="HB246" s="6"/>
      <c r="HC246" s="6"/>
      <c r="HD246" s="6"/>
      <c r="HE246" s="6"/>
      <c r="HF246" s="6"/>
      <c r="HG246" s="6"/>
      <c r="HH246" s="6"/>
    </row>
    <row r="247" spans="1:216" x14ac:dyDescent="0.3">
      <c r="A247" s="8" t="str">
        <f>HYPERLINK("https://hpr-rps.hres.ca/reg-content/summary-basis-decision-detailTwo.php?lang=en&amp;linkID=SBD00248", "Giotrif")</f>
        <v>Giotrif</v>
      </c>
      <c r="B247" s="6" t="s">
        <v>687</v>
      </c>
      <c r="C247" s="6" t="s">
        <v>105</v>
      </c>
      <c r="D247" s="6" t="s">
        <v>688</v>
      </c>
      <c r="E247" s="6">
        <v>41808</v>
      </c>
      <c r="F247" s="6"/>
      <c r="G247" s="6"/>
      <c r="H247" s="6">
        <v>41897</v>
      </c>
      <c r="I247" s="6"/>
      <c r="J247" s="6"/>
      <c r="K247" s="6"/>
      <c r="L247" s="6"/>
      <c r="M247" s="6"/>
      <c r="N247" s="6"/>
      <c r="O247" s="6"/>
      <c r="P247" s="6"/>
      <c r="Q247" s="6"/>
      <c r="R247" s="6"/>
      <c r="S247" s="6"/>
      <c r="T247" s="6"/>
      <c r="U247" s="6"/>
      <c r="V247" s="6"/>
      <c r="W247" s="6"/>
      <c r="X247" s="6"/>
      <c r="Y247" s="6"/>
      <c r="Z247" s="6">
        <v>41950</v>
      </c>
      <c r="AA247" s="6"/>
      <c r="AB247" s="6"/>
      <c r="AC247" s="6">
        <v>41961</v>
      </c>
      <c r="AD247" s="6"/>
      <c r="AE247" s="6"/>
      <c r="AF247" s="6">
        <v>41977</v>
      </c>
      <c r="AG247" s="6"/>
      <c r="AH247" s="6"/>
      <c r="AI247" s="6"/>
      <c r="AJ247" s="6"/>
      <c r="AK247" s="6"/>
      <c r="AL247" s="6"/>
      <c r="AM247" s="6"/>
      <c r="AN247" s="6"/>
      <c r="AO247" s="6"/>
      <c r="AP247" s="6"/>
      <c r="AQ247" s="6"/>
      <c r="AR247" s="6">
        <v>42277</v>
      </c>
      <c r="AS247" s="6"/>
      <c r="AT247" s="6"/>
      <c r="AU247" s="6"/>
      <c r="AV247" s="6">
        <v>42277</v>
      </c>
      <c r="AW247" s="6"/>
      <c r="AX247" s="6"/>
      <c r="AY247" s="6"/>
      <c r="AZ247" s="6">
        <v>42277</v>
      </c>
      <c r="BA247" s="6"/>
      <c r="BB247" s="6"/>
      <c r="BC247" s="6"/>
      <c r="BD247" s="6"/>
      <c r="BE247" s="6"/>
      <c r="BF247" s="6"/>
      <c r="BG247" s="6"/>
      <c r="BH247" s="6"/>
      <c r="BI247" s="6"/>
      <c r="BJ247" s="6"/>
      <c r="BK247" s="6"/>
      <c r="BL247" s="6"/>
      <c r="BM247" s="6">
        <v>42277</v>
      </c>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c r="FZ247" s="6"/>
      <c r="GA247" s="6"/>
      <c r="GB247" s="6"/>
      <c r="GC247" s="6"/>
      <c r="GD247" s="6"/>
      <c r="GE247" s="6"/>
      <c r="GF247" s="6"/>
      <c r="GG247" s="6"/>
      <c r="GH247" s="6"/>
      <c r="GI247" s="6"/>
      <c r="GJ247" s="6"/>
      <c r="GK247" s="6"/>
      <c r="GL247" s="6"/>
      <c r="GM247" s="6"/>
      <c r="GN247" s="6"/>
      <c r="GO247" s="6"/>
      <c r="GP247" s="6"/>
      <c r="GQ247" s="6"/>
      <c r="GR247" s="6"/>
      <c r="GS247" s="6"/>
      <c r="GT247" s="6"/>
      <c r="GU247" s="6"/>
      <c r="GV247" s="6"/>
      <c r="GW247" s="6"/>
      <c r="GX247" s="6"/>
      <c r="GY247" s="6"/>
      <c r="GZ247" s="6"/>
      <c r="HA247" s="6"/>
      <c r="HB247" s="6"/>
      <c r="HC247" s="6"/>
      <c r="HD247" s="6"/>
      <c r="HE247" s="6"/>
      <c r="HF247" s="6"/>
      <c r="HG247" s="6"/>
      <c r="HH247" s="6"/>
    </row>
    <row r="248" spans="1:216" x14ac:dyDescent="0.3">
      <c r="A248" s="8" t="str">
        <f>HYPERLINK("https://hpr-rps.hres.ca/reg-content/summary-basis-decision-detailTwo.php?lang=en&amp;linkID=SBD00249", "Harvoni")</f>
        <v>Harvoni</v>
      </c>
      <c r="B248" s="6" t="s">
        <v>689</v>
      </c>
      <c r="C248" s="6" t="s">
        <v>134</v>
      </c>
      <c r="D248" s="6" t="s">
        <v>690</v>
      </c>
      <c r="E248" s="6">
        <v>41677</v>
      </c>
      <c r="F248" s="6"/>
      <c r="G248" s="6"/>
      <c r="H248" s="6"/>
      <c r="I248" s="6"/>
      <c r="J248" s="6"/>
      <c r="K248" s="6"/>
      <c r="L248" s="6"/>
      <c r="M248" s="6"/>
      <c r="N248" s="6">
        <v>41683</v>
      </c>
      <c r="O248" s="6"/>
      <c r="P248" s="6"/>
      <c r="Q248" s="6"/>
      <c r="R248" s="6"/>
      <c r="S248" s="6">
        <v>41716</v>
      </c>
      <c r="T248" s="6"/>
      <c r="U248" s="6"/>
      <c r="V248" s="6">
        <v>41718</v>
      </c>
      <c r="W248" s="6"/>
      <c r="X248" s="6"/>
      <c r="Y248" s="6"/>
      <c r="Z248" s="6"/>
      <c r="AA248" s="6"/>
      <c r="AB248" s="6"/>
      <c r="AC248" s="6"/>
      <c r="AD248" s="6"/>
      <c r="AE248" s="6"/>
      <c r="AF248" s="6">
        <v>41725</v>
      </c>
      <c r="AG248" s="6"/>
      <c r="AH248" s="6"/>
      <c r="AI248" s="6"/>
      <c r="AJ248" s="6"/>
      <c r="AK248" s="6"/>
      <c r="AL248" s="6"/>
      <c r="AM248" s="6"/>
      <c r="AN248" s="6"/>
      <c r="AO248" s="6"/>
      <c r="AP248" s="6"/>
      <c r="AQ248" s="6"/>
      <c r="AR248" s="6">
        <v>41915</v>
      </c>
      <c r="AS248" s="6"/>
      <c r="AT248" s="6"/>
      <c r="AU248" s="6"/>
      <c r="AV248" s="6">
        <v>41906</v>
      </c>
      <c r="AW248" s="6"/>
      <c r="AX248" s="6"/>
      <c r="AY248" s="6"/>
      <c r="AZ248" s="6">
        <v>41922</v>
      </c>
      <c r="BA248" s="6"/>
      <c r="BB248" s="6"/>
      <c r="BC248" s="6"/>
      <c r="BD248" s="6"/>
      <c r="BE248" s="6"/>
      <c r="BF248" s="6"/>
      <c r="BG248" s="6"/>
      <c r="BH248" s="6"/>
      <c r="BI248" s="6"/>
      <c r="BJ248" s="6"/>
      <c r="BK248" s="6"/>
      <c r="BL248" s="6"/>
      <c r="BM248" s="6">
        <v>41927</v>
      </c>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c r="FZ248" s="6"/>
      <c r="GA248" s="6"/>
      <c r="GB248" s="6"/>
      <c r="GC248" s="6"/>
      <c r="GD248" s="6"/>
      <c r="GE248" s="6"/>
      <c r="GF248" s="6"/>
      <c r="GG248" s="6"/>
      <c r="GH248" s="6"/>
      <c r="GI248" s="6"/>
      <c r="GJ248" s="6"/>
      <c r="GK248" s="6"/>
      <c r="GL248" s="6"/>
      <c r="GM248" s="6"/>
      <c r="GN248" s="6"/>
      <c r="GO248" s="6"/>
      <c r="GP248" s="6"/>
      <c r="GQ248" s="6"/>
      <c r="GR248" s="6"/>
      <c r="GS248" s="6"/>
      <c r="GT248" s="6"/>
      <c r="GU248" s="6"/>
      <c r="GV248" s="6"/>
      <c r="GW248" s="6"/>
      <c r="GX248" s="6"/>
      <c r="GY248" s="6"/>
      <c r="GZ248" s="6"/>
      <c r="HA248" s="6"/>
      <c r="HB248" s="6"/>
      <c r="HC248" s="6"/>
      <c r="HD248" s="6"/>
      <c r="HE248" s="6"/>
      <c r="HF248" s="6"/>
      <c r="HG248" s="6"/>
      <c r="HH248" s="6"/>
    </row>
    <row r="249" spans="1:216" x14ac:dyDescent="0.3">
      <c r="A249" s="8" t="str">
        <f>HYPERLINK("https://hpr-rps.hres.ca/reg-content/summary-basis-decision-detailTwo.php?lang=en&amp;linkID=SBD00250", "Holkira Pak")</f>
        <v>Holkira Pak</v>
      </c>
      <c r="B249" s="6" t="s">
        <v>691</v>
      </c>
      <c r="C249" s="6" t="s">
        <v>692</v>
      </c>
      <c r="D249" s="6" t="s">
        <v>693</v>
      </c>
      <c r="E249" s="6">
        <v>41696</v>
      </c>
      <c r="F249" s="6"/>
      <c r="G249" s="6"/>
      <c r="H249" s="6"/>
      <c r="I249" s="6"/>
      <c r="J249" s="6"/>
      <c r="K249" s="6"/>
      <c r="L249" s="6"/>
      <c r="M249" s="6"/>
      <c r="N249" s="6">
        <v>41724</v>
      </c>
      <c r="O249" s="6"/>
      <c r="P249" s="6"/>
      <c r="Q249" s="6"/>
      <c r="R249" s="6"/>
      <c r="S249" s="6">
        <v>41760</v>
      </c>
      <c r="T249" s="6"/>
      <c r="U249" s="6"/>
      <c r="V249" s="6">
        <v>41772</v>
      </c>
      <c r="W249" s="6"/>
      <c r="X249" s="6"/>
      <c r="Y249" s="6"/>
      <c r="Z249" s="6"/>
      <c r="AA249" s="6"/>
      <c r="AB249" s="6"/>
      <c r="AC249" s="6"/>
      <c r="AD249" s="6"/>
      <c r="AE249" s="6"/>
      <c r="AF249" s="6">
        <v>41816</v>
      </c>
      <c r="AG249" s="6"/>
      <c r="AH249" s="6"/>
      <c r="AI249" s="6"/>
      <c r="AJ249" s="6"/>
      <c r="AK249" s="6"/>
      <c r="AL249" s="6"/>
      <c r="AM249" s="6"/>
      <c r="AN249" s="6"/>
      <c r="AO249" s="6"/>
      <c r="AP249" s="6"/>
      <c r="AQ249" s="6"/>
      <c r="AR249" s="6">
        <v>41992</v>
      </c>
      <c r="AS249" s="6"/>
      <c r="AT249" s="6"/>
      <c r="AU249" s="6"/>
      <c r="AV249" s="6">
        <v>41991</v>
      </c>
      <c r="AW249" s="6"/>
      <c r="AX249" s="6"/>
      <c r="AY249" s="6"/>
      <c r="AZ249" s="6">
        <v>41992</v>
      </c>
      <c r="BA249" s="6"/>
      <c r="BB249" s="6"/>
      <c r="BC249" s="6"/>
      <c r="BD249" s="6"/>
      <c r="BE249" s="6"/>
      <c r="BF249" s="6"/>
      <c r="BG249" s="6"/>
      <c r="BH249" s="6"/>
      <c r="BI249" s="6"/>
      <c r="BJ249" s="6"/>
      <c r="BK249" s="6"/>
      <c r="BL249" s="6"/>
      <c r="BM249" s="6">
        <v>41995</v>
      </c>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c r="FZ249" s="6"/>
      <c r="GA249" s="6"/>
      <c r="GB249" s="6"/>
      <c r="GC249" s="6"/>
      <c r="GD249" s="6"/>
      <c r="GE249" s="6"/>
      <c r="GF249" s="6"/>
      <c r="GG249" s="6"/>
      <c r="GH249" s="6"/>
      <c r="GI249" s="6"/>
      <c r="GJ249" s="6"/>
      <c r="GK249" s="6"/>
      <c r="GL249" s="6"/>
      <c r="GM249" s="6"/>
      <c r="GN249" s="6"/>
      <c r="GO249" s="6"/>
      <c r="GP249" s="6"/>
      <c r="GQ249" s="6"/>
      <c r="GR249" s="6"/>
      <c r="GS249" s="6"/>
      <c r="GT249" s="6"/>
      <c r="GU249" s="6"/>
      <c r="GV249" s="6"/>
      <c r="GW249" s="6"/>
      <c r="GX249" s="6"/>
      <c r="GY249" s="6"/>
      <c r="GZ249" s="6"/>
      <c r="HA249" s="6"/>
      <c r="HB249" s="6"/>
      <c r="HC249" s="6"/>
      <c r="HD249" s="6"/>
      <c r="HE249" s="6"/>
      <c r="HF249" s="6"/>
      <c r="HG249" s="6"/>
      <c r="HH249" s="6"/>
    </row>
    <row r="250" spans="1:216" x14ac:dyDescent="0.3">
      <c r="A250" s="8" t="str">
        <f>HYPERLINK("https://hpr-rps.hres.ca/reg-content/summary-basis-decision-detailTwo.php?lang=en&amp;linkID=SBD00251", "Iclusig")</f>
        <v>Iclusig</v>
      </c>
      <c r="B250" s="6" t="s">
        <v>694</v>
      </c>
      <c r="C250" s="6" t="s">
        <v>695</v>
      </c>
      <c r="D250" s="6" t="s">
        <v>696</v>
      </c>
      <c r="E250" s="6">
        <v>41711</v>
      </c>
      <c r="F250" s="6"/>
      <c r="G250" s="6"/>
      <c r="H250" s="6"/>
      <c r="I250" s="6"/>
      <c r="J250" s="6"/>
      <c r="K250" s="6"/>
      <c r="L250" s="6"/>
      <c r="M250" s="6"/>
      <c r="N250" s="6">
        <v>41711</v>
      </c>
      <c r="O250" s="6"/>
      <c r="P250" s="6"/>
      <c r="Q250" s="6"/>
      <c r="R250" s="6"/>
      <c r="S250" s="6">
        <v>41743</v>
      </c>
      <c r="T250" s="6"/>
      <c r="U250" s="6"/>
      <c r="V250" s="6">
        <v>41746</v>
      </c>
      <c r="W250" s="6"/>
      <c r="X250" s="6"/>
      <c r="Y250" s="6"/>
      <c r="Z250" s="6"/>
      <c r="AA250" s="6"/>
      <c r="AB250" s="6"/>
      <c r="AC250" s="6"/>
      <c r="AD250" s="6"/>
      <c r="AE250" s="6"/>
      <c r="AF250" s="6">
        <v>41780</v>
      </c>
      <c r="AG250" s="6"/>
      <c r="AH250" s="6"/>
      <c r="AI250" s="6"/>
      <c r="AJ250" s="6"/>
      <c r="AK250" s="6"/>
      <c r="AL250" s="6"/>
      <c r="AM250" s="6"/>
      <c r="AN250" s="6"/>
      <c r="AO250" s="6"/>
      <c r="AP250" s="6"/>
      <c r="AQ250" s="6"/>
      <c r="AR250" s="6">
        <v>41953</v>
      </c>
      <c r="AS250" s="6">
        <v>41873</v>
      </c>
      <c r="AT250" s="6"/>
      <c r="AU250" s="6"/>
      <c r="AV250" s="6">
        <v>41928</v>
      </c>
      <c r="AW250" s="6"/>
      <c r="AX250" s="6">
        <v>41886</v>
      </c>
      <c r="AY250" s="6"/>
      <c r="AZ250" s="6">
        <v>41960</v>
      </c>
      <c r="BA250" s="6"/>
      <c r="BB250" s="6"/>
      <c r="BC250" s="6"/>
      <c r="BD250" s="6"/>
      <c r="BE250" s="6"/>
      <c r="BF250" s="6"/>
      <c r="BG250" s="6"/>
      <c r="BH250" s="6"/>
      <c r="BI250" s="6"/>
      <c r="BJ250" s="6"/>
      <c r="BK250" s="6"/>
      <c r="BL250" s="6"/>
      <c r="BM250" s="6">
        <v>41960</v>
      </c>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row>
    <row r="251" spans="1:216" x14ac:dyDescent="0.3">
      <c r="A251" s="8" t="str">
        <f>HYPERLINK("https://hpr-rps.hres.ca/reg-content/summary-basis-decision-detailOne.php?lang=en&amp;linkID=SBD00300", "Vesicare")</f>
        <v>Vesicare</v>
      </c>
      <c r="B251" s="6" t="s">
        <v>697</v>
      </c>
      <c r="C251" s="6" t="s">
        <v>331</v>
      </c>
      <c r="D251" s="6" t="s">
        <v>698</v>
      </c>
      <c r="E251" s="6">
        <v>38327</v>
      </c>
      <c r="F251" s="6"/>
      <c r="G251" s="6"/>
      <c r="H251" s="6">
        <v>38408</v>
      </c>
      <c r="I251" s="6"/>
      <c r="J251" s="6"/>
      <c r="K251" s="6"/>
      <c r="L251" s="6"/>
      <c r="M251" s="6"/>
      <c r="N251" s="6"/>
      <c r="O251" s="6"/>
      <c r="P251" s="6"/>
      <c r="Q251" s="6"/>
      <c r="R251" s="6"/>
      <c r="S251" s="6"/>
      <c r="T251" s="6"/>
      <c r="U251" s="6"/>
      <c r="V251" s="6"/>
      <c r="W251" s="6"/>
      <c r="X251" s="6"/>
      <c r="Y251" s="6"/>
      <c r="Z251" s="6"/>
      <c r="AA251" s="6"/>
      <c r="AB251" s="6"/>
      <c r="AC251" s="6"/>
      <c r="AD251" s="6"/>
      <c r="AE251" s="6"/>
      <c r="AF251" s="6">
        <v>38469</v>
      </c>
      <c r="AG251" s="6"/>
      <c r="AH251" s="6"/>
      <c r="AI251" s="6"/>
      <c r="AJ251" s="6"/>
      <c r="AK251" s="6"/>
      <c r="AL251" s="6"/>
      <c r="AM251" s="6"/>
      <c r="AN251" s="6"/>
      <c r="AO251" s="6"/>
      <c r="AP251" s="6"/>
      <c r="AQ251" s="6"/>
      <c r="AR251" s="6">
        <v>38764</v>
      </c>
      <c r="AS251" s="6"/>
      <c r="AT251" s="6"/>
      <c r="AU251" s="6"/>
      <c r="AV251" s="6">
        <v>38749</v>
      </c>
      <c r="AW251" s="6"/>
      <c r="AX251" s="6"/>
      <c r="AY251" s="6"/>
      <c r="AZ251" s="6">
        <v>38765</v>
      </c>
      <c r="BA251" s="6"/>
      <c r="BB251" s="6"/>
      <c r="BC251" s="6"/>
      <c r="BD251" s="6"/>
      <c r="BE251" s="6"/>
      <c r="BF251" s="6"/>
      <c r="BG251" s="6"/>
      <c r="BH251" s="6"/>
      <c r="BI251" s="6"/>
      <c r="BJ251" s="6"/>
      <c r="BK251" s="6"/>
      <c r="BL251" s="6"/>
      <c r="BM251" s="6">
        <v>38768</v>
      </c>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c r="FZ251" s="6"/>
      <c r="GA251" s="6"/>
      <c r="GB251" s="6"/>
      <c r="GC251" s="6"/>
      <c r="GD251" s="6"/>
      <c r="GE251" s="6"/>
      <c r="GF251" s="6"/>
      <c r="GG251" s="6"/>
      <c r="GH251" s="6"/>
      <c r="GI251" s="6"/>
      <c r="GJ251" s="6"/>
      <c r="GK251" s="6"/>
      <c r="GL251" s="6"/>
      <c r="GM251" s="6"/>
      <c r="GN251" s="6"/>
      <c r="GO251" s="6"/>
      <c r="GP251" s="6"/>
      <c r="GQ251" s="6"/>
      <c r="GR251" s="6"/>
      <c r="GS251" s="6"/>
      <c r="GT251" s="6"/>
      <c r="GU251" s="6"/>
      <c r="GV251" s="6"/>
      <c r="GW251" s="6"/>
      <c r="GX251" s="6"/>
      <c r="GY251" s="6"/>
      <c r="GZ251" s="6"/>
      <c r="HA251" s="6"/>
      <c r="HB251" s="6"/>
      <c r="HC251" s="6"/>
      <c r="HD251" s="6"/>
      <c r="HE251" s="6"/>
      <c r="HF251" s="6"/>
      <c r="HG251" s="6"/>
      <c r="HH251" s="6"/>
    </row>
    <row r="252" spans="1:216" x14ac:dyDescent="0.3">
      <c r="A252" s="8" t="str">
        <f>HYPERLINK("https://hpr-rps.hres.ca/reg-content/summary-basis-decision-detailTwo.php?lang=en&amp;linkID=SBD00252", "Imbruvica")</f>
        <v>Imbruvica</v>
      </c>
      <c r="B252" s="6" t="s">
        <v>699</v>
      </c>
      <c r="C252" s="6" t="s">
        <v>201</v>
      </c>
      <c r="D252" s="6" t="s">
        <v>700</v>
      </c>
      <c r="E252" s="6">
        <v>41711</v>
      </c>
      <c r="F252" s="6"/>
      <c r="G252" s="6"/>
      <c r="H252" s="6"/>
      <c r="I252" s="6"/>
      <c r="J252" s="6"/>
      <c r="K252" s="6"/>
      <c r="L252" s="6"/>
      <c r="M252" s="6"/>
      <c r="N252" s="6">
        <v>41711</v>
      </c>
      <c r="O252" s="6"/>
      <c r="P252" s="6"/>
      <c r="Q252" s="6"/>
      <c r="R252" s="6"/>
      <c r="S252" s="6">
        <v>41743</v>
      </c>
      <c r="T252" s="6"/>
      <c r="U252" s="6"/>
      <c r="V252" s="6">
        <v>41746</v>
      </c>
      <c r="W252" s="6"/>
      <c r="X252" s="6"/>
      <c r="Y252" s="6"/>
      <c r="Z252" s="6"/>
      <c r="AA252" s="6"/>
      <c r="AB252" s="6"/>
      <c r="AC252" s="6"/>
      <c r="AD252" s="6"/>
      <c r="AE252" s="6"/>
      <c r="AF252" s="6">
        <v>41780</v>
      </c>
      <c r="AG252" s="6"/>
      <c r="AH252" s="6"/>
      <c r="AI252" s="6"/>
      <c r="AJ252" s="6"/>
      <c r="AK252" s="6"/>
      <c r="AL252" s="6"/>
      <c r="AM252" s="6"/>
      <c r="AN252" s="6"/>
      <c r="AO252" s="6"/>
      <c r="AP252" s="6"/>
      <c r="AQ252" s="6"/>
      <c r="AR252" s="6">
        <v>41953</v>
      </c>
      <c r="AS252" s="6">
        <v>41873</v>
      </c>
      <c r="AT252" s="6"/>
      <c r="AU252" s="6"/>
      <c r="AV252" s="6">
        <v>41928</v>
      </c>
      <c r="AW252" s="6"/>
      <c r="AX252" s="6">
        <v>41886</v>
      </c>
      <c r="AY252" s="6"/>
      <c r="AZ252" s="6">
        <v>41960</v>
      </c>
      <c r="BA252" s="6"/>
      <c r="BB252" s="6"/>
      <c r="BC252" s="6"/>
      <c r="BD252" s="6"/>
      <c r="BE252" s="6"/>
      <c r="BF252" s="6"/>
      <c r="BG252" s="6"/>
      <c r="BH252" s="6"/>
      <c r="BI252" s="6"/>
      <c r="BJ252" s="6"/>
      <c r="BK252" s="6"/>
      <c r="BL252" s="6"/>
      <c r="BM252" s="6">
        <v>41960</v>
      </c>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c r="FZ252" s="6"/>
      <c r="GA252" s="6"/>
      <c r="GB252" s="6"/>
      <c r="GC252" s="6"/>
      <c r="GD252" s="6"/>
      <c r="GE252" s="6"/>
      <c r="GF252" s="6"/>
      <c r="GG252" s="6"/>
      <c r="GH252" s="6"/>
      <c r="GI252" s="6"/>
      <c r="GJ252" s="6"/>
      <c r="GK252" s="6"/>
      <c r="GL252" s="6"/>
      <c r="GM252" s="6"/>
      <c r="GN252" s="6"/>
      <c r="GO252" s="6"/>
      <c r="GP252" s="6"/>
      <c r="GQ252" s="6"/>
      <c r="GR252" s="6"/>
      <c r="GS252" s="6"/>
      <c r="GT252" s="6"/>
      <c r="GU252" s="6"/>
      <c r="GV252" s="6"/>
      <c r="GW252" s="6"/>
      <c r="GX252" s="6"/>
      <c r="GY252" s="6"/>
      <c r="GZ252" s="6"/>
      <c r="HA252" s="6"/>
      <c r="HB252" s="6"/>
      <c r="HC252" s="6"/>
      <c r="HD252" s="6"/>
      <c r="HE252" s="6"/>
      <c r="HF252" s="6"/>
      <c r="HG252" s="6"/>
      <c r="HH252" s="6"/>
    </row>
    <row r="253" spans="1:216" x14ac:dyDescent="0.3">
      <c r="A253" s="8" t="str">
        <f>HYPERLINK("https://hpr-rps.hres.ca/reg-content/summary-basis-decision-detailTwo.php?lang=en&amp;linkID=SBD00253", "Inflectra")</f>
        <v>Inflectra</v>
      </c>
      <c r="B253" s="6" t="s">
        <v>701</v>
      </c>
      <c r="C253" s="6" t="s">
        <v>702</v>
      </c>
      <c r="D253" s="6" t="s">
        <v>703</v>
      </c>
      <c r="E253" s="6">
        <v>40830</v>
      </c>
      <c r="F253" s="6"/>
      <c r="G253" s="6"/>
      <c r="H253" s="6">
        <v>41227</v>
      </c>
      <c r="I253" s="6"/>
      <c r="J253" s="6"/>
      <c r="K253" s="6"/>
      <c r="L253" s="6"/>
      <c r="M253" s="6"/>
      <c r="N253" s="6"/>
      <c r="O253" s="6"/>
      <c r="P253" s="6"/>
      <c r="Q253" s="6"/>
      <c r="R253" s="6"/>
      <c r="S253" s="6"/>
      <c r="T253" s="6"/>
      <c r="U253" s="6"/>
      <c r="V253" s="6"/>
      <c r="W253" s="6"/>
      <c r="X253" s="6"/>
      <c r="Y253" s="6"/>
      <c r="Z253" s="6">
        <v>41288</v>
      </c>
      <c r="AA253" s="6"/>
      <c r="AB253" s="6"/>
      <c r="AC253" s="6">
        <v>41309</v>
      </c>
      <c r="AD253" s="6"/>
      <c r="AE253" s="6"/>
      <c r="AF253" s="6">
        <v>41354</v>
      </c>
      <c r="AG253" s="6"/>
      <c r="AH253" s="6"/>
      <c r="AI253" s="6"/>
      <c r="AJ253" s="6"/>
      <c r="AK253" s="6"/>
      <c r="AL253" s="6"/>
      <c r="AM253" s="6"/>
      <c r="AN253" s="6"/>
      <c r="AO253" s="6">
        <v>41603</v>
      </c>
      <c r="AP253" s="6"/>
      <c r="AQ253" s="6"/>
      <c r="AR253" s="6">
        <v>41654</v>
      </c>
      <c r="AS253" s="6"/>
      <c r="AT253" s="6"/>
      <c r="AU253" s="6"/>
      <c r="AV253" s="6">
        <v>41654</v>
      </c>
      <c r="AW253" s="6"/>
      <c r="AX253" s="6"/>
      <c r="AY253" s="6"/>
      <c r="AZ253" s="6">
        <v>41654</v>
      </c>
      <c r="BA253" s="6"/>
      <c r="BB253" s="6"/>
      <c r="BC253" s="6"/>
      <c r="BD253" s="6"/>
      <c r="BE253" s="6"/>
      <c r="BF253" s="6"/>
      <c r="BG253" s="6"/>
      <c r="BH253" s="6"/>
      <c r="BI253" s="6"/>
      <c r="BJ253" s="6"/>
      <c r="BK253" s="6"/>
      <c r="BL253" s="6"/>
      <c r="BM253" s="6">
        <v>41654</v>
      </c>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c r="FZ253" s="6"/>
      <c r="GA253" s="6"/>
      <c r="GB253" s="6"/>
      <c r="GC253" s="6"/>
      <c r="GD253" s="6"/>
      <c r="GE253" s="6"/>
      <c r="GF253" s="6"/>
      <c r="GG253" s="6"/>
      <c r="GH253" s="6"/>
      <c r="GI253" s="6"/>
      <c r="GJ253" s="6"/>
      <c r="GK253" s="6"/>
      <c r="GL253" s="6"/>
      <c r="GM253" s="6"/>
      <c r="GN253" s="6"/>
      <c r="GO253" s="6"/>
      <c r="GP253" s="6"/>
      <c r="GQ253" s="6"/>
      <c r="GR253" s="6"/>
      <c r="GS253" s="6"/>
      <c r="GT253" s="6"/>
      <c r="GU253" s="6"/>
      <c r="GV253" s="6"/>
      <c r="GW253" s="6"/>
      <c r="GX253" s="6"/>
      <c r="GY253" s="6"/>
      <c r="GZ253" s="6"/>
      <c r="HA253" s="6"/>
      <c r="HB253" s="6"/>
      <c r="HC253" s="6"/>
      <c r="HD253" s="6"/>
      <c r="HE253" s="6"/>
      <c r="HF253" s="6"/>
      <c r="HG253" s="6"/>
      <c r="HH253" s="6"/>
    </row>
    <row r="254" spans="1:216" x14ac:dyDescent="0.3">
      <c r="A254" s="8" t="str">
        <f>HYPERLINK("https://hpr-rps.hres.ca/reg-content/summary-basis-decision-detailTwo.php?lang=en&amp;linkID=SBD00254", "Intuniv XR")</f>
        <v>Intuniv XR</v>
      </c>
      <c r="B254" s="6" t="s">
        <v>704</v>
      </c>
      <c r="C254" s="6" t="s">
        <v>269</v>
      </c>
      <c r="D254" s="6" t="s">
        <v>705</v>
      </c>
      <c r="E254" s="6">
        <v>40255</v>
      </c>
      <c r="F254" s="6"/>
      <c r="G254" s="6"/>
      <c r="H254" s="6">
        <v>40834</v>
      </c>
      <c r="I254" s="6"/>
      <c r="J254" s="6"/>
      <c r="K254" s="6"/>
      <c r="L254" s="6"/>
      <c r="M254" s="6"/>
      <c r="N254" s="6"/>
      <c r="O254" s="6"/>
      <c r="P254" s="6"/>
      <c r="Q254" s="6"/>
      <c r="R254" s="6"/>
      <c r="S254" s="6"/>
      <c r="T254" s="6"/>
      <c r="U254" s="6"/>
      <c r="V254" s="6"/>
      <c r="W254" s="6"/>
      <c r="X254" s="6"/>
      <c r="Y254" s="6"/>
      <c r="Z254" s="6"/>
      <c r="AA254" s="6"/>
      <c r="AB254" s="6"/>
      <c r="AC254" s="6"/>
      <c r="AD254" s="6"/>
      <c r="AE254" s="6"/>
      <c r="AF254" s="6">
        <v>40893</v>
      </c>
      <c r="AG254" s="6"/>
      <c r="AH254" s="6"/>
      <c r="AI254" s="6"/>
      <c r="AJ254" s="6"/>
      <c r="AK254" s="6"/>
      <c r="AL254" s="6"/>
      <c r="AM254" s="6"/>
      <c r="AN254" s="6"/>
      <c r="AO254" s="6"/>
      <c r="AP254" s="6"/>
      <c r="AQ254" s="6"/>
      <c r="AR254" s="6">
        <v>41184</v>
      </c>
      <c r="AS254" s="6">
        <v>41162</v>
      </c>
      <c r="AT254" s="6"/>
      <c r="AU254" s="6"/>
      <c r="AV254" s="6">
        <v>41178</v>
      </c>
      <c r="AW254" s="6"/>
      <c r="AX254" s="6"/>
      <c r="AY254" s="6"/>
      <c r="AZ254" s="6">
        <v>41184</v>
      </c>
      <c r="BA254" s="6"/>
      <c r="BB254" s="6"/>
      <c r="BC254" s="6"/>
      <c r="BD254" s="6"/>
      <c r="BE254" s="6"/>
      <c r="BF254" s="6"/>
      <c r="BG254" s="6"/>
      <c r="BH254" s="6"/>
      <c r="BI254" s="6"/>
      <c r="BJ254" s="6"/>
      <c r="BK254" s="6"/>
      <c r="BL254" s="6"/>
      <c r="BM254" s="6"/>
      <c r="BN254" s="6"/>
      <c r="BO254" s="6"/>
      <c r="BP254" s="6"/>
      <c r="BQ254" s="6"/>
      <c r="BR254" s="6"/>
      <c r="BS254" s="6"/>
      <c r="BT254" s="6">
        <v>41185</v>
      </c>
      <c r="BU254" s="6"/>
      <c r="BV254" s="6"/>
      <c r="BW254" s="6"/>
      <c r="BX254" s="6"/>
      <c r="BY254" s="6">
        <v>41264</v>
      </c>
      <c r="BZ254" s="6"/>
      <c r="CA254" s="6"/>
      <c r="CB254" s="6"/>
      <c r="CC254" s="6"/>
      <c r="CD254" s="6"/>
      <c r="CE254" s="6"/>
      <c r="CF254" s="6"/>
      <c r="CG254" s="6"/>
      <c r="CH254" s="6"/>
      <c r="CI254" s="6"/>
      <c r="CJ254" s="6"/>
      <c r="CK254" s="6"/>
      <c r="CL254" s="6"/>
      <c r="CM254" s="6"/>
      <c r="CN254" s="6"/>
      <c r="CO254" s="6"/>
      <c r="CP254" s="6"/>
      <c r="CQ254" s="6"/>
      <c r="CR254" s="6">
        <v>41311</v>
      </c>
      <c r="CS254" s="6"/>
      <c r="CT254" s="6"/>
      <c r="CU254" s="6"/>
      <c r="CV254" s="6"/>
      <c r="CW254" s="6"/>
      <c r="CX254" s="6"/>
      <c r="CY254" s="6"/>
      <c r="CZ254" s="6"/>
      <c r="DA254" s="6"/>
      <c r="DB254" s="6"/>
      <c r="DC254" s="6"/>
      <c r="DD254" s="6">
        <v>41457</v>
      </c>
      <c r="DE254" s="6"/>
      <c r="DF254" s="6"/>
      <c r="DG254" s="6"/>
      <c r="DH254" s="6"/>
      <c r="DI254" s="6"/>
      <c r="DJ254" s="6"/>
      <c r="DK254" s="6"/>
      <c r="DL254" s="6">
        <v>41459</v>
      </c>
      <c r="DM254" s="6"/>
      <c r="DN254" s="6"/>
      <c r="DO254" s="6"/>
      <c r="DP254" s="6"/>
      <c r="DQ254" s="6"/>
      <c r="DR254" s="6"/>
      <c r="DS254" s="6"/>
      <c r="DT254" s="6"/>
      <c r="DU254" s="6"/>
      <c r="DV254" s="6"/>
      <c r="DW254" s="6"/>
      <c r="DX254" s="6"/>
      <c r="DY254" s="6">
        <v>41460</v>
      </c>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c r="FZ254" s="6"/>
      <c r="GA254" s="6"/>
      <c r="GB254" s="6"/>
      <c r="GC254" s="6"/>
      <c r="GD254" s="6"/>
      <c r="GE254" s="6"/>
      <c r="GF254" s="6"/>
      <c r="GG254" s="6"/>
      <c r="GH254" s="6"/>
      <c r="GI254" s="6"/>
      <c r="GJ254" s="6"/>
      <c r="GK254" s="6"/>
      <c r="GL254" s="6"/>
      <c r="GM254" s="6"/>
      <c r="GN254" s="6"/>
      <c r="GO254" s="6"/>
      <c r="GP254" s="6"/>
      <c r="GQ254" s="6"/>
      <c r="GR254" s="6"/>
      <c r="GS254" s="6"/>
      <c r="GT254" s="6"/>
      <c r="GU254" s="6"/>
      <c r="GV254" s="6"/>
      <c r="GW254" s="6"/>
      <c r="GX254" s="6"/>
      <c r="GY254" s="6"/>
      <c r="GZ254" s="6"/>
      <c r="HA254" s="6"/>
      <c r="HB254" s="6"/>
      <c r="HC254" s="6"/>
      <c r="HD254" s="6"/>
      <c r="HE254" s="6"/>
      <c r="HF254" s="6"/>
      <c r="HG254" s="6"/>
      <c r="HH254" s="6"/>
    </row>
    <row r="255" spans="1:216" x14ac:dyDescent="0.3">
      <c r="A255" s="8" t="str">
        <f>HYPERLINK("https://hpr-rps.hres.ca/reg-content/summary-basis-decision-detailTwo.php?lang=en&amp;linkID=SBD00255", "Invokana")</f>
        <v>Invokana</v>
      </c>
      <c r="B255" s="6" t="s">
        <v>706</v>
      </c>
      <c r="C255" s="6" t="s">
        <v>201</v>
      </c>
      <c r="D255" s="6" t="s">
        <v>707</v>
      </c>
      <c r="E255" s="6">
        <v>38327</v>
      </c>
      <c r="F255" s="6"/>
      <c r="G255" s="6"/>
      <c r="H255" s="6">
        <v>38408</v>
      </c>
      <c r="I255" s="6"/>
      <c r="J255" s="6"/>
      <c r="K255" s="6"/>
      <c r="L255" s="6"/>
      <c r="M255" s="6"/>
      <c r="N255" s="6"/>
      <c r="O255" s="6"/>
      <c r="P255" s="6"/>
      <c r="Q255" s="6"/>
      <c r="R255" s="6"/>
      <c r="S255" s="6"/>
      <c r="T255" s="6"/>
      <c r="U255" s="6"/>
      <c r="V255" s="6"/>
      <c r="W255" s="6"/>
      <c r="X255" s="6"/>
      <c r="Y255" s="6"/>
      <c r="Z255" s="6"/>
      <c r="AA255" s="6"/>
      <c r="AB255" s="6"/>
      <c r="AC255" s="6"/>
      <c r="AD255" s="6"/>
      <c r="AE255" s="6"/>
      <c r="AF255" s="6">
        <v>38469</v>
      </c>
      <c r="AG255" s="6"/>
      <c r="AH255" s="6"/>
      <c r="AI255" s="6"/>
      <c r="AJ255" s="6"/>
      <c r="AK255" s="6"/>
      <c r="AL255" s="6"/>
      <c r="AM255" s="6"/>
      <c r="AN255" s="6"/>
      <c r="AO255" s="6"/>
      <c r="AP255" s="6"/>
      <c r="AQ255" s="6"/>
      <c r="AR255" s="6">
        <v>38764</v>
      </c>
      <c r="AS255" s="6"/>
      <c r="AT255" s="6"/>
      <c r="AU255" s="6"/>
      <c r="AV255" s="6">
        <v>38749</v>
      </c>
      <c r="AW255" s="6"/>
      <c r="AX255" s="6"/>
      <c r="AY255" s="6"/>
      <c r="AZ255" s="6">
        <v>38765</v>
      </c>
      <c r="BA255" s="6"/>
      <c r="BB255" s="6"/>
      <c r="BC255" s="6"/>
      <c r="BD255" s="6"/>
      <c r="BE255" s="6"/>
      <c r="BF255" s="6"/>
      <c r="BG255" s="6"/>
      <c r="BH255" s="6"/>
      <c r="BI255" s="6"/>
      <c r="BJ255" s="6"/>
      <c r="BK255" s="6"/>
      <c r="BL255" s="6"/>
      <c r="BM255" s="6">
        <v>38768</v>
      </c>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c r="FZ255" s="6"/>
      <c r="GA255" s="6"/>
      <c r="GB255" s="6"/>
      <c r="GC255" s="6"/>
      <c r="GD255" s="6"/>
      <c r="GE255" s="6"/>
      <c r="GF255" s="6"/>
      <c r="GG255" s="6"/>
      <c r="GH255" s="6"/>
      <c r="GI255" s="6"/>
      <c r="GJ255" s="6"/>
      <c r="GK255" s="6"/>
      <c r="GL255" s="6"/>
      <c r="GM255" s="6"/>
      <c r="GN255" s="6"/>
      <c r="GO255" s="6"/>
      <c r="GP255" s="6"/>
      <c r="GQ255" s="6"/>
      <c r="GR255" s="6"/>
      <c r="GS255" s="6"/>
      <c r="GT255" s="6"/>
      <c r="GU255" s="6"/>
      <c r="GV255" s="6"/>
      <c r="GW255" s="6"/>
      <c r="GX255" s="6"/>
      <c r="GY255" s="6"/>
      <c r="GZ255" s="6"/>
      <c r="HA255" s="6"/>
      <c r="HB255" s="6"/>
      <c r="HC255" s="6"/>
      <c r="HD255" s="6"/>
      <c r="HE255" s="6"/>
      <c r="HF255" s="6"/>
      <c r="HG255" s="6"/>
      <c r="HH255" s="6"/>
    </row>
    <row r="256" spans="1:216" x14ac:dyDescent="0.3">
      <c r="A256" s="8" t="str">
        <f>HYPERLINK("https://hpr-rps.hres.ca/reg-content/summary-basis-decision-detailTwo.php?lang=en&amp;linkID=SBD00256", "Istodax")</f>
        <v>Istodax</v>
      </c>
      <c r="B256" s="6" t="s">
        <v>708</v>
      </c>
      <c r="C256" s="6" t="s">
        <v>668</v>
      </c>
      <c r="D256" s="6" t="s">
        <v>709</v>
      </c>
      <c r="E256" s="6"/>
      <c r="F256" s="6"/>
      <c r="G256" s="6"/>
      <c r="H256" s="6">
        <v>40897</v>
      </c>
      <c r="I256" s="6"/>
      <c r="J256" s="6"/>
      <c r="K256" s="6"/>
      <c r="L256" s="6"/>
      <c r="M256" s="6"/>
      <c r="N256" s="6"/>
      <c r="O256" s="6"/>
      <c r="P256" s="6"/>
      <c r="Q256" s="6"/>
      <c r="R256" s="6"/>
      <c r="S256" s="6"/>
      <c r="T256" s="6"/>
      <c r="U256" s="6"/>
      <c r="V256" s="6"/>
      <c r="W256" s="6"/>
      <c r="X256" s="6"/>
      <c r="Y256" s="6"/>
      <c r="Z256" s="6"/>
      <c r="AA256" s="6"/>
      <c r="AB256" s="6"/>
      <c r="AC256" s="6"/>
      <c r="AD256" s="6"/>
      <c r="AE256" s="6"/>
      <c r="AF256" s="6">
        <v>40949</v>
      </c>
      <c r="AG256" s="6"/>
      <c r="AH256" s="6"/>
      <c r="AI256" s="6"/>
      <c r="AJ256" s="6"/>
      <c r="AK256" s="6"/>
      <c r="AL256" s="6"/>
      <c r="AM256" s="6"/>
      <c r="AN256" s="6"/>
      <c r="AO256" s="6"/>
      <c r="AP256" s="6"/>
      <c r="AQ256" s="6"/>
      <c r="AR256" s="6"/>
      <c r="AS256" s="6"/>
      <c r="AT256" s="6"/>
      <c r="AU256" s="6"/>
      <c r="AV256" s="6">
        <v>41241</v>
      </c>
      <c r="AW256" s="6"/>
      <c r="AX256" s="6">
        <v>41109</v>
      </c>
      <c r="AY256" s="6"/>
      <c r="AZ256" s="6">
        <v>41243</v>
      </c>
      <c r="BA256" s="6"/>
      <c r="BB256" s="6"/>
      <c r="BC256" s="6"/>
      <c r="BD256" s="6"/>
      <c r="BE256" s="6"/>
      <c r="BF256" s="6"/>
      <c r="BG256" s="6"/>
      <c r="BH256" s="6"/>
      <c r="BI256" s="6"/>
      <c r="BJ256" s="6"/>
      <c r="BK256" s="6"/>
      <c r="BL256" s="6"/>
      <c r="BM256" s="6"/>
      <c r="BN256" s="6"/>
      <c r="BO256" s="6"/>
      <c r="BP256" s="6"/>
      <c r="BQ256" s="6"/>
      <c r="BR256" s="6"/>
      <c r="BS256" s="6"/>
      <c r="BT256" s="6">
        <v>41246</v>
      </c>
      <c r="BU256" s="6"/>
      <c r="BV256" s="6"/>
      <c r="BW256" s="6"/>
      <c r="BX256" s="6"/>
      <c r="BY256" s="6">
        <v>41337</v>
      </c>
      <c r="BZ256" s="6"/>
      <c r="CA256" s="6"/>
      <c r="CB256" s="6"/>
      <c r="CC256" s="6"/>
      <c r="CD256" s="6"/>
      <c r="CE256" s="6"/>
      <c r="CF256" s="6"/>
      <c r="CG256" s="6"/>
      <c r="CH256" s="6"/>
      <c r="CI256" s="6"/>
      <c r="CJ256" s="6"/>
      <c r="CK256" s="6"/>
      <c r="CL256" s="6"/>
      <c r="CM256" s="6"/>
      <c r="CN256" s="6"/>
      <c r="CO256" s="6"/>
      <c r="CP256" s="6"/>
      <c r="CQ256" s="6"/>
      <c r="CR256" s="6">
        <v>41382</v>
      </c>
      <c r="CS256" s="6"/>
      <c r="CT256" s="6"/>
      <c r="CU256" s="6"/>
      <c r="CV256" s="6"/>
      <c r="CW256" s="6"/>
      <c r="CX256" s="6"/>
      <c r="CY256" s="6"/>
      <c r="CZ256" s="6"/>
      <c r="DA256" s="6"/>
      <c r="DB256" s="6"/>
      <c r="DC256" s="6"/>
      <c r="DD256" s="6">
        <v>41523</v>
      </c>
      <c r="DE256" s="6"/>
      <c r="DF256" s="6"/>
      <c r="DG256" s="6"/>
      <c r="DH256" s="6">
        <v>41506</v>
      </c>
      <c r="DI256" s="6"/>
      <c r="DJ256" s="6">
        <v>41501</v>
      </c>
      <c r="DK256" s="6"/>
      <c r="DL256" s="6">
        <v>41523</v>
      </c>
      <c r="DM256" s="6"/>
      <c r="DN256" s="6"/>
      <c r="DO256" s="6"/>
      <c r="DP256" s="6"/>
      <c r="DQ256" s="6"/>
      <c r="DR256" s="6"/>
      <c r="DS256" s="6"/>
      <c r="DT256" s="6"/>
      <c r="DU256" s="6"/>
      <c r="DV256" s="6"/>
      <c r="DW256" s="6"/>
      <c r="DX256" s="6">
        <v>41526</v>
      </c>
      <c r="DY256" s="6">
        <v>41563</v>
      </c>
      <c r="DZ256" s="6"/>
      <c r="EA256" s="6"/>
      <c r="EB256" s="6"/>
      <c r="EC256" s="6"/>
      <c r="ED256" s="6"/>
      <c r="EE256" s="6"/>
      <c r="EF256" s="6"/>
      <c r="EG256" s="6"/>
      <c r="EH256" s="6"/>
      <c r="EI256" s="6"/>
      <c r="EJ256" s="6"/>
      <c r="EK256" s="6">
        <v>41529</v>
      </c>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c r="FZ256" s="6"/>
      <c r="GA256" s="6"/>
      <c r="GB256" s="6"/>
      <c r="GC256" s="6"/>
      <c r="GD256" s="6"/>
      <c r="GE256" s="6"/>
      <c r="GF256" s="6"/>
      <c r="GG256" s="6"/>
      <c r="GH256" s="6"/>
      <c r="GI256" s="6"/>
      <c r="GJ256" s="6"/>
      <c r="GK256" s="6"/>
      <c r="GL256" s="6"/>
      <c r="GM256" s="6"/>
      <c r="GN256" s="6"/>
      <c r="GO256" s="6"/>
      <c r="GP256" s="6"/>
      <c r="GQ256" s="6"/>
      <c r="GR256" s="6"/>
      <c r="GS256" s="6"/>
      <c r="GT256" s="6"/>
      <c r="GU256" s="6"/>
      <c r="GV256" s="6"/>
      <c r="GW256" s="6"/>
      <c r="GX256" s="6"/>
      <c r="GY256" s="6"/>
      <c r="GZ256" s="6"/>
      <c r="HA256" s="6"/>
      <c r="HB256" s="6"/>
      <c r="HC256" s="6"/>
      <c r="HD256" s="6"/>
      <c r="HE256" s="6"/>
      <c r="HF256" s="6"/>
      <c r="HG256" s="6"/>
      <c r="HH256" s="6"/>
    </row>
    <row r="257" spans="1:216" x14ac:dyDescent="0.3">
      <c r="A257" s="8" t="str">
        <f>HYPERLINK("https://hpr-rps.hres.ca/reg-content/summary-basis-decision-detailTwo.php?lang=en&amp;linkID=SBD00257", "Jardiance")</f>
        <v>Jardiance</v>
      </c>
      <c r="B257" s="6" t="s">
        <v>710</v>
      </c>
      <c r="C257" s="6" t="s">
        <v>105</v>
      </c>
      <c r="D257" s="6" t="s">
        <v>711</v>
      </c>
      <c r="E257" s="6">
        <v>41064</v>
      </c>
      <c r="F257" s="6"/>
      <c r="G257" s="6"/>
      <c r="H257" s="6">
        <v>41117</v>
      </c>
      <c r="I257" s="6"/>
      <c r="J257" s="6"/>
      <c r="K257" s="6"/>
      <c r="L257" s="6"/>
      <c r="M257" s="6"/>
      <c r="N257" s="6"/>
      <c r="O257" s="6"/>
      <c r="P257" s="6"/>
      <c r="Q257" s="6"/>
      <c r="R257" s="6"/>
      <c r="S257" s="6"/>
      <c r="T257" s="6"/>
      <c r="U257" s="6"/>
      <c r="V257" s="6"/>
      <c r="W257" s="6"/>
      <c r="X257" s="6"/>
      <c r="Y257" s="6"/>
      <c r="Z257" s="6"/>
      <c r="AA257" s="6"/>
      <c r="AB257" s="6"/>
      <c r="AC257" s="6"/>
      <c r="AD257" s="6"/>
      <c r="AE257" s="6"/>
      <c r="AF257" s="6">
        <v>41165</v>
      </c>
      <c r="AG257" s="6"/>
      <c r="AH257" s="6"/>
      <c r="AI257" s="6"/>
      <c r="AJ257" s="6"/>
      <c r="AK257" s="6"/>
      <c r="AL257" s="6"/>
      <c r="AM257" s="6"/>
      <c r="AN257" s="6"/>
      <c r="AO257" s="6"/>
      <c r="AP257" s="6"/>
      <c r="AQ257" s="6"/>
      <c r="AR257" s="6"/>
      <c r="AS257" s="6">
        <v>41389</v>
      </c>
      <c r="AT257" s="6"/>
      <c r="AU257" s="6"/>
      <c r="AV257" s="6">
        <v>41453</v>
      </c>
      <c r="AW257" s="6"/>
      <c r="AX257" s="6">
        <v>41395</v>
      </c>
      <c r="AY257" s="6"/>
      <c r="AZ257" s="6">
        <v>41463</v>
      </c>
      <c r="BA257" s="6"/>
      <c r="BB257" s="6"/>
      <c r="BC257" s="6"/>
      <c r="BD257" s="6"/>
      <c r="BE257" s="6"/>
      <c r="BF257" s="6"/>
      <c r="BG257" s="6"/>
      <c r="BH257" s="6"/>
      <c r="BI257" s="6"/>
      <c r="BJ257" s="6"/>
      <c r="BK257" s="6"/>
      <c r="BL257" s="6"/>
      <c r="BM257" s="6"/>
      <c r="BN257" s="6"/>
      <c r="BO257" s="6"/>
      <c r="BP257" s="6"/>
      <c r="BQ257" s="6"/>
      <c r="BR257" s="6"/>
      <c r="BS257" s="6"/>
      <c r="BT257" s="6">
        <v>41465</v>
      </c>
      <c r="BU257" s="6"/>
      <c r="BV257" s="6"/>
      <c r="BW257" s="6"/>
      <c r="BX257" s="6"/>
      <c r="BY257" s="6">
        <v>41585</v>
      </c>
      <c r="BZ257" s="6"/>
      <c r="CA257" s="6"/>
      <c r="CB257" s="6"/>
      <c r="CC257" s="6"/>
      <c r="CD257" s="6"/>
      <c r="CE257" s="6"/>
      <c r="CF257" s="6"/>
      <c r="CG257" s="6"/>
      <c r="CH257" s="6"/>
      <c r="CI257" s="6"/>
      <c r="CJ257" s="6"/>
      <c r="CK257" s="6"/>
      <c r="CL257" s="6"/>
      <c r="CM257" s="6"/>
      <c r="CN257" s="6"/>
      <c r="CO257" s="6"/>
      <c r="CP257" s="6"/>
      <c r="CQ257" s="6"/>
      <c r="CR257" s="6">
        <v>41632</v>
      </c>
      <c r="CS257" s="6"/>
      <c r="CT257" s="6"/>
      <c r="CU257" s="6"/>
      <c r="CV257" s="6"/>
      <c r="CW257" s="6"/>
      <c r="CX257" s="6"/>
      <c r="CY257" s="6"/>
      <c r="CZ257" s="6"/>
      <c r="DA257" s="6"/>
      <c r="DB257" s="6"/>
      <c r="DC257" s="6"/>
      <c r="DD257" s="6">
        <v>41781</v>
      </c>
      <c r="DE257" s="6"/>
      <c r="DF257" s="6"/>
      <c r="DG257" s="6"/>
      <c r="DH257" s="6"/>
      <c r="DI257" s="6"/>
      <c r="DJ257" s="6"/>
      <c r="DK257" s="6"/>
      <c r="DL257" s="6">
        <v>41781</v>
      </c>
      <c r="DM257" s="6"/>
      <c r="DN257" s="6"/>
      <c r="DO257" s="6"/>
      <c r="DP257" s="6"/>
      <c r="DQ257" s="6"/>
      <c r="DR257" s="6"/>
      <c r="DS257" s="6"/>
      <c r="DT257" s="6"/>
      <c r="DU257" s="6"/>
      <c r="DV257" s="6"/>
      <c r="DW257" s="6"/>
      <c r="DX257" s="6"/>
      <c r="DY257" s="6">
        <v>41782</v>
      </c>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c r="FZ257" s="6"/>
      <c r="GA257" s="6"/>
      <c r="GB257" s="6"/>
      <c r="GC257" s="6"/>
      <c r="GD257" s="6"/>
      <c r="GE257" s="6"/>
      <c r="GF257" s="6"/>
      <c r="GG257" s="6"/>
      <c r="GH257" s="6"/>
      <c r="GI257" s="6"/>
      <c r="GJ257" s="6"/>
      <c r="GK257" s="6"/>
      <c r="GL257" s="6"/>
      <c r="GM257" s="6"/>
      <c r="GN257" s="6"/>
      <c r="GO257" s="6"/>
      <c r="GP257" s="6"/>
      <c r="GQ257" s="6"/>
      <c r="GR257" s="6"/>
      <c r="GS257" s="6"/>
      <c r="GT257" s="6"/>
      <c r="GU257" s="6"/>
      <c r="GV257" s="6"/>
      <c r="GW257" s="6"/>
      <c r="GX257" s="6"/>
      <c r="GY257" s="6"/>
      <c r="GZ257" s="6"/>
      <c r="HA257" s="6"/>
      <c r="HB257" s="6"/>
      <c r="HC257" s="6"/>
      <c r="HD257" s="6"/>
      <c r="HE257" s="6"/>
      <c r="HF257" s="6"/>
      <c r="HG257" s="6"/>
      <c r="HH257" s="6"/>
    </row>
    <row r="258" spans="1:216" x14ac:dyDescent="0.3">
      <c r="A258" s="8" t="str">
        <f>HYPERLINK("https://hpr-rps.hres.ca/reg-content/summary-basis-decision-detailOne.php?lang=en&amp;linkID=SBD00301", "Vibativ")</f>
        <v>Vibativ</v>
      </c>
      <c r="B258" s="6" t="s">
        <v>712</v>
      </c>
      <c r="C258" s="6" t="s">
        <v>713</v>
      </c>
      <c r="D258" s="6" t="s">
        <v>714</v>
      </c>
      <c r="E258" s="6">
        <v>39253</v>
      </c>
      <c r="F258" s="6"/>
      <c r="G258" s="6"/>
      <c r="H258" s="6">
        <v>39358</v>
      </c>
      <c r="I258" s="6"/>
      <c r="J258" s="6"/>
      <c r="K258" s="6"/>
      <c r="L258" s="6"/>
      <c r="M258" s="6"/>
      <c r="N258" s="6"/>
      <c r="O258" s="6"/>
      <c r="P258" s="6"/>
      <c r="Q258" s="6"/>
      <c r="R258" s="6"/>
      <c r="S258" s="6"/>
      <c r="T258" s="6"/>
      <c r="U258" s="6"/>
      <c r="V258" s="6"/>
      <c r="W258" s="6"/>
      <c r="X258" s="6"/>
      <c r="Y258" s="6"/>
      <c r="Z258" s="6">
        <v>39401</v>
      </c>
      <c r="AA258" s="6"/>
      <c r="AB258" s="6"/>
      <c r="AC258" s="6">
        <v>39437</v>
      </c>
      <c r="AD258" s="6"/>
      <c r="AE258" s="6"/>
      <c r="AF258" s="6">
        <v>39478</v>
      </c>
      <c r="AG258" s="6"/>
      <c r="AH258" s="6"/>
      <c r="AI258" s="6"/>
      <c r="AJ258" s="6"/>
      <c r="AK258" s="6"/>
      <c r="AL258" s="6"/>
      <c r="AM258" s="6"/>
      <c r="AN258" s="6"/>
      <c r="AO258" s="6"/>
      <c r="AP258" s="6"/>
      <c r="AQ258" s="6"/>
      <c r="AR258" s="6">
        <v>40058</v>
      </c>
      <c r="AS258" s="6"/>
      <c r="AT258" s="6"/>
      <c r="AU258" s="6"/>
      <c r="AV258" s="6">
        <v>39764</v>
      </c>
      <c r="AW258" s="6"/>
      <c r="AX258" s="6"/>
      <c r="AY258" s="6"/>
      <c r="AZ258" s="6">
        <v>40059</v>
      </c>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c r="FZ258" s="6"/>
      <c r="GA258" s="6"/>
      <c r="GB258" s="6"/>
      <c r="GC258" s="6"/>
      <c r="GD258" s="6"/>
      <c r="GE258" s="6"/>
      <c r="GF258" s="6"/>
      <c r="GG258" s="6"/>
      <c r="GH258" s="6"/>
      <c r="GI258" s="6"/>
      <c r="GJ258" s="6"/>
      <c r="GK258" s="6"/>
      <c r="GL258" s="6"/>
      <c r="GM258" s="6"/>
      <c r="GN258" s="6"/>
      <c r="GO258" s="6"/>
      <c r="GP258" s="6"/>
      <c r="GQ258" s="6"/>
      <c r="GR258" s="6"/>
      <c r="GS258" s="6"/>
      <c r="GT258" s="6"/>
      <c r="GU258" s="6"/>
      <c r="GV258" s="6"/>
      <c r="GW258" s="6"/>
      <c r="GX258" s="6"/>
      <c r="GY258" s="6"/>
      <c r="GZ258" s="6"/>
      <c r="HA258" s="6"/>
      <c r="HB258" s="6"/>
      <c r="HC258" s="6"/>
      <c r="HD258" s="6"/>
      <c r="HE258" s="6"/>
      <c r="HF258" s="6"/>
      <c r="HG258" s="6"/>
      <c r="HH258" s="6"/>
    </row>
    <row r="259" spans="1:216" x14ac:dyDescent="0.3">
      <c r="A259" s="8" t="str">
        <f>HYPERLINK("https://hpr-rps.hres.ca/reg-content/summary-basis-decision-detailTwo.php?lang=en&amp;linkID=SBD00258", "Jetrea")</f>
        <v>Jetrea</v>
      </c>
      <c r="B259" s="6" t="s">
        <v>715</v>
      </c>
      <c r="C259" s="6" t="s">
        <v>538</v>
      </c>
      <c r="D259" s="6" t="s">
        <v>716</v>
      </c>
      <c r="E259" s="6">
        <v>41772</v>
      </c>
      <c r="F259" s="6"/>
      <c r="G259" s="6"/>
      <c r="H259" s="6"/>
      <c r="I259" s="6"/>
      <c r="J259" s="6"/>
      <c r="K259" s="6"/>
      <c r="L259" s="6"/>
      <c r="M259" s="6"/>
      <c r="N259" s="6">
        <v>41906</v>
      </c>
      <c r="O259" s="6"/>
      <c r="P259" s="6"/>
      <c r="Q259" s="6"/>
      <c r="R259" s="6"/>
      <c r="S259" s="6">
        <v>41941</v>
      </c>
      <c r="T259" s="6"/>
      <c r="U259" s="6"/>
      <c r="V259" s="6">
        <v>41982</v>
      </c>
      <c r="W259" s="6"/>
      <c r="X259" s="6"/>
      <c r="Y259" s="6"/>
      <c r="Z259" s="6">
        <v>41995</v>
      </c>
      <c r="AA259" s="6"/>
      <c r="AB259" s="6"/>
      <c r="AC259" s="6">
        <v>42040</v>
      </c>
      <c r="AD259" s="6"/>
      <c r="AE259" s="6"/>
      <c r="AF259" s="6">
        <v>42073</v>
      </c>
      <c r="AG259" s="6"/>
      <c r="AH259" s="6"/>
      <c r="AI259" s="6"/>
      <c r="AJ259" s="6"/>
      <c r="AK259" s="6"/>
      <c r="AL259" s="6"/>
      <c r="AM259" s="6"/>
      <c r="AN259" s="6"/>
      <c r="AO259" s="6"/>
      <c r="AP259" s="6"/>
      <c r="AQ259" s="6"/>
      <c r="AR259" s="6">
        <v>42248</v>
      </c>
      <c r="AS259" s="6"/>
      <c r="AT259" s="6"/>
      <c r="AU259" s="6"/>
      <c r="AV259" s="6">
        <v>42250</v>
      </c>
      <c r="AW259" s="6"/>
      <c r="AX259" s="6">
        <v>42250</v>
      </c>
      <c r="AY259" s="6"/>
      <c r="AZ259" s="6">
        <v>42250</v>
      </c>
      <c r="BA259" s="6"/>
      <c r="BB259" s="6"/>
      <c r="BC259" s="6"/>
      <c r="BD259" s="6"/>
      <c r="BE259" s="6"/>
      <c r="BF259" s="6"/>
      <c r="BG259" s="6"/>
      <c r="BH259" s="6"/>
      <c r="BI259" s="6"/>
      <c r="BJ259" s="6"/>
      <c r="BK259" s="6"/>
      <c r="BL259" s="6"/>
      <c r="BM259" s="6">
        <v>42251</v>
      </c>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c r="FZ259" s="6"/>
      <c r="GA259" s="6"/>
      <c r="GB259" s="6"/>
      <c r="GC259" s="6"/>
      <c r="GD259" s="6"/>
      <c r="GE259" s="6"/>
      <c r="GF259" s="6"/>
      <c r="GG259" s="6"/>
      <c r="GH259" s="6"/>
      <c r="GI259" s="6"/>
      <c r="GJ259" s="6"/>
      <c r="GK259" s="6"/>
      <c r="GL259" s="6"/>
      <c r="GM259" s="6"/>
      <c r="GN259" s="6"/>
      <c r="GO259" s="6"/>
      <c r="GP259" s="6"/>
      <c r="GQ259" s="6"/>
      <c r="GR259" s="6"/>
      <c r="GS259" s="6"/>
      <c r="GT259" s="6"/>
      <c r="GU259" s="6"/>
      <c r="GV259" s="6"/>
      <c r="GW259" s="6"/>
      <c r="GX259" s="6"/>
      <c r="GY259" s="6"/>
      <c r="GZ259" s="6"/>
      <c r="HA259" s="6"/>
      <c r="HB259" s="6"/>
      <c r="HC259" s="6"/>
      <c r="HD259" s="6"/>
      <c r="HE259" s="6"/>
      <c r="HF259" s="6"/>
      <c r="HG259" s="6"/>
      <c r="HH259" s="6"/>
    </row>
    <row r="260" spans="1:216" x14ac:dyDescent="0.3">
      <c r="A260" s="8" t="str">
        <f>HYPERLINK("https://hpr-rps.hres.ca/reg-content/summary-basis-decision-detailTwo.php?lang=en&amp;linkID=SBD00259", "Jublia")</f>
        <v>Jublia</v>
      </c>
      <c r="B260" s="6" t="s">
        <v>717</v>
      </c>
      <c r="C260" s="6" t="s">
        <v>718</v>
      </c>
      <c r="D260" s="6" t="s">
        <v>719</v>
      </c>
      <c r="E260" s="6"/>
      <c r="F260" s="6"/>
      <c r="G260" s="6"/>
      <c r="H260" s="6">
        <v>41201</v>
      </c>
      <c r="I260" s="6"/>
      <c r="J260" s="6"/>
      <c r="K260" s="6"/>
      <c r="L260" s="6"/>
      <c r="M260" s="6"/>
      <c r="N260" s="6"/>
      <c r="O260" s="6"/>
      <c r="P260" s="6"/>
      <c r="Q260" s="6"/>
      <c r="R260" s="6"/>
      <c r="S260" s="6"/>
      <c r="T260" s="6"/>
      <c r="U260" s="6"/>
      <c r="V260" s="6"/>
      <c r="W260" s="6"/>
      <c r="X260" s="6"/>
      <c r="Y260" s="6"/>
      <c r="Z260" s="6"/>
      <c r="AA260" s="6"/>
      <c r="AB260" s="6"/>
      <c r="AC260" s="6"/>
      <c r="AD260" s="6"/>
      <c r="AE260" s="6"/>
      <c r="AF260" s="6">
        <v>41249</v>
      </c>
      <c r="AG260" s="6"/>
      <c r="AH260" s="6"/>
      <c r="AI260" s="6"/>
      <c r="AJ260" s="6"/>
      <c r="AK260" s="6"/>
      <c r="AL260" s="6"/>
      <c r="AM260" s="6"/>
      <c r="AN260" s="6"/>
      <c r="AO260" s="6"/>
      <c r="AP260" s="6"/>
      <c r="AQ260" s="6"/>
      <c r="AR260" s="6">
        <v>41541</v>
      </c>
      <c r="AS260" s="6"/>
      <c r="AT260" s="6"/>
      <c r="AU260" s="6"/>
      <c r="AV260" s="6">
        <v>41540</v>
      </c>
      <c r="AW260" s="6"/>
      <c r="AX260" s="6"/>
      <c r="AY260" s="6"/>
      <c r="AZ260" s="6">
        <v>41548</v>
      </c>
      <c r="BA260" s="6"/>
      <c r="BB260" s="6"/>
      <c r="BC260" s="6"/>
      <c r="BD260" s="6"/>
      <c r="BE260" s="6"/>
      <c r="BF260" s="6"/>
      <c r="BG260" s="6"/>
      <c r="BH260" s="6"/>
      <c r="BI260" s="6"/>
      <c r="BJ260" s="6"/>
      <c r="BK260" s="6"/>
      <c r="BL260" s="6"/>
      <c r="BM260" s="6">
        <v>41549</v>
      </c>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c r="FZ260" s="6"/>
      <c r="GA260" s="6"/>
      <c r="GB260" s="6"/>
      <c r="GC260" s="6"/>
      <c r="GD260" s="6"/>
      <c r="GE260" s="6"/>
      <c r="GF260" s="6"/>
      <c r="GG260" s="6"/>
      <c r="GH260" s="6"/>
      <c r="GI260" s="6"/>
      <c r="GJ260" s="6"/>
      <c r="GK260" s="6"/>
      <c r="GL260" s="6"/>
      <c r="GM260" s="6"/>
      <c r="GN260" s="6"/>
      <c r="GO260" s="6"/>
      <c r="GP260" s="6"/>
      <c r="GQ260" s="6"/>
      <c r="GR260" s="6"/>
      <c r="GS260" s="6"/>
      <c r="GT260" s="6"/>
      <c r="GU260" s="6"/>
      <c r="GV260" s="6"/>
      <c r="GW260" s="6"/>
      <c r="GX260" s="6"/>
      <c r="GY260" s="6"/>
      <c r="GZ260" s="6"/>
      <c r="HA260" s="6"/>
      <c r="HB260" s="6"/>
      <c r="HC260" s="6"/>
      <c r="HD260" s="6"/>
      <c r="HE260" s="6"/>
      <c r="HF260" s="6"/>
      <c r="HG260" s="6"/>
      <c r="HH260" s="6"/>
    </row>
    <row r="261" spans="1:216" x14ac:dyDescent="0.3">
      <c r="A261" s="8" t="str">
        <f>HYPERLINK("https://hpr-rps.hres.ca/reg-content/summary-basis-decision-detailTwo.php?lang=en&amp;linkID=SBD00260", "Perjeta")</f>
        <v>Perjeta</v>
      </c>
      <c r="B261" s="6" t="s">
        <v>720</v>
      </c>
      <c r="C261" s="6" t="s">
        <v>84</v>
      </c>
      <c r="D261" s="6" t="s">
        <v>721</v>
      </c>
      <c r="E261" s="6">
        <v>41064</v>
      </c>
      <c r="F261" s="6"/>
      <c r="G261" s="6"/>
      <c r="H261" s="6">
        <v>41117</v>
      </c>
      <c r="I261" s="6"/>
      <c r="J261" s="6"/>
      <c r="K261" s="6"/>
      <c r="L261" s="6"/>
      <c r="M261" s="6"/>
      <c r="N261" s="6"/>
      <c r="O261" s="6"/>
      <c r="P261" s="6"/>
      <c r="Q261" s="6"/>
      <c r="R261" s="6"/>
      <c r="S261" s="6"/>
      <c r="T261" s="6"/>
      <c r="U261" s="6"/>
      <c r="V261" s="6"/>
      <c r="W261" s="6"/>
      <c r="X261" s="6"/>
      <c r="Y261" s="6"/>
      <c r="Z261" s="6"/>
      <c r="AA261" s="6"/>
      <c r="AB261" s="6"/>
      <c r="AC261" s="6"/>
      <c r="AD261" s="6"/>
      <c r="AE261" s="6"/>
      <c r="AF261" s="6">
        <v>41165</v>
      </c>
      <c r="AG261" s="6"/>
      <c r="AH261" s="6"/>
      <c r="AI261" s="6"/>
      <c r="AJ261" s="6"/>
      <c r="AK261" s="6"/>
      <c r="AL261" s="6"/>
      <c r="AM261" s="6"/>
      <c r="AN261" s="6"/>
      <c r="AO261" s="6"/>
      <c r="AP261" s="6"/>
      <c r="AQ261" s="6"/>
      <c r="AR261" s="6"/>
      <c r="AS261" s="6">
        <v>41389</v>
      </c>
      <c r="AT261" s="6"/>
      <c r="AU261" s="6"/>
      <c r="AV261" s="6">
        <v>41453</v>
      </c>
      <c r="AW261" s="6"/>
      <c r="AX261" s="6">
        <v>41395</v>
      </c>
      <c r="AY261" s="6"/>
      <c r="AZ261" s="6">
        <v>41463</v>
      </c>
      <c r="BA261" s="6"/>
      <c r="BB261" s="6"/>
      <c r="BC261" s="6"/>
      <c r="BD261" s="6"/>
      <c r="BE261" s="6"/>
      <c r="BF261" s="6"/>
      <c r="BG261" s="6"/>
      <c r="BH261" s="6"/>
      <c r="BI261" s="6"/>
      <c r="BJ261" s="6"/>
      <c r="BK261" s="6"/>
      <c r="BL261" s="6"/>
      <c r="BM261" s="6"/>
      <c r="BN261" s="6"/>
      <c r="BO261" s="6"/>
      <c r="BP261" s="6"/>
      <c r="BQ261" s="6"/>
      <c r="BR261" s="6"/>
      <c r="BS261" s="6"/>
      <c r="BT261" s="6">
        <v>41465</v>
      </c>
      <c r="BU261" s="6"/>
      <c r="BV261" s="6"/>
      <c r="BW261" s="6"/>
      <c r="BX261" s="6"/>
      <c r="BY261" s="6">
        <v>41585</v>
      </c>
      <c r="BZ261" s="6"/>
      <c r="CA261" s="6"/>
      <c r="CB261" s="6"/>
      <c r="CC261" s="6"/>
      <c r="CD261" s="6"/>
      <c r="CE261" s="6"/>
      <c r="CF261" s="6"/>
      <c r="CG261" s="6"/>
      <c r="CH261" s="6"/>
      <c r="CI261" s="6"/>
      <c r="CJ261" s="6"/>
      <c r="CK261" s="6"/>
      <c r="CL261" s="6"/>
      <c r="CM261" s="6"/>
      <c r="CN261" s="6"/>
      <c r="CO261" s="6"/>
      <c r="CP261" s="6"/>
      <c r="CQ261" s="6"/>
      <c r="CR261" s="6">
        <v>41632</v>
      </c>
      <c r="CS261" s="6"/>
      <c r="CT261" s="6"/>
      <c r="CU261" s="6"/>
      <c r="CV261" s="6"/>
      <c r="CW261" s="6"/>
      <c r="CX261" s="6"/>
      <c r="CY261" s="6"/>
      <c r="CZ261" s="6"/>
      <c r="DA261" s="6"/>
      <c r="DB261" s="6"/>
      <c r="DC261" s="6"/>
      <c r="DD261" s="6">
        <v>41781</v>
      </c>
      <c r="DE261" s="6"/>
      <c r="DF261" s="6"/>
      <c r="DG261" s="6"/>
      <c r="DH261" s="6"/>
      <c r="DI261" s="6"/>
      <c r="DJ261" s="6"/>
      <c r="DK261" s="6"/>
      <c r="DL261" s="6">
        <v>41781</v>
      </c>
      <c r="DM261" s="6"/>
      <c r="DN261" s="6"/>
      <c r="DO261" s="6"/>
      <c r="DP261" s="6"/>
      <c r="DQ261" s="6"/>
      <c r="DR261" s="6"/>
      <c r="DS261" s="6"/>
      <c r="DT261" s="6"/>
      <c r="DU261" s="6"/>
      <c r="DV261" s="6"/>
      <c r="DW261" s="6"/>
      <c r="DX261" s="6"/>
      <c r="DY261" s="6">
        <v>41782</v>
      </c>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c r="FZ261" s="6"/>
      <c r="GA261" s="6"/>
      <c r="GB261" s="6"/>
      <c r="GC261" s="6"/>
      <c r="GD261" s="6"/>
      <c r="GE261" s="6"/>
      <c r="GF261" s="6"/>
      <c r="GG261" s="6"/>
      <c r="GH261" s="6"/>
      <c r="GI261" s="6"/>
      <c r="GJ261" s="6"/>
      <c r="GK261" s="6"/>
      <c r="GL261" s="6"/>
      <c r="GM261" s="6"/>
      <c r="GN261" s="6"/>
      <c r="GO261" s="6"/>
      <c r="GP261" s="6"/>
      <c r="GQ261" s="6"/>
      <c r="GR261" s="6"/>
      <c r="GS261" s="6"/>
      <c r="GT261" s="6"/>
      <c r="GU261" s="6"/>
      <c r="GV261" s="6"/>
      <c r="GW261" s="6"/>
      <c r="GX261" s="6"/>
      <c r="GY261" s="6"/>
      <c r="GZ261" s="6"/>
      <c r="HA261" s="6"/>
      <c r="HB261" s="6"/>
      <c r="HC261" s="6"/>
      <c r="HD261" s="6"/>
      <c r="HE261" s="6"/>
      <c r="HF261" s="6"/>
      <c r="HG261" s="6"/>
      <c r="HH261" s="6"/>
    </row>
    <row r="262" spans="1:216" x14ac:dyDescent="0.3">
      <c r="A262" s="8" t="str">
        <f>HYPERLINK("https://hpr-rps.hres.ca/reg-content/summary-basis-decision-detailTwo.php?lang=en&amp;linkID=SBD00261", "Pheburane")</f>
        <v>Pheburane</v>
      </c>
      <c r="B262" s="6" t="s">
        <v>722</v>
      </c>
      <c r="C262" s="6" t="s">
        <v>723</v>
      </c>
      <c r="D262" s="6" t="s">
        <v>724</v>
      </c>
      <c r="E262" s="6">
        <v>38327</v>
      </c>
      <c r="F262" s="6"/>
      <c r="G262" s="6"/>
      <c r="H262" s="6">
        <v>38408</v>
      </c>
      <c r="I262" s="6"/>
      <c r="J262" s="6"/>
      <c r="K262" s="6"/>
      <c r="L262" s="6"/>
      <c r="M262" s="6"/>
      <c r="N262" s="6"/>
      <c r="O262" s="6"/>
      <c r="P262" s="6"/>
      <c r="Q262" s="6"/>
      <c r="R262" s="6"/>
      <c r="S262" s="6"/>
      <c r="T262" s="6"/>
      <c r="U262" s="6"/>
      <c r="V262" s="6"/>
      <c r="W262" s="6"/>
      <c r="X262" s="6"/>
      <c r="Y262" s="6"/>
      <c r="Z262" s="6"/>
      <c r="AA262" s="6"/>
      <c r="AB262" s="6"/>
      <c r="AC262" s="6"/>
      <c r="AD262" s="6"/>
      <c r="AE262" s="6"/>
      <c r="AF262" s="6">
        <v>38469</v>
      </c>
      <c r="AG262" s="6"/>
      <c r="AH262" s="6"/>
      <c r="AI262" s="6"/>
      <c r="AJ262" s="6"/>
      <c r="AK262" s="6"/>
      <c r="AL262" s="6"/>
      <c r="AM262" s="6"/>
      <c r="AN262" s="6"/>
      <c r="AO262" s="6"/>
      <c r="AP262" s="6"/>
      <c r="AQ262" s="6"/>
      <c r="AR262" s="6">
        <v>38764</v>
      </c>
      <c r="AS262" s="6"/>
      <c r="AT262" s="6"/>
      <c r="AU262" s="6"/>
      <c r="AV262" s="6">
        <v>38749</v>
      </c>
      <c r="AW262" s="6"/>
      <c r="AX262" s="6"/>
      <c r="AY262" s="6"/>
      <c r="AZ262" s="6">
        <v>38765</v>
      </c>
      <c r="BA262" s="6"/>
      <c r="BB262" s="6"/>
      <c r="BC262" s="6"/>
      <c r="BD262" s="6"/>
      <c r="BE262" s="6"/>
      <c r="BF262" s="6"/>
      <c r="BG262" s="6"/>
      <c r="BH262" s="6"/>
      <c r="BI262" s="6"/>
      <c r="BJ262" s="6"/>
      <c r="BK262" s="6"/>
      <c r="BL262" s="6"/>
      <c r="BM262" s="6">
        <v>38768</v>
      </c>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c r="FZ262" s="6"/>
      <c r="GA262" s="6"/>
      <c r="GB262" s="6"/>
      <c r="GC262" s="6"/>
      <c r="GD262" s="6"/>
      <c r="GE262" s="6"/>
      <c r="GF262" s="6"/>
      <c r="GG262" s="6"/>
      <c r="GH262" s="6"/>
      <c r="GI262" s="6"/>
      <c r="GJ262" s="6"/>
      <c r="GK262" s="6"/>
      <c r="GL262" s="6"/>
      <c r="GM262" s="6"/>
      <c r="GN262" s="6"/>
      <c r="GO262" s="6"/>
      <c r="GP262" s="6"/>
      <c r="GQ262" s="6"/>
      <c r="GR262" s="6"/>
      <c r="GS262" s="6"/>
      <c r="GT262" s="6"/>
      <c r="GU262" s="6"/>
      <c r="GV262" s="6"/>
      <c r="GW262" s="6"/>
      <c r="GX262" s="6"/>
      <c r="GY262" s="6"/>
      <c r="GZ262" s="6"/>
      <c r="HA262" s="6"/>
      <c r="HB262" s="6"/>
      <c r="HC262" s="6"/>
      <c r="HD262" s="6"/>
      <c r="HE262" s="6"/>
      <c r="HF262" s="6"/>
      <c r="HG262" s="6"/>
      <c r="HH262" s="6"/>
    </row>
    <row r="263" spans="1:216" x14ac:dyDescent="0.3">
      <c r="A263" s="8" t="str">
        <f>HYPERLINK("https://hpr-rps.hres.ca/reg-content/summary-basis-decision-detailTwo.php?lang=en&amp;linkID=SBD00262", "Picato")</f>
        <v>Picato</v>
      </c>
      <c r="B263" s="6" t="s">
        <v>725</v>
      </c>
      <c r="C263" s="6" t="s">
        <v>726</v>
      </c>
      <c r="D263" s="6" t="s">
        <v>727</v>
      </c>
      <c r="E263" s="6">
        <v>40888</v>
      </c>
      <c r="F263" s="6"/>
      <c r="G263" s="6"/>
      <c r="H263" s="6"/>
      <c r="I263" s="6"/>
      <c r="J263" s="6"/>
      <c r="K263" s="6"/>
      <c r="L263" s="6"/>
      <c r="M263" s="6"/>
      <c r="N263" s="6">
        <v>41113</v>
      </c>
      <c r="O263" s="6"/>
      <c r="P263" s="6"/>
      <c r="Q263" s="6"/>
      <c r="R263" s="6"/>
      <c r="S263" s="6">
        <v>41143</v>
      </c>
      <c r="T263" s="6"/>
      <c r="U263" s="6"/>
      <c r="V263" s="6">
        <v>41152</v>
      </c>
      <c r="W263" s="6"/>
      <c r="X263" s="6"/>
      <c r="Y263" s="6"/>
      <c r="Z263" s="6"/>
      <c r="AA263" s="6"/>
      <c r="AB263" s="6"/>
      <c r="AC263" s="6"/>
      <c r="AD263" s="6"/>
      <c r="AE263" s="6"/>
      <c r="AF263" s="6">
        <v>41197</v>
      </c>
      <c r="AG263" s="6"/>
      <c r="AH263" s="6"/>
      <c r="AI263" s="6"/>
      <c r="AJ263" s="6"/>
      <c r="AK263" s="6"/>
      <c r="AL263" s="6"/>
      <c r="AM263" s="6"/>
      <c r="AN263" s="6"/>
      <c r="AO263" s="6">
        <v>41351</v>
      </c>
      <c r="AP263" s="6"/>
      <c r="AQ263" s="6"/>
      <c r="AR263" s="6">
        <v>41376</v>
      </c>
      <c r="AS263" s="6"/>
      <c r="AT263" s="6"/>
      <c r="AU263" s="6"/>
      <c r="AV263" s="6">
        <v>41376</v>
      </c>
      <c r="AW263" s="6"/>
      <c r="AX263" s="6"/>
      <c r="AY263" s="6"/>
      <c r="AZ263" s="6">
        <v>41376</v>
      </c>
      <c r="BA263" s="6"/>
      <c r="BB263" s="6"/>
      <c r="BC263" s="6"/>
      <c r="BD263" s="6"/>
      <c r="BE263" s="6"/>
      <c r="BF263" s="6"/>
      <c r="BG263" s="6"/>
      <c r="BH263" s="6"/>
      <c r="BI263" s="6"/>
      <c r="BJ263" s="6"/>
      <c r="BK263" s="6"/>
      <c r="BL263" s="6"/>
      <c r="BM263" s="6">
        <v>41376</v>
      </c>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row>
    <row r="264" spans="1:216" x14ac:dyDescent="0.3">
      <c r="A264" s="8" t="str">
        <f>HYPERLINK("https://hpr-rps.hres.ca/reg-content/summary-basis-decision-detailTwo.php?lang=en&amp;linkID=SBD00263", "Pomalyst")</f>
        <v>Pomalyst</v>
      </c>
      <c r="B264" s="6" t="s">
        <v>728</v>
      </c>
      <c r="C264" s="6" t="s">
        <v>668</v>
      </c>
      <c r="D264" s="6" t="s">
        <v>729</v>
      </c>
      <c r="E264" s="6">
        <v>42129</v>
      </c>
      <c r="F264" s="6"/>
      <c r="G264" s="6"/>
      <c r="H264" s="6"/>
      <c r="I264" s="6"/>
      <c r="J264" s="6"/>
      <c r="K264" s="6"/>
      <c r="L264" s="6"/>
      <c r="M264" s="6"/>
      <c r="N264" s="6">
        <v>42048</v>
      </c>
      <c r="O264" s="6"/>
      <c r="P264" s="6"/>
      <c r="Q264" s="6"/>
      <c r="R264" s="6"/>
      <c r="S264" s="6">
        <v>42079</v>
      </c>
      <c r="T264" s="6"/>
      <c r="U264" s="6"/>
      <c r="V264" s="6">
        <v>42143</v>
      </c>
      <c r="W264" s="6"/>
      <c r="X264" s="6"/>
      <c r="Y264" s="6"/>
      <c r="Z264" s="6">
        <v>42170</v>
      </c>
      <c r="AA264" s="6"/>
      <c r="AB264" s="6"/>
      <c r="AC264" s="6">
        <v>42184</v>
      </c>
      <c r="AD264" s="6"/>
      <c r="AE264" s="6"/>
      <c r="AF264" s="6">
        <v>42206</v>
      </c>
      <c r="AG264" s="6"/>
      <c r="AH264" s="6"/>
      <c r="AI264" s="6"/>
      <c r="AJ264" s="6"/>
      <c r="AK264" s="6"/>
      <c r="AL264" s="6"/>
      <c r="AM264" s="6"/>
      <c r="AN264" s="6"/>
      <c r="AO264" s="6"/>
      <c r="AP264" s="6"/>
      <c r="AQ264" s="6"/>
      <c r="AR264" s="6">
        <v>42383</v>
      </c>
      <c r="AS264" s="6"/>
      <c r="AT264" s="6"/>
      <c r="AU264" s="6"/>
      <c r="AV264" s="6">
        <v>42380</v>
      </c>
      <c r="AW264" s="6"/>
      <c r="AX264" s="6"/>
      <c r="AY264" s="6"/>
      <c r="AZ264" s="6">
        <v>42384</v>
      </c>
      <c r="BA264" s="6"/>
      <c r="BB264" s="6"/>
      <c r="BC264" s="6"/>
      <c r="BD264" s="6"/>
      <c r="BE264" s="6"/>
      <c r="BF264" s="6"/>
      <c r="BG264" s="6"/>
      <c r="BH264" s="6"/>
      <c r="BI264" s="6"/>
      <c r="BJ264" s="6"/>
      <c r="BK264" s="6"/>
      <c r="BL264" s="6"/>
      <c r="BM264" s="6">
        <v>42384</v>
      </c>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row>
    <row r="265" spans="1:216" x14ac:dyDescent="0.3">
      <c r="A265" s="8" t="str">
        <f>HYPERLINK("https://hpr-rps.hres.ca/reg-content/summary-basis-decision-detailTwo.php?lang=en&amp;linkID=SBD00264", "Potiga")</f>
        <v>Potiga</v>
      </c>
      <c r="B265" s="6" t="s">
        <v>730</v>
      </c>
      <c r="C265" s="6" t="s">
        <v>96</v>
      </c>
      <c r="D265" s="6" t="s">
        <v>731</v>
      </c>
      <c r="E265" s="6">
        <v>40888</v>
      </c>
      <c r="F265" s="6"/>
      <c r="G265" s="6"/>
      <c r="H265" s="6"/>
      <c r="I265" s="6"/>
      <c r="J265" s="6"/>
      <c r="K265" s="6"/>
      <c r="L265" s="6"/>
      <c r="M265" s="6"/>
      <c r="N265" s="6">
        <v>41113</v>
      </c>
      <c r="O265" s="6"/>
      <c r="P265" s="6"/>
      <c r="Q265" s="6"/>
      <c r="R265" s="6"/>
      <c r="S265" s="6">
        <v>41143</v>
      </c>
      <c r="T265" s="6"/>
      <c r="U265" s="6"/>
      <c r="V265" s="6">
        <v>41152</v>
      </c>
      <c r="W265" s="6"/>
      <c r="X265" s="6"/>
      <c r="Y265" s="6"/>
      <c r="Z265" s="6"/>
      <c r="AA265" s="6"/>
      <c r="AB265" s="6"/>
      <c r="AC265" s="6"/>
      <c r="AD265" s="6"/>
      <c r="AE265" s="6"/>
      <c r="AF265" s="6">
        <v>41197</v>
      </c>
      <c r="AG265" s="6"/>
      <c r="AH265" s="6"/>
      <c r="AI265" s="6"/>
      <c r="AJ265" s="6"/>
      <c r="AK265" s="6"/>
      <c r="AL265" s="6"/>
      <c r="AM265" s="6"/>
      <c r="AN265" s="6"/>
      <c r="AO265" s="6">
        <v>41351</v>
      </c>
      <c r="AP265" s="6"/>
      <c r="AQ265" s="6"/>
      <c r="AR265" s="6">
        <v>41376</v>
      </c>
      <c r="AS265" s="6"/>
      <c r="AT265" s="6"/>
      <c r="AU265" s="6"/>
      <c r="AV265" s="6">
        <v>41376</v>
      </c>
      <c r="AW265" s="6"/>
      <c r="AX265" s="6"/>
      <c r="AY265" s="6"/>
      <c r="AZ265" s="6">
        <v>41376</v>
      </c>
      <c r="BA265" s="6"/>
      <c r="BB265" s="6"/>
      <c r="BC265" s="6"/>
      <c r="BD265" s="6"/>
      <c r="BE265" s="6"/>
      <c r="BF265" s="6"/>
      <c r="BG265" s="6"/>
      <c r="BH265" s="6"/>
      <c r="BI265" s="6"/>
      <c r="BJ265" s="6"/>
      <c r="BK265" s="6"/>
      <c r="BL265" s="6"/>
      <c r="BM265" s="6">
        <v>41376</v>
      </c>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row>
    <row r="266" spans="1:216" x14ac:dyDescent="0.3">
      <c r="A266" s="8" t="str">
        <f>HYPERLINK("https://hpr-rps.hres.ca/reg-content/summary-basis-decision-detailTwo.php?lang=en&amp;linkID=SBD00265", "Prolensa")</f>
        <v>Prolensa</v>
      </c>
      <c r="B266" s="6" t="s">
        <v>732</v>
      </c>
      <c r="C266" s="6" t="s">
        <v>129</v>
      </c>
      <c r="D266" s="6" t="s">
        <v>733</v>
      </c>
      <c r="E266" s="6"/>
      <c r="F266" s="6"/>
      <c r="G266" s="6"/>
      <c r="H266" s="6">
        <v>41733</v>
      </c>
      <c r="I266" s="6"/>
      <c r="J266" s="6"/>
      <c r="K266" s="6"/>
      <c r="L266" s="6"/>
      <c r="M266" s="6"/>
      <c r="N266" s="6"/>
      <c r="O266" s="6"/>
      <c r="P266" s="6"/>
      <c r="Q266" s="6"/>
      <c r="R266" s="6"/>
      <c r="S266" s="6"/>
      <c r="T266" s="6"/>
      <c r="U266" s="6"/>
      <c r="V266" s="6"/>
      <c r="W266" s="6"/>
      <c r="X266" s="6"/>
      <c r="Y266" s="6"/>
      <c r="Z266" s="6"/>
      <c r="AA266" s="6"/>
      <c r="AB266" s="6"/>
      <c r="AC266" s="6"/>
      <c r="AD266" s="6"/>
      <c r="AE266" s="6"/>
      <c r="AF266" s="6">
        <v>41790</v>
      </c>
      <c r="AG266" s="6"/>
      <c r="AH266" s="6"/>
      <c r="AI266" s="6"/>
      <c r="AJ266" s="6"/>
      <c r="AK266" s="6"/>
      <c r="AL266" s="6"/>
      <c r="AM266" s="6"/>
      <c r="AN266" s="6"/>
      <c r="AO266" s="6"/>
      <c r="AP266" s="6"/>
      <c r="AQ266" s="6"/>
      <c r="AR266" s="6">
        <v>42088</v>
      </c>
      <c r="AS266" s="6"/>
      <c r="AT266" s="6"/>
      <c r="AU266" s="6"/>
      <c r="AV266" s="6">
        <v>42082</v>
      </c>
      <c r="AW266" s="6"/>
      <c r="AX266" s="6"/>
      <c r="AY266" s="6"/>
      <c r="AZ266" s="6">
        <v>42088</v>
      </c>
      <c r="BA266" s="6"/>
      <c r="BB266" s="6"/>
      <c r="BC266" s="6"/>
      <c r="BD266" s="6"/>
      <c r="BE266" s="6"/>
      <c r="BF266" s="6"/>
      <c r="BG266" s="6"/>
      <c r="BH266" s="6"/>
      <c r="BI266" s="6"/>
      <c r="BJ266" s="6"/>
      <c r="BK266" s="6"/>
      <c r="BL266" s="6"/>
      <c r="BM266" s="6">
        <v>42089</v>
      </c>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row>
    <row r="267" spans="1:216" x14ac:dyDescent="0.3">
      <c r="A267" s="8" t="str">
        <f>HYPERLINK("https://hpr-rps.hres.ca/reg-content/summary-basis-decision-detailTwo.php?lang=en&amp;linkID=SBD00267", "Revestive")</f>
        <v>Revestive</v>
      </c>
      <c r="B267" s="6" t="s">
        <v>734</v>
      </c>
      <c r="C267" s="6" t="s">
        <v>735</v>
      </c>
      <c r="D267" s="6" t="s">
        <v>736</v>
      </c>
      <c r="E267" s="6">
        <v>41772</v>
      </c>
      <c r="F267" s="6"/>
      <c r="G267" s="6"/>
      <c r="H267" s="6"/>
      <c r="I267" s="6"/>
      <c r="J267" s="6"/>
      <c r="K267" s="6"/>
      <c r="L267" s="6"/>
      <c r="M267" s="6"/>
      <c r="N267" s="6">
        <v>41906</v>
      </c>
      <c r="O267" s="6"/>
      <c r="P267" s="6"/>
      <c r="Q267" s="6"/>
      <c r="R267" s="6"/>
      <c r="S267" s="6">
        <v>41941</v>
      </c>
      <c r="T267" s="6"/>
      <c r="U267" s="6"/>
      <c r="V267" s="6">
        <v>41982</v>
      </c>
      <c r="W267" s="6"/>
      <c r="X267" s="6"/>
      <c r="Y267" s="6"/>
      <c r="Z267" s="6">
        <v>41995</v>
      </c>
      <c r="AA267" s="6"/>
      <c r="AB267" s="6"/>
      <c r="AC267" s="6">
        <v>42040</v>
      </c>
      <c r="AD267" s="6"/>
      <c r="AE267" s="6"/>
      <c r="AF267" s="6">
        <v>42073</v>
      </c>
      <c r="AG267" s="6"/>
      <c r="AH267" s="6"/>
      <c r="AI267" s="6"/>
      <c r="AJ267" s="6"/>
      <c r="AK267" s="6"/>
      <c r="AL267" s="6"/>
      <c r="AM267" s="6"/>
      <c r="AN267" s="6"/>
      <c r="AO267" s="6"/>
      <c r="AP267" s="6"/>
      <c r="AQ267" s="6"/>
      <c r="AR267" s="6">
        <v>42248</v>
      </c>
      <c r="AS267" s="6"/>
      <c r="AT267" s="6"/>
      <c r="AU267" s="6"/>
      <c r="AV267" s="6">
        <v>42250</v>
      </c>
      <c r="AW267" s="6"/>
      <c r="AX267" s="6">
        <v>42250</v>
      </c>
      <c r="AY267" s="6"/>
      <c r="AZ267" s="6">
        <v>42250</v>
      </c>
      <c r="BA267" s="6"/>
      <c r="BB267" s="6"/>
      <c r="BC267" s="6"/>
      <c r="BD267" s="6"/>
      <c r="BE267" s="6"/>
      <c r="BF267" s="6"/>
      <c r="BG267" s="6"/>
      <c r="BH267" s="6"/>
      <c r="BI267" s="6"/>
      <c r="BJ267" s="6"/>
      <c r="BK267" s="6"/>
      <c r="BL267" s="6"/>
      <c r="BM267" s="6">
        <v>42251</v>
      </c>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row>
    <row r="268" spans="1:216" x14ac:dyDescent="0.3">
      <c r="A268" s="8" t="str">
        <f>HYPERLINK("https://hpr-rps.hres.ca/reg-content/summary-basis-decision-detailTwo.php?lang=en&amp;linkID=SBD00268", "Rosiver")</f>
        <v>Rosiver</v>
      </c>
      <c r="B268" s="6" t="s">
        <v>737</v>
      </c>
      <c r="C268" s="6" t="s">
        <v>204</v>
      </c>
      <c r="D268" s="6" t="s">
        <v>738</v>
      </c>
      <c r="E268" s="6">
        <v>41184</v>
      </c>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v>41254</v>
      </c>
      <c r="BH268" s="6"/>
      <c r="BI268" s="6"/>
      <c r="BJ268" s="6"/>
      <c r="BK268" s="6"/>
      <c r="BL268" s="6">
        <v>41228</v>
      </c>
      <c r="BM268" s="6"/>
      <c r="BN268" s="6"/>
      <c r="BO268" s="6"/>
      <c r="BP268" s="6"/>
      <c r="BQ268" s="6"/>
      <c r="BR268" s="6"/>
      <c r="BS268" s="6"/>
      <c r="BT268" s="6"/>
      <c r="BU268" s="6"/>
      <c r="BV268" s="6"/>
      <c r="BW268" s="6"/>
      <c r="BX268" s="6"/>
      <c r="BY268" s="6"/>
      <c r="BZ268" s="6"/>
      <c r="CA268" s="6">
        <v>41320</v>
      </c>
      <c r="CB268" s="6"/>
      <c r="CC268" s="6"/>
      <c r="CD268" s="6"/>
      <c r="CE268" s="6"/>
      <c r="CF268" s="6"/>
      <c r="CG268" s="6"/>
      <c r="CH268" s="6"/>
      <c r="CI268" s="6"/>
      <c r="CJ268" s="6"/>
      <c r="CK268" s="6"/>
      <c r="CL268" s="6"/>
      <c r="CM268" s="6">
        <v>41494</v>
      </c>
      <c r="CN268" s="6"/>
      <c r="CO268" s="6"/>
      <c r="CP268" s="6"/>
      <c r="CQ268" s="6">
        <v>41498</v>
      </c>
      <c r="CR268" s="6"/>
      <c r="CS268" s="6"/>
      <c r="CT268" s="6"/>
      <c r="CU268" s="6">
        <v>41498</v>
      </c>
      <c r="CV268" s="6"/>
      <c r="CW268" s="6"/>
      <c r="CX268" s="6"/>
      <c r="CY268" s="6"/>
      <c r="CZ268" s="6"/>
      <c r="DA268" s="6"/>
      <c r="DB268" s="6"/>
      <c r="DC268" s="6"/>
      <c r="DD268" s="6"/>
      <c r="DE268" s="6"/>
      <c r="DF268" s="6"/>
      <c r="DG268" s="6"/>
      <c r="DH268" s="6">
        <v>41499</v>
      </c>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row>
    <row r="269" spans="1:216" x14ac:dyDescent="0.3">
      <c r="A269" s="8" t="str">
        <f>HYPERLINK("https://hpr-rps.hres.ca/reg-content/summary-basis-decision-detailTwo.php?lang=en&amp;linkID=SBD00283", "Bridion")</f>
        <v>Bridion</v>
      </c>
      <c r="B269" s="6" t="s">
        <v>739</v>
      </c>
      <c r="C269" s="6" t="s">
        <v>418</v>
      </c>
      <c r="D269" s="6" t="s">
        <v>740</v>
      </c>
      <c r="E269" s="6">
        <v>41184</v>
      </c>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v>41254</v>
      </c>
      <c r="BH269" s="6"/>
      <c r="BI269" s="6"/>
      <c r="BJ269" s="6"/>
      <c r="BK269" s="6"/>
      <c r="BL269" s="6">
        <v>41228</v>
      </c>
      <c r="BM269" s="6"/>
      <c r="BN269" s="6"/>
      <c r="BO269" s="6"/>
      <c r="BP269" s="6"/>
      <c r="BQ269" s="6"/>
      <c r="BR269" s="6"/>
      <c r="BS269" s="6"/>
      <c r="BT269" s="6"/>
      <c r="BU269" s="6"/>
      <c r="BV269" s="6"/>
      <c r="BW269" s="6"/>
      <c r="BX269" s="6"/>
      <c r="BY269" s="6"/>
      <c r="BZ269" s="6"/>
      <c r="CA269" s="6">
        <v>41320</v>
      </c>
      <c r="CB269" s="6"/>
      <c r="CC269" s="6"/>
      <c r="CD269" s="6"/>
      <c r="CE269" s="6"/>
      <c r="CF269" s="6"/>
      <c r="CG269" s="6"/>
      <c r="CH269" s="6"/>
      <c r="CI269" s="6"/>
      <c r="CJ269" s="6"/>
      <c r="CK269" s="6"/>
      <c r="CL269" s="6"/>
      <c r="CM269" s="6">
        <v>41494</v>
      </c>
      <c r="CN269" s="6"/>
      <c r="CO269" s="6"/>
      <c r="CP269" s="6"/>
      <c r="CQ269" s="6">
        <v>41498</v>
      </c>
      <c r="CR269" s="6"/>
      <c r="CS269" s="6"/>
      <c r="CT269" s="6"/>
      <c r="CU269" s="6">
        <v>41498</v>
      </c>
      <c r="CV269" s="6"/>
      <c r="CW269" s="6"/>
      <c r="CX269" s="6"/>
      <c r="CY269" s="6"/>
      <c r="CZ269" s="6"/>
      <c r="DA269" s="6"/>
      <c r="DB269" s="6"/>
      <c r="DC269" s="6"/>
      <c r="DD269" s="6"/>
      <c r="DE269" s="6"/>
      <c r="DF269" s="6"/>
      <c r="DG269" s="6"/>
      <c r="DH269" s="6">
        <v>41499</v>
      </c>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row>
    <row r="270" spans="1:216" x14ac:dyDescent="0.3">
      <c r="A270" s="8" t="str">
        <f>HYPERLINK("https://hpr-rps.hres.ca/reg-content/summary-basis-decision-detailTwo.php?lang=en&amp;linkID=SBD00269", "Signifor")</f>
        <v>Signifor</v>
      </c>
      <c r="B270" s="6" t="s">
        <v>741</v>
      </c>
      <c r="C270" s="6" t="s">
        <v>87</v>
      </c>
      <c r="D270" s="6" t="s">
        <v>742</v>
      </c>
      <c r="E270" s="6"/>
      <c r="F270" s="6"/>
      <c r="G270" s="6"/>
      <c r="H270" s="6">
        <v>40582</v>
      </c>
      <c r="I270" s="6"/>
      <c r="J270" s="6"/>
      <c r="K270" s="6"/>
      <c r="L270" s="6"/>
      <c r="M270" s="6"/>
      <c r="N270" s="6"/>
      <c r="O270" s="6"/>
      <c r="P270" s="6"/>
      <c r="Q270" s="6"/>
      <c r="R270" s="6"/>
      <c r="S270" s="6"/>
      <c r="T270" s="6"/>
      <c r="U270" s="6"/>
      <c r="V270" s="6"/>
      <c r="W270" s="6"/>
      <c r="X270" s="6"/>
      <c r="Y270" s="6"/>
      <c r="Z270" s="6"/>
      <c r="AA270" s="6"/>
      <c r="AB270" s="6"/>
      <c r="AC270" s="6"/>
      <c r="AD270" s="6"/>
      <c r="AE270" s="6"/>
      <c r="AF270" s="6">
        <v>40633</v>
      </c>
      <c r="AG270" s="6"/>
      <c r="AH270" s="6"/>
      <c r="AI270" s="6"/>
      <c r="AJ270" s="6"/>
      <c r="AK270" s="6"/>
      <c r="AL270" s="6"/>
      <c r="AM270" s="6"/>
      <c r="AN270" s="6"/>
      <c r="AO270" s="6"/>
      <c r="AP270" s="6"/>
      <c r="AQ270" s="6"/>
      <c r="AR270" s="6"/>
      <c r="AS270" s="6"/>
      <c r="AT270" s="6"/>
      <c r="AU270" s="6"/>
      <c r="AV270" s="6">
        <v>40830</v>
      </c>
      <c r="AW270" s="6"/>
      <c r="AX270" s="6"/>
      <c r="AY270" s="6"/>
      <c r="AZ270" s="6"/>
      <c r="BA270" s="6"/>
      <c r="BB270" s="6"/>
      <c r="BC270" s="6"/>
      <c r="BD270" s="6"/>
      <c r="BE270" s="6"/>
      <c r="BF270" s="6"/>
      <c r="BG270" s="6"/>
      <c r="BH270" s="6"/>
      <c r="BI270" s="6"/>
      <c r="BJ270" s="6"/>
      <c r="BK270" s="6"/>
      <c r="BL270" s="6"/>
      <c r="BM270" s="6"/>
      <c r="BN270" s="6"/>
      <c r="BO270" s="6"/>
      <c r="BP270" s="6">
        <v>40840</v>
      </c>
      <c r="BQ270" s="6"/>
      <c r="BR270" s="6"/>
      <c r="BS270" s="6"/>
      <c r="BT270" s="6"/>
      <c r="BU270" s="6"/>
      <c r="BV270" s="6"/>
      <c r="BW270" s="6"/>
      <c r="BX270" s="6"/>
      <c r="BY270" s="6">
        <v>40925</v>
      </c>
      <c r="BZ270" s="6"/>
      <c r="CA270" s="6"/>
      <c r="CB270" s="6"/>
      <c r="CC270" s="6"/>
      <c r="CD270" s="6"/>
      <c r="CE270" s="6"/>
      <c r="CF270" s="6"/>
      <c r="CG270" s="6"/>
      <c r="CH270" s="6"/>
      <c r="CI270" s="6"/>
      <c r="CJ270" s="6"/>
      <c r="CK270" s="6"/>
      <c r="CL270" s="6"/>
      <c r="CM270" s="6"/>
      <c r="CN270" s="6"/>
      <c r="CO270" s="6"/>
      <c r="CP270" s="6"/>
      <c r="CQ270" s="6"/>
      <c r="CR270" s="6">
        <v>40970</v>
      </c>
      <c r="CS270" s="6"/>
      <c r="CT270" s="6"/>
      <c r="CU270" s="6"/>
      <c r="CV270" s="6"/>
      <c r="CW270" s="6"/>
      <c r="CX270" s="6"/>
      <c r="CY270" s="6"/>
      <c r="CZ270" s="6"/>
      <c r="DA270" s="6"/>
      <c r="DB270" s="6"/>
      <c r="DC270" s="6"/>
      <c r="DD270" s="6"/>
      <c r="DE270" s="6"/>
      <c r="DF270" s="6"/>
      <c r="DG270" s="6"/>
      <c r="DH270" s="6">
        <v>41255</v>
      </c>
      <c r="DI270" s="6"/>
      <c r="DJ270" s="6">
        <v>41218</v>
      </c>
      <c r="DK270" s="6"/>
      <c r="DL270" s="6">
        <v>41264</v>
      </c>
      <c r="DM270" s="6"/>
      <c r="DN270" s="6"/>
      <c r="DO270" s="6"/>
      <c r="DP270" s="6"/>
      <c r="DQ270" s="6"/>
      <c r="DR270" s="6"/>
      <c r="DS270" s="6"/>
      <c r="DT270" s="6"/>
      <c r="DU270" s="6"/>
      <c r="DV270" s="6"/>
      <c r="DW270" s="6"/>
      <c r="DX270" s="6"/>
      <c r="DY270" s="6"/>
      <c r="DZ270" s="6"/>
      <c r="EA270" s="6"/>
      <c r="EB270" s="6"/>
      <c r="EC270" s="6"/>
      <c r="ED270" s="6"/>
      <c r="EE270" s="6"/>
      <c r="EF270" s="6">
        <v>41267</v>
      </c>
      <c r="EG270" s="6"/>
      <c r="EH270" s="6"/>
      <c r="EI270" s="6"/>
      <c r="EJ270" s="6"/>
      <c r="EK270" s="6">
        <v>41346</v>
      </c>
      <c r="EL270" s="6"/>
      <c r="EM270" s="6"/>
      <c r="EN270" s="6"/>
      <c r="EO270" s="6"/>
      <c r="EP270" s="6"/>
      <c r="EQ270" s="6"/>
      <c r="ER270" s="6"/>
      <c r="ES270" s="6"/>
      <c r="ET270" s="6"/>
      <c r="EU270" s="6"/>
      <c r="EV270" s="6"/>
      <c r="EW270" s="6"/>
      <c r="EX270" s="6"/>
      <c r="EY270" s="6"/>
      <c r="EZ270" s="6"/>
      <c r="FA270" s="6"/>
      <c r="FB270" s="6"/>
      <c r="FC270" s="6"/>
      <c r="FD270" s="6">
        <v>41390</v>
      </c>
      <c r="FE270" s="6"/>
      <c r="FF270" s="6"/>
      <c r="FG270" s="6"/>
      <c r="FH270" s="6"/>
      <c r="FI270" s="6"/>
      <c r="FJ270" s="6"/>
      <c r="FK270" s="6"/>
      <c r="FL270" s="6"/>
      <c r="FM270" s="6"/>
      <c r="FN270" s="6"/>
      <c r="FO270" s="6"/>
      <c r="FP270" s="6"/>
      <c r="FQ270" s="6"/>
      <c r="FR270" s="6"/>
      <c r="FS270" s="6"/>
      <c r="FT270" s="6"/>
      <c r="FU270" s="6"/>
      <c r="FV270" s="6"/>
      <c r="FW270" s="6"/>
      <c r="FX270" s="6">
        <v>41537</v>
      </c>
      <c r="FY270" s="6"/>
      <c r="FZ270" s="6"/>
      <c r="GA270" s="6"/>
      <c r="GB270" s="6"/>
      <c r="GC270" s="6">
        <v>41540</v>
      </c>
      <c r="GD270" s="6"/>
      <c r="GE270" s="6"/>
      <c r="GF270" s="6"/>
      <c r="GG270" s="6"/>
      <c r="GH270" s="6"/>
      <c r="GI270" s="6"/>
      <c r="GJ270" s="6"/>
      <c r="GK270" s="6">
        <v>41540</v>
      </c>
      <c r="GL270" s="6"/>
      <c r="GM270" s="6"/>
      <c r="GN270" s="6"/>
      <c r="GO270" s="6"/>
      <c r="GP270" s="6"/>
      <c r="GQ270" s="6"/>
      <c r="GR270" s="6"/>
      <c r="GS270" s="6"/>
      <c r="GT270" s="6"/>
      <c r="GU270" s="6"/>
      <c r="GV270" s="6"/>
      <c r="GW270" s="6"/>
      <c r="GX270" s="6"/>
      <c r="GY270" s="6"/>
      <c r="GZ270" s="6"/>
      <c r="HA270" s="6"/>
      <c r="HB270" s="6"/>
      <c r="HC270" s="6"/>
      <c r="HD270" s="6"/>
      <c r="HE270" s="6"/>
      <c r="HF270" s="6"/>
      <c r="HG270" s="6"/>
      <c r="HH270" s="6"/>
    </row>
    <row r="271" spans="1:216" x14ac:dyDescent="0.3">
      <c r="A271" s="8" t="str">
        <f>HYPERLINK("https://hpr-rps.hres.ca/reg-content/summary-basis-decision-detailTwo.php?lang=en&amp;linkID=SBD00270", "Anoro Ellipta")</f>
        <v>Anoro Ellipta</v>
      </c>
      <c r="B271" s="6" t="s">
        <v>743</v>
      </c>
      <c r="C271" s="6" t="s">
        <v>96</v>
      </c>
      <c r="D271" s="6" t="s">
        <v>744</v>
      </c>
      <c r="E271" s="6">
        <v>40806</v>
      </c>
      <c r="F271" s="6"/>
      <c r="G271" s="6"/>
      <c r="H271" s="6">
        <v>41242</v>
      </c>
      <c r="I271" s="6"/>
      <c r="J271" s="6"/>
      <c r="K271" s="6"/>
      <c r="L271" s="6"/>
      <c r="M271" s="6"/>
      <c r="N271" s="6"/>
      <c r="O271" s="6"/>
      <c r="P271" s="6"/>
      <c r="Q271" s="6"/>
      <c r="R271" s="6"/>
      <c r="S271" s="6"/>
      <c r="T271" s="6"/>
      <c r="U271" s="6"/>
      <c r="V271" s="6"/>
      <c r="W271" s="6"/>
      <c r="X271" s="6"/>
      <c r="Y271" s="6"/>
      <c r="Z271" s="6"/>
      <c r="AA271" s="6"/>
      <c r="AB271" s="6"/>
      <c r="AC271" s="6"/>
      <c r="AD271" s="6"/>
      <c r="AE271" s="6"/>
      <c r="AF271" s="6">
        <v>41295</v>
      </c>
      <c r="AG271" s="6"/>
      <c r="AH271" s="6"/>
      <c r="AI271" s="6"/>
      <c r="AJ271" s="6"/>
      <c r="AK271" s="6"/>
      <c r="AL271" s="6"/>
      <c r="AM271" s="6"/>
      <c r="AN271" s="6"/>
      <c r="AO271" s="6"/>
      <c r="AP271" s="6"/>
      <c r="AQ271" s="6"/>
      <c r="AR271" s="6">
        <v>41590</v>
      </c>
      <c r="AS271" s="6">
        <v>41530</v>
      </c>
      <c r="AT271" s="6"/>
      <c r="AU271" s="6"/>
      <c r="AV271" s="6">
        <v>41586</v>
      </c>
      <c r="AW271" s="6"/>
      <c r="AX271" s="6"/>
      <c r="AY271" s="6"/>
      <c r="AZ271" s="6">
        <v>41590</v>
      </c>
      <c r="BA271" s="6"/>
      <c r="BB271" s="6"/>
      <c r="BC271" s="6"/>
      <c r="BD271" s="6"/>
      <c r="BE271" s="6"/>
      <c r="BF271" s="6"/>
      <c r="BG271" s="6"/>
      <c r="BH271" s="6"/>
      <c r="BI271" s="6"/>
      <c r="BJ271" s="6"/>
      <c r="BK271" s="6"/>
      <c r="BL271" s="6"/>
      <c r="BM271" s="6">
        <v>41592</v>
      </c>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row>
    <row r="272" spans="1:216" x14ac:dyDescent="0.3">
      <c r="A272" s="8" t="str">
        <f>HYPERLINK("https://hpr-rps.hres.ca/reg-content/summary-basis-decision-detailTwo.php?lang=en&amp;linkID=SBD00271", "Aptiom")</f>
        <v>Aptiom</v>
      </c>
      <c r="B272" s="6" t="s">
        <v>745</v>
      </c>
      <c r="C272" s="6" t="s">
        <v>295</v>
      </c>
      <c r="D272" s="6" t="s">
        <v>746</v>
      </c>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row>
    <row r="273" spans="1:216" x14ac:dyDescent="0.3">
      <c r="A273" s="8" t="str">
        <f>HYPERLINK("https://hpr-rps.hres.ca/reg-content/summary-basis-decision-detailOne.php?lang=en&amp;linkID=SBD00273", "Arzerra TM")</f>
        <v>Arzerra TM</v>
      </c>
      <c r="B273" s="6" t="s">
        <v>747</v>
      </c>
      <c r="C273" s="6" t="s">
        <v>96</v>
      </c>
      <c r="D273" s="6" t="s">
        <v>748</v>
      </c>
      <c r="E273" s="6">
        <v>40416</v>
      </c>
      <c r="F273" s="6"/>
      <c r="G273" s="6"/>
      <c r="H273" s="6">
        <v>40564</v>
      </c>
      <c r="I273" s="6"/>
      <c r="J273" s="6"/>
      <c r="K273" s="6"/>
      <c r="L273" s="6"/>
      <c r="M273" s="6"/>
      <c r="N273" s="6"/>
      <c r="O273" s="6"/>
      <c r="P273" s="6"/>
      <c r="Q273" s="6"/>
      <c r="R273" s="6"/>
      <c r="S273" s="6"/>
      <c r="T273" s="6"/>
      <c r="U273" s="6"/>
      <c r="V273" s="6"/>
      <c r="W273" s="6"/>
      <c r="X273" s="6"/>
      <c r="Y273" s="6"/>
      <c r="Z273" s="6"/>
      <c r="AA273" s="6"/>
      <c r="AB273" s="6"/>
      <c r="AC273" s="6"/>
      <c r="AD273" s="6"/>
      <c r="AE273" s="6"/>
      <c r="AF273" s="6">
        <v>40616</v>
      </c>
      <c r="AG273" s="6"/>
      <c r="AH273" s="6"/>
      <c r="AI273" s="6"/>
      <c r="AJ273" s="6"/>
      <c r="AK273" s="6"/>
      <c r="AL273" s="6"/>
      <c r="AM273" s="6"/>
      <c r="AN273" s="6"/>
      <c r="AO273" s="6"/>
      <c r="AP273" s="6"/>
      <c r="AQ273" s="6"/>
      <c r="AR273" s="6">
        <v>40975</v>
      </c>
      <c r="AS273" s="6"/>
      <c r="AT273" s="6"/>
      <c r="AU273" s="6"/>
      <c r="AV273" s="6">
        <v>40976</v>
      </c>
      <c r="AW273" s="6"/>
      <c r="AX273" s="6"/>
      <c r="AY273" s="6"/>
      <c r="AZ273" s="6">
        <v>40975</v>
      </c>
      <c r="BA273" s="6"/>
      <c r="BB273" s="6"/>
      <c r="BC273" s="6"/>
      <c r="BD273" s="6"/>
      <c r="BE273" s="6"/>
      <c r="BF273" s="6"/>
      <c r="BG273" s="6"/>
      <c r="BH273" s="6"/>
      <c r="BI273" s="6"/>
      <c r="BJ273" s="6"/>
      <c r="BK273" s="6">
        <v>40914</v>
      </c>
      <c r="BL273" s="6">
        <v>40977</v>
      </c>
      <c r="BM273" s="6"/>
      <c r="BN273" s="6"/>
      <c r="BO273" s="6"/>
      <c r="BP273" s="6"/>
      <c r="BQ273" s="6"/>
      <c r="BR273" s="6"/>
      <c r="BS273" s="6"/>
      <c r="BT273" s="6"/>
      <c r="BU273" s="6"/>
      <c r="BV273" s="6"/>
      <c r="BW273" s="6"/>
      <c r="BX273" s="6"/>
      <c r="BY273" s="6">
        <v>40945</v>
      </c>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row>
    <row r="274" spans="1:216" x14ac:dyDescent="0.3">
      <c r="A274" s="8" t="str">
        <f>HYPERLINK("https://hpr-rps.hres.ca/reg-content/summary-basis-decision-detailTwo.php?lang=en&amp;linkID=SBD00274", "Aubagio")</f>
        <v>Aubagio</v>
      </c>
      <c r="B274" s="6" t="s">
        <v>749</v>
      </c>
      <c r="C274" s="6" t="s">
        <v>750</v>
      </c>
      <c r="D274" s="6" t="s">
        <v>751</v>
      </c>
      <c r="E274" s="6">
        <v>40806</v>
      </c>
      <c r="F274" s="6"/>
      <c r="G274" s="6"/>
      <c r="H274" s="6">
        <v>41242</v>
      </c>
      <c r="I274" s="6"/>
      <c r="J274" s="6"/>
      <c r="K274" s="6"/>
      <c r="L274" s="6"/>
      <c r="M274" s="6"/>
      <c r="N274" s="6"/>
      <c r="O274" s="6"/>
      <c r="P274" s="6"/>
      <c r="Q274" s="6"/>
      <c r="R274" s="6"/>
      <c r="S274" s="6"/>
      <c r="T274" s="6"/>
      <c r="U274" s="6"/>
      <c r="V274" s="6"/>
      <c r="W274" s="6"/>
      <c r="X274" s="6"/>
      <c r="Y274" s="6"/>
      <c r="Z274" s="6"/>
      <c r="AA274" s="6"/>
      <c r="AB274" s="6"/>
      <c r="AC274" s="6"/>
      <c r="AD274" s="6"/>
      <c r="AE274" s="6"/>
      <c r="AF274" s="6">
        <v>41295</v>
      </c>
      <c r="AG274" s="6"/>
      <c r="AH274" s="6"/>
      <c r="AI274" s="6"/>
      <c r="AJ274" s="6"/>
      <c r="AK274" s="6"/>
      <c r="AL274" s="6"/>
      <c r="AM274" s="6"/>
      <c r="AN274" s="6"/>
      <c r="AO274" s="6"/>
      <c r="AP274" s="6"/>
      <c r="AQ274" s="6"/>
      <c r="AR274" s="6">
        <v>41590</v>
      </c>
      <c r="AS274" s="6">
        <v>41530</v>
      </c>
      <c r="AT274" s="6"/>
      <c r="AU274" s="6"/>
      <c r="AV274" s="6">
        <v>41586</v>
      </c>
      <c r="AW274" s="6"/>
      <c r="AX274" s="6"/>
      <c r="AY274" s="6"/>
      <c r="AZ274" s="6">
        <v>41590</v>
      </c>
      <c r="BA274" s="6"/>
      <c r="BB274" s="6"/>
      <c r="BC274" s="6"/>
      <c r="BD274" s="6"/>
      <c r="BE274" s="6"/>
      <c r="BF274" s="6"/>
      <c r="BG274" s="6"/>
      <c r="BH274" s="6"/>
      <c r="BI274" s="6"/>
      <c r="BJ274" s="6"/>
      <c r="BK274" s="6"/>
      <c r="BL274" s="6"/>
      <c r="BM274" s="6">
        <v>41592</v>
      </c>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row>
    <row r="275" spans="1:216" x14ac:dyDescent="0.3">
      <c r="A275" s="8" t="str">
        <f>HYPERLINK("https://hpr-rps.hres.ca/reg-content/summary-basis-decision-detailTwo.php?lang=en&amp;linkID=SBD00275", "Bexsero")</f>
        <v>Bexsero</v>
      </c>
      <c r="B275" s="6" t="s">
        <v>752</v>
      </c>
      <c r="C275" s="6" t="s">
        <v>753</v>
      </c>
      <c r="D275" s="6" t="s">
        <v>754</v>
      </c>
      <c r="E275" s="6">
        <v>40806</v>
      </c>
      <c r="F275" s="6"/>
      <c r="G275" s="6"/>
      <c r="H275" s="6">
        <v>41242</v>
      </c>
      <c r="I275" s="6"/>
      <c r="J275" s="6"/>
      <c r="K275" s="6"/>
      <c r="L275" s="6"/>
      <c r="M275" s="6"/>
      <c r="N275" s="6"/>
      <c r="O275" s="6"/>
      <c r="P275" s="6"/>
      <c r="Q275" s="6"/>
      <c r="R275" s="6"/>
      <c r="S275" s="6"/>
      <c r="T275" s="6"/>
      <c r="U275" s="6"/>
      <c r="V275" s="6"/>
      <c r="W275" s="6"/>
      <c r="X275" s="6"/>
      <c r="Y275" s="6"/>
      <c r="Z275" s="6"/>
      <c r="AA275" s="6"/>
      <c r="AB275" s="6"/>
      <c r="AC275" s="6"/>
      <c r="AD275" s="6"/>
      <c r="AE275" s="6"/>
      <c r="AF275" s="6">
        <v>41295</v>
      </c>
      <c r="AG275" s="6"/>
      <c r="AH275" s="6"/>
      <c r="AI275" s="6"/>
      <c r="AJ275" s="6"/>
      <c r="AK275" s="6"/>
      <c r="AL275" s="6"/>
      <c r="AM275" s="6"/>
      <c r="AN275" s="6"/>
      <c r="AO275" s="6"/>
      <c r="AP275" s="6"/>
      <c r="AQ275" s="6"/>
      <c r="AR275" s="6">
        <v>41590</v>
      </c>
      <c r="AS275" s="6">
        <v>41530</v>
      </c>
      <c r="AT275" s="6"/>
      <c r="AU275" s="6"/>
      <c r="AV275" s="6">
        <v>41586</v>
      </c>
      <c r="AW275" s="6"/>
      <c r="AX275" s="6"/>
      <c r="AY275" s="6"/>
      <c r="AZ275" s="6">
        <v>41590</v>
      </c>
      <c r="BA275" s="6"/>
      <c r="BB275" s="6"/>
      <c r="BC275" s="6"/>
      <c r="BD275" s="6"/>
      <c r="BE275" s="6"/>
      <c r="BF275" s="6"/>
      <c r="BG275" s="6"/>
      <c r="BH275" s="6"/>
      <c r="BI275" s="6"/>
      <c r="BJ275" s="6"/>
      <c r="BK275" s="6"/>
      <c r="BL275" s="6"/>
      <c r="BM275" s="6">
        <v>41592</v>
      </c>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row>
    <row r="276" spans="1:216" x14ac:dyDescent="0.3">
      <c r="A276" s="8" t="str">
        <f>HYPERLINK("https://hpr-rps.hres.ca/reg-content/summary-basis-decision-detailTwo.php?lang=en&amp;linkID=SBD00276", "Grastofil")</f>
        <v>Grastofil</v>
      </c>
      <c r="B276" s="6" t="s">
        <v>755</v>
      </c>
      <c r="C276" s="6" t="s">
        <v>756</v>
      </c>
      <c r="D276" s="6" t="s">
        <v>757</v>
      </c>
      <c r="E276" s="6">
        <v>39406</v>
      </c>
      <c r="F276" s="6"/>
      <c r="G276" s="6"/>
      <c r="H276" s="6">
        <v>39889</v>
      </c>
      <c r="I276" s="6"/>
      <c r="J276" s="6"/>
      <c r="K276" s="6"/>
      <c r="L276" s="6"/>
      <c r="M276" s="6"/>
      <c r="N276" s="6"/>
      <c r="O276" s="6"/>
      <c r="P276" s="6"/>
      <c r="Q276" s="6"/>
      <c r="R276" s="6"/>
      <c r="S276" s="6"/>
      <c r="T276" s="6"/>
      <c r="U276" s="6"/>
      <c r="V276" s="6"/>
      <c r="W276" s="6"/>
      <c r="X276" s="6"/>
      <c r="Y276" s="6"/>
      <c r="Z276" s="6"/>
      <c r="AA276" s="6"/>
      <c r="AB276" s="6"/>
      <c r="AC276" s="6"/>
      <c r="AD276" s="6"/>
      <c r="AE276" s="6"/>
      <c r="AF276" s="6">
        <v>39941</v>
      </c>
      <c r="AG276" s="6"/>
      <c r="AH276" s="6"/>
      <c r="AI276" s="6"/>
      <c r="AJ276" s="6"/>
      <c r="AK276" s="6"/>
      <c r="AL276" s="6"/>
      <c r="AM276" s="6"/>
      <c r="AN276" s="6"/>
      <c r="AO276" s="6"/>
      <c r="AP276" s="6"/>
      <c r="AQ276" s="6"/>
      <c r="AR276" s="6">
        <v>40445</v>
      </c>
      <c r="AS276" s="6">
        <v>40367</v>
      </c>
      <c r="AT276" s="6"/>
      <c r="AU276" s="6"/>
      <c r="AV276" s="6">
        <v>40438</v>
      </c>
      <c r="AW276" s="6"/>
      <c r="AX276" s="6"/>
      <c r="AY276" s="6"/>
      <c r="AZ276" s="6">
        <v>40450</v>
      </c>
      <c r="BA276" s="6"/>
      <c r="BB276" s="6"/>
      <c r="BC276" s="6"/>
      <c r="BD276" s="6"/>
      <c r="BE276" s="6"/>
      <c r="BF276" s="6"/>
      <c r="BG276" s="6"/>
      <c r="BH276" s="6"/>
      <c r="BI276" s="6"/>
      <c r="BJ276" s="6"/>
      <c r="BK276" s="6"/>
      <c r="BL276" s="6"/>
      <c r="BM276" s="6">
        <v>40451</v>
      </c>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row>
    <row r="277" spans="1:216" x14ac:dyDescent="0.3">
      <c r="A277" s="8" t="str">
        <f>HYPERLINK("https://hpr-rps.hres.ca/reg-content/summary-basis-decision-detailTwo.php?lang=en&amp;linkID=SBD00277", "Praluent")</f>
        <v>Praluent</v>
      </c>
      <c r="B277" s="6" t="s">
        <v>758</v>
      </c>
      <c r="C277" s="6" t="s">
        <v>759</v>
      </c>
      <c r="D277" s="6" t="s">
        <v>760</v>
      </c>
      <c r="E277" s="6">
        <v>42060</v>
      </c>
      <c r="F277" s="6"/>
      <c r="G277" s="6"/>
      <c r="H277" s="6">
        <v>42083</v>
      </c>
      <c r="I277" s="6"/>
      <c r="J277" s="6"/>
      <c r="K277" s="6"/>
      <c r="L277" s="6"/>
      <c r="M277" s="6"/>
      <c r="N277" s="6"/>
      <c r="O277" s="6"/>
      <c r="P277" s="6"/>
      <c r="Q277" s="6"/>
      <c r="R277" s="6"/>
      <c r="S277" s="6"/>
      <c r="T277" s="6"/>
      <c r="U277" s="6"/>
      <c r="V277" s="6"/>
      <c r="W277" s="6"/>
      <c r="X277" s="6"/>
      <c r="Y277" s="6"/>
      <c r="Z277" s="6">
        <v>42139</v>
      </c>
      <c r="AA277" s="6"/>
      <c r="AB277" s="6"/>
      <c r="AC277" s="6">
        <v>42159</v>
      </c>
      <c r="AD277" s="6"/>
      <c r="AE277" s="6"/>
      <c r="AF277" s="6"/>
      <c r="AG277" s="6"/>
      <c r="AH277" s="6"/>
      <c r="AI277" s="6"/>
      <c r="AJ277" s="6"/>
      <c r="AK277" s="6"/>
      <c r="AL277" s="6"/>
      <c r="AM277" s="6"/>
      <c r="AN277" s="6"/>
      <c r="AO277" s="6"/>
      <c r="AP277" s="6"/>
      <c r="AQ277" s="6"/>
      <c r="AR277" s="6"/>
      <c r="AS277" s="6"/>
      <c r="AT277" s="6"/>
      <c r="AU277" s="6"/>
      <c r="AV277" s="6"/>
      <c r="AW277" s="6">
        <v>42171</v>
      </c>
      <c r="AX277" s="6"/>
      <c r="AY277" s="6"/>
      <c r="AZ277" s="6"/>
      <c r="BA277" s="6"/>
      <c r="BB277" s="6"/>
      <c r="BC277" s="6"/>
      <c r="BD277" s="6"/>
      <c r="BE277" s="6"/>
      <c r="BF277" s="6">
        <v>42401</v>
      </c>
      <c r="BG277" s="6"/>
      <c r="BH277" s="6"/>
      <c r="BI277" s="6">
        <v>42467</v>
      </c>
      <c r="BJ277" s="6"/>
      <c r="BK277" s="6"/>
      <c r="BL277" s="6"/>
      <c r="BM277" s="6">
        <v>42467</v>
      </c>
      <c r="BN277" s="6"/>
      <c r="BO277" s="6"/>
      <c r="BP277" s="6"/>
      <c r="BQ277" s="6">
        <v>42465</v>
      </c>
      <c r="BR277" s="6"/>
      <c r="BS277" s="6"/>
      <c r="BT277" s="6"/>
      <c r="BU277" s="6"/>
      <c r="BV277" s="6"/>
      <c r="BW277" s="6"/>
      <c r="BX277" s="6"/>
      <c r="BY277" s="6"/>
      <c r="BZ277" s="6"/>
      <c r="CA277" s="6"/>
      <c r="CB277" s="6"/>
      <c r="CC277" s="6"/>
      <c r="CD277" s="6">
        <v>42471</v>
      </c>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row>
    <row r="278" spans="1:216" x14ac:dyDescent="0.3">
      <c r="A278" s="8" t="str">
        <f>HYPERLINK("https://hpr-rps.hres.ca/reg-content/summary-basis-decision-detailTwo.php?lang=en&amp;linkID=SBD00278", "Cotellic")</f>
        <v>Cotellic</v>
      </c>
      <c r="B278" s="6" t="s">
        <v>761</v>
      </c>
      <c r="C278" s="6" t="s">
        <v>84</v>
      </c>
      <c r="D278" s="6" t="s">
        <v>762</v>
      </c>
      <c r="E278" s="6"/>
      <c r="F278" s="6"/>
      <c r="G278" s="6"/>
      <c r="H278" s="6">
        <v>41284</v>
      </c>
      <c r="I278" s="6"/>
      <c r="J278" s="6"/>
      <c r="K278" s="6"/>
      <c r="L278" s="6"/>
      <c r="M278" s="6"/>
      <c r="N278" s="6"/>
      <c r="O278" s="6"/>
      <c r="P278" s="6"/>
      <c r="Q278" s="6"/>
      <c r="R278" s="6"/>
      <c r="S278" s="6"/>
      <c r="T278" s="6"/>
      <c r="U278" s="6"/>
      <c r="V278" s="6"/>
      <c r="W278" s="6"/>
      <c r="X278" s="6"/>
      <c r="Y278" s="6"/>
      <c r="Z278" s="6"/>
      <c r="AA278" s="6"/>
      <c r="AB278" s="6"/>
      <c r="AC278" s="6"/>
      <c r="AD278" s="6"/>
      <c r="AE278" s="6"/>
      <c r="AF278" s="6">
        <v>41334</v>
      </c>
      <c r="AG278" s="6"/>
      <c r="AH278" s="6"/>
      <c r="AI278" s="6"/>
      <c r="AJ278" s="6"/>
      <c r="AK278" s="6"/>
      <c r="AL278" s="6"/>
      <c r="AM278" s="6"/>
      <c r="AN278" s="6"/>
      <c r="AO278" s="6"/>
      <c r="AP278" s="6"/>
      <c r="AQ278" s="6"/>
      <c r="AR278" s="6">
        <v>41620</v>
      </c>
      <c r="AS278" s="6"/>
      <c r="AT278" s="6"/>
      <c r="AU278" s="6"/>
      <c r="AV278" s="6">
        <v>41620</v>
      </c>
      <c r="AW278" s="6"/>
      <c r="AX278" s="6"/>
      <c r="AY278" s="6"/>
      <c r="AZ278" s="6">
        <v>41627</v>
      </c>
      <c r="BA278" s="6"/>
      <c r="BB278" s="6"/>
      <c r="BC278" s="6"/>
      <c r="BD278" s="6"/>
      <c r="BE278" s="6"/>
      <c r="BF278" s="6"/>
      <c r="BG278" s="6"/>
      <c r="BH278" s="6"/>
      <c r="BI278" s="6"/>
      <c r="BJ278" s="6"/>
      <c r="BK278" s="6"/>
      <c r="BL278" s="6"/>
      <c r="BM278" s="6">
        <v>41631</v>
      </c>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c r="FZ278" s="6"/>
      <c r="GA278" s="6"/>
      <c r="GB278" s="6"/>
      <c r="GC278" s="6"/>
      <c r="GD278" s="6"/>
      <c r="GE278" s="6"/>
      <c r="GF278" s="6"/>
      <c r="GG278" s="6"/>
      <c r="GH278" s="6"/>
      <c r="GI278" s="6"/>
      <c r="GJ278" s="6"/>
      <c r="GK278" s="6"/>
      <c r="GL278" s="6"/>
      <c r="GM278" s="6"/>
      <c r="GN278" s="6"/>
      <c r="GO278" s="6"/>
      <c r="GP278" s="6"/>
      <c r="GQ278" s="6"/>
      <c r="GR278" s="6"/>
      <c r="GS278" s="6"/>
      <c r="GT278" s="6"/>
      <c r="GU278" s="6"/>
      <c r="GV278" s="6"/>
      <c r="GW278" s="6"/>
      <c r="GX278" s="6"/>
      <c r="GY278" s="6"/>
      <c r="GZ278" s="6"/>
      <c r="HA278" s="6"/>
      <c r="HB278" s="6"/>
      <c r="HC278" s="6"/>
      <c r="HD278" s="6"/>
      <c r="HE278" s="6"/>
      <c r="HF278" s="6"/>
      <c r="HG278" s="6"/>
      <c r="HH278" s="6"/>
    </row>
    <row r="279" spans="1:216" x14ac:dyDescent="0.3">
      <c r="A279" s="8" t="str">
        <f>HYPERLINK("https://hpr-rps.hres.ca/reg-content/summary-basis-decision-detailOne.php?lang=en&amp;linkID=SBD00302", "Victoza ®")</f>
        <v>Victoza ®</v>
      </c>
      <c r="B279" s="6" t="s">
        <v>763</v>
      </c>
      <c r="C279" s="6" t="s">
        <v>301</v>
      </c>
      <c r="D279" s="6" t="s">
        <v>764</v>
      </c>
      <c r="E279" s="6">
        <v>39583</v>
      </c>
      <c r="F279" s="6"/>
      <c r="G279" s="6"/>
      <c r="H279" s="6">
        <v>39631</v>
      </c>
      <c r="I279" s="6"/>
      <c r="J279" s="6"/>
      <c r="K279" s="6"/>
      <c r="L279" s="6"/>
      <c r="M279" s="6"/>
      <c r="N279" s="6"/>
      <c r="O279" s="6"/>
      <c r="P279" s="6"/>
      <c r="Q279" s="6"/>
      <c r="R279" s="6"/>
      <c r="S279" s="6"/>
      <c r="T279" s="6"/>
      <c r="U279" s="6"/>
      <c r="V279" s="6"/>
      <c r="W279" s="6"/>
      <c r="X279" s="6"/>
      <c r="Y279" s="6"/>
      <c r="Z279" s="6"/>
      <c r="AA279" s="6"/>
      <c r="AB279" s="6"/>
      <c r="AC279" s="6"/>
      <c r="AD279" s="6"/>
      <c r="AE279" s="6"/>
      <c r="AF279" s="6">
        <v>39675</v>
      </c>
      <c r="AG279" s="6"/>
      <c r="AH279" s="6"/>
      <c r="AI279" s="6"/>
      <c r="AJ279" s="6"/>
      <c r="AK279" s="6"/>
      <c r="AL279" s="6"/>
      <c r="AM279" s="6"/>
      <c r="AN279" s="6"/>
      <c r="AO279" s="6"/>
      <c r="AP279" s="6"/>
      <c r="AQ279" s="6"/>
      <c r="AR279" s="6"/>
      <c r="AS279" s="6">
        <v>39969</v>
      </c>
      <c r="AT279" s="6"/>
      <c r="AU279" s="6"/>
      <c r="AV279" s="6">
        <v>39969</v>
      </c>
      <c r="AW279" s="6"/>
      <c r="AX279" s="6">
        <v>39969</v>
      </c>
      <c r="AY279" s="6"/>
      <c r="AZ279" s="6">
        <v>39969</v>
      </c>
      <c r="BA279" s="6"/>
      <c r="BB279" s="6"/>
      <c r="BC279" s="6"/>
      <c r="BD279" s="6"/>
      <c r="BE279" s="6"/>
      <c r="BF279" s="6"/>
      <c r="BG279" s="6"/>
      <c r="BH279" s="6"/>
      <c r="BI279" s="6"/>
      <c r="BJ279" s="6"/>
      <c r="BK279" s="6"/>
      <c r="BL279" s="6"/>
      <c r="BM279" s="6"/>
      <c r="BN279" s="6"/>
      <c r="BO279" s="6"/>
      <c r="BP279" s="6">
        <v>39969</v>
      </c>
      <c r="BQ279" s="6"/>
      <c r="BR279" s="6"/>
      <c r="BS279" s="6"/>
      <c r="BT279" s="6"/>
      <c r="BU279" s="6"/>
      <c r="BV279" s="6"/>
      <c r="BW279" s="6"/>
      <c r="BX279" s="6"/>
      <c r="BY279" s="6">
        <v>39986</v>
      </c>
      <c r="BZ279" s="6"/>
      <c r="CA279" s="6"/>
      <c r="CB279" s="6"/>
      <c r="CC279" s="6"/>
      <c r="CD279" s="6"/>
      <c r="CE279" s="6"/>
      <c r="CF279" s="6"/>
      <c r="CG279" s="6"/>
      <c r="CH279" s="6"/>
      <c r="CI279" s="6"/>
      <c r="CJ279" s="6"/>
      <c r="CK279" s="6"/>
      <c r="CL279" s="6"/>
      <c r="CM279" s="6"/>
      <c r="CN279" s="6"/>
      <c r="CO279" s="6"/>
      <c r="CP279" s="6"/>
      <c r="CQ279" s="6"/>
      <c r="CR279" s="6">
        <v>40008</v>
      </c>
      <c r="CS279" s="6"/>
      <c r="CT279" s="6"/>
      <c r="CU279" s="6"/>
      <c r="CV279" s="6"/>
      <c r="CW279" s="6"/>
      <c r="CX279" s="6"/>
      <c r="CY279" s="6"/>
      <c r="CZ279" s="6"/>
      <c r="DA279" s="6"/>
      <c r="DB279" s="6"/>
      <c r="DC279" s="6"/>
      <c r="DD279" s="6">
        <v>40268</v>
      </c>
      <c r="DE279" s="6">
        <v>40319</v>
      </c>
      <c r="DF279" s="6"/>
      <c r="DG279" s="6"/>
      <c r="DH279" s="6">
        <v>40319</v>
      </c>
      <c r="DI279" s="6"/>
      <c r="DJ279" s="6">
        <v>40319</v>
      </c>
      <c r="DK279" s="6"/>
      <c r="DL279" s="6">
        <v>40319</v>
      </c>
      <c r="DM279" s="6"/>
      <c r="DN279" s="6"/>
      <c r="DO279" s="6"/>
      <c r="DP279" s="6"/>
      <c r="DQ279" s="6"/>
      <c r="DR279" s="6"/>
      <c r="DS279" s="6"/>
      <c r="DT279" s="6"/>
      <c r="DU279" s="6"/>
      <c r="DV279" s="6"/>
      <c r="DW279" s="6"/>
      <c r="DX279" s="6"/>
      <c r="DY279" s="6">
        <v>40319</v>
      </c>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c r="FZ279" s="6"/>
      <c r="GA279" s="6"/>
      <c r="GB279" s="6"/>
      <c r="GC279" s="6"/>
      <c r="GD279" s="6"/>
      <c r="GE279" s="6"/>
      <c r="GF279" s="6"/>
      <c r="GG279" s="6"/>
      <c r="GH279" s="6"/>
      <c r="GI279" s="6"/>
      <c r="GJ279" s="6"/>
      <c r="GK279" s="6"/>
      <c r="GL279" s="6"/>
      <c r="GM279" s="6"/>
      <c r="GN279" s="6"/>
      <c r="GO279" s="6"/>
      <c r="GP279" s="6"/>
      <c r="GQ279" s="6"/>
      <c r="GR279" s="6"/>
      <c r="GS279" s="6"/>
      <c r="GT279" s="6"/>
      <c r="GU279" s="6"/>
      <c r="GV279" s="6"/>
      <c r="GW279" s="6"/>
      <c r="GX279" s="6"/>
      <c r="GY279" s="6"/>
      <c r="GZ279" s="6"/>
      <c r="HA279" s="6"/>
      <c r="HB279" s="6"/>
      <c r="HC279" s="6"/>
      <c r="HD279" s="6"/>
      <c r="HE279" s="6"/>
      <c r="HF279" s="6"/>
      <c r="HG279" s="6"/>
      <c r="HH279" s="6"/>
    </row>
    <row r="280" spans="1:216" x14ac:dyDescent="0.3">
      <c r="A280" s="8" t="str">
        <f>HYPERLINK("https://hpr-rps.hres.ca/reg-content/summary-basis-decision-detailTwo.php?lang=en&amp;linkID=SBD00279", "Nucala")</f>
        <v>Nucala</v>
      </c>
      <c r="B280" s="6" t="s">
        <v>765</v>
      </c>
      <c r="C280" s="6" t="s">
        <v>96</v>
      </c>
      <c r="D280" s="6" t="s">
        <v>766</v>
      </c>
      <c r="E280" s="6">
        <v>41396</v>
      </c>
      <c r="F280" s="6">
        <v>41920</v>
      </c>
      <c r="G280" s="6">
        <v>41978</v>
      </c>
      <c r="H280" s="6">
        <v>42047</v>
      </c>
      <c r="I280" s="6"/>
      <c r="J280" s="6"/>
      <c r="K280" s="6"/>
      <c r="L280" s="6"/>
      <c r="M280" s="6"/>
      <c r="N280" s="6"/>
      <c r="O280" s="6"/>
      <c r="P280" s="6"/>
      <c r="Q280" s="6"/>
      <c r="R280" s="6"/>
      <c r="S280" s="6"/>
      <c r="T280" s="6"/>
      <c r="U280" s="6"/>
      <c r="V280" s="6"/>
      <c r="W280" s="6"/>
      <c r="X280" s="6"/>
      <c r="Y280" s="6"/>
      <c r="Z280" s="6"/>
      <c r="AA280" s="6"/>
      <c r="AB280" s="6"/>
      <c r="AC280" s="6"/>
      <c r="AD280" s="6"/>
      <c r="AE280" s="6"/>
      <c r="AF280" s="6">
        <v>42090</v>
      </c>
      <c r="AG280" s="6"/>
      <c r="AH280" s="6"/>
      <c r="AI280" s="6"/>
      <c r="AJ280" s="6"/>
      <c r="AK280" s="6"/>
      <c r="AL280" s="6"/>
      <c r="AM280" s="6"/>
      <c r="AN280" s="6"/>
      <c r="AO280" s="6"/>
      <c r="AP280" s="6"/>
      <c r="AQ280" s="6"/>
      <c r="AR280" s="6">
        <v>42389</v>
      </c>
      <c r="AS280" s="6">
        <v>42339</v>
      </c>
      <c r="AT280" s="6"/>
      <c r="AU280" s="6"/>
      <c r="AV280" s="6">
        <v>42377</v>
      </c>
      <c r="AW280" s="6"/>
      <c r="AX280" s="6"/>
      <c r="AY280" s="6"/>
      <c r="AZ280" s="6">
        <v>42389</v>
      </c>
      <c r="BA280" s="6"/>
      <c r="BB280" s="6"/>
      <c r="BC280" s="6"/>
      <c r="BD280" s="6"/>
      <c r="BE280" s="6"/>
      <c r="BF280" s="6"/>
      <c r="BG280" s="6"/>
      <c r="BH280" s="6"/>
      <c r="BI280" s="6"/>
      <c r="BJ280" s="6"/>
      <c r="BK280" s="6"/>
      <c r="BL280" s="6">
        <v>42390</v>
      </c>
      <c r="BM280" s="6">
        <v>42445</v>
      </c>
      <c r="BN280" s="6"/>
      <c r="BO280" s="6"/>
      <c r="BP280" s="6"/>
      <c r="BQ280" s="6"/>
      <c r="BR280" s="6"/>
      <c r="BS280" s="6"/>
      <c r="BT280" s="6"/>
      <c r="BU280" s="6"/>
      <c r="BV280" s="6"/>
      <c r="BW280" s="6"/>
      <c r="BX280" s="6"/>
      <c r="BY280" s="6">
        <v>42411</v>
      </c>
      <c r="BZ280" s="6"/>
      <c r="CA280" s="6"/>
      <c r="CB280" s="6"/>
      <c r="CC280" s="6">
        <v>42443</v>
      </c>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c r="FZ280" s="6"/>
      <c r="GA280" s="6"/>
      <c r="GB280" s="6"/>
      <c r="GC280" s="6"/>
      <c r="GD280" s="6"/>
      <c r="GE280" s="6"/>
      <c r="GF280" s="6"/>
      <c r="GG280" s="6"/>
      <c r="GH280" s="6"/>
      <c r="GI280" s="6"/>
      <c r="GJ280" s="6"/>
      <c r="GK280" s="6"/>
      <c r="GL280" s="6"/>
      <c r="GM280" s="6"/>
      <c r="GN280" s="6"/>
      <c r="GO280" s="6"/>
      <c r="GP280" s="6"/>
      <c r="GQ280" s="6"/>
      <c r="GR280" s="6"/>
      <c r="GS280" s="6"/>
      <c r="GT280" s="6"/>
      <c r="GU280" s="6"/>
      <c r="GV280" s="6"/>
      <c r="GW280" s="6"/>
      <c r="GX280" s="6"/>
      <c r="GY280" s="6"/>
      <c r="GZ280" s="6"/>
      <c r="HA280" s="6"/>
      <c r="HB280" s="6"/>
      <c r="HC280" s="6"/>
      <c r="HD280" s="6"/>
      <c r="HE280" s="6"/>
      <c r="HF280" s="6"/>
      <c r="HG280" s="6"/>
      <c r="HH280" s="6"/>
    </row>
    <row r="281" spans="1:216" x14ac:dyDescent="0.3">
      <c r="A281" s="8" t="str">
        <f>HYPERLINK("https://hpr-rps.hres.ca/reg-content/summary-basis-decision-detailTwo.php?lang=en&amp;linkID=SBD00280", "Arepanrix H5N1")</f>
        <v>Arepanrix H5N1</v>
      </c>
      <c r="B281" s="6" t="s">
        <v>767</v>
      </c>
      <c r="C281" s="6" t="s">
        <v>768</v>
      </c>
      <c r="D281" s="6" t="s">
        <v>769</v>
      </c>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c r="FZ281" s="6"/>
      <c r="GA281" s="6"/>
      <c r="GB281" s="6"/>
      <c r="GC281" s="6"/>
      <c r="GD281" s="6"/>
      <c r="GE281" s="6"/>
      <c r="GF281" s="6"/>
      <c r="GG281" s="6"/>
      <c r="GH281" s="6"/>
      <c r="GI281" s="6"/>
      <c r="GJ281" s="6"/>
      <c r="GK281" s="6"/>
      <c r="GL281" s="6"/>
      <c r="GM281" s="6"/>
      <c r="GN281" s="6"/>
      <c r="GO281" s="6"/>
      <c r="GP281" s="6"/>
      <c r="GQ281" s="6"/>
      <c r="GR281" s="6"/>
      <c r="GS281" s="6"/>
      <c r="GT281" s="6"/>
      <c r="GU281" s="6"/>
      <c r="GV281" s="6"/>
      <c r="GW281" s="6"/>
      <c r="GX281" s="6"/>
      <c r="GY281" s="6"/>
      <c r="GZ281" s="6"/>
      <c r="HA281" s="6"/>
      <c r="HB281" s="6"/>
      <c r="HC281" s="6"/>
      <c r="HD281" s="6"/>
      <c r="HE281" s="6"/>
      <c r="HF281" s="6"/>
      <c r="HG281" s="6"/>
      <c r="HH281" s="6"/>
    </row>
    <row r="282" spans="1:216" x14ac:dyDescent="0.3">
      <c r="A282" s="8" t="str">
        <f>HYPERLINK("https://hpr-rps.hres.ca/reg-content/summary-basis-decision-detailTwo.php?lang=en&amp;linkID=SBD00281", "Basaglar")</f>
        <v>Basaglar</v>
      </c>
      <c r="B282" s="6" t="s">
        <v>770</v>
      </c>
      <c r="C282" s="6" t="s">
        <v>140</v>
      </c>
      <c r="D282" s="6" t="s">
        <v>771</v>
      </c>
      <c r="E282" s="6">
        <v>41523</v>
      </c>
      <c r="F282" s="6"/>
      <c r="G282" s="6"/>
      <c r="H282" s="6">
        <v>41880</v>
      </c>
      <c r="I282" s="6"/>
      <c r="J282" s="6"/>
      <c r="K282" s="6"/>
      <c r="L282" s="6"/>
      <c r="M282" s="6"/>
      <c r="N282" s="6"/>
      <c r="O282" s="6"/>
      <c r="P282" s="6"/>
      <c r="Q282" s="6"/>
      <c r="R282" s="6"/>
      <c r="S282" s="6"/>
      <c r="T282" s="6"/>
      <c r="U282" s="6"/>
      <c r="V282" s="6"/>
      <c r="W282" s="6"/>
      <c r="X282" s="6"/>
      <c r="Y282" s="6"/>
      <c r="Z282" s="6"/>
      <c r="AA282" s="6"/>
      <c r="AB282" s="6"/>
      <c r="AC282" s="6"/>
      <c r="AD282" s="6"/>
      <c r="AE282" s="6"/>
      <c r="AF282" s="6">
        <v>41936</v>
      </c>
      <c r="AG282" s="6"/>
      <c r="AH282" s="6"/>
      <c r="AI282" s="6"/>
      <c r="AJ282" s="6"/>
      <c r="AK282" s="6"/>
      <c r="AL282" s="6"/>
      <c r="AM282" s="6"/>
      <c r="AN282" s="6"/>
      <c r="AO282" s="6"/>
      <c r="AP282" s="6"/>
      <c r="AQ282" s="6"/>
      <c r="AR282" s="6">
        <v>42235</v>
      </c>
      <c r="AS282" s="6"/>
      <c r="AT282" s="6"/>
      <c r="AU282" s="6"/>
      <c r="AV282" s="6">
        <v>42227</v>
      </c>
      <c r="AW282" s="6"/>
      <c r="AX282" s="6"/>
      <c r="AY282" s="6"/>
      <c r="AZ282" s="6">
        <v>42235</v>
      </c>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c r="FZ282" s="6"/>
      <c r="GA282" s="6"/>
      <c r="GB282" s="6"/>
      <c r="GC282" s="6"/>
      <c r="GD282" s="6"/>
      <c r="GE282" s="6"/>
      <c r="GF282" s="6"/>
      <c r="GG282" s="6"/>
      <c r="GH282" s="6"/>
      <c r="GI282" s="6"/>
      <c r="GJ282" s="6"/>
      <c r="GK282" s="6"/>
      <c r="GL282" s="6"/>
      <c r="GM282" s="6"/>
      <c r="GN282" s="6"/>
      <c r="GO282" s="6"/>
      <c r="GP282" s="6"/>
      <c r="GQ282" s="6"/>
      <c r="GR282" s="6"/>
      <c r="GS282" s="6"/>
      <c r="GT282" s="6"/>
      <c r="GU282" s="6"/>
      <c r="GV282" s="6"/>
      <c r="GW282" s="6"/>
      <c r="GX282" s="6"/>
      <c r="GY282" s="6"/>
      <c r="GZ282" s="6"/>
      <c r="HA282" s="6"/>
      <c r="HB282" s="6"/>
      <c r="HC282" s="6"/>
      <c r="HD282" s="6"/>
      <c r="HE282" s="6"/>
      <c r="HF282" s="6"/>
      <c r="HG282" s="6"/>
      <c r="HH282" s="6"/>
    </row>
    <row r="283" spans="1:216" x14ac:dyDescent="0.3">
      <c r="A283" s="8" t="str">
        <f>HYPERLINK("https://hpr-rps.hres.ca/reg-content/summary-basis-decision-detailTwo.php?lang=en&amp;linkID=SBD00282", "Blexten")</f>
        <v>Blexten</v>
      </c>
      <c r="B283" s="6" t="s">
        <v>772</v>
      </c>
      <c r="C283" s="6" t="s">
        <v>773</v>
      </c>
      <c r="D283" s="6" t="s">
        <v>774</v>
      </c>
      <c r="E283" s="6">
        <v>41956</v>
      </c>
      <c r="F283" s="6"/>
      <c r="G283" s="6"/>
      <c r="H283" s="6"/>
      <c r="I283" s="6"/>
      <c r="J283" s="6"/>
      <c r="K283" s="6"/>
      <c r="L283" s="6"/>
      <c r="M283" s="6"/>
      <c r="N283" s="6">
        <v>41982</v>
      </c>
      <c r="O283" s="6"/>
      <c r="P283" s="6"/>
      <c r="Q283" s="6"/>
      <c r="R283" s="6"/>
      <c r="S283" s="6"/>
      <c r="T283" s="6">
        <v>42012</v>
      </c>
      <c r="U283" s="6"/>
      <c r="V283" s="6">
        <v>42023</v>
      </c>
      <c r="W283" s="6"/>
      <c r="X283" s="6"/>
      <c r="Y283" s="6"/>
      <c r="Z283" s="6"/>
      <c r="AA283" s="6"/>
      <c r="AB283" s="6"/>
      <c r="AC283" s="6"/>
      <c r="AD283" s="6"/>
      <c r="AE283" s="6"/>
      <c r="AF283" s="6">
        <v>42058</v>
      </c>
      <c r="AG283" s="6"/>
      <c r="AH283" s="6"/>
      <c r="AI283" s="6"/>
      <c r="AJ283" s="6"/>
      <c r="AK283" s="6"/>
      <c r="AL283" s="6"/>
      <c r="AM283" s="6"/>
      <c r="AN283" s="6"/>
      <c r="AO283" s="6"/>
      <c r="AP283" s="6"/>
      <c r="AQ283" s="6"/>
      <c r="AR283" s="6">
        <v>42332</v>
      </c>
      <c r="AS283" s="6"/>
      <c r="AT283" s="6"/>
      <c r="AU283" s="6"/>
      <c r="AV283" s="6">
        <v>42318</v>
      </c>
      <c r="AW283" s="6"/>
      <c r="AX283" s="6"/>
      <c r="AY283" s="6"/>
      <c r="AZ283" s="6">
        <v>42318</v>
      </c>
      <c r="BA283" s="6"/>
      <c r="BB283" s="6"/>
      <c r="BC283" s="6"/>
      <c r="BD283" s="6"/>
      <c r="BE283" s="6"/>
      <c r="BF283" s="6"/>
      <c r="BG283" s="6"/>
      <c r="BH283" s="6"/>
      <c r="BI283" s="6"/>
      <c r="BJ283" s="6"/>
      <c r="BK283" s="6"/>
      <c r="BL283" s="6"/>
      <c r="BM283" s="6">
        <v>42335</v>
      </c>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c r="FZ283" s="6"/>
      <c r="GA283" s="6"/>
      <c r="GB283" s="6"/>
      <c r="GC283" s="6"/>
      <c r="GD283" s="6"/>
      <c r="GE283" s="6"/>
      <c r="GF283" s="6"/>
      <c r="GG283" s="6"/>
      <c r="GH283" s="6"/>
      <c r="GI283" s="6"/>
      <c r="GJ283" s="6"/>
      <c r="GK283" s="6"/>
      <c r="GL283" s="6"/>
      <c r="GM283" s="6"/>
      <c r="GN283" s="6"/>
      <c r="GO283" s="6"/>
      <c r="GP283" s="6"/>
      <c r="GQ283" s="6"/>
      <c r="GR283" s="6"/>
      <c r="GS283" s="6"/>
      <c r="GT283" s="6"/>
      <c r="GU283" s="6"/>
      <c r="GV283" s="6"/>
      <c r="GW283" s="6"/>
      <c r="GX283" s="6"/>
      <c r="GY283" s="6"/>
      <c r="GZ283" s="6"/>
      <c r="HA283" s="6"/>
      <c r="HB283" s="6"/>
      <c r="HC283" s="6"/>
      <c r="HD283" s="6"/>
      <c r="HE283" s="6"/>
      <c r="HF283" s="6"/>
      <c r="HG283" s="6"/>
      <c r="HH283" s="6"/>
    </row>
    <row r="284" spans="1:216" x14ac:dyDescent="0.3">
      <c r="A284" s="8" t="str">
        <f>HYPERLINK("https://hpr-rps.hres.ca/reg-content/summary-basis-decision-detailTwo.php?lang=en&amp;linkID=SBD00284", "Brivlera")</f>
        <v>Brivlera</v>
      </c>
      <c r="B284" s="6" t="s">
        <v>775</v>
      </c>
      <c r="C284" s="6" t="s">
        <v>164</v>
      </c>
      <c r="D284" s="6" t="s">
        <v>776</v>
      </c>
      <c r="E284" s="6">
        <v>41675</v>
      </c>
      <c r="F284" s="6"/>
      <c r="G284" s="6"/>
      <c r="H284" s="6">
        <v>42135</v>
      </c>
      <c r="I284" s="6"/>
      <c r="J284" s="6"/>
      <c r="K284" s="6"/>
      <c r="L284" s="6"/>
      <c r="M284" s="6"/>
      <c r="N284" s="6"/>
      <c r="O284" s="6"/>
      <c r="P284" s="6"/>
      <c r="Q284" s="6"/>
      <c r="R284" s="6"/>
      <c r="S284" s="6"/>
      <c r="T284" s="6"/>
      <c r="U284" s="6"/>
      <c r="V284" s="6"/>
      <c r="W284" s="6"/>
      <c r="X284" s="6"/>
      <c r="Y284" s="6"/>
      <c r="Z284" s="6"/>
      <c r="AA284" s="6"/>
      <c r="AB284" s="6"/>
      <c r="AC284" s="6"/>
      <c r="AD284" s="6"/>
      <c r="AE284" s="6"/>
      <c r="AF284" s="6">
        <v>42181</v>
      </c>
      <c r="AG284" s="6"/>
      <c r="AH284" s="6"/>
      <c r="AI284" s="6"/>
      <c r="AJ284" s="6"/>
      <c r="AK284" s="6"/>
      <c r="AL284" s="6"/>
      <c r="AM284" s="6"/>
      <c r="AN284" s="6"/>
      <c r="AO284" s="6"/>
      <c r="AP284" s="6"/>
      <c r="AQ284" s="6"/>
      <c r="AR284" s="6">
        <v>42481</v>
      </c>
      <c r="AS284" s="6">
        <v>42458</v>
      </c>
      <c r="AT284" s="6"/>
      <c r="AU284" s="6"/>
      <c r="AV284" s="6">
        <v>42464</v>
      </c>
      <c r="AW284" s="6"/>
      <c r="AX284" s="6"/>
      <c r="AY284" s="6"/>
      <c r="AZ284" s="6">
        <v>42481</v>
      </c>
      <c r="BA284" s="6"/>
      <c r="BB284" s="6"/>
      <c r="BC284" s="6"/>
      <c r="BD284" s="6"/>
      <c r="BE284" s="6"/>
      <c r="BF284" s="6"/>
      <c r="BG284" s="6"/>
      <c r="BH284" s="6"/>
      <c r="BI284" s="6"/>
      <c r="BJ284" s="6"/>
      <c r="BK284" s="6"/>
      <c r="BL284" s="6"/>
      <c r="BM284" s="6">
        <v>42481</v>
      </c>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c r="FZ284" s="6"/>
      <c r="GA284" s="6"/>
      <c r="GB284" s="6"/>
      <c r="GC284" s="6"/>
      <c r="GD284" s="6"/>
      <c r="GE284" s="6"/>
      <c r="GF284" s="6"/>
      <c r="GG284" s="6"/>
      <c r="GH284" s="6"/>
      <c r="GI284" s="6"/>
      <c r="GJ284" s="6"/>
      <c r="GK284" s="6"/>
      <c r="GL284" s="6"/>
      <c r="GM284" s="6"/>
      <c r="GN284" s="6"/>
      <c r="GO284" s="6"/>
      <c r="GP284" s="6"/>
      <c r="GQ284" s="6"/>
      <c r="GR284" s="6"/>
      <c r="GS284" s="6"/>
      <c r="GT284" s="6"/>
      <c r="GU284" s="6"/>
      <c r="GV284" s="6"/>
      <c r="GW284" s="6"/>
      <c r="GX284" s="6"/>
      <c r="GY284" s="6"/>
      <c r="GZ284" s="6"/>
      <c r="HA284" s="6"/>
      <c r="HB284" s="6"/>
      <c r="HC284" s="6"/>
      <c r="HD284" s="6"/>
      <c r="HE284" s="6"/>
      <c r="HF284" s="6"/>
      <c r="HG284" s="6"/>
      <c r="HH284" s="6"/>
    </row>
    <row r="285" spans="1:216" x14ac:dyDescent="0.3">
      <c r="A285" s="8" t="str">
        <f>HYPERLINK("https://hpr-rps.hres.ca/reg-content/summary-basis-decision-detailTwo.php?lang=en&amp;linkID=SBD00285", "Eperzan")</f>
        <v>Eperzan</v>
      </c>
      <c r="B285" s="6" t="s">
        <v>777</v>
      </c>
      <c r="C285" s="6" t="s">
        <v>96</v>
      </c>
      <c r="D285" s="6" t="s">
        <v>778</v>
      </c>
      <c r="E285" s="6"/>
      <c r="F285" s="6"/>
      <c r="G285" s="6"/>
      <c r="H285" s="6">
        <v>41775</v>
      </c>
      <c r="I285" s="6"/>
      <c r="J285" s="6"/>
      <c r="K285" s="6"/>
      <c r="L285" s="6"/>
      <c r="M285" s="6"/>
      <c r="N285" s="6"/>
      <c r="O285" s="6"/>
      <c r="P285" s="6"/>
      <c r="Q285" s="6"/>
      <c r="R285" s="6"/>
      <c r="S285" s="6"/>
      <c r="T285" s="6"/>
      <c r="U285" s="6"/>
      <c r="V285" s="6"/>
      <c r="W285" s="6"/>
      <c r="X285" s="6"/>
      <c r="Y285" s="6"/>
      <c r="Z285" s="6">
        <v>41835</v>
      </c>
      <c r="AA285" s="6"/>
      <c r="AB285" s="6"/>
      <c r="AC285" s="6"/>
      <c r="AD285" s="6"/>
      <c r="AE285" s="6"/>
      <c r="AF285" s="6"/>
      <c r="AG285" s="6"/>
      <c r="AH285" s="6"/>
      <c r="AI285" s="6"/>
      <c r="AJ285" s="6"/>
      <c r="AK285" s="6"/>
      <c r="AL285" s="6"/>
      <c r="AM285" s="6"/>
      <c r="AN285" s="6"/>
      <c r="AO285" s="6"/>
      <c r="AP285" s="6"/>
      <c r="AQ285" s="6"/>
      <c r="AR285" s="6"/>
      <c r="AS285" s="6"/>
      <c r="AT285" s="6"/>
      <c r="AU285" s="6"/>
      <c r="AV285" s="6">
        <v>42167</v>
      </c>
      <c r="AW285" s="6"/>
      <c r="AX285" s="6"/>
      <c r="AY285" s="6"/>
      <c r="AZ285" s="6">
        <v>42223</v>
      </c>
      <c r="BA285" s="6"/>
      <c r="BB285" s="6"/>
      <c r="BC285" s="6"/>
      <c r="BD285" s="6"/>
      <c r="BE285" s="6"/>
      <c r="BF285" s="6"/>
      <c r="BG285" s="6"/>
      <c r="BH285" s="6"/>
      <c r="BI285" s="6"/>
      <c r="BJ285" s="6"/>
      <c r="BK285" s="6"/>
      <c r="BL285" s="6"/>
      <c r="BM285" s="6"/>
      <c r="BN285" s="6"/>
      <c r="BO285" s="6"/>
      <c r="BP285" s="6"/>
      <c r="BQ285" s="6"/>
      <c r="BR285" s="6"/>
      <c r="BS285" s="6"/>
      <c r="BT285" s="6">
        <v>42179</v>
      </c>
      <c r="BU285" s="6"/>
      <c r="BV285" s="6"/>
      <c r="BW285" s="6"/>
      <c r="BX285" s="6"/>
      <c r="BY285" s="6">
        <v>42269</v>
      </c>
      <c r="BZ285" s="6"/>
      <c r="CA285" s="6"/>
      <c r="CB285" s="6"/>
      <c r="CC285" s="6"/>
      <c r="CD285" s="6"/>
      <c r="CE285" s="6"/>
      <c r="CF285" s="6"/>
      <c r="CG285" s="6"/>
      <c r="CH285" s="6"/>
      <c r="CI285" s="6"/>
      <c r="CJ285" s="6"/>
      <c r="CK285" s="6"/>
      <c r="CL285" s="6"/>
      <c r="CM285" s="6"/>
      <c r="CN285" s="6"/>
      <c r="CO285" s="6"/>
      <c r="CP285" s="6"/>
      <c r="CQ285" s="6"/>
      <c r="CR285" s="6">
        <v>42292</v>
      </c>
      <c r="CS285" s="6"/>
      <c r="CT285" s="6"/>
      <c r="CU285" s="6"/>
      <c r="CV285" s="6"/>
      <c r="CW285" s="6"/>
      <c r="CX285" s="6"/>
      <c r="CY285" s="6"/>
      <c r="CZ285" s="6"/>
      <c r="DA285" s="6"/>
      <c r="DB285" s="6"/>
      <c r="DC285" s="6"/>
      <c r="DD285" s="6">
        <v>42418</v>
      </c>
      <c r="DE285" s="6"/>
      <c r="DF285" s="6"/>
      <c r="DG285" s="6"/>
      <c r="DH285" s="6">
        <v>42411</v>
      </c>
      <c r="DI285" s="6"/>
      <c r="DJ285" s="6"/>
      <c r="DK285" s="6"/>
      <c r="DL285" s="6">
        <v>42437</v>
      </c>
      <c r="DM285" s="6"/>
      <c r="DN285" s="6"/>
      <c r="DO285" s="6"/>
      <c r="DP285" s="6"/>
      <c r="DQ285" s="6"/>
      <c r="DR285" s="6"/>
      <c r="DS285" s="6"/>
      <c r="DT285" s="6"/>
      <c r="DU285" s="6"/>
      <c r="DV285" s="6"/>
      <c r="DW285" s="6"/>
      <c r="DX285" s="6"/>
      <c r="DY285" s="6">
        <v>42438</v>
      </c>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c r="FZ285" s="6"/>
      <c r="GA285" s="6"/>
      <c r="GB285" s="6"/>
      <c r="GC285" s="6"/>
      <c r="GD285" s="6"/>
      <c r="GE285" s="6"/>
      <c r="GF285" s="6"/>
      <c r="GG285" s="6"/>
      <c r="GH285" s="6"/>
      <c r="GI285" s="6"/>
      <c r="GJ285" s="6"/>
      <c r="GK285" s="6"/>
      <c r="GL285" s="6"/>
      <c r="GM285" s="6"/>
      <c r="GN285" s="6"/>
      <c r="GO285" s="6"/>
      <c r="GP285" s="6"/>
      <c r="GQ285" s="6"/>
      <c r="GR285" s="6"/>
      <c r="GS285" s="6"/>
      <c r="GT285" s="6"/>
      <c r="GU285" s="6"/>
      <c r="GV285" s="6"/>
      <c r="GW285" s="6"/>
      <c r="GX285" s="6"/>
      <c r="GY285" s="6"/>
      <c r="GZ285" s="6"/>
      <c r="HA285" s="6"/>
      <c r="HB285" s="6"/>
      <c r="HC285" s="6"/>
      <c r="HD285" s="6"/>
      <c r="HE285" s="6"/>
      <c r="HF285" s="6"/>
      <c r="HG285" s="6"/>
      <c r="HH285" s="6"/>
    </row>
    <row r="286" spans="1:216" x14ac:dyDescent="0.3">
      <c r="A286" s="8" t="str">
        <f>HYPERLINK("https://hpr-rps.hres.ca/reg-content/summary-basis-decision-detailTwo.php?lang=en&amp;linkID=SBD00286", "Genvoya")</f>
        <v>Genvoya</v>
      </c>
      <c r="B286" s="6" t="s">
        <v>779</v>
      </c>
      <c r="C286" s="6" t="s">
        <v>134</v>
      </c>
      <c r="D286" s="6" t="s">
        <v>780</v>
      </c>
      <c r="E286" s="6">
        <v>41956</v>
      </c>
      <c r="F286" s="6"/>
      <c r="G286" s="6"/>
      <c r="H286" s="6"/>
      <c r="I286" s="6"/>
      <c r="J286" s="6"/>
      <c r="K286" s="6"/>
      <c r="L286" s="6"/>
      <c r="M286" s="6"/>
      <c r="N286" s="6">
        <v>41982</v>
      </c>
      <c r="O286" s="6"/>
      <c r="P286" s="6"/>
      <c r="Q286" s="6"/>
      <c r="R286" s="6"/>
      <c r="S286" s="6"/>
      <c r="T286" s="6">
        <v>42012</v>
      </c>
      <c r="U286" s="6"/>
      <c r="V286" s="6">
        <v>42023</v>
      </c>
      <c r="W286" s="6"/>
      <c r="X286" s="6"/>
      <c r="Y286" s="6"/>
      <c r="Z286" s="6"/>
      <c r="AA286" s="6"/>
      <c r="AB286" s="6"/>
      <c r="AC286" s="6"/>
      <c r="AD286" s="6"/>
      <c r="AE286" s="6"/>
      <c r="AF286" s="6">
        <v>42058</v>
      </c>
      <c r="AG286" s="6"/>
      <c r="AH286" s="6"/>
      <c r="AI286" s="6"/>
      <c r="AJ286" s="6"/>
      <c r="AK286" s="6"/>
      <c r="AL286" s="6"/>
      <c r="AM286" s="6"/>
      <c r="AN286" s="6"/>
      <c r="AO286" s="6"/>
      <c r="AP286" s="6"/>
      <c r="AQ286" s="6"/>
      <c r="AR286" s="6">
        <v>42332</v>
      </c>
      <c r="AS286" s="6"/>
      <c r="AT286" s="6"/>
      <c r="AU286" s="6"/>
      <c r="AV286" s="6">
        <v>42318</v>
      </c>
      <c r="AW286" s="6"/>
      <c r="AX286" s="6"/>
      <c r="AY286" s="6"/>
      <c r="AZ286" s="6">
        <v>42318</v>
      </c>
      <c r="BA286" s="6"/>
      <c r="BB286" s="6"/>
      <c r="BC286" s="6"/>
      <c r="BD286" s="6"/>
      <c r="BE286" s="6"/>
      <c r="BF286" s="6"/>
      <c r="BG286" s="6"/>
      <c r="BH286" s="6"/>
      <c r="BI286" s="6"/>
      <c r="BJ286" s="6"/>
      <c r="BK286" s="6"/>
      <c r="BL286" s="6"/>
      <c r="BM286" s="6">
        <v>42335</v>
      </c>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c r="FZ286" s="6"/>
      <c r="GA286" s="6"/>
      <c r="GB286" s="6"/>
      <c r="GC286" s="6"/>
      <c r="GD286" s="6"/>
      <c r="GE286" s="6"/>
      <c r="GF286" s="6"/>
      <c r="GG286" s="6"/>
      <c r="GH286" s="6"/>
      <c r="GI286" s="6"/>
      <c r="GJ286" s="6"/>
      <c r="GK286" s="6"/>
      <c r="GL286" s="6"/>
      <c r="GM286" s="6"/>
      <c r="GN286" s="6"/>
      <c r="GO286" s="6"/>
      <c r="GP286" s="6"/>
      <c r="GQ286" s="6"/>
      <c r="GR286" s="6"/>
      <c r="GS286" s="6"/>
      <c r="GT286" s="6"/>
      <c r="GU286" s="6"/>
      <c r="GV286" s="6"/>
      <c r="GW286" s="6"/>
      <c r="GX286" s="6"/>
      <c r="GY286" s="6"/>
      <c r="GZ286" s="6"/>
      <c r="HA286" s="6"/>
      <c r="HB286" s="6"/>
      <c r="HC286" s="6"/>
      <c r="HD286" s="6"/>
      <c r="HE286" s="6"/>
      <c r="HF286" s="6"/>
      <c r="HG286" s="6"/>
      <c r="HH286" s="6"/>
    </row>
    <row r="287" spans="1:216" x14ac:dyDescent="0.3">
      <c r="A287" s="8" t="str">
        <f>HYPERLINK("https://hpr-rps.hres.ca/reg-content/summary-basis-decision-detailTwo.php?lang=en&amp;linkID=SBD00287", "Ibrance")</f>
        <v>Ibrance</v>
      </c>
      <c r="B287" s="6" t="s">
        <v>781</v>
      </c>
      <c r="C287" s="6" t="s">
        <v>143</v>
      </c>
      <c r="D287" s="6" t="s">
        <v>782</v>
      </c>
      <c r="E287" s="6">
        <v>41396</v>
      </c>
      <c r="F287" s="6">
        <v>41920</v>
      </c>
      <c r="G287" s="6">
        <v>41978</v>
      </c>
      <c r="H287" s="6">
        <v>42047</v>
      </c>
      <c r="I287" s="6"/>
      <c r="J287" s="6"/>
      <c r="K287" s="6"/>
      <c r="L287" s="6"/>
      <c r="M287" s="6"/>
      <c r="N287" s="6"/>
      <c r="O287" s="6"/>
      <c r="P287" s="6"/>
      <c r="Q287" s="6"/>
      <c r="R287" s="6"/>
      <c r="S287" s="6"/>
      <c r="T287" s="6"/>
      <c r="U287" s="6"/>
      <c r="V287" s="6"/>
      <c r="W287" s="6"/>
      <c r="X287" s="6"/>
      <c r="Y287" s="6"/>
      <c r="Z287" s="6"/>
      <c r="AA287" s="6"/>
      <c r="AB287" s="6"/>
      <c r="AC287" s="6"/>
      <c r="AD287" s="6"/>
      <c r="AE287" s="6"/>
      <c r="AF287" s="6">
        <v>42090</v>
      </c>
      <c r="AG287" s="6"/>
      <c r="AH287" s="6"/>
      <c r="AI287" s="6"/>
      <c r="AJ287" s="6"/>
      <c r="AK287" s="6"/>
      <c r="AL287" s="6"/>
      <c r="AM287" s="6"/>
      <c r="AN287" s="6"/>
      <c r="AO287" s="6"/>
      <c r="AP287" s="6"/>
      <c r="AQ287" s="6"/>
      <c r="AR287" s="6">
        <v>42389</v>
      </c>
      <c r="AS287" s="6">
        <v>42339</v>
      </c>
      <c r="AT287" s="6"/>
      <c r="AU287" s="6"/>
      <c r="AV287" s="6">
        <v>42377</v>
      </c>
      <c r="AW287" s="6"/>
      <c r="AX287" s="6"/>
      <c r="AY287" s="6"/>
      <c r="AZ287" s="6">
        <v>42389</v>
      </c>
      <c r="BA287" s="6"/>
      <c r="BB287" s="6"/>
      <c r="BC287" s="6"/>
      <c r="BD287" s="6"/>
      <c r="BE287" s="6"/>
      <c r="BF287" s="6"/>
      <c r="BG287" s="6"/>
      <c r="BH287" s="6"/>
      <c r="BI287" s="6"/>
      <c r="BJ287" s="6"/>
      <c r="BK287" s="6"/>
      <c r="BL287" s="6">
        <v>42390</v>
      </c>
      <c r="BM287" s="6">
        <v>42445</v>
      </c>
      <c r="BN287" s="6"/>
      <c r="BO287" s="6"/>
      <c r="BP287" s="6"/>
      <c r="BQ287" s="6"/>
      <c r="BR287" s="6"/>
      <c r="BS287" s="6"/>
      <c r="BT287" s="6"/>
      <c r="BU287" s="6"/>
      <c r="BV287" s="6"/>
      <c r="BW287" s="6"/>
      <c r="BX287" s="6"/>
      <c r="BY287" s="6">
        <v>42411</v>
      </c>
      <c r="BZ287" s="6"/>
      <c r="CA287" s="6"/>
      <c r="CB287" s="6"/>
      <c r="CC287" s="6">
        <v>42443</v>
      </c>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c r="FZ287" s="6"/>
      <c r="GA287" s="6"/>
      <c r="GB287" s="6"/>
      <c r="GC287" s="6"/>
      <c r="GD287" s="6"/>
      <c r="GE287" s="6"/>
      <c r="GF287" s="6"/>
      <c r="GG287" s="6"/>
      <c r="GH287" s="6"/>
      <c r="GI287" s="6"/>
      <c r="GJ287" s="6"/>
      <c r="GK287" s="6"/>
      <c r="GL287" s="6"/>
      <c r="GM287" s="6"/>
      <c r="GN287" s="6"/>
      <c r="GO287" s="6"/>
      <c r="GP287" s="6"/>
      <c r="GQ287" s="6"/>
      <c r="GR287" s="6"/>
      <c r="GS287" s="6"/>
      <c r="GT287" s="6"/>
      <c r="GU287" s="6"/>
      <c r="GV287" s="6"/>
      <c r="GW287" s="6"/>
      <c r="GX287" s="6"/>
      <c r="GY287" s="6"/>
      <c r="GZ287" s="6"/>
      <c r="HA287" s="6"/>
      <c r="HB287" s="6"/>
      <c r="HC287" s="6"/>
      <c r="HD287" s="6"/>
      <c r="HE287" s="6"/>
      <c r="HF287" s="6"/>
      <c r="HG287" s="6"/>
      <c r="HH287" s="6"/>
    </row>
    <row r="288" spans="1:216" x14ac:dyDescent="0.3">
      <c r="A288" s="8" t="str">
        <f>HYPERLINK("https://hpr-rps.hres.ca/reg-content/summary-basis-decision-detailTwo.php?lang=en&amp;linkID=SBD00288", "Idelvion")</f>
        <v>Idelvion</v>
      </c>
      <c r="B288" s="6" t="s">
        <v>783</v>
      </c>
      <c r="C288" s="6" t="s">
        <v>126</v>
      </c>
      <c r="D288" s="6" t="s">
        <v>784</v>
      </c>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c r="FZ288" s="6"/>
      <c r="GA288" s="6"/>
      <c r="GB288" s="6"/>
      <c r="GC288" s="6"/>
      <c r="GD288" s="6"/>
      <c r="GE288" s="6"/>
      <c r="GF288" s="6"/>
      <c r="GG288" s="6"/>
      <c r="GH288" s="6"/>
      <c r="GI288" s="6"/>
      <c r="GJ288" s="6"/>
      <c r="GK288" s="6"/>
      <c r="GL288" s="6"/>
      <c r="GM288" s="6"/>
      <c r="GN288" s="6"/>
      <c r="GO288" s="6"/>
      <c r="GP288" s="6"/>
      <c r="GQ288" s="6"/>
      <c r="GR288" s="6"/>
      <c r="GS288" s="6"/>
      <c r="GT288" s="6"/>
      <c r="GU288" s="6"/>
      <c r="GV288" s="6"/>
      <c r="GW288" s="6"/>
      <c r="GX288" s="6"/>
      <c r="GY288" s="6"/>
      <c r="GZ288" s="6"/>
      <c r="HA288" s="6"/>
      <c r="HB288" s="6"/>
      <c r="HC288" s="6"/>
      <c r="HD288" s="6"/>
      <c r="HE288" s="6"/>
      <c r="HF288" s="6"/>
      <c r="HG288" s="6"/>
      <c r="HH288" s="6"/>
    </row>
    <row r="289" spans="1:216" x14ac:dyDescent="0.3">
      <c r="A289" s="8" t="str">
        <f>HYPERLINK("https://hpr-rps.hres.ca/reg-content/summary-basis-decision-detailTwo.php?lang=en&amp;linkID=SBD00290", "Kyprolis")</f>
        <v>Kyprolis</v>
      </c>
      <c r="B289" s="6" t="s">
        <v>785</v>
      </c>
      <c r="C289" s="6" t="s">
        <v>289</v>
      </c>
      <c r="D289" s="6" t="s">
        <v>786</v>
      </c>
      <c r="E289" s="6">
        <v>42129</v>
      </c>
      <c r="F289" s="6"/>
      <c r="G289" s="6"/>
      <c r="H289" s="6"/>
      <c r="I289" s="6"/>
      <c r="J289" s="6"/>
      <c r="K289" s="6"/>
      <c r="L289" s="6"/>
      <c r="M289" s="6"/>
      <c r="N289" s="6">
        <v>42048</v>
      </c>
      <c r="O289" s="6"/>
      <c r="P289" s="6"/>
      <c r="Q289" s="6"/>
      <c r="R289" s="6"/>
      <c r="S289" s="6">
        <v>42079</v>
      </c>
      <c r="T289" s="6"/>
      <c r="U289" s="6"/>
      <c r="V289" s="6">
        <v>42143</v>
      </c>
      <c r="W289" s="6"/>
      <c r="X289" s="6"/>
      <c r="Y289" s="6"/>
      <c r="Z289" s="6">
        <v>42170</v>
      </c>
      <c r="AA289" s="6"/>
      <c r="AB289" s="6"/>
      <c r="AC289" s="6">
        <v>42184</v>
      </c>
      <c r="AD289" s="6"/>
      <c r="AE289" s="6"/>
      <c r="AF289" s="6">
        <v>42206</v>
      </c>
      <c r="AG289" s="6"/>
      <c r="AH289" s="6"/>
      <c r="AI289" s="6"/>
      <c r="AJ289" s="6"/>
      <c r="AK289" s="6"/>
      <c r="AL289" s="6"/>
      <c r="AM289" s="6"/>
      <c r="AN289" s="6"/>
      <c r="AO289" s="6"/>
      <c r="AP289" s="6"/>
      <c r="AQ289" s="6"/>
      <c r="AR289" s="6">
        <v>42383</v>
      </c>
      <c r="AS289" s="6"/>
      <c r="AT289" s="6"/>
      <c r="AU289" s="6"/>
      <c r="AV289" s="6">
        <v>42380</v>
      </c>
      <c r="AW289" s="6"/>
      <c r="AX289" s="6"/>
      <c r="AY289" s="6"/>
      <c r="AZ289" s="6">
        <v>42384</v>
      </c>
      <c r="BA289" s="6"/>
      <c r="BB289" s="6"/>
      <c r="BC289" s="6"/>
      <c r="BD289" s="6"/>
      <c r="BE289" s="6"/>
      <c r="BF289" s="6"/>
      <c r="BG289" s="6"/>
      <c r="BH289" s="6"/>
      <c r="BI289" s="6"/>
      <c r="BJ289" s="6"/>
      <c r="BK289" s="6"/>
      <c r="BL289" s="6"/>
      <c r="BM289" s="6">
        <v>42384</v>
      </c>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c r="FZ289" s="6"/>
      <c r="GA289" s="6"/>
      <c r="GB289" s="6"/>
      <c r="GC289" s="6"/>
      <c r="GD289" s="6"/>
      <c r="GE289" s="6"/>
      <c r="GF289" s="6"/>
      <c r="GG289" s="6"/>
      <c r="GH289" s="6"/>
      <c r="GI289" s="6"/>
      <c r="GJ289" s="6"/>
      <c r="GK289" s="6"/>
      <c r="GL289" s="6"/>
      <c r="GM289" s="6"/>
      <c r="GN289" s="6"/>
      <c r="GO289" s="6"/>
      <c r="GP289" s="6"/>
      <c r="GQ289" s="6"/>
      <c r="GR289" s="6"/>
      <c r="GS289" s="6"/>
      <c r="GT289" s="6"/>
      <c r="GU289" s="6"/>
      <c r="GV289" s="6"/>
      <c r="GW289" s="6"/>
      <c r="GX289" s="6"/>
      <c r="GY289" s="6"/>
      <c r="GZ289" s="6"/>
      <c r="HA289" s="6"/>
      <c r="HB289" s="6"/>
      <c r="HC289" s="6"/>
      <c r="HD289" s="6"/>
      <c r="HE289" s="6"/>
      <c r="HF289" s="6"/>
      <c r="HG289" s="6"/>
      <c r="HH289" s="6"/>
    </row>
    <row r="290" spans="1:216" x14ac:dyDescent="0.3">
      <c r="A290" s="8" t="str">
        <f>HYPERLINK("https://hpr-rps.hres.ca/reg-content/summary-basis-decision-detailTwo.php?lang=en&amp;linkID=SBD00292", "Lynparza")</f>
        <v>Lynparza</v>
      </c>
      <c r="B290" s="6" t="s">
        <v>787</v>
      </c>
      <c r="C290" s="6" t="s">
        <v>137</v>
      </c>
      <c r="D290" s="6" t="s">
        <v>788</v>
      </c>
      <c r="E290" s="6">
        <v>41585</v>
      </c>
      <c r="F290" s="6"/>
      <c r="G290" s="6"/>
      <c r="H290" s="6">
        <v>42079</v>
      </c>
      <c r="I290" s="6"/>
      <c r="J290" s="6"/>
      <c r="K290" s="6"/>
      <c r="L290" s="6"/>
      <c r="M290" s="6"/>
      <c r="N290" s="6"/>
      <c r="O290" s="6"/>
      <c r="P290" s="6"/>
      <c r="Q290" s="6"/>
      <c r="R290" s="6"/>
      <c r="S290" s="6"/>
      <c r="T290" s="6"/>
      <c r="U290" s="6"/>
      <c r="V290" s="6"/>
      <c r="W290" s="6"/>
      <c r="X290" s="6"/>
      <c r="Y290" s="6"/>
      <c r="Z290" s="6">
        <v>42125</v>
      </c>
      <c r="AA290" s="6"/>
      <c r="AB290" s="6"/>
      <c r="AC290" s="6">
        <v>42135</v>
      </c>
      <c r="AD290" s="6"/>
      <c r="AE290" s="6"/>
      <c r="AF290" s="6">
        <v>42159</v>
      </c>
      <c r="AG290" s="6"/>
      <c r="AH290" s="6"/>
      <c r="AI290" s="6"/>
      <c r="AJ290" s="6"/>
      <c r="AK290" s="6"/>
      <c r="AL290" s="6"/>
      <c r="AM290" s="6"/>
      <c r="AN290" s="6"/>
      <c r="AO290" s="6"/>
      <c r="AP290" s="6"/>
      <c r="AQ290" s="6"/>
      <c r="AR290" s="6">
        <v>42472</v>
      </c>
      <c r="AS290" s="6">
        <v>42444</v>
      </c>
      <c r="AT290" s="6"/>
      <c r="AU290" s="6"/>
      <c r="AV290" s="6">
        <v>42451</v>
      </c>
      <c r="AW290" s="6"/>
      <c r="AX290" s="6">
        <v>42417</v>
      </c>
      <c r="AY290" s="6"/>
      <c r="AZ290" s="6">
        <v>42485</v>
      </c>
      <c r="BA290" s="6"/>
      <c r="BB290" s="6"/>
      <c r="BC290" s="6"/>
      <c r="BD290" s="6"/>
      <c r="BE290" s="6"/>
      <c r="BF290" s="6"/>
      <c r="BG290" s="6"/>
      <c r="BH290" s="6">
        <v>42405</v>
      </c>
      <c r="BI290" s="6"/>
      <c r="BJ290" s="6"/>
      <c r="BK290" s="6"/>
      <c r="BL290" s="6">
        <v>42458</v>
      </c>
      <c r="BM290" s="6">
        <v>42489</v>
      </c>
      <c r="BN290" s="6"/>
      <c r="BO290" s="6"/>
      <c r="BP290" s="6"/>
      <c r="BQ290" s="6"/>
      <c r="BR290" s="6"/>
      <c r="BS290" s="6"/>
      <c r="BT290" s="6"/>
      <c r="BU290" s="6"/>
      <c r="BV290" s="6"/>
      <c r="BW290" s="6"/>
      <c r="BX290" s="6"/>
      <c r="BY290" s="6">
        <v>42461</v>
      </c>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c r="FZ290" s="6"/>
      <c r="GA290" s="6"/>
      <c r="GB290" s="6"/>
      <c r="GC290" s="6"/>
      <c r="GD290" s="6"/>
      <c r="GE290" s="6"/>
      <c r="GF290" s="6"/>
      <c r="GG290" s="6"/>
      <c r="GH290" s="6"/>
      <c r="GI290" s="6"/>
      <c r="GJ290" s="6"/>
      <c r="GK290" s="6"/>
      <c r="GL290" s="6"/>
      <c r="GM290" s="6"/>
      <c r="GN290" s="6"/>
      <c r="GO290" s="6"/>
      <c r="GP290" s="6"/>
      <c r="GQ290" s="6"/>
      <c r="GR290" s="6"/>
      <c r="GS290" s="6"/>
      <c r="GT290" s="6"/>
      <c r="GU290" s="6"/>
      <c r="GV290" s="6"/>
      <c r="GW290" s="6"/>
      <c r="GX290" s="6"/>
      <c r="GY290" s="6"/>
      <c r="GZ290" s="6"/>
      <c r="HA290" s="6"/>
      <c r="HB290" s="6"/>
      <c r="HC290" s="6"/>
      <c r="HD290" s="6"/>
      <c r="HE290" s="6"/>
      <c r="HF290" s="6"/>
      <c r="HG290" s="6"/>
      <c r="HH290" s="6"/>
    </row>
    <row r="291" spans="1:216" x14ac:dyDescent="0.3">
      <c r="A291" s="8" t="str">
        <f>HYPERLINK("https://hpr-rps.hres.ca/reg-content/summary-basis-decision-detailOne.php?lang=en&amp;linkID=SBD00310", "Vpriv TM")</f>
        <v>Vpriv TM</v>
      </c>
      <c r="B291" s="6" t="s">
        <v>789</v>
      </c>
      <c r="C291" s="6" t="s">
        <v>207</v>
      </c>
      <c r="D291" s="6" t="s">
        <v>790</v>
      </c>
      <c r="E291" s="6">
        <v>40067</v>
      </c>
      <c r="F291" s="6"/>
      <c r="G291" s="6"/>
      <c r="H291" s="6"/>
      <c r="I291" s="6"/>
      <c r="J291" s="6"/>
      <c r="K291" s="6"/>
      <c r="L291" s="6"/>
      <c r="M291" s="6"/>
      <c r="N291" s="6">
        <v>40085</v>
      </c>
      <c r="O291" s="6"/>
      <c r="P291" s="6"/>
      <c r="Q291" s="6"/>
      <c r="R291" s="6"/>
      <c r="S291" s="6">
        <v>40110</v>
      </c>
      <c r="T291" s="6"/>
      <c r="U291" s="6"/>
      <c r="V291" s="6">
        <v>40107</v>
      </c>
      <c r="W291" s="6"/>
      <c r="X291" s="6"/>
      <c r="Y291" s="6"/>
      <c r="Z291" s="6"/>
      <c r="AA291" s="6"/>
      <c r="AB291" s="6"/>
      <c r="AC291" s="6"/>
      <c r="AD291" s="6"/>
      <c r="AE291" s="6"/>
      <c r="AF291" s="6">
        <v>40154</v>
      </c>
      <c r="AG291" s="6"/>
      <c r="AH291" s="6"/>
      <c r="AI291" s="6"/>
      <c r="AJ291" s="6"/>
      <c r="AK291" s="6"/>
      <c r="AL291" s="6"/>
      <c r="AM291" s="6"/>
      <c r="AN291" s="6"/>
      <c r="AO291" s="6">
        <v>40406</v>
      </c>
      <c r="AP291" s="6"/>
      <c r="AQ291" s="6"/>
      <c r="AR291" s="6">
        <v>40442</v>
      </c>
      <c r="AS291" s="6"/>
      <c r="AT291" s="6"/>
      <c r="AU291" s="6"/>
      <c r="AV291" s="6">
        <v>40452</v>
      </c>
      <c r="AW291" s="6"/>
      <c r="AX291" s="6"/>
      <c r="AY291" s="6"/>
      <c r="AZ291" s="6">
        <v>40452</v>
      </c>
      <c r="BA291" s="6"/>
      <c r="BB291" s="6"/>
      <c r="BC291" s="6"/>
      <c r="BD291" s="6"/>
      <c r="BE291" s="6"/>
      <c r="BF291" s="6"/>
      <c r="BG291" s="6"/>
      <c r="BH291" s="6"/>
      <c r="BI291" s="6"/>
      <c r="BJ291" s="6"/>
      <c r="BK291" s="6"/>
      <c r="BL291" s="6"/>
      <c r="BM291" s="6">
        <v>40452</v>
      </c>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c r="FZ291" s="6"/>
      <c r="GA291" s="6"/>
      <c r="GB291" s="6"/>
      <c r="GC291" s="6"/>
      <c r="GD291" s="6"/>
      <c r="GE291" s="6"/>
      <c r="GF291" s="6"/>
      <c r="GG291" s="6"/>
      <c r="GH291" s="6"/>
      <c r="GI291" s="6"/>
      <c r="GJ291" s="6"/>
      <c r="GK291" s="6"/>
      <c r="GL291" s="6"/>
      <c r="GM291" s="6"/>
      <c r="GN291" s="6"/>
      <c r="GO291" s="6"/>
      <c r="GP291" s="6"/>
      <c r="GQ291" s="6"/>
      <c r="GR291" s="6"/>
      <c r="GS291" s="6"/>
      <c r="GT291" s="6"/>
      <c r="GU291" s="6"/>
      <c r="GV291" s="6"/>
      <c r="GW291" s="6"/>
      <c r="GX291" s="6"/>
      <c r="GY291" s="6"/>
      <c r="GZ291" s="6"/>
      <c r="HA291" s="6"/>
      <c r="HB291" s="6"/>
      <c r="HC291" s="6"/>
      <c r="HD291" s="6"/>
      <c r="HE291" s="6"/>
      <c r="HF291" s="6"/>
      <c r="HG291" s="6"/>
      <c r="HH291" s="6"/>
    </row>
    <row r="292" spans="1:216" x14ac:dyDescent="0.3">
      <c r="A292" s="8" t="str">
        <f>HYPERLINK("https://hpr-rps.hres.ca/reg-content/summary-basis-decision-detailTwo.php?lang=en&amp;linkID=SBD00293", "Opdivo")</f>
        <v>Opdivo</v>
      </c>
      <c r="B292" s="6" t="s">
        <v>791</v>
      </c>
      <c r="C292" s="6" t="s">
        <v>81</v>
      </c>
      <c r="D292" s="6" t="s">
        <v>792</v>
      </c>
      <c r="E292" s="6">
        <v>41940</v>
      </c>
      <c r="F292" s="6"/>
      <c r="G292" s="6"/>
      <c r="H292" s="6"/>
      <c r="I292" s="6"/>
      <c r="J292" s="6"/>
      <c r="K292" s="6"/>
      <c r="L292" s="6"/>
      <c r="M292" s="6"/>
      <c r="N292" s="6">
        <v>41953</v>
      </c>
      <c r="O292" s="6"/>
      <c r="P292" s="6"/>
      <c r="Q292" s="6"/>
      <c r="R292" s="6"/>
      <c r="S292" s="6">
        <v>41974</v>
      </c>
      <c r="T292" s="6"/>
      <c r="U292" s="6"/>
      <c r="V292" s="6">
        <v>41992</v>
      </c>
      <c r="W292" s="6"/>
      <c r="X292" s="6"/>
      <c r="Y292" s="6"/>
      <c r="Z292" s="6">
        <v>42037</v>
      </c>
      <c r="AA292" s="6"/>
      <c r="AB292" s="6"/>
      <c r="AC292" s="6">
        <v>42065</v>
      </c>
      <c r="AD292" s="6"/>
      <c r="AE292" s="6"/>
      <c r="AF292" s="6">
        <v>42093</v>
      </c>
      <c r="AG292" s="6"/>
      <c r="AH292" s="6"/>
      <c r="AI292" s="6"/>
      <c r="AJ292" s="6"/>
      <c r="AK292" s="6"/>
      <c r="AL292" s="6"/>
      <c r="AM292" s="6"/>
      <c r="AN292" s="6"/>
      <c r="AO292" s="6"/>
      <c r="AP292" s="6"/>
      <c r="AQ292" s="6"/>
      <c r="AR292" s="6">
        <v>42271</v>
      </c>
      <c r="AS292" s="6"/>
      <c r="AT292" s="6"/>
      <c r="AU292" s="6"/>
      <c r="AV292" s="6">
        <v>42272</v>
      </c>
      <c r="AW292" s="6"/>
      <c r="AX292" s="6"/>
      <c r="AY292" s="6"/>
      <c r="AZ292" s="6">
        <v>42272</v>
      </c>
      <c r="BA292" s="6"/>
      <c r="BB292" s="6"/>
      <c r="BC292" s="6"/>
      <c r="BD292" s="6"/>
      <c r="BE292" s="6"/>
      <c r="BF292" s="6"/>
      <c r="BG292" s="6"/>
      <c r="BH292" s="6"/>
      <c r="BI292" s="6"/>
      <c r="BJ292" s="6"/>
      <c r="BK292" s="6"/>
      <c r="BL292" s="6"/>
      <c r="BM292" s="6">
        <v>42272</v>
      </c>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c r="FZ292" s="6"/>
      <c r="GA292" s="6"/>
      <c r="GB292" s="6"/>
      <c r="GC292" s="6"/>
      <c r="GD292" s="6"/>
      <c r="GE292" s="6"/>
      <c r="GF292" s="6"/>
      <c r="GG292" s="6"/>
      <c r="GH292" s="6"/>
      <c r="GI292" s="6"/>
      <c r="GJ292" s="6"/>
      <c r="GK292" s="6"/>
      <c r="GL292" s="6"/>
      <c r="GM292" s="6"/>
      <c r="GN292" s="6"/>
      <c r="GO292" s="6"/>
      <c r="GP292" s="6"/>
      <c r="GQ292" s="6"/>
      <c r="GR292" s="6"/>
      <c r="GS292" s="6"/>
      <c r="GT292" s="6"/>
      <c r="GU292" s="6"/>
      <c r="GV292" s="6"/>
      <c r="GW292" s="6"/>
      <c r="GX292" s="6"/>
      <c r="GY292" s="6"/>
      <c r="GZ292" s="6"/>
      <c r="HA292" s="6"/>
      <c r="HB292" s="6"/>
      <c r="HC292" s="6"/>
      <c r="HD292" s="6"/>
      <c r="HE292" s="6"/>
      <c r="HF292" s="6"/>
      <c r="HG292" s="6"/>
      <c r="HH292" s="6"/>
    </row>
    <row r="293" spans="1:216" x14ac:dyDescent="0.3">
      <c r="A293" s="8" t="str">
        <f>HYPERLINK("https://hpr-rps.hres.ca/reg-content/summary-basis-decision-detailTwo.php?lang=en&amp;linkID=SBD00294", "Orkambi")</f>
        <v>Orkambi</v>
      </c>
      <c r="B293" s="6" t="s">
        <v>793</v>
      </c>
      <c r="C293" s="6" t="s">
        <v>232</v>
      </c>
      <c r="D293" s="6" t="s">
        <v>794</v>
      </c>
      <c r="E293" s="6">
        <v>42124</v>
      </c>
      <c r="F293" s="6"/>
      <c r="G293" s="6"/>
      <c r="H293" s="6">
        <v>42188</v>
      </c>
      <c r="I293" s="6"/>
      <c r="J293" s="6"/>
      <c r="K293" s="6"/>
      <c r="L293" s="6"/>
      <c r="M293" s="6"/>
      <c r="N293" s="6"/>
      <c r="O293" s="6"/>
      <c r="P293" s="6"/>
      <c r="Q293" s="6"/>
      <c r="R293" s="6"/>
      <c r="S293" s="6"/>
      <c r="T293" s="6"/>
      <c r="U293" s="6"/>
      <c r="V293" s="6"/>
      <c r="W293" s="6"/>
      <c r="X293" s="6"/>
      <c r="Y293" s="6"/>
      <c r="Z293" s="6">
        <v>42236</v>
      </c>
      <c r="AA293" s="6"/>
      <c r="AB293" s="6"/>
      <c r="AC293" s="6">
        <v>42256</v>
      </c>
      <c r="AD293" s="6"/>
      <c r="AE293" s="6"/>
      <c r="AF293" s="6">
        <v>42272</v>
      </c>
      <c r="AG293" s="6"/>
      <c r="AH293" s="6"/>
      <c r="AI293" s="6"/>
      <c r="AJ293" s="6"/>
      <c r="AK293" s="6"/>
      <c r="AL293" s="6"/>
      <c r="AM293" s="6"/>
      <c r="AN293" s="6"/>
      <c r="AO293" s="6"/>
      <c r="AP293" s="6"/>
      <c r="AQ293" s="6"/>
      <c r="AR293" s="6">
        <v>42563</v>
      </c>
      <c r="AS293" s="6"/>
      <c r="AT293" s="6"/>
      <c r="AU293" s="6"/>
      <c r="AV293" s="6">
        <v>42563</v>
      </c>
      <c r="AW293" s="6"/>
      <c r="AX293" s="6"/>
      <c r="AY293" s="6"/>
      <c r="AZ293" s="6">
        <v>42564</v>
      </c>
      <c r="BA293" s="6"/>
      <c r="BB293" s="6"/>
      <c r="BC293" s="6"/>
      <c r="BD293" s="6"/>
      <c r="BE293" s="6"/>
      <c r="BF293" s="6"/>
      <c r="BG293" s="6"/>
      <c r="BH293" s="6"/>
      <c r="BI293" s="6"/>
      <c r="BJ293" s="6"/>
      <c r="BK293" s="6"/>
      <c r="BL293" s="6"/>
      <c r="BM293" s="6">
        <v>42571</v>
      </c>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c r="FZ293" s="6"/>
      <c r="GA293" s="6"/>
      <c r="GB293" s="6"/>
      <c r="GC293" s="6"/>
      <c r="GD293" s="6"/>
      <c r="GE293" s="6"/>
      <c r="GF293" s="6"/>
      <c r="GG293" s="6"/>
      <c r="GH293" s="6"/>
      <c r="GI293" s="6"/>
      <c r="GJ293" s="6"/>
      <c r="GK293" s="6"/>
      <c r="GL293" s="6"/>
      <c r="GM293" s="6"/>
      <c r="GN293" s="6"/>
      <c r="GO293" s="6"/>
      <c r="GP293" s="6"/>
      <c r="GQ293" s="6"/>
      <c r="GR293" s="6"/>
      <c r="GS293" s="6"/>
      <c r="GT293" s="6"/>
      <c r="GU293" s="6"/>
      <c r="GV293" s="6"/>
      <c r="GW293" s="6"/>
      <c r="GX293" s="6"/>
      <c r="GY293" s="6"/>
      <c r="GZ293" s="6"/>
      <c r="HA293" s="6"/>
      <c r="HB293" s="6"/>
      <c r="HC293" s="6"/>
      <c r="HD293" s="6"/>
      <c r="HE293" s="6"/>
      <c r="HF293" s="6"/>
      <c r="HG293" s="6"/>
      <c r="HH293" s="6"/>
    </row>
    <row r="294" spans="1:216" x14ac:dyDescent="0.3">
      <c r="A294" s="8" t="str">
        <f>HYPERLINK("https://hpr-rps.hres.ca/reg-content/summary-basis-decision-detailTwo.php?lang=en&amp;linkID=SBD00296", "Ravicti")</f>
        <v>Ravicti</v>
      </c>
      <c r="B294" s="6" t="s">
        <v>795</v>
      </c>
      <c r="C294" s="6" t="s">
        <v>796</v>
      </c>
      <c r="D294" s="6" t="s">
        <v>797</v>
      </c>
      <c r="E294" s="6">
        <v>40067</v>
      </c>
      <c r="F294" s="6"/>
      <c r="G294" s="6"/>
      <c r="H294" s="6"/>
      <c r="I294" s="6"/>
      <c r="J294" s="6"/>
      <c r="K294" s="6"/>
      <c r="L294" s="6"/>
      <c r="M294" s="6"/>
      <c r="N294" s="6">
        <v>40085</v>
      </c>
      <c r="O294" s="6"/>
      <c r="P294" s="6"/>
      <c r="Q294" s="6"/>
      <c r="R294" s="6"/>
      <c r="S294" s="6">
        <v>40110</v>
      </c>
      <c r="T294" s="6"/>
      <c r="U294" s="6"/>
      <c r="V294" s="6">
        <v>40107</v>
      </c>
      <c r="W294" s="6"/>
      <c r="X294" s="6"/>
      <c r="Y294" s="6"/>
      <c r="Z294" s="6"/>
      <c r="AA294" s="6"/>
      <c r="AB294" s="6"/>
      <c r="AC294" s="6"/>
      <c r="AD294" s="6"/>
      <c r="AE294" s="6"/>
      <c r="AF294" s="6">
        <v>40154</v>
      </c>
      <c r="AG294" s="6"/>
      <c r="AH294" s="6"/>
      <c r="AI294" s="6"/>
      <c r="AJ294" s="6"/>
      <c r="AK294" s="6"/>
      <c r="AL294" s="6"/>
      <c r="AM294" s="6"/>
      <c r="AN294" s="6"/>
      <c r="AO294" s="6">
        <v>40406</v>
      </c>
      <c r="AP294" s="6"/>
      <c r="AQ294" s="6"/>
      <c r="AR294" s="6">
        <v>40442</v>
      </c>
      <c r="AS294" s="6"/>
      <c r="AT294" s="6"/>
      <c r="AU294" s="6"/>
      <c r="AV294" s="6">
        <v>40452</v>
      </c>
      <c r="AW294" s="6"/>
      <c r="AX294" s="6"/>
      <c r="AY294" s="6"/>
      <c r="AZ294" s="6">
        <v>40452</v>
      </c>
      <c r="BA294" s="6"/>
      <c r="BB294" s="6"/>
      <c r="BC294" s="6"/>
      <c r="BD294" s="6"/>
      <c r="BE294" s="6"/>
      <c r="BF294" s="6"/>
      <c r="BG294" s="6"/>
      <c r="BH294" s="6"/>
      <c r="BI294" s="6"/>
      <c r="BJ294" s="6"/>
      <c r="BK294" s="6"/>
      <c r="BL294" s="6"/>
      <c r="BM294" s="6">
        <v>40452</v>
      </c>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c r="FZ294" s="6"/>
      <c r="GA294" s="6"/>
      <c r="GB294" s="6"/>
      <c r="GC294" s="6"/>
      <c r="GD294" s="6"/>
      <c r="GE294" s="6"/>
      <c r="GF294" s="6"/>
      <c r="GG294" s="6"/>
      <c r="GH294" s="6"/>
      <c r="GI294" s="6"/>
      <c r="GJ294" s="6"/>
      <c r="GK294" s="6"/>
      <c r="GL294" s="6"/>
      <c r="GM294" s="6"/>
      <c r="GN294" s="6"/>
      <c r="GO294" s="6"/>
      <c r="GP294" s="6"/>
      <c r="GQ294" s="6"/>
      <c r="GR294" s="6"/>
      <c r="GS294" s="6"/>
      <c r="GT294" s="6"/>
      <c r="GU294" s="6"/>
      <c r="GV294" s="6"/>
      <c r="GW294" s="6"/>
      <c r="GX294" s="6"/>
      <c r="GY294" s="6"/>
      <c r="GZ294" s="6"/>
      <c r="HA294" s="6"/>
      <c r="HB294" s="6"/>
      <c r="HC294" s="6"/>
      <c r="HD294" s="6"/>
      <c r="HE294" s="6"/>
      <c r="HF294" s="6"/>
      <c r="HG294" s="6"/>
      <c r="HH294" s="6"/>
    </row>
    <row r="295" spans="1:216" x14ac:dyDescent="0.3">
      <c r="A295" s="8" t="str">
        <f>HYPERLINK("https://hpr-rps.hres.ca/reg-content/summary-basis-decision-detailTwo.php?lang=en&amp;linkID=SBD00297", "Sunvepra")</f>
        <v>Sunvepra</v>
      </c>
      <c r="B295" s="6" t="s">
        <v>798</v>
      </c>
      <c r="C295" s="6" t="s">
        <v>81</v>
      </c>
      <c r="D295" s="6" t="s">
        <v>799</v>
      </c>
      <c r="E295" s="6"/>
      <c r="F295" s="6"/>
      <c r="G295" s="6"/>
      <c r="H295" s="6">
        <v>41775</v>
      </c>
      <c r="I295" s="6"/>
      <c r="J295" s="6"/>
      <c r="K295" s="6"/>
      <c r="L295" s="6"/>
      <c r="M295" s="6"/>
      <c r="N295" s="6"/>
      <c r="O295" s="6"/>
      <c r="P295" s="6"/>
      <c r="Q295" s="6"/>
      <c r="R295" s="6"/>
      <c r="S295" s="6"/>
      <c r="T295" s="6"/>
      <c r="U295" s="6"/>
      <c r="V295" s="6"/>
      <c r="W295" s="6"/>
      <c r="X295" s="6"/>
      <c r="Y295" s="6"/>
      <c r="Z295" s="6">
        <v>41835</v>
      </c>
      <c r="AA295" s="6"/>
      <c r="AB295" s="6"/>
      <c r="AC295" s="6"/>
      <c r="AD295" s="6"/>
      <c r="AE295" s="6"/>
      <c r="AF295" s="6"/>
      <c r="AG295" s="6"/>
      <c r="AH295" s="6"/>
      <c r="AI295" s="6"/>
      <c r="AJ295" s="6"/>
      <c r="AK295" s="6"/>
      <c r="AL295" s="6"/>
      <c r="AM295" s="6"/>
      <c r="AN295" s="6"/>
      <c r="AO295" s="6"/>
      <c r="AP295" s="6"/>
      <c r="AQ295" s="6"/>
      <c r="AR295" s="6"/>
      <c r="AS295" s="6"/>
      <c r="AT295" s="6"/>
      <c r="AU295" s="6"/>
      <c r="AV295" s="6">
        <v>42167</v>
      </c>
      <c r="AW295" s="6"/>
      <c r="AX295" s="6"/>
      <c r="AY295" s="6"/>
      <c r="AZ295" s="6">
        <v>42223</v>
      </c>
      <c r="BA295" s="6"/>
      <c r="BB295" s="6"/>
      <c r="BC295" s="6"/>
      <c r="BD295" s="6"/>
      <c r="BE295" s="6"/>
      <c r="BF295" s="6"/>
      <c r="BG295" s="6"/>
      <c r="BH295" s="6"/>
      <c r="BI295" s="6"/>
      <c r="BJ295" s="6"/>
      <c r="BK295" s="6"/>
      <c r="BL295" s="6"/>
      <c r="BM295" s="6"/>
      <c r="BN295" s="6"/>
      <c r="BO295" s="6"/>
      <c r="BP295" s="6"/>
      <c r="BQ295" s="6"/>
      <c r="BR295" s="6"/>
      <c r="BS295" s="6"/>
      <c r="BT295" s="6">
        <v>42179</v>
      </c>
      <c r="BU295" s="6"/>
      <c r="BV295" s="6"/>
      <c r="BW295" s="6"/>
      <c r="BX295" s="6"/>
      <c r="BY295" s="6">
        <v>42269</v>
      </c>
      <c r="BZ295" s="6"/>
      <c r="CA295" s="6"/>
      <c r="CB295" s="6"/>
      <c r="CC295" s="6"/>
      <c r="CD295" s="6"/>
      <c r="CE295" s="6"/>
      <c r="CF295" s="6"/>
      <c r="CG295" s="6"/>
      <c r="CH295" s="6"/>
      <c r="CI295" s="6"/>
      <c r="CJ295" s="6"/>
      <c r="CK295" s="6"/>
      <c r="CL295" s="6"/>
      <c r="CM295" s="6"/>
      <c r="CN295" s="6"/>
      <c r="CO295" s="6"/>
      <c r="CP295" s="6"/>
      <c r="CQ295" s="6"/>
      <c r="CR295" s="6">
        <v>42292</v>
      </c>
      <c r="CS295" s="6"/>
      <c r="CT295" s="6"/>
      <c r="CU295" s="6"/>
      <c r="CV295" s="6"/>
      <c r="CW295" s="6"/>
      <c r="CX295" s="6"/>
      <c r="CY295" s="6"/>
      <c r="CZ295" s="6"/>
      <c r="DA295" s="6"/>
      <c r="DB295" s="6"/>
      <c r="DC295" s="6"/>
      <c r="DD295" s="6">
        <v>42418</v>
      </c>
      <c r="DE295" s="6"/>
      <c r="DF295" s="6"/>
      <c r="DG295" s="6"/>
      <c r="DH295" s="6">
        <v>42411</v>
      </c>
      <c r="DI295" s="6"/>
      <c r="DJ295" s="6"/>
      <c r="DK295" s="6"/>
      <c r="DL295" s="6">
        <v>42437</v>
      </c>
      <c r="DM295" s="6"/>
      <c r="DN295" s="6"/>
      <c r="DO295" s="6"/>
      <c r="DP295" s="6"/>
      <c r="DQ295" s="6"/>
      <c r="DR295" s="6"/>
      <c r="DS295" s="6"/>
      <c r="DT295" s="6"/>
      <c r="DU295" s="6"/>
      <c r="DV295" s="6"/>
      <c r="DW295" s="6"/>
      <c r="DX295" s="6"/>
      <c r="DY295" s="6">
        <v>42438</v>
      </c>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c r="FZ295" s="6"/>
      <c r="GA295" s="6"/>
      <c r="GB295" s="6"/>
      <c r="GC295" s="6"/>
      <c r="GD295" s="6"/>
      <c r="GE295" s="6"/>
      <c r="GF295" s="6"/>
      <c r="GG295" s="6"/>
      <c r="GH295" s="6"/>
      <c r="GI295" s="6"/>
      <c r="GJ295" s="6"/>
      <c r="GK295" s="6"/>
      <c r="GL295" s="6"/>
      <c r="GM295" s="6"/>
      <c r="GN295" s="6"/>
      <c r="GO295" s="6"/>
      <c r="GP295" s="6"/>
      <c r="GQ295" s="6"/>
      <c r="GR295" s="6"/>
      <c r="GS295" s="6"/>
      <c r="GT295" s="6"/>
      <c r="GU295" s="6"/>
      <c r="GV295" s="6"/>
      <c r="GW295" s="6"/>
      <c r="GX295" s="6"/>
      <c r="GY295" s="6"/>
      <c r="GZ295" s="6"/>
      <c r="HA295" s="6"/>
      <c r="HB295" s="6"/>
      <c r="HC295" s="6"/>
      <c r="HD295" s="6"/>
      <c r="HE295" s="6"/>
      <c r="HF295" s="6"/>
      <c r="HG295" s="6"/>
      <c r="HH295" s="6"/>
    </row>
    <row r="296" spans="1:216" x14ac:dyDescent="0.3">
      <c r="A296" s="8" t="str">
        <f>HYPERLINK("https://hpr-rps.hres.ca/reg-content/summary-basis-decision-detailOne.php?lang=en&amp;linkID=SBD00299", "Velcade")</f>
        <v>Velcade</v>
      </c>
      <c r="B296" s="6" t="s">
        <v>800</v>
      </c>
      <c r="C296" s="6" t="s">
        <v>196</v>
      </c>
      <c r="D296" s="6" t="s">
        <v>801</v>
      </c>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v>38063</v>
      </c>
      <c r="AG296" s="6"/>
      <c r="AH296" s="6"/>
      <c r="AI296" s="6"/>
      <c r="AJ296" s="6"/>
      <c r="AK296" s="6"/>
      <c r="AL296" s="6"/>
      <c r="AM296" s="6"/>
      <c r="AN296" s="6"/>
      <c r="AO296" s="6"/>
      <c r="AP296" s="6"/>
      <c r="AQ296" s="6"/>
      <c r="AR296" s="6">
        <v>38331</v>
      </c>
      <c r="AS296" s="6"/>
      <c r="AT296" s="6"/>
      <c r="AU296" s="6"/>
      <c r="AV296" s="6">
        <v>38309</v>
      </c>
      <c r="AW296" s="6"/>
      <c r="AX296" s="6"/>
      <c r="AY296" s="6"/>
      <c r="AZ296" s="6">
        <v>38296</v>
      </c>
      <c r="BA296" s="6"/>
      <c r="BB296" s="6"/>
      <c r="BC296" s="6"/>
      <c r="BD296" s="6"/>
      <c r="BE296" s="6"/>
      <c r="BF296" s="6"/>
      <c r="BG296" s="6"/>
      <c r="BH296" s="6"/>
      <c r="BI296" s="6"/>
      <c r="BJ296" s="6"/>
      <c r="BK296" s="6">
        <v>38334</v>
      </c>
      <c r="BL296" s="6">
        <v>38379</v>
      </c>
      <c r="BM296" s="6"/>
      <c r="BN296" s="6"/>
      <c r="BO296" s="6"/>
      <c r="BP296" s="6"/>
      <c r="BQ296" s="6"/>
      <c r="BR296" s="6"/>
      <c r="BS296" s="6"/>
      <c r="BT296" s="6"/>
      <c r="BU296" s="6"/>
      <c r="BV296" s="6"/>
      <c r="BW296" s="6"/>
      <c r="BX296" s="6"/>
      <c r="BY296" s="6">
        <v>38342</v>
      </c>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c r="FZ296" s="6"/>
      <c r="GA296" s="6"/>
      <c r="GB296" s="6"/>
      <c r="GC296" s="6"/>
      <c r="GD296" s="6"/>
      <c r="GE296" s="6"/>
      <c r="GF296" s="6"/>
      <c r="GG296" s="6"/>
      <c r="GH296" s="6"/>
      <c r="GI296" s="6"/>
      <c r="GJ296" s="6"/>
      <c r="GK296" s="6"/>
      <c r="GL296" s="6"/>
      <c r="GM296" s="6"/>
      <c r="GN296" s="6"/>
      <c r="GO296" s="6"/>
      <c r="GP296" s="6"/>
      <c r="GQ296" s="6"/>
      <c r="GR296" s="6"/>
      <c r="GS296" s="6"/>
      <c r="GT296" s="6"/>
      <c r="GU296" s="6"/>
      <c r="GV296" s="6"/>
      <c r="GW296" s="6"/>
      <c r="GX296" s="6"/>
      <c r="GY296" s="6"/>
      <c r="GZ296" s="6"/>
      <c r="HA296" s="6"/>
      <c r="HB296" s="6"/>
      <c r="HC296" s="6"/>
      <c r="HD296" s="6"/>
      <c r="HE296" s="6"/>
      <c r="HF296" s="6"/>
      <c r="HG296" s="6"/>
      <c r="HH296" s="6"/>
    </row>
    <row r="297" spans="1:216" x14ac:dyDescent="0.3">
      <c r="A297" s="8" t="str">
        <f>HYPERLINK("https://hpr-rps.hres.ca/reg-content/summary-basis-decision-detailOne.php?lang=en&amp;linkID=SBD00303", "Victrelis TM")</f>
        <v>Victrelis TM</v>
      </c>
      <c r="B297" s="6" t="s">
        <v>802</v>
      </c>
      <c r="C297" s="6" t="s">
        <v>418</v>
      </c>
      <c r="D297" s="6" t="s">
        <v>803</v>
      </c>
      <c r="E297" s="6">
        <v>40492</v>
      </c>
      <c r="F297" s="6"/>
      <c r="G297" s="6"/>
      <c r="H297" s="6"/>
      <c r="I297" s="6"/>
      <c r="J297" s="6"/>
      <c r="K297" s="6"/>
      <c r="L297" s="6"/>
      <c r="M297" s="6"/>
      <c r="N297" s="6">
        <v>40490</v>
      </c>
      <c r="O297" s="6"/>
      <c r="P297" s="6"/>
      <c r="Q297" s="6"/>
      <c r="R297" s="6"/>
      <c r="S297" s="6">
        <v>40532</v>
      </c>
      <c r="T297" s="6"/>
      <c r="U297" s="6"/>
      <c r="V297" s="6">
        <v>40534</v>
      </c>
      <c r="W297" s="6"/>
      <c r="X297" s="6"/>
      <c r="Y297" s="6"/>
      <c r="Z297" s="6"/>
      <c r="AA297" s="6"/>
      <c r="AB297" s="6"/>
      <c r="AC297" s="6"/>
      <c r="AD297" s="6"/>
      <c r="AE297" s="6"/>
      <c r="AF297" s="6">
        <v>40575</v>
      </c>
      <c r="AG297" s="6"/>
      <c r="AH297" s="6"/>
      <c r="AI297" s="6"/>
      <c r="AJ297" s="6"/>
      <c r="AK297" s="6"/>
      <c r="AL297" s="6"/>
      <c r="AM297" s="6"/>
      <c r="AN297" s="6"/>
      <c r="AO297" s="6"/>
      <c r="AP297" s="6"/>
      <c r="AQ297" s="6"/>
      <c r="AR297" s="6">
        <v>40750</v>
      </c>
      <c r="AS297" s="6"/>
      <c r="AT297" s="6"/>
      <c r="AU297" s="6"/>
      <c r="AV297" s="6">
        <v>40730</v>
      </c>
      <c r="AW297" s="6"/>
      <c r="AX297" s="6"/>
      <c r="AY297" s="6"/>
      <c r="AZ297" s="6">
        <v>40750</v>
      </c>
      <c r="BA297" s="6"/>
      <c r="BB297" s="6"/>
      <c r="BC297" s="6"/>
      <c r="BD297" s="6"/>
      <c r="BE297" s="6"/>
      <c r="BF297" s="6"/>
      <c r="BG297" s="6"/>
      <c r="BH297" s="6"/>
      <c r="BI297" s="6"/>
      <c r="BJ297" s="6"/>
      <c r="BK297" s="6"/>
      <c r="BL297" s="6"/>
      <c r="BM297" s="6">
        <v>40753</v>
      </c>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c r="FZ297" s="6"/>
      <c r="GA297" s="6"/>
      <c r="GB297" s="6"/>
      <c r="GC297" s="6"/>
      <c r="GD297" s="6"/>
      <c r="GE297" s="6"/>
      <c r="GF297" s="6"/>
      <c r="GG297" s="6"/>
      <c r="GH297" s="6"/>
      <c r="GI297" s="6"/>
      <c r="GJ297" s="6"/>
      <c r="GK297" s="6"/>
      <c r="GL297" s="6"/>
      <c r="GM297" s="6"/>
      <c r="GN297" s="6"/>
      <c r="GO297" s="6"/>
      <c r="GP297" s="6"/>
      <c r="GQ297" s="6"/>
      <c r="GR297" s="6"/>
      <c r="GS297" s="6"/>
      <c r="GT297" s="6"/>
      <c r="GU297" s="6"/>
      <c r="GV297" s="6"/>
      <c r="GW297" s="6"/>
      <c r="GX297" s="6"/>
      <c r="GY297" s="6"/>
      <c r="GZ297" s="6"/>
      <c r="HA297" s="6"/>
      <c r="HB297" s="6"/>
      <c r="HC297" s="6"/>
      <c r="HD297" s="6"/>
      <c r="HE297" s="6"/>
      <c r="HF297" s="6"/>
      <c r="HG297" s="6"/>
      <c r="HH297" s="6"/>
    </row>
    <row r="298" spans="1:216" x14ac:dyDescent="0.3">
      <c r="A298" s="8" t="str">
        <f>HYPERLINK("https://hpr-rps.hres.ca/reg-content/summary-basis-decision-detailOne.php?lang=en&amp;linkID=SBD00304", "Vidaza ®")</f>
        <v>Vidaza ®</v>
      </c>
      <c r="B298" s="6" t="s">
        <v>804</v>
      </c>
      <c r="C298" s="6" t="s">
        <v>401</v>
      </c>
      <c r="D298" s="6" t="s">
        <v>805</v>
      </c>
      <c r="E298" s="6">
        <v>39828</v>
      </c>
      <c r="F298" s="6"/>
      <c r="G298" s="6"/>
      <c r="H298" s="6">
        <v>39898</v>
      </c>
      <c r="I298" s="6"/>
      <c r="J298" s="6"/>
      <c r="K298" s="6"/>
      <c r="L298" s="6">
        <v>39861</v>
      </c>
      <c r="M298" s="6"/>
      <c r="N298" s="6">
        <v>39847</v>
      </c>
      <c r="O298" s="6"/>
      <c r="P298" s="6"/>
      <c r="Q298" s="6"/>
      <c r="R298" s="6"/>
      <c r="S298" s="6"/>
      <c r="T298" s="6"/>
      <c r="U298" s="6"/>
      <c r="V298" s="6"/>
      <c r="W298" s="6"/>
      <c r="X298" s="6"/>
      <c r="Y298" s="6"/>
      <c r="Z298" s="6"/>
      <c r="AA298" s="6"/>
      <c r="AB298" s="6"/>
      <c r="AC298" s="6"/>
      <c r="AD298" s="6"/>
      <c r="AE298" s="6"/>
      <c r="AF298" s="6">
        <v>39930</v>
      </c>
      <c r="AG298" s="6"/>
      <c r="AH298" s="6"/>
      <c r="AI298" s="6"/>
      <c r="AJ298" s="6"/>
      <c r="AK298" s="6"/>
      <c r="AL298" s="6"/>
      <c r="AM298" s="6"/>
      <c r="AN298" s="6"/>
      <c r="AO298" s="6"/>
      <c r="AP298" s="6"/>
      <c r="AQ298" s="6"/>
      <c r="AR298" s="6">
        <v>40107</v>
      </c>
      <c r="AS298" s="6"/>
      <c r="AT298" s="6"/>
      <c r="AU298" s="6"/>
      <c r="AV298" s="6">
        <v>40106</v>
      </c>
      <c r="AW298" s="6"/>
      <c r="AX298" s="6"/>
      <c r="AY298" s="6"/>
      <c r="AZ298" s="6">
        <v>40107</v>
      </c>
      <c r="BA298" s="6"/>
      <c r="BB298" s="6"/>
      <c r="BC298" s="6"/>
      <c r="BD298" s="6"/>
      <c r="BE298" s="6"/>
      <c r="BF298" s="6"/>
      <c r="BG298" s="6"/>
      <c r="BH298" s="6"/>
      <c r="BI298" s="6"/>
      <c r="BJ298" s="6"/>
      <c r="BK298" s="6"/>
      <c r="BL298" s="6"/>
      <c r="BM298" s="6">
        <v>40109</v>
      </c>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row>
    <row r="299" spans="1:216" x14ac:dyDescent="0.3">
      <c r="A299" s="8" t="str">
        <f>HYPERLINK("https://hpr-rps.hres.ca/reg-content/summary-basis-decision-detailOne.php?lang=en&amp;linkID=SBD00305", "Vimpat TM")</f>
        <v>Vimpat TM</v>
      </c>
      <c r="B299" s="6" t="s">
        <v>806</v>
      </c>
      <c r="C299" s="6" t="s">
        <v>164</v>
      </c>
      <c r="D299" s="6" t="s">
        <v>807</v>
      </c>
      <c r="E299" s="6">
        <v>40492</v>
      </c>
      <c r="F299" s="6"/>
      <c r="G299" s="6"/>
      <c r="H299" s="6"/>
      <c r="I299" s="6"/>
      <c r="J299" s="6"/>
      <c r="K299" s="6"/>
      <c r="L299" s="6"/>
      <c r="M299" s="6"/>
      <c r="N299" s="6">
        <v>40490</v>
      </c>
      <c r="O299" s="6"/>
      <c r="P299" s="6"/>
      <c r="Q299" s="6"/>
      <c r="R299" s="6"/>
      <c r="S299" s="6">
        <v>40532</v>
      </c>
      <c r="T299" s="6"/>
      <c r="U299" s="6"/>
      <c r="V299" s="6">
        <v>40534</v>
      </c>
      <c r="W299" s="6"/>
      <c r="X299" s="6"/>
      <c r="Y299" s="6"/>
      <c r="Z299" s="6"/>
      <c r="AA299" s="6"/>
      <c r="AB299" s="6"/>
      <c r="AC299" s="6"/>
      <c r="AD299" s="6"/>
      <c r="AE299" s="6"/>
      <c r="AF299" s="6">
        <v>40575</v>
      </c>
      <c r="AG299" s="6"/>
      <c r="AH299" s="6"/>
      <c r="AI299" s="6"/>
      <c r="AJ299" s="6"/>
      <c r="AK299" s="6"/>
      <c r="AL299" s="6"/>
      <c r="AM299" s="6"/>
      <c r="AN299" s="6"/>
      <c r="AO299" s="6"/>
      <c r="AP299" s="6"/>
      <c r="AQ299" s="6"/>
      <c r="AR299" s="6">
        <v>40750</v>
      </c>
      <c r="AS299" s="6"/>
      <c r="AT299" s="6"/>
      <c r="AU299" s="6"/>
      <c r="AV299" s="6">
        <v>40730</v>
      </c>
      <c r="AW299" s="6"/>
      <c r="AX299" s="6"/>
      <c r="AY299" s="6"/>
      <c r="AZ299" s="6">
        <v>40750</v>
      </c>
      <c r="BA299" s="6"/>
      <c r="BB299" s="6"/>
      <c r="BC299" s="6"/>
      <c r="BD299" s="6"/>
      <c r="BE299" s="6"/>
      <c r="BF299" s="6"/>
      <c r="BG299" s="6"/>
      <c r="BH299" s="6"/>
      <c r="BI299" s="6"/>
      <c r="BJ299" s="6"/>
      <c r="BK299" s="6"/>
      <c r="BL299" s="6"/>
      <c r="BM299" s="6">
        <v>40753</v>
      </c>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c r="FZ299" s="6"/>
      <c r="GA299" s="6"/>
      <c r="GB299" s="6"/>
      <c r="GC299" s="6"/>
      <c r="GD299" s="6"/>
      <c r="GE299" s="6"/>
      <c r="GF299" s="6"/>
      <c r="GG299" s="6"/>
      <c r="GH299" s="6"/>
      <c r="GI299" s="6"/>
      <c r="GJ299" s="6"/>
      <c r="GK299" s="6"/>
      <c r="GL299" s="6"/>
      <c r="GM299" s="6"/>
      <c r="GN299" s="6"/>
      <c r="GO299" s="6"/>
      <c r="GP299" s="6"/>
      <c r="GQ299" s="6"/>
      <c r="GR299" s="6"/>
      <c r="GS299" s="6"/>
      <c r="GT299" s="6"/>
      <c r="GU299" s="6"/>
      <c r="GV299" s="6"/>
      <c r="GW299" s="6"/>
      <c r="GX299" s="6"/>
      <c r="GY299" s="6"/>
      <c r="GZ299" s="6"/>
      <c r="HA299" s="6"/>
      <c r="HB299" s="6"/>
      <c r="HC299" s="6"/>
      <c r="HD299" s="6"/>
      <c r="HE299" s="6"/>
      <c r="HF299" s="6"/>
      <c r="HG299" s="6"/>
      <c r="HH299" s="6"/>
    </row>
    <row r="300" spans="1:216" x14ac:dyDescent="0.3">
      <c r="A300" s="8" t="str">
        <f>HYPERLINK("https://hpr-rps.hres.ca/reg-content/summary-basis-decision-detailOne.php?lang=en&amp;linkID=SBD00306", "Visanne ®")</f>
        <v>Visanne ®</v>
      </c>
      <c r="B300" s="6" t="s">
        <v>808</v>
      </c>
      <c r="C300" s="6" t="s">
        <v>341</v>
      </c>
      <c r="D300" s="6" t="s">
        <v>809</v>
      </c>
      <c r="E300" s="6">
        <v>39114</v>
      </c>
      <c r="F300" s="6"/>
      <c r="G300" s="6"/>
      <c r="H300" s="6">
        <v>39175</v>
      </c>
      <c r="I300" s="6"/>
      <c r="J300" s="6"/>
      <c r="K300" s="6"/>
      <c r="L300" s="6"/>
      <c r="M300" s="6"/>
      <c r="N300" s="6"/>
      <c r="O300" s="6"/>
      <c r="P300" s="6"/>
      <c r="Q300" s="6"/>
      <c r="R300" s="6"/>
      <c r="S300" s="6"/>
      <c r="T300" s="6"/>
      <c r="U300" s="6"/>
      <c r="V300" s="6"/>
      <c r="W300" s="6"/>
      <c r="X300" s="6"/>
      <c r="Y300" s="6"/>
      <c r="Z300" s="6"/>
      <c r="AA300" s="6"/>
      <c r="AB300" s="6"/>
      <c r="AC300" s="6"/>
      <c r="AD300" s="6"/>
      <c r="AE300" s="6"/>
      <c r="AF300" s="6">
        <v>39227</v>
      </c>
      <c r="AG300" s="6"/>
      <c r="AH300" s="6"/>
      <c r="AI300" s="6"/>
      <c r="AJ300" s="6"/>
      <c r="AK300" s="6"/>
      <c r="AL300" s="6"/>
      <c r="AM300" s="6"/>
      <c r="AN300" s="6"/>
      <c r="AO300" s="6"/>
      <c r="AP300" s="6"/>
      <c r="AQ300" s="6"/>
      <c r="AR300" s="6">
        <v>39479</v>
      </c>
      <c r="AS300" s="6">
        <v>39469</v>
      </c>
      <c r="AT300" s="6"/>
      <c r="AU300" s="6"/>
      <c r="AV300" s="6">
        <v>39519</v>
      </c>
      <c r="AW300" s="6"/>
      <c r="AX300" s="6"/>
      <c r="AY300" s="6"/>
      <c r="AZ300" s="6">
        <v>39500</v>
      </c>
      <c r="BA300" s="6"/>
      <c r="BB300" s="6"/>
      <c r="BC300" s="6"/>
      <c r="BD300" s="6"/>
      <c r="BE300" s="6"/>
      <c r="BF300" s="6"/>
      <c r="BG300" s="6"/>
      <c r="BH300" s="6"/>
      <c r="BI300" s="6"/>
      <c r="BJ300" s="6"/>
      <c r="BK300" s="6"/>
      <c r="BL300" s="6"/>
      <c r="BM300" s="6">
        <v>39527</v>
      </c>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c r="FZ300" s="6"/>
      <c r="GA300" s="6"/>
      <c r="GB300" s="6"/>
      <c r="GC300" s="6"/>
      <c r="GD300" s="6"/>
      <c r="GE300" s="6"/>
      <c r="GF300" s="6"/>
      <c r="GG300" s="6"/>
      <c r="GH300" s="6"/>
      <c r="GI300" s="6"/>
      <c r="GJ300" s="6"/>
      <c r="GK300" s="6"/>
      <c r="GL300" s="6"/>
      <c r="GM300" s="6"/>
      <c r="GN300" s="6"/>
      <c r="GO300" s="6"/>
      <c r="GP300" s="6"/>
      <c r="GQ300" s="6"/>
      <c r="GR300" s="6"/>
      <c r="GS300" s="6"/>
      <c r="GT300" s="6"/>
      <c r="GU300" s="6"/>
      <c r="GV300" s="6"/>
      <c r="GW300" s="6"/>
      <c r="GX300" s="6"/>
      <c r="GY300" s="6"/>
      <c r="GZ300" s="6"/>
      <c r="HA300" s="6"/>
      <c r="HB300" s="6"/>
      <c r="HC300" s="6"/>
      <c r="HD300" s="6"/>
      <c r="HE300" s="6"/>
      <c r="HF300" s="6"/>
      <c r="HG300" s="6"/>
      <c r="HH300" s="6"/>
    </row>
    <row r="301" spans="1:216" x14ac:dyDescent="0.3">
      <c r="A301" s="8" t="str">
        <f>HYPERLINK("https://hpr-rps.hres.ca/reg-content/summary-basis-decision-detailOne.php?lang=en&amp;linkID=SBD00307", "Volibris TM")</f>
        <v>Volibris TM</v>
      </c>
      <c r="B301" s="6" t="s">
        <v>810</v>
      </c>
      <c r="C301" s="6" t="s">
        <v>96</v>
      </c>
      <c r="D301" s="6" t="s">
        <v>811</v>
      </c>
      <c r="E301" s="6">
        <v>39114</v>
      </c>
      <c r="F301" s="6"/>
      <c r="G301" s="6"/>
      <c r="H301" s="6">
        <v>39175</v>
      </c>
      <c r="I301" s="6"/>
      <c r="J301" s="6"/>
      <c r="K301" s="6"/>
      <c r="L301" s="6"/>
      <c r="M301" s="6"/>
      <c r="N301" s="6"/>
      <c r="O301" s="6"/>
      <c r="P301" s="6"/>
      <c r="Q301" s="6"/>
      <c r="R301" s="6"/>
      <c r="S301" s="6"/>
      <c r="T301" s="6"/>
      <c r="U301" s="6"/>
      <c r="V301" s="6"/>
      <c r="W301" s="6"/>
      <c r="X301" s="6"/>
      <c r="Y301" s="6"/>
      <c r="Z301" s="6"/>
      <c r="AA301" s="6"/>
      <c r="AB301" s="6"/>
      <c r="AC301" s="6"/>
      <c r="AD301" s="6"/>
      <c r="AE301" s="6"/>
      <c r="AF301" s="6">
        <v>39227</v>
      </c>
      <c r="AG301" s="6"/>
      <c r="AH301" s="6"/>
      <c r="AI301" s="6"/>
      <c r="AJ301" s="6"/>
      <c r="AK301" s="6"/>
      <c r="AL301" s="6"/>
      <c r="AM301" s="6"/>
      <c r="AN301" s="6"/>
      <c r="AO301" s="6"/>
      <c r="AP301" s="6"/>
      <c r="AQ301" s="6"/>
      <c r="AR301" s="6">
        <v>39479</v>
      </c>
      <c r="AS301" s="6">
        <v>39469</v>
      </c>
      <c r="AT301" s="6"/>
      <c r="AU301" s="6"/>
      <c r="AV301" s="6">
        <v>39519</v>
      </c>
      <c r="AW301" s="6"/>
      <c r="AX301" s="6"/>
      <c r="AY301" s="6"/>
      <c r="AZ301" s="6">
        <v>39500</v>
      </c>
      <c r="BA301" s="6"/>
      <c r="BB301" s="6"/>
      <c r="BC301" s="6"/>
      <c r="BD301" s="6"/>
      <c r="BE301" s="6"/>
      <c r="BF301" s="6"/>
      <c r="BG301" s="6"/>
      <c r="BH301" s="6"/>
      <c r="BI301" s="6"/>
      <c r="BJ301" s="6"/>
      <c r="BK301" s="6"/>
      <c r="BL301" s="6"/>
      <c r="BM301" s="6">
        <v>39527</v>
      </c>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c r="FZ301" s="6"/>
      <c r="GA301" s="6"/>
      <c r="GB301" s="6"/>
      <c r="GC301" s="6"/>
      <c r="GD301" s="6"/>
      <c r="GE301" s="6"/>
      <c r="GF301" s="6"/>
      <c r="GG301" s="6"/>
      <c r="GH301" s="6"/>
      <c r="GI301" s="6"/>
      <c r="GJ301" s="6"/>
      <c r="GK301" s="6"/>
      <c r="GL301" s="6"/>
      <c r="GM301" s="6"/>
      <c r="GN301" s="6"/>
      <c r="GO301" s="6"/>
      <c r="GP301" s="6"/>
      <c r="GQ301" s="6"/>
      <c r="GR301" s="6"/>
      <c r="GS301" s="6"/>
      <c r="GT301" s="6"/>
      <c r="GU301" s="6"/>
      <c r="GV301" s="6"/>
      <c r="GW301" s="6"/>
      <c r="GX301" s="6"/>
      <c r="GY301" s="6"/>
      <c r="GZ301" s="6"/>
      <c r="HA301" s="6"/>
      <c r="HB301" s="6"/>
      <c r="HC301" s="6"/>
      <c r="HD301" s="6"/>
      <c r="HE301" s="6"/>
      <c r="HF301" s="6"/>
      <c r="HG301" s="6"/>
      <c r="HH301" s="6"/>
    </row>
    <row r="302" spans="1:216" x14ac:dyDescent="0.3">
      <c r="A302" s="8" t="str">
        <f>HYPERLINK("https://hpr-rps.hres.ca/reg-content/summary-basis-decision-detailOne.php?lang=en&amp;linkID=SBD00308", "Voltaren TM")</f>
        <v>Voltaren TM</v>
      </c>
      <c r="B302" s="6" t="s">
        <v>812</v>
      </c>
      <c r="C302" s="6" t="s">
        <v>813</v>
      </c>
      <c r="D302" s="6" t="s">
        <v>814</v>
      </c>
      <c r="E302" s="6"/>
      <c r="F302" s="6"/>
      <c r="G302" s="6"/>
      <c r="H302" s="6">
        <v>38674</v>
      </c>
      <c r="I302" s="6"/>
      <c r="J302" s="6"/>
      <c r="K302" s="6"/>
      <c r="L302" s="6"/>
      <c r="M302" s="6"/>
      <c r="N302" s="6"/>
      <c r="O302" s="6"/>
      <c r="P302" s="6"/>
      <c r="Q302" s="6"/>
      <c r="R302" s="6"/>
      <c r="S302" s="6"/>
      <c r="T302" s="6"/>
      <c r="U302" s="6"/>
      <c r="V302" s="6"/>
      <c r="W302" s="6"/>
      <c r="X302" s="6"/>
      <c r="Y302" s="6"/>
      <c r="Z302" s="6">
        <v>38729</v>
      </c>
      <c r="AA302" s="6"/>
      <c r="AB302" s="6"/>
      <c r="AC302" s="6">
        <v>38772</v>
      </c>
      <c r="AD302" s="6"/>
      <c r="AE302" s="6"/>
      <c r="AF302" s="6">
        <v>38790</v>
      </c>
      <c r="AG302" s="6"/>
      <c r="AH302" s="6"/>
      <c r="AI302" s="6"/>
      <c r="AJ302" s="6"/>
      <c r="AK302" s="6"/>
      <c r="AL302" s="6"/>
      <c r="AM302" s="6"/>
      <c r="AN302" s="6"/>
      <c r="AO302" s="6"/>
      <c r="AP302" s="6"/>
      <c r="AQ302" s="6"/>
      <c r="AR302" s="6">
        <v>39086</v>
      </c>
      <c r="AS302" s="6"/>
      <c r="AT302" s="6"/>
      <c r="AU302" s="6"/>
      <c r="AV302" s="6">
        <v>39086</v>
      </c>
      <c r="AW302" s="6"/>
      <c r="AX302" s="6"/>
      <c r="AY302" s="6"/>
      <c r="AZ302" s="6">
        <v>39086</v>
      </c>
      <c r="BA302" s="6"/>
      <c r="BB302" s="6"/>
      <c r="BC302" s="6"/>
      <c r="BD302" s="6"/>
      <c r="BE302" s="6"/>
      <c r="BF302" s="6"/>
      <c r="BG302" s="6"/>
      <c r="BH302" s="6"/>
      <c r="BI302" s="6"/>
      <c r="BJ302" s="6"/>
      <c r="BK302" s="6"/>
      <c r="BL302" s="6"/>
      <c r="BM302" s="6">
        <v>39547</v>
      </c>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c r="FZ302" s="6"/>
      <c r="GA302" s="6"/>
      <c r="GB302" s="6"/>
      <c r="GC302" s="6"/>
      <c r="GD302" s="6"/>
      <c r="GE302" s="6"/>
      <c r="GF302" s="6"/>
      <c r="GG302" s="6"/>
      <c r="GH302" s="6"/>
      <c r="GI302" s="6"/>
      <c r="GJ302" s="6"/>
      <c r="GK302" s="6"/>
      <c r="GL302" s="6"/>
      <c r="GM302" s="6"/>
      <c r="GN302" s="6"/>
      <c r="GO302" s="6"/>
      <c r="GP302" s="6"/>
      <c r="GQ302" s="6"/>
      <c r="GR302" s="6"/>
      <c r="GS302" s="6"/>
      <c r="GT302" s="6"/>
      <c r="GU302" s="6"/>
      <c r="GV302" s="6"/>
      <c r="GW302" s="6"/>
      <c r="GX302" s="6"/>
      <c r="GY302" s="6"/>
      <c r="GZ302" s="6"/>
      <c r="HA302" s="6"/>
      <c r="HB302" s="6"/>
      <c r="HC302" s="6"/>
      <c r="HD302" s="6"/>
      <c r="HE302" s="6"/>
      <c r="HF302" s="6"/>
      <c r="HG302" s="6"/>
      <c r="HH302" s="6"/>
    </row>
    <row r="303" spans="1:216" x14ac:dyDescent="0.3">
      <c r="A303" s="8" t="str">
        <f>HYPERLINK("https://hpr-rps.hres.ca/reg-content/summary-basis-decision-detailOne.php?lang=en&amp;linkID=SBD00309", "Votrient TM")</f>
        <v>Votrient TM</v>
      </c>
      <c r="B303" s="6" t="s">
        <v>815</v>
      </c>
      <c r="C303" s="6" t="s">
        <v>96</v>
      </c>
      <c r="D303" s="6" t="s">
        <v>816</v>
      </c>
      <c r="E303" s="6">
        <v>39891</v>
      </c>
      <c r="F303" s="6"/>
      <c r="G303" s="6"/>
      <c r="H303" s="6">
        <v>39980</v>
      </c>
      <c r="I303" s="6"/>
      <c r="J303" s="6"/>
      <c r="K303" s="6"/>
      <c r="L303" s="6"/>
      <c r="M303" s="6"/>
      <c r="N303" s="6"/>
      <c r="O303" s="6"/>
      <c r="P303" s="6"/>
      <c r="Q303" s="6"/>
      <c r="R303" s="6"/>
      <c r="S303" s="6"/>
      <c r="T303" s="6"/>
      <c r="U303" s="6"/>
      <c r="V303" s="6"/>
      <c r="W303" s="6"/>
      <c r="X303" s="6"/>
      <c r="Y303" s="6"/>
      <c r="Z303" s="6"/>
      <c r="AA303" s="6"/>
      <c r="AB303" s="6"/>
      <c r="AC303" s="6"/>
      <c r="AD303" s="6"/>
      <c r="AE303" s="6"/>
      <c r="AF303" s="6">
        <v>40025</v>
      </c>
      <c r="AG303" s="6"/>
      <c r="AH303" s="6"/>
      <c r="AI303" s="6"/>
      <c r="AJ303" s="6"/>
      <c r="AK303" s="6"/>
      <c r="AL303" s="6"/>
      <c r="AM303" s="6"/>
      <c r="AN303" s="6"/>
      <c r="AO303" s="6"/>
      <c r="AP303" s="6"/>
      <c r="AQ303" s="6"/>
      <c r="AR303" s="6">
        <v>40324</v>
      </c>
      <c r="AS303" s="6"/>
      <c r="AT303" s="6"/>
      <c r="AU303" s="6"/>
      <c r="AV303" s="6">
        <v>40325</v>
      </c>
      <c r="AW303" s="6"/>
      <c r="AX303" s="6"/>
      <c r="AY303" s="6"/>
      <c r="AZ303" s="6">
        <v>40325</v>
      </c>
      <c r="BA303" s="6"/>
      <c r="BB303" s="6"/>
      <c r="BC303" s="6"/>
      <c r="BD303" s="6"/>
      <c r="BE303" s="6"/>
      <c r="BF303" s="6"/>
      <c r="BG303" s="6"/>
      <c r="BH303" s="6"/>
      <c r="BI303" s="6"/>
      <c r="BJ303" s="6"/>
      <c r="BK303" s="6"/>
      <c r="BL303" s="6"/>
      <c r="BM303" s="6">
        <v>40325</v>
      </c>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c r="FZ303" s="6"/>
      <c r="GA303" s="6"/>
      <c r="GB303" s="6"/>
      <c r="GC303" s="6"/>
      <c r="GD303" s="6"/>
      <c r="GE303" s="6"/>
      <c r="GF303" s="6"/>
      <c r="GG303" s="6"/>
      <c r="GH303" s="6"/>
      <c r="GI303" s="6"/>
      <c r="GJ303" s="6"/>
      <c r="GK303" s="6"/>
      <c r="GL303" s="6"/>
      <c r="GM303" s="6"/>
      <c r="GN303" s="6"/>
      <c r="GO303" s="6"/>
      <c r="GP303" s="6"/>
      <c r="GQ303" s="6"/>
      <c r="GR303" s="6"/>
      <c r="GS303" s="6"/>
      <c r="GT303" s="6"/>
      <c r="GU303" s="6"/>
      <c r="GV303" s="6"/>
      <c r="GW303" s="6"/>
      <c r="GX303" s="6"/>
      <c r="GY303" s="6"/>
      <c r="GZ303" s="6"/>
      <c r="HA303" s="6"/>
      <c r="HB303" s="6"/>
      <c r="HC303" s="6"/>
      <c r="HD303" s="6"/>
      <c r="HE303" s="6"/>
      <c r="HF303" s="6"/>
      <c r="HG303" s="6"/>
      <c r="HH303" s="6"/>
    </row>
    <row r="304" spans="1:216" x14ac:dyDescent="0.3">
      <c r="A304" s="8" t="str">
        <f>HYPERLINK("https://hpr-rps.hres.ca/reg-content/summary-basis-decision-detailOne.php?lang=en&amp;linkID=SBD00312", "Xalkori TM")</f>
        <v>Xalkori TM</v>
      </c>
      <c r="B304" s="6" t="s">
        <v>817</v>
      </c>
      <c r="C304" s="6" t="s">
        <v>143</v>
      </c>
      <c r="D304" s="6" t="s">
        <v>818</v>
      </c>
      <c r="E304" s="6">
        <v>40585</v>
      </c>
      <c r="F304" s="6"/>
      <c r="G304" s="6">
        <v>40631</v>
      </c>
      <c r="H304" s="6">
        <v>40702</v>
      </c>
      <c r="I304" s="6"/>
      <c r="J304" s="6"/>
      <c r="K304" s="6"/>
      <c r="L304" s="6"/>
      <c r="M304" s="6"/>
      <c r="N304" s="6"/>
      <c r="O304" s="6"/>
      <c r="P304" s="6"/>
      <c r="Q304" s="6"/>
      <c r="R304" s="6"/>
      <c r="S304" s="6"/>
      <c r="T304" s="6"/>
      <c r="U304" s="6"/>
      <c r="V304" s="6"/>
      <c r="W304" s="6"/>
      <c r="X304" s="6"/>
      <c r="Y304" s="6"/>
      <c r="Z304" s="6">
        <v>40739</v>
      </c>
      <c r="AA304" s="6"/>
      <c r="AB304" s="6"/>
      <c r="AC304" s="6">
        <v>40766</v>
      </c>
      <c r="AD304" s="6"/>
      <c r="AE304" s="6"/>
      <c r="AF304" s="6">
        <v>40785</v>
      </c>
      <c r="AG304" s="6"/>
      <c r="AH304" s="6"/>
      <c r="AI304" s="6"/>
      <c r="AJ304" s="6"/>
      <c r="AK304" s="6"/>
      <c r="AL304" s="6"/>
      <c r="AM304" s="6"/>
      <c r="AN304" s="6"/>
      <c r="AO304" s="6"/>
      <c r="AP304" s="6"/>
      <c r="AQ304" s="6"/>
      <c r="AR304" s="6">
        <v>41023</v>
      </c>
      <c r="AS304" s="6">
        <v>40898</v>
      </c>
      <c r="AT304" s="6"/>
      <c r="AU304" s="6"/>
      <c r="AV304" s="6">
        <v>40980</v>
      </c>
      <c r="AW304" s="6"/>
      <c r="AX304" s="6">
        <v>40959</v>
      </c>
      <c r="AY304" s="6"/>
      <c r="AZ304" s="6">
        <v>41023</v>
      </c>
      <c r="BA304" s="6"/>
      <c r="BB304" s="6"/>
      <c r="BC304" s="6"/>
      <c r="BD304" s="6"/>
      <c r="BE304" s="6"/>
      <c r="BF304" s="6"/>
      <c r="BG304" s="6"/>
      <c r="BH304" s="6"/>
      <c r="BI304" s="6"/>
      <c r="BJ304" s="6"/>
      <c r="BK304" s="6">
        <v>40983</v>
      </c>
      <c r="BL304" s="6">
        <v>41024</v>
      </c>
      <c r="BM304" s="6"/>
      <c r="BN304" s="6"/>
      <c r="BO304" s="6"/>
      <c r="BP304" s="6"/>
      <c r="BQ304" s="6"/>
      <c r="BR304" s="6"/>
      <c r="BS304" s="6"/>
      <c r="BT304" s="6"/>
      <c r="BU304" s="6"/>
      <c r="BV304" s="6"/>
      <c r="BW304" s="6"/>
      <c r="BX304" s="6"/>
      <c r="BY304" s="6">
        <v>40991</v>
      </c>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c r="FZ304" s="6"/>
      <c r="GA304" s="6"/>
      <c r="GB304" s="6"/>
      <c r="GC304" s="6"/>
      <c r="GD304" s="6"/>
      <c r="GE304" s="6"/>
      <c r="GF304" s="6"/>
      <c r="GG304" s="6"/>
      <c r="GH304" s="6"/>
      <c r="GI304" s="6"/>
      <c r="GJ304" s="6"/>
      <c r="GK304" s="6"/>
      <c r="GL304" s="6"/>
      <c r="GM304" s="6"/>
      <c r="GN304" s="6"/>
      <c r="GO304" s="6"/>
      <c r="GP304" s="6"/>
      <c r="GQ304" s="6"/>
      <c r="GR304" s="6"/>
      <c r="GS304" s="6"/>
      <c r="GT304" s="6"/>
      <c r="GU304" s="6"/>
      <c r="GV304" s="6"/>
      <c r="GW304" s="6"/>
      <c r="GX304" s="6"/>
      <c r="GY304" s="6"/>
      <c r="GZ304" s="6"/>
      <c r="HA304" s="6"/>
      <c r="HB304" s="6"/>
      <c r="HC304" s="6"/>
      <c r="HD304" s="6"/>
      <c r="HE304" s="6"/>
      <c r="HF304" s="6"/>
      <c r="HG304" s="6"/>
      <c r="HH304" s="6"/>
    </row>
    <row r="305" spans="1:216" x14ac:dyDescent="0.3">
      <c r="A305" s="8" t="str">
        <f>HYPERLINK("https://hpr-rps.hres.ca/reg-content/summary-basis-decision-detailOne.php?lang=en&amp;linkID=SBD00313", "Xarelto ®")</f>
        <v>Xarelto ®</v>
      </c>
      <c r="B305" s="6" t="s">
        <v>819</v>
      </c>
      <c r="C305" s="6" t="s">
        <v>341</v>
      </c>
      <c r="D305" s="6" t="s">
        <v>820</v>
      </c>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c r="FZ305" s="6"/>
      <c r="GA305" s="6"/>
      <c r="GB305" s="6"/>
      <c r="GC305" s="6"/>
      <c r="GD305" s="6"/>
      <c r="GE305" s="6"/>
      <c r="GF305" s="6"/>
      <c r="GG305" s="6"/>
      <c r="GH305" s="6"/>
      <c r="GI305" s="6"/>
      <c r="GJ305" s="6"/>
      <c r="GK305" s="6"/>
      <c r="GL305" s="6"/>
      <c r="GM305" s="6"/>
      <c r="GN305" s="6"/>
      <c r="GO305" s="6"/>
      <c r="GP305" s="6"/>
      <c r="GQ305" s="6"/>
      <c r="GR305" s="6"/>
      <c r="GS305" s="6"/>
      <c r="GT305" s="6"/>
      <c r="GU305" s="6"/>
      <c r="GV305" s="6"/>
      <c r="GW305" s="6"/>
      <c r="GX305" s="6"/>
      <c r="GY305" s="6"/>
      <c r="GZ305" s="6"/>
      <c r="HA305" s="6"/>
      <c r="HB305" s="6"/>
      <c r="HC305" s="6"/>
      <c r="HD305" s="6"/>
      <c r="HE305" s="6"/>
      <c r="HF305" s="6"/>
      <c r="HG305" s="6"/>
      <c r="HH305" s="6"/>
    </row>
    <row r="306" spans="1:216" x14ac:dyDescent="0.3">
      <c r="A306" s="8" t="str">
        <f>HYPERLINK("https://hpr-rps.hres.ca/reg-content/summary-basis-decision-detailTwo.php?lang=en&amp;linkID=SBD00314", "Xtoro")</f>
        <v>Xtoro</v>
      </c>
      <c r="B306" s="6" t="s">
        <v>821</v>
      </c>
      <c r="C306" s="6" t="s">
        <v>538</v>
      </c>
      <c r="D306" s="6" t="s">
        <v>822</v>
      </c>
      <c r="E306" s="6"/>
      <c r="F306" s="6"/>
      <c r="G306" s="6"/>
      <c r="H306" s="6">
        <v>41795</v>
      </c>
      <c r="I306" s="6"/>
      <c r="J306" s="6"/>
      <c r="K306" s="6"/>
      <c r="L306" s="6"/>
      <c r="M306" s="6"/>
      <c r="N306" s="6"/>
      <c r="O306" s="6"/>
      <c r="P306" s="6"/>
      <c r="Q306" s="6"/>
      <c r="R306" s="6"/>
      <c r="S306" s="6"/>
      <c r="T306" s="6"/>
      <c r="U306" s="6"/>
      <c r="V306" s="6"/>
      <c r="W306" s="6"/>
      <c r="X306" s="6"/>
      <c r="Y306" s="6"/>
      <c r="Z306" s="6"/>
      <c r="AA306" s="6"/>
      <c r="AB306" s="6"/>
      <c r="AC306" s="6"/>
      <c r="AD306" s="6"/>
      <c r="AE306" s="6"/>
      <c r="AF306" s="6">
        <v>41849</v>
      </c>
      <c r="AG306" s="6"/>
      <c r="AH306" s="6"/>
      <c r="AI306" s="6"/>
      <c r="AJ306" s="6"/>
      <c r="AK306" s="6"/>
      <c r="AL306" s="6"/>
      <c r="AM306" s="6"/>
      <c r="AN306" s="6"/>
      <c r="AO306" s="6"/>
      <c r="AP306" s="6"/>
      <c r="AQ306" s="6"/>
      <c r="AR306" s="6"/>
      <c r="AS306" s="6"/>
      <c r="AT306" s="6"/>
      <c r="AU306" s="6"/>
      <c r="AV306" s="6">
        <v>42167</v>
      </c>
      <c r="AW306" s="6"/>
      <c r="AX306" s="6"/>
      <c r="AY306" s="6"/>
      <c r="AZ306" s="6">
        <v>42132</v>
      </c>
      <c r="BA306" s="6"/>
      <c r="BB306" s="6"/>
      <c r="BC306" s="6"/>
      <c r="BD306" s="6"/>
      <c r="BE306" s="6"/>
      <c r="BF306" s="6"/>
      <c r="BG306" s="6"/>
      <c r="BH306" s="6"/>
      <c r="BI306" s="6"/>
      <c r="BJ306" s="6"/>
      <c r="BK306" s="6"/>
      <c r="BL306" s="6"/>
      <c r="BM306" s="6"/>
      <c r="BN306" s="6"/>
      <c r="BO306" s="6"/>
      <c r="BP306" s="6"/>
      <c r="BQ306" s="6"/>
      <c r="BR306" s="6"/>
      <c r="BS306" s="6"/>
      <c r="BT306" s="6">
        <v>42185</v>
      </c>
      <c r="BU306" s="6"/>
      <c r="BV306" s="6"/>
      <c r="BW306" s="6"/>
      <c r="BX306" s="6"/>
      <c r="BY306" s="6">
        <v>42272</v>
      </c>
      <c r="BZ306" s="6"/>
      <c r="CA306" s="6"/>
      <c r="CB306" s="6"/>
      <c r="CC306" s="6"/>
      <c r="CD306" s="6"/>
      <c r="CE306" s="6"/>
      <c r="CF306" s="6"/>
      <c r="CG306" s="6"/>
      <c r="CH306" s="6"/>
      <c r="CI306" s="6"/>
      <c r="CJ306" s="6"/>
      <c r="CK306" s="6"/>
      <c r="CL306" s="6"/>
      <c r="CM306" s="6"/>
      <c r="CN306" s="6"/>
      <c r="CO306" s="6"/>
      <c r="CP306" s="6"/>
      <c r="CQ306" s="6"/>
      <c r="CR306" s="6">
        <v>42292</v>
      </c>
      <c r="CS306" s="6"/>
      <c r="CT306" s="6"/>
      <c r="CU306" s="6"/>
      <c r="CV306" s="6"/>
      <c r="CW306" s="6"/>
      <c r="CX306" s="6"/>
      <c r="CY306" s="6"/>
      <c r="CZ306" s="6"/>
      <c r="DA306" s="6"/>
      <c r="DB306" s="6"/>
      <c r="DC306" s="6"/>
      <c r="DD306" s="6">
        <v>42437</v>
      </c>
      <c r="DE306" s="6"/>
      <c r="DF306" s="6"/>
      <c r="DG306" s="6"/>
      <c r="DH306" s="6">
        <v>42436</v>
      </c>
      <c r="DI306" s="6"/>
      <c r="DJ306" s="6"/>
      <c r="DK306" s="6"/>
      <c r="DL306" s="6">
        <v>42439</v>
      </c>
      <c r="DM306" s="6"/>
      <c r="DN306" s="6"/>
      <c r="DO306" s="6"/>
      <c r="DP306" s="6"/>
      <c r="DQ306" s="6"/>
      <c r="DR306" s="6"/>
      <c r="DS306" s="6"/>
      <c r="DT306" s="6"/>
      <c r="DU306" s="6"/>
      <c r="DV306" s="6"/>
      <c r="DW306" s="6"/>
      <c r="DX306" s="6"/>
      <c r="DY306" s="6">
        <v>42440</v>
      </c>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c r="FZ306" s="6"/>
      <c r="GA306" s="6"/>
      <c r="GB306" s="6"/>
      <c r="GC306" s="6"/>
      <c r="GD306" s="6"/>
      <c r="GE306" s="6"/>
      <c r="GF306" s="6"/>
      <c r="GG306" s="6"/>
      <c r="GH306" s="6"/>
      <c r="GI306" s="6"/>
      <c r="GJ306" s="6"/>
      <c r="GK306" s="6"/>
      <c r="GL306" s="6"/>
      <c r="GM306" s="6"/>
      <c r="GN306" s="6"/>
      <c r="GO306" s="6"/>
      <c r="GP306" s="6"/>
      <c r="GQ306" s="6"/>
      <c r="GR306" s="6"/>
      <c r="GS306" s="6"/>
      <c r="GT306" s="6"/>
      <c r="GU306" s="6"/>
      <c r="GV306" s="6"/>
      <c r="GW306" s="6"/>
      <c r="GX306" s="6"/>
      <c r="GY306" s="6"/>
      <c r="GZ306" s="6"/>
      <c r="HA306" s="6"/>
      <c r="HB306" s="6"/>
      <c r="HC306" s="6"/>
      <c r="HD306" s="6"/>
      <c r="HE306" s="6"/>
      <c r="HF306" s="6"/>
      <c r="HG306" s="6"/>
      <c r="HH306" s="6"/>
    </row>
    <row r="307" spans="1:216" x14ac:dyDescent="0.3">
      <c r="A307" s="8" t="str">
        <f>HYPERLINK("https://hpr-rps.hres.ca/reg-content/summary-basis-decision-detailOne.php?lang=en&amp;linkID=SBD00315", "Xyrem ®")</f>
        <v>Xyrem ®</v>
      </c>
      <c r="B307" s="6" t="s">
        <v>823</v>
      </c>
      <c r="C307" s="6" t="s">
        <v>824</v>
      </c>
      <c r="D307" s="6" t="s">
        <v>825</v>
      </c>
      <c r="E307" s="6">
        <v>37544</v>
      </c>
      <c r="F307" s="6"/>
      <c r="G307" s="6"/>
      <c r="H307" s="6">
        <v>37965</v>
      </c>
      <c r="I307" s="6"/>
      <c r="J307" s="6"/>
      <c r="K307" s="6"/>
      <c r="L307" s="6"/>
      <c r="M307" s="6"/>
      <c r="N307" s="6"/>
      <c r="O307" s="6"/>
      <c r="P307" s="6"/>
      <c r="Q307" s="6"/>
      <c r="R307" s="6"/>
      <c r="S307" s="6"/>
      <c r="T307" s="6"/>
      <c r="U307" s="6"/>
      <c r="V307" s="6"/>
      <c r="W307" s="6"/>
      <c r="X307" s="6"/>
      <c r="Y307" s="6"/>
      <c r="Z307" s="6"/>
      <c r="AA307" s="6"/>
      <c r="AB307" s="6"/>
      <c r="AC307" s="6"/>
      <c r="AD307" s="6"/>
      <c r="AE307" s="6"/>
      <c r="AF307" s="6">
        <v>37994</v>
      </c>
      <c r="AG307" s="6"/>
      <c r="AH307" s="6"/>
      <c r="AI307" s="6"/>
      <c r="AJ307" s="6"/>
      <c r="AK307" s="6"/>
      <c r="AL307" s="6"/>
      <c r="AM307" s="6"/>
      <c r="AN307" s="6"/>
      <c r="AO307" s="6"/>
      <c r="AP307" s="6"/>
      <c r="AQ307" s="6"/>
      <c r="AR307" s="6"/>
      <c r="AS307" s="6"/>
      <c r="AT307" s="6"/>
      <c r="AU307" s="6"/>
      <c r="AV307" s="6">
        <v>38289</v>
      </c>
      <c r="AW307" s="6"/>
      <c r="AX307" s="6"/>
      <c r="AY307" s="6"/>
      <c r="AZ307" s="6">
        <v>38442</v>
      </c>
      <c r="BA307" s="6"/>
      <c r="BB307" s="6"/>
      <c r="BC307" s="6"/>
      <c r="BD307" s="6"/>
      <c r="BE307" s="6">
        <v>38491</v>
      </c>
      <c r="BF307" s="6"/>
      <c r="BG307" s="6"/>
      <c r="BH307" s="6"/>
      <c r="BI307" s="6"/>
      <c r="BJ307" s="6"/>
      <c r="BK307" s="6"/>
      <c r="BL307" s="6"/>
      <c r="BM307" s="6">
        <v>38569</v>
      </c>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c r="FZ307" s="6"/>
      <c r="GA307" s="6"/>
      <c r="GB307" s="6"/>
      <c r="GC307" s="6"/>
      <c r="GD307" s="6"/>
      <c r="GE307" s="6"/>
      <c r="GF307" s="6"/>
      <c r="GG307" s="6"/>
      <c r="GH307" s="6"/>
      <c r="GI307" s="6"/>
      <c r="GJ307" s="6"/>
      <c r="GK307" s="6"/>
      <c r="GL307" s="6"/>
      <c r="GM307" s="6"/>
      <c r="GN307" s="6"/>
      <c r="GO307" s="6"/>
      <c r="GP307" s="6"/>
      <c r="GQ307" s="6"/>
      <c r="GR307" s="6"/>
      <c r="GS307" s="6"/>
      <c r="GT307" s="6"/>
      <c r="GU307" s="6"/>
      <c r="GV307" s="6"/>
      <c r="GW307" s="6"/>
      <c r="GX307" s="6"/>
      <c r="GY307" s="6"/>
      <c r="GZ307" s="6"/>
      <c r="HA307" s="6"/>
      <c r="HB307" s="6"/>
      <c r="HC307" s="6"/>
      <c r="HD307" s="6"/>
      <c r="HE307" s="6"/>
      <c r="HF307" s="6"/>
      <c r="HG307" s="6"/>
      <c r="HH307" s="6"/>
    </row>
    <row r="308" spans="1:216" x14ac:dyDescent="0.3">
      <c r="A308" s="8" t="str">
        <f>HYPERLINK("https://hpr-rps.hres.ca/reg-content/summary-basis-decision-detailOne.php?lang=en&amp;linkID=SBD00316", "Yervoy TM")</f>
        <v>Yervoy TM</v>
      </c>
      <c r="B308" s="6" t="s">
        <v>826</v>
      </c>
      <c r="C308" s="6" t="s">
        <v>81</v>
      </c>
      <c r="D308" s="6" t="s">
        <v>827</v>
      </c>
      <c r="E308" s="6">
        <v>39967</v>
      </c>
      <c r="F308" s="6"/>
      <c r="G308" s="6"/>
      <c r="H308" s="6"/>
      <c r="I308" s="6"/>
      <c r="J308" s="6"/>
      <c r="K308" s="6"/>
      <c r="L308" s="6"/>
      <c r="M308" s="6"/>
      <c r="N308" s="6">
        <v>40372</v>
      </c>
      <c r="O308" s="6"/>
      <c r="P308" s="6"/>
      <c r="Q308" s="6"/>
      <c r="R308" s="6"/>
      <c r="S308" s="6"/>
      <c r="T308" s="6">
        <v>40399</v>
      </c>
      <c r="U308" s="6"/>
      <c r="V308" s="6">
        <v>40464</v>
      </c>
      <c r="W308" s="6"/>
      <c r="X308" s="6"/>
      <c r="Y308" s="6"/>
      <c r="Z308" s="6"/>
      <c r="AA308" s="6"/>
      <c r="AB308" s="6"/>
      <c r="AC308" s="6"/>
      <c r="AD308" s="6"/>
      <c r="AE308" s="6"/>
      <c r="AF308" s="6">
        <v>40522</v>
      </c>
      <c r="AG308" s="6"/>
      <c r="AH308" s="6"/>
      <c r="AI308" s="6"/>
      <c r="AJ308" s="6"/>
      <c r="AK308" s="6"/>
      <c r="AL308" s="6"/>
      <c r="AM308" s="6"/>
      <c r="AN308" s="6"/>
      <c r="AO308" s="6"/>
      <c r="AP308" s="6"/>
      <c r="AQ308" s="6"/>
      <c r="AR308" s="6">
        <v>40821</v>
      </c>
      <c r="AS308" s="6"/>
      <c r="AT308" s="6"/>
      <c r="AU308" s="6"/>
      <c r="AV308" s="6">
        <v>40822</v>
      </c>
      <c r="AW308" s="6"/>
      <c r="AX308" s="6"/>
      <c r="AY308" s="6"/>
      <c r="AZ308" s="6">
        <v>40822</v>
      </c>
      <c r="BA308" s="6"/>
      <c r="BB308" s="6"/>
      <c r="BC308" s="6"/>
      <c r="BD308" s="6"/>
      <c r="BE308" s="6"/>
      <c r="BF308" s="6"/>
      <c r="BG308" s="6"/>
      <c r="BH308" s="6"/>
      <c r="BI308" s="6"/>
      <c r="BJ308" s="6"/>
      <c r="BK308" s="6"/>
      <c r="BL308" s="6"/>
      <c r="BM308" s="6"/>
      <c r="BN308" s="6"/>
      <c r="BO308" s="6"/>
      <c r="BP308" s="6"/>
      <c r="BQ308" s="6"/>
      <c r="BR308" s="6"/>
      <c r="BS308" s="6"/>
      <c r="BT308" s="6">
        <v>40822</v>
      </c>
      <c r="BU308" s="6"/>
      <c r="BV308" s="6"/>
      <c r="BW308" s="6"/>
      <c r="BX308" s="6"/>
      <c r="BY308" s="6">
        <v>40850</v>
      </c>
      <c r="BZ308" s="6"/>
      <c r="CA308" s="6"/>
      <c r="CB308" s="6"/>
      <c r="CC308" s="6"/>
      <c r="CD308" s="6"/>
      <c r="CE308" s="6"/>
      <c r="CF308" s="6"/>
      <c r="CG308" s="6"/>
      <c r="CH308" s="6"/>
      <c r="CI308" s="6"/>
      <c r="CJ308" s="6"/>
      <c r="CK308" s="6"/>
      <c r="CL308" s="6"/>
      <c r="CM308" s="6"/>
      <c r="CN308" s="6"/>
      <c r="CO308" s="6"/>
      <c r="CP308" s="6"/>
      <c r="CQ308" s="6"/>
      <c r="CR308" s="6">
        <v>40872</v>
      </c>
      <c r="CS308" s="6"/>
      <c r="CT308" s="6"/>
      <c r="CU308" s="6"/>
      <c r="CV308" s="6"/>
      <c r="CW308" s="6"/>
      <c r="CX308" s="6"/>
      <c r="CY308" s="6"/>
      <c r="CZ308" s="6"/>
      <c r="DA308" s="6"/>
      <c r="DB308" s="6"/>
      <c r="DC308" s="6"/>
      <c r="DD308" s="6"/>
      <c r="DE308" s="6"/>
      <c r="DF308" s="6"/>
      <c r="DG308" s="6"/>
      <c r="DH308" s="6">
        <v>40938</v>
      </c>
      <c r="DI308" s="6"/>
      <c r="DJ308" s="6"/>
      <c r="DK308" s="6"/>
      <c r="DL308" s="6">
        <v>40939</v>
      </c>
      <c r="DM308" s="6"/>
      <c r="DN308" s="6"/>
      <c r="DO308" s="6"/>
      <c r="DP308" s="6"/>
      <c r="DQ308" s="6"/>
      <c r="DR308" s="6"/>
      <c r="DS308" s="6"/>
      <c r="DT308" s="6"/>
      <c r="DU308" s="6"/>
      <c r="DV308" s="6"/>
      <c r="DW308" s="6"/>
      <c r="DX308" s="6"/>
      <c r="DY308" s="6">
        <v>40940</v>
      </c>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c r="FZ308" s="6"/>
      <c r="GA308" s="6"/>
      <c r="GB308" s="6"/>
      <c r="GC308" s="6"/>
      <c r="GD308" s="6"/>
      <c r="GE308" s="6"/>
      <c r="GF308" s="6"/>
      <c r="GG308" s="6"/>
      <c r="GH308" s="6"/>
      <c r="GI308" s="6"/>
      <c r="GJ308" s="6"/>
      <c r="GK308" s="6"/>
      <c r="GL308" s="6"/>
      <c r="GM308" s="6"/>
      <c r="GN308" s="6"/>
      <c r="GO308" s="6"/>
      <c r="GP308" s="6"/>
      <c r="GQ308" s="6"/>
      <c r="GR308" s="6"/>
      <c r="GS308" s="6"/>
      <c r="GT308" s="6"/>
      <c r="GU308" s="6"/>
      <c r="GV308" s="6"/>
      <c r="GW308" s="6"/>
      <c r="GX308" s="6"/>
      <c r="GY308" s="6"/>
      <c r="GZ308" s="6"/>
      <c r="HA308" s="6"/>
      <c r="HB308" s="6"/>
      <c r="HC308" s="6"/>
      <c r="HD308" s="6"/>
      <c r="HE308" s="6"/>
      <c r="HF308" s="6"/>
      <c r="HG308" s="6"/>
      <c r="HH308" s="6"/>
    </row>
    <row r="309" spans="1:216" x14ac:dyDescent="0.3">
      <c r="A309" s="8" t="str">
        <f>HYPERLINK("https://hpr-rps.hres.ca/reg-content/summary-basis-decision-detailOne.php?lang=en&amp;linkID=SBD00317", "Yondelis TM")</f>
        <v>Yondelis TM</v>
      </c>
      <c r="B309" s="6" t="s">
        <v>828</v>
      </c>
      <c r="C309" s="6" t="s">
        <v>196</v>
      </c>
      <c r="D309" s="6" t="s">
        <v>829</v>
      </c>
      <c r="E309" s="6">
        <v>37544</v>
      </c>
      <c r="F309" s="6"/>
      <c r="G309" s="6"/>
      <c r="H309" s="6">
        <v>37965</v>
      </c>
      <c r="I309" s="6"/>
      <c r="J309" s="6"/>
      <c r="K309" s="6"/>
      <c r="L309" s="6"/>
      <c r="M309" s="6"/>
      <c r="N309" s="6"/>
      <c r="O309" s="6"/>
      <c r="P309" s="6"/>
      <c r="Q309" s="6"/>
      <c r="R309" s="6"/>
      <c r="S309" s="6"/>
      <c r="T309" s="6"/>
      <c r="U309" s="6"/>
      <c r="V309" s="6"/>
      <c r="W309" s="6"/>
      <c r="X309" s="6"/>
      <c r="Y309" s="6"/>
      <c r="Z309" s="6"/>
      <c r="AA309" s="6"/>
      <c r="AB309" s="6"/>
      <c r="AC309" s="6"/>
      <c r="AD309" s="6"/>
      <c r="AE309" s="6"/>
      <c r="AF309" s="6">
        <v>37994</v>
      </c>
      <c r="AG309" s="6"/>
      <c r="AH309" s="6"/>
      <c r="AI309" s="6"/>
      <c r="AJ309" s="6"/>
      <c r="AK309" s="6"/>
      <c r="AL309" s="6"/>
      <c r="AM309" s="6"/>
      <c r="AN309" s="6"/>
      <c r="AO309" s="6"/>
      <c r="AP309" s="6"/>
      <c r="AQ309" s="6"/>
      <c r="AR309" s="6"/>
      <c r="AS309" s="6"/>
      <c r="AT309" s="6"/>
      <c r="AU309" s="6"/>
      <c r="AV309" s="6">
        <v>38289</v>
      </c>
      <c r="AW309" s="6"/>
      <c r="AX309" s="6"/>
      <c r="AY309" s="6"/>
      <c r="AZ309" s="6">
        <v>38442</v>
      </c>
      <c r="BA309" s="6"/>
      <c r="BB309" s="6"/>
      <c r="BC309" s="6"/>
      <c r="BD309" s="6"/>
      <c r="BE309" s="6">
        <v>38491</v>
      </c>
      <c r="BF309" s="6"/>
      <c r="BG309" s="6"/>
      <c r="BH309" s="6"/>
      <c r="BI309" s="6"/>
      <c r="BJ309" s="6"/>
      <c r="BK309" s="6"/>
      <c r="BL309" s="6"/>
      <c r="BM309" s="6">
        <v>38569</v>
      </c>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c r="FZ309" s="6"/>
      <c r="GA309" s="6"/>
      <c r="GB309" s="6"/>
      <c r="GC309" s="6"/>
      <c r="GD309" s="6"/>
      <c r="GE309" s="6"/>
      <c r="GF309" s="6"/>
      <c r="GG309" s="6"/>
      <c r="GH309" s="6"/>
      <c r="GI309" s="6"/>
      <c r="GJ309" s="6"/>
      <c r="GK309" s="6"/>
      <c r="GL309" s="6"/>
      <c r="GM309" s="6"/>
      <c r="GN309" s="6"/>
      <c r="GO309" s="6"/>
      <c r="GP309" s="6"/>
      <c r="GQ309" s="6"/>
      <c r="GR309" s="6"/>
      <c r="GS309" s="6"/>
      <c r="GT309" s="6"/>
      <c r="GU309" s="6"/>
      <c r="GV309" s="6"/>
      <c r="GW309" s="6"/>
      <c r="GX309" s="6"/>
      <c r="GY309" s="6"/>
      <c r="GZ309" s="6"/>
      <c r="HA309" s="6"/>
      <c r="HB309" s="6"/>
      <c r="HC309" s="6"/>
      <c r="HD309" s="6"/>
      <c r="HE309" s="6"/>
      <c r="HF309" s="6"/>
      <c r="HG309" s="6"/>
      <c r="HH309" s="6"/>
    </row>
    <row r="310" spans="1:216" x14ac:dyDescent="0.3">
      <c r="A310" s="8" t="str">
        <f>HYPERLINK("https://hpr-rps.hres.ca/reg-content/summary-basis-decision-detailTwo.php?lang=en&amp;linkID=SBD00318", "Zepatier")</f>
        <v>Zepatier</v>
      </c>
      <c r="B310" s="6" t="s">
        <v>830</v>
      </c>
      <c r="C310" s="6" t="s">
        <v>831</v>
      </c>
      <c r="D310" s="6" t="s">
        <v>832</v>
      </c>
      <c r="E310" s="6">
        <v>41837</v>
      </c>
      <c r="F310" s="6"/>
      <c r="G310" s="6"/>
      <c r="H310" s="6"/>
      <c r="I310" s="6"/>
      <c r="J310" s="6"/>
      <c r="K310" s="6"/>
      <c r="L310" s="6"/>
      <c r="M310" s="6"/>
      <c r="N310" s="6">
        <v>42144</v>
      </c>
      <c r="O310" s="6"/>
      <c r="P310" s="6"/>
      <c r="Q310" s="6"/>
      <c r="R310" s="6"/>
      <c r="S310" s="6">
        <v>42177</v>
      </c>
      <c r="T310" s="6"/>
      <c r="U310" s="6"/>
      <c r="V310" s="6">
        <v>42185</v>
      </c>
      <c r="W310" s="6"/>
      <c r="X310" s="6"/>
      <c r="Y310" s="6"/>
      <c r="Z310" s="6"/>
      <c r="AA310" s="6"/>
      <c r="AB310" s="6"/>
      <c r="AC310" s="6"/>
      <c r="AD310" s="6"/>
      <c r="AE310" s="6"/>
      <c r="AF310" s="6">
        <v>42208</v>
      </c>
      <c r="AG310" s="6"/>
      <c r="AH310" s="6"/>
      <c r="AI310" s="6"/>
      <c r="AJ310" s="6"/>
      <c r="AK310" s="6"/>
      <c r="AL310" s="6"/>
      <c r="AM310" s="6"/>
      <c r="AN310" s="6"/>
      <c r="AO310" s="6"/>
      <c r="AP310" s="6"/>
      <c r="AQ310" s="6"/>
      <c r="AR310" s="6">
        <v>42387</v>
      </c>
      <c r="AS310" s="6"/>
      <c r="AT310" s="6"/>
      <c r="AU310" s="6"/>
      <c r="AV310" s="6">
        <v>42385</v>
      </c>
      <c r="AW310" s="6"/>
      <c r="AX310" s="6"/>
      <c r="AY310" s="6"/>
      <c r="AZ310" s="6">
        <v>42388</v>
      </c>
      <c r="BA310" s="6"/>
      <c r="BB310" s="6"/>
      <c r="BC310" s="6"/>
      <c r="BD310" s="6"/>
      <c r="BE310" s="6"/>
      <c r="BF310" s="6"/>
      <c r="BG310" s="6"/>
      <c r="BH310" s="6"/>
      <c r="BI310" s="6"/>
      <c r="BJ310" s="6"/>
      <c r="BK310" s="6"/>
      <c r="BL310" s="6"/>
      <c r="BM310" s="6">
        <v>42388</v>
      </c>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c r="FZ310" s="6"/>
      <c r="GA310" s="6"/>
      <c r="GB310" s="6"/>
      <c r="GC310" s="6"/>
      <c r="GD310" s="6"/>
      <c r="GE310" s="6"/>
      <c r="GF310" s="6"/>
      <c r="GG310" s="6"/>
      <c r="GH310" s="6"/>
      <c r="GI310" s="6"/>
      <c r="GJ310" s="6"/>
      <c r="GK310" s="6"/>
      <c r="GL310" s="6"/>
      <c r="GM310" s="6"/>
      <c r="GN310" s="6"/>
      <c r="GO310" s="6"/>
      <c r="GP310" s="6"/>
      <c r="GQ310" s="6"/>
      <c r="GR310" s="6"/>
      <c r="GS310" s="6"/>
      <c r="GT310" s="6"/>
      <c r="GU310" s="6"/>
      <c r="GV310" s="6"/>
      <c r="GW310" s="6"/>
      <c r="GX310" s="6"/>
      <c r="GY310" s="6"/>
      <c r="GZ310" s="6"/>
      <c r="HA310" s="6"/>
      <c r="HB310" s="6"/>
      <c r="HC310" s="6"/>
      <c r="HD310" s="6"/>
      <c r="HE310" s="6"/>
      <c r="HF310" s="6"/>
      <c r="HG310" s="6"/>
      <c r="HH310" s="6"/>
    </row>
    <row r="311" spans="1:216" x14ac:dyDescent="0.3">
      <c r="A311" s="8" t="str">
        <f>HYPERLINK("https://hpr-rps.hres.ca/reg-content/summary-basis-decision-detailTwo.php?lang=en&amp;linkID=SBD00319", "Zontivity")</f>
        <v>Zontivity</v>
      </c>
      <c r="B311" s="6" t="s">
        <v>833</v>
      </c>
      <c r="C311" s="6" t="s">
        <v>418</v>
      </c>
      <c r="D311" s="6" t="s">
        <v>834</v>
      </c>
      <c r="E311" s="6">
        <v>42179</v>
      </c>
      <c r="F311" s="6"/>
      <c r="G311" s="6"/>
      <c r="H311" s="6">
        <v>42261</v>
      </c>
      <c r="I311" s="6"/>
      <c r="J311" s="6"/>
      <c r="K311" s="6"/>
      <c r="L311" s="6"/>
      <c r="M311" s="6"/>
      <c r="N311" s="6"/>
      <c r="O311" s="6"/>
      <c r="P311" s="6"/>
      <c r="Q311" s="6"/>
      <c r="R311" s="6"/>
      <c r="S311" s="6"/>
      <c r="T311" s="6"/>
      <c r="U311" s="6"/>
      <c r="V311" s="6"/>
      <c r="W311" s="6"/>
      <c r="X311" s="6"/>
      <c r="Y311" s="6"/>
      <c r="Z311" s="6">
        <v>42293</v>
      </c>
      <c r="AA311" s="6"/>
      <c r="AB311" s="6"/>
      <c r="AC311" s="6">
        <v>42310</v>
      </c>
      <c r="AD311" s="6"/>
      <c r="AE311" s="6"/>
      <c r="AF311" s="6">
        <v>42318</v>
      </c>
      <c r="AG311" s="6"/>
      <c r="AH311" s="6"/>
      <c r="AI311" s="6"/>
      <c r="AJ311" s="6"/>
      <c r="AK311" s="6"/>
      <c r="AL311" s="6"/>
      <c r="AM311" s="6"/>
      <c r="AN311" s="6"/>
      <c r="AO311" s="6"/>
      <c r="AP311" s="6"/>
      <c r="AQ311" s="6"/>
      <c r="AR311" s="6">
        <v>42530</v>
      </c>
      <c r="AS311" s="6"/>
      <c r="AT311" s="6"/>
      <c r="AU311" s="6"/>
      <c r="AV311" s="6">
        <v>42506</v>
      </c>
      <c r="AW311" s="6"/>
      <c r="AX311" s="6">
        <v>42530</v>
      </c>
      <c r="AY311" s="6"/>
      <c r="AZ311" s="6">
        <v>42530</v>
      </c>
      <c r="BA311" s="6"/>
      <c r="BB311" s="6"/>
      <c r="BC311" s="6"/>
      <c r="BD311" s="6"/>
      <c r="BE311" s="6"/>
      <c r="BF311" s="6"/>
      <c r="BG311" s="6"/>
      <c r="BH311" s="6"/>
      <c r="BI311" s="6"/>
      <c r="BJ311" s="6"/>
      <c r="BK311" s="6"/>
      <c r="BL311" s="6">
        <v>42517</v>
      </c>
      <c r="BM311" s="6">
        <v>42550</v>
      </c>
      <c r="BN311" s="6"/>
      <c r="BO311" s="6"/>
      <c r="BP311" s="6"/>
      <c r="BQ311" s="6"/>
      <c r="BR311" s="6"/>
      <c r="BS311" s="6"/>
      <c r="BT311" s="6"/>
      <c r="BU311" s="6"/>
      <c r="BV311" s="6"/>
      <c r="BW311" s="6"/>
      <c r="BX311" s="6"/>
      <c r="BY311" s="6">
        <v>42522</v>
      </c>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c r="FZ311" s="6"/>
      <c r="GA311" s="6"/>
      <c r="GB311" s="6"/>
      <c r="GC311" s="6"/>
      <c r="GD311" s="6"/>
      <c r="GE311" s="6"/>
      <c r="GF311" s="6"/>
      <c r="GG311" s="6"/>
      <c r="GH311" s="6"/>
      <c r="GI311" s="6"/>
      <c r="GJ311" s="6"/>
      <c r="GK311" s="6"/>
      <c r="GL311" s="6"/>
      <c r="GM311" s="6"/>
      <c r="GN311" s="6"/>
      <c r="GO311" s="6"/>
      <c r="GP311" s="6"/>
      <c r="GQ311" s="6"/>
      <c r="GR311" s="6"/>
      <c r="GS311" s="6"/>
      <c r="GT311" s="6"/>
      <c r="GU311" s="6"/>
      <c r="GV311" s="6"/>
      <c r="GW311" s="6"/>
      <c r="GX311" s="6"/>
      <c r="GY311" s="6"/>
      <c r="GZ311" s="6"/>
      <c r="HA311" s="6"/>
      <c r="HB311" s="6"/>
      <c r="HC311" s="6"/>
      <c r="HD311" s="6"/>
      <c r="HE311" s="6"/>
      <c r="HF311" s="6"/>
      <c r="HG311" s="6"/>
      <c r="HH311" s="6"/>
    </row>
    <row r="312" spans="1:216" x14ac:dyDescent="0.3">
      <c r="A312" s="8" t="str">
        <f>HYPERLINK("https://hpr-rps.hres.ca/reg-content/summary-basis-decision-detailTwo.php?lang=en&amp;linkID=SBD00321", "Darzalex")</f>
        <v>Darzalex</v>
      </c>
      <c r="B312" s="6" t="s">
        <v>835</v>
      </c>
      <c r="C312" s="6" t="s">
        <v>201</v>
      </c>
      <c r="D312" s="6" t="s">
        <v>836</v>
      </c>
      <c r="E312" s="6">
        <v>42179</v>
      </c>
      <c r="F312" s="6"/>
      <c r="G312" s="6"/>
      <c r="H312" s="6">
        <v>42261</v>
      </c>
      <c r="I312" s="6"/>
      <c r="J312" s="6"/>
      <c r="K312" s="6"/>
      <c r="L312" s="6"/>
      <c r="M312" s="6"/>
      <c r="N312" s="6"/>
      <c r="O312" s="6"/>
      <c r="P312" s="6"/>
      <c r="Q312" s="6"/>
      <c r="R312" s="6"/>
      <c r="S312" s="6"/>
      <c r="T312" s="6"/>
      <c r="U312" s="6"/>
      <c r="V312" s="6"/>
      <c r="W312" s="6"/>
      <c r="X312" s="6"/>
      <c r="Y312" s="6"/>
      <c r="Z312" s="6">
        <v>42293</v>
      </c>
      <c r="AA312" s="6"/>
      <c r="AB312" s="6"/>
      <c r="AC312" s="6">
        <v>42310</v>
      </c>
      <c r="AD312" s="6"/>
      <c r="AE312" s="6"/>
      <c r="AF312" s="6">
        <v>42318</v>
      </c>
      <c r="AG312" s="6"/>
      <c r="AH312" s="6"/>
      <c r="AI312" s="6"/>
      <c r="AJ312" s="6"/>
      <c r="AK312" s="6"/>
      <c r="AL312" s="6"/>
      <c r="AM312" s="6"/>
      <c r="AN312" s="6"/>
      <c r="AO312" s="6"/>
      <c r="AP312" s="6"/>
      <c r="AQ312" s="6"/>
      <c r="AR312" s="6">
        <v>42530</v>
      </c>
      <c r="AS312" s="6"/>
      <c r="AT312" s="6"/>
      <c r="AU312" s="6"/>
      <c r="AV312" s="6">
        <v>42506</v>
      </c>
      <c r="AW312" s="6"/>
      <c r="AX312" s="6">
        <v>42530</v>
      </c>
      <c r="AY312" s="6"/>
      <c r="AZ312" s="6">
        <v>42530</v>
      </c>
      <c r="BA312" s="6"/>
      <c r="BB312" s="6"/>
      <c r="BC312" s="6"/>
      <c r="BD312" s="6"/>
      <c r="BE312" s="6"/>
      <c r="BF312" s="6"/>
      <c r="BG312" s="6"/>
      <c r="BH312" s="6"/>
      <c r="BI312" s="6"/>
      <c r="BJ312" s="6"/>
      <c r="BK312" s="6"/>
      <c r="BL312" s="6">
        <v>42517</v>
      </c>
      <c r="BM312" s="6">
        <v>42550</v>
      </c>
      <c r="BN312" s="6"/>
      <c r="BO312" s="6"/>
      <c r="BP312" s="6"/>
      <c r="BQ312" s="6"/>
      <c r="BR312" s="6"/>
      <c r="BS312" s="6"/>
      <c r="BT312" s="6"/>
      <c r="BU312" s="6"/>
      <c r="BV312" s="6"/>
      <c r="BW312" s="6"/>
      <c r="BX312" s="6"/>
      <c r="BY312" s="6">
        <v>42522</v>
      </c>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c r="FZ312" s="6"/>
      <c r="GA312" s="6"/>
      <c r="GB312" s="6"/>
      <c r="GC312" s="6"/>
      <c r="GD312" s="6"/>
      <c r="GE312" s="6"/>
      <c r="GF312" s="6"/>
      <c r="GG312" s="6"/>
      <c r="GH312" s="6"/>
      <c r="GI312" s="6"/>
      <c r="GJ312" s="6"/>
      <c r="GK312" s="6"/>
      <c r="GL312" s="6"/>
      <c r="GM312" s="6"/>
      <c r="GN312" s="6"/>
      <c r="GO312" s="6"/>
      <c r="GP312" s="6"/>
      <c r="GQ312" s="6"/>
      <c r="GR312" s="6"/>
      <c r="GS312" s="6"/>
      <c r="GT312" s="6"/>
      <c r="GU312" s="6"/>
      <c r="GV312" s="6"/>
      <c r="GW312" s="6"/>
      <c r="GX312" s="6"/>
      <c r="GY312" s="6"/>
      <c r="GZ312" s="6"/>
      <c r="HA312" s="6"/>
      <c r="HB312" s="6"/>
      <c r="HC312" s="6"/>
      <c r="HD312" s="6"/>
      <c r="HE312" s="6"/>
      <c r="HF312" s="6"/>
      <c r="HG312" s="6"/>
      <c r="HH312" s="6"/>
    </row>
    <row r="313" spans="1:216" x14ac:dyDescent="0.3">
      <c r="A313" s="8" t="str">
        <f>HYPERLINK("https://hpr-rps.hres.ca/reg-content/summary-basis-decision-detailTwo.php?lang=en&amp;linkID=SBD00322", "Praxbind")</f>
        <v>Praxbind</v>
      </c>
      <c r="B313" s="6" t="s">
        <v>837</v>
      </c>
      <c r="C313" s="6" t="s">
        <v>838</v>
      </c>
      <c r="D313" s="6" t="s">
        <v>839</v>
      </c>
      <c r="E313" s="6">
        <v>42018</v>
      </c>
      <c r="F313" s="6"/>
      <c r="G313" s="6"/>
      <c r="H313" s="6"/>
      <c r="I313" s="6"/>
      <c r="J313" s="6"/>
      <c r="K313" s="6"/>
      <c r="L313" s="6"/>
      <c r="M313" s="6"/>
      <c r="N313" s="6">
        <v>42054</v>
      </c>
      <c r="O313" s="6">
        <v>42061</v>
      </c>
      <c r="P313" s="6"/>
      <c r="Q313" s="6"/>
      <c r="R313" s="6"/>
      <c r="S313" s="6"/>
      <c r="T313" s="6"/>
      <c r="U313" s="6"/>
      <c r="V313" s="6">
        <v>42067</v>
      </c>
      <c r="W313" s="6"/>
      <c r="X313" s="6"/>
      <c r="Y313" s="6"/>
      <c r="Z313" s="6">
        <v>42093</v>
      </c>
      <c r="AA313" s="6"/>
      <c r="AB313" s="6"/>
      <c r="AC313" s="6">
        <v>42116</v>
      </c>
      <c r="AD313" s="6"/>
      <c r="AE313" s="6"/>
      <c r="AF313" s="6">
        <v>42143</v>
      </c>
      <c r="AG313" s="6"/>
      <c r="AH313" s="6"/>
      <c r="AI313" s="6"/>
      <c r="AJ313" s="6"/>
      <c r="AK313" s="6"/>
      <c r="AL313" s="6"/>
      <c r="AM313" s="6"/>
      <c r="AN313" s="6"/>
      <c r="AO313" s="6"/>
      <c r="AP313" s="6"/>
      <c r="AQ313" s="6"/>
      <c r="AR313" s="6"/>
      <c r="AS313" s="6"/>
      <c r="AT313" s="6"/>
      <c r="AU313" s="6"/>
      <c r="AV313" s="6">
        <v>42143</v>
      </c>
      <c r="AW313" s="6"/>
      <c r="AX313" s="6"/>
      <c r="AY313" s="6"/>
      <c r="AZ313" s="6">
        <v>42143</v>
      </c>
      <c r="BA313" s="6"/>
      <c r="BB313" s="6"/>
      <c r="BC313" s="6"/>
      <c r="BD313" s="6"/>
      <c r="BE313" s="6"/>
      <c r="BF313" s="6"/>
      <c r="BG313" s="6"/>
      <c r="BH313" s="6"/>
      <c r="BI313" s="6"/>
      <c r="BJ313" s="6"/>
      <c r="BK313" s="6"/>
      <c r="BL313" s="6"/>
      <c r="BM313" s="6"/>
      <c r="BN313" s="6"/>
      <c r="BO313" s="6"/>
      <c r="BP313" s="6">
        <v>42230</v>
      </c>
      <c r="BQ313" s="6"/>
      <c r="BR313" s="6"/>
      <c r="BS313" s="6"/>
      <c r="BT313" s="6"/>
      <c r="BU313" s="6"/>
      <c r="BV313" s="6"/>
      <c r="BW313" s="6"/>
      <c r="BX313" s="6"/>
      <c r="BY313" s="6">
        <v>42244</v>
      </c>
      <c r="BZ313" s="6"/>
      <c r="CA313" s="6"/>
      <c r="CB313" s="6"/>
      <c r="CC313" s="6"/>
      <c r="CD313" s="6"/>
      <c r="CE313" s="6"/>
      <c r="CF313" s="6"/>
      <c r="CG313" s="6"/>
      <c r="CH313" s="6"/>
      <c r="CI313" s="6"/>
      <c r="CJ313" s="6"/>
      <c r="CK313" s="6"/>
      <c r="CL313" s="6"/>
      <c r="CM313" s="6"/>
      <c r="CN313" s="6"/>
      <c r="CO313" s="6"/>
      <c r="CP313" s="6"/>
      <c r="CQ313" s="6"/>
      <c r="CR313" s="6">
        <v>42255</v>
      </c>
      <c r="CS313" s="6"/>
      <c r="CT313" s="6"/>
      <c r="CU313" s="6"/>
      <c r="CV313" s="6"/>
      <c r="CW313" s="6"/>
      <c r="CX313" s="6"/>
      <c r="CY313" s="6"/>
      <c r="CZ313" s="6"/>
      <c r="DA313" s="6"/>
      <c r="DB313" s="6"/>
      <c r="DC313" s="6"/>
      <c r="DD313" s="6">
        <v>42387</v>
      </c>
      <c r="DE313" s="6"/>
      <c r="DF313" s="6"/>
      <c r="DG313" s="6"/>
      <c r="DH313" s="6">
        <v>42452</v>
      </c>
      <c r="DI313" s="6"/>
      <c r="DJ313" s="6"/>
      <c r="DK313" s="6"/>
      <c r="DL313" s="6">
        <v>42487</v>
      </c>
      <c r="DM313" s="6"/>
      <c r="DN313" s="6"/>
      <c r="DO313" s="6"/>
      <c r="DP313" s="6"/>
      <c r="DQ313" s="6"/>
      <c r="DR313" s="6"/>
      <c r="DS313" s="6"/>
      <c r="DT313" s="6"/>
      <c r="DU313" s="6"/>
      <c r="DV313" s="6"/>
      <c r="DW313" s="6"/>
      <c r="DX313" s="6">
        <v>42453</v>
      </c>
      <c r="DY313" s="6">
        <v>42489</v>
      </c>
      <c r="DZ313" s="6"/>
      <c r="EA313" s="6"/>
      <c r="EB313" s="6"/>
      <c r="EC313" s="6"/>
      <c r="ED313" s="6"/>
      <c r="EE313" s="6"/>
      <c r="EF313" s="6"/>
      <c r="EG313" s="6"/>
      <c r="EH313" s="6"/>
      <c r="EI313" s="6"/>
      <c r="EJ313" s="6"/>
      <c r="EK313" s="6">
        <v>42457</v>
      </c>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c r="FZ313" s="6"/>
      <c r="GA313" s="6"/>
      <c r="GB313" s="6"/>
      <c r="GC313" s="6"/>
      <c r="GD313" s="6"/>
      <c r="GE313" s="6"/>
      <c r="GF313" s="6"/>
      <c r="GG313" s="6"/>
      <c r="GH313" s="6"/>
      <c r="GI313" s="6"/>
      <c r="GJ313" s="6"/>
      <c r="GK313" s="6"/>
      <c r="GL313" s="6"/>
      <c r="GM313" s="6"/>
      <c r="GN313" s="6"/>
      <c r="GO313" s="6"/>
      <c r="GP313" s="6"/>
      <c r="GQ313" s="6"/>
      <c r="GR313" s="6"/>
      <c r="GS313" s="6"/>
      <c r="GT313" s="6"/>
      <c r="GU313" s="6"/>
      <c r="GV313" s="6"/>
      <c r="GW313" s="6"/>
      <c r="GX313" s="6"/>
      <c r="GY313" s="6"/>
      <c r="GZ313" s="6"/>
      <c r="HA313" s="6"/>
      <c r="HB313" s="6"/>
      <c r="HC313" s="6"/>
      <c r="HD313" s="6"/>
      <c r="HE313" s="6"/>
      <c r="HF313" s="6"/>
      <c r="HG313" s="6"/>
      <c r="HH313" s="6"/>
    </row>
    <row r="314" spans="1:216" x14ac:dyDescent="0.3">
      <c r="A314" s="8" t="str">
        <f>HYPERLINK("https://hpr-rps.hres.ca/reg-content/summary-basis-decision-detailTwo.php?lang=en&amp;linkID=SBD00323", "Empliciti")</f>
        <v>Empliciti</v>
      </c>
      <c r="B314" s="6" t="s">
        <v>840</v>
      </c>
      <c r="C314" s="6" t="s">
        <v>81</v>
      </c>
      <c r="D314" s="6" t="s">
        <v>841</v>
      </c>
      <c r="E314" s="6"/>
      <c r="F314" s="6"/>
      <c r="G314" s="6"/>
      <c r="H314" s="6"/>
      <c r="I314" s="6"/>
      <c r="J314" s="6"/>
      <c r="K314" s="6"/>
      <c r="L314" s="6"/>
      <c r="M314" s="6"/>
      <c r="N314" s="6">
        <v>42383</v>
      </c>
      <c r="O314" s="6"/>
      <c r="P314" s="6"/>
      <c r="Q314" s="6"/>
      <c r="R314" s="6"/>
      <c r="S314" s="6"/>
      <c r="T314" s="6">
        <v>42405</v>
      </c>
      <c r="U314" s="6"/>
      <c r="V314" s="6">
        <v>42426</v>
      </c>
      <c r="W314" s="6"/>
      <c r="X314" s="6"/>
      <c r="Y314" s="6"/>
      <c r="Z314" s="6"/>
      <c r="AA314" s="6"/>
      <c r="AB314" s="6"/>
      <c r="AC314" s="6"/>
      <c r="AD314" s="6"/>
      <c r="AE314" s="6"/>
      <c r="AF314" s="6">
        <v>42489</v>
      </c>
      <c r="AG314" s="6"/>
      <c r="AH314" s="6"/>
      <c r="AI314" s="6"/>
      <c r="AJ314" s="6"/>
      <c r="AK314" s="6"/>
      <c r="AL314" s="6"/>
      <c r="AM314" s="6"/>
      <c r="AN314" s="6"/>
      <c r="AO314" s="6"/>
      <c r="AP314" s="6"/>
      <c r="AQ314" s="6"/>
      <c r="AR314" s="6">
        <v>42782</v>
      </c>
      <c r="AS314" s="6"/>
      <c r="AT314" s="6"/>
      <c r="AU314" s="6"/>
      <c r="AV314" s="6">
        <v>42786</v>
      </c>
      <c r="AW314" s="6"/>
      <c r="AX314" s="6"/>
      <c r="AY314" s="6"/>
      <c r="AZ314" s="6">
        <v>42786</v>
      </c>
      <c r="BA314" s="6"/>
      <c r="BB314" s="6"/>
      <c r="BC314" s="6"/>
      <c r="BD314" s="6"/>
      <c r="BE314" s="6"/>
      <c r="BF314" s="6"/>
      <c r="BG314" s="6"/>
      <c r="BH314" s="6"/>
      <c r="BI314" s="6"/>
      <c r="BJ314" s="6"/>
      <c r="BK314" s="6"/>
      <c r="BL314" s="6"/>
      <c r="BM314" s="6">
        <v>42788</v>
      </c>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c r="FZ314" s="6"/>
      <c r="GA314" s="6"/>
      <c r="GB314" s="6"/>
      <c r="GC314" s="6"/>
      <c r="GD314" s="6"/>
      <c r="GE314" s="6"/>
      <c r="GF314" s="6"/>
      <c r="GG314" s="6"/>
      <c r="GH314" s="6"/>
      <c r="GI314" s="6"/>
      <c r="GJ314" s="6"/>
      <c r="GK314" s="6"/>
      <c r="GL314" s="6"/>
      <c r="GM314" s="6"/>
      <c r="GN314" s="6"/>
      <c r="GO314" s="6"/>
      <c r="GP314" s="6"/>
      <c r="GQ314" s="6"/>
      <c r="GR314" s="6"/>
      <c r="GS314" s="6"/>
      <c r="GT314" s="6"/>
      <c r="GU314" s="6"/>
      <c r="GV314" s="6"/>
      <c r="GW314" s="6"/>
      <c r="GX314" s="6"/>
      <c r="GY314" s="6"/>
      <c r="GZ314" s="6"/>
      <c r="HA314" s="6"/>
      <c r="HB314" s="6"/>
      <c r="HC314" s="6"/>
      <c r="HD314" s="6"/>
      <c r="HE314" s="6"/>
      <c r="HF314" s="6"/>
      <c r="HG314" s="6"/>
      <c r="HH314" s="6"/>
    </row>
    <row r="315" spans="1:216" x14ac:dyDescent="0.3">
      <c r="A315" s="8" t="str">
        <f>HYPERLINK("https://hpr-rps.hres.ca/reg-content/summary-basis-decision-detailTwo.php?lang=en&amp;linkID=SBD00324", "Bepreve")</f>
        <v>Bepreve</v>
      </c>
      <c r="B315" s="6" t="s">
        <v>842</v>
      </c>
      <c r="C315" s="6" t="s">
        <v>843</v>
      </c>
      <c r="D315" s="6" t="s">
        <v>844</v>
      </c>
      <c r="E315" s="6"/>
      <c r="F315" s="6"/>
      <c r="G315" s="6"/>
      <c r="H315" s="6">
        <v>42235</v>
      </c>
      <c r="I315" s="6"/>
      <c r="J315" s="6"/>
      <c r="K315" s="6"/>
      <c r="L315" s="6"/>
      <c r="M315" s="6"/>
      <c r="N315" s="6"/>
      <c r="O315" s="6"/>
      <c r="P315" s="6"/>
      <c r="Q315" s="6"/>
      <c r="R315" s="6"/>
      <c r="S315" s="6"/>
      <c r="T315" s="6"/>
      <c r="U315" s="6"/>
      <c r="V315" s="6"/>
      <c r="W315" s="6"/>
      <c r="X315" s="6"/>
      <c r="Y315" s="6"/>
      <c r="Z315" s="6"/>
      <c r="AA315" s="6"/>
      <c r="AB315" s="6"/>
      <c r="AC315" s="6"/>
      <c r="AD315" s="6"/>
      <c r="AE315" s="6"/>
      <c r="AF315" s="6">
        <v>42284</v>
      </c>
      <c r="AG315" s="6"/>
      <c r="AH315" s="6"/>
      <c r="AI315" s="6"/>
      <c r="AJ315" s="6"/>
      <c r="AK315" s="6"/>
      <c r="AL315" s="6"/>
      <c r="AM315" s="6"/>
      <c r="AN315" s="6"/>
      <c r="AO315" s="6"/>
      <c r="AP315" s="6"/>
      <c r="AQ315" s="6"/>
      <c r="AR315" s="6">
        <v>42573</v>
      </c>
      <c r="AS315" s="6"/>
      <c r="AT315" s="6"/>
      <c r="AU315" s="6"/>
      <c r="AV315" s="6">
        <v>42573</v>
      </c>
      <c r="AW315" s="6"/>
      <c r="AX315" s="6"/>
      <c r="AY315" s="6"/>
      <c r="AZ315" s="6">
        <v>42576</v>
      </c>
      <c r="BA315" s="6"/>
      <c r="BB315" s="6"/>
      <c r="BC315" s="6"/>
      <c r="BD315" s="6"/>
      <c r="BE315" s="6"/>
      <c r="BF315" s="6"/>
      <c r="BG315" s="6"/>
      <c r="BH315" s="6"/>
      <c r="BI315" s="6"/>
      <c r="BJ315" s="6"/>
      <c r="BK315" s="6"/>
      <c r="BL315" s="6"/>
      <c r="BM315" s="6">
        <v>42578</v>
      </c>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c r="FZ315" s="6"/>
      <c r="GA315" s="6"/>
      <c r="GB315" s="6"/>
      <c r="GC315" s="6"/>
      <c r="GD315" s="6"/>
      <c r="GE315" s="6"/>
      <c r="GF315" s="6"/>
      <c r="GG315" s="6"/>
      <c r="GH315" s="6"/>
      <c r="GI315" s="6"/>
      <c r="GJ315" s="6"/>
      <c r="GK315" s="6"/>
      <c r="GL315" s="6"/>
      <c r="GM315" s="6"/>
      <c r="GN315" s="6"/>
      <c r="GO315" s="6"/>
      <c r="GP315" s="6"/>
      <c r="GQ315" s="6"/>
      <c r="GR315" s="6"/>
      <c r="GS315" s="6"/>
      <c r="GT315" s="6"/>
      <c r="GU315" s="6"/>
      <c r="GV315" s="6"/>
      <c r="GW315" s="6"/>
      <c r="GX315" s="6"/>
      <c r="GY315" s="6"/>
      <c r="GZ315" s="6"/>
      <c r="HA315" s="6"/>
      <c r="HB315" s="6"/>
      <c r="HC315" s="6"/>
      <c r="HD315" s="6"/>
      <c r="HE315" s="6"/>
      <c r="HF315" s="6"/>
      <c r="HG315" s="6"/>
      <c r="HH315" s="6"/>
    </row>
    <row r="316" spans="1:216" x14ac:dyDescent="0.3">
      <c r="A316" s="8" t="str">
        <f>HYPERLINK("https://hpr-rps.hres.ca/reg-content/summary-basis-decision-detailTwo.php?lang=en&amp;linkID=SBD00326", "Uptravi")</f>
        <v>Uptravi</v>
      </c>
      <c r="B316" s="6" t="s">
        <v>845</v>
      </c>
      <c r="C316" s="6" t="s">
        <v>846</v>
      </c>
      <c r="D316" s="6" t="s">
        <v>847</v>
      </c>
      <c r="E316" s="6">
        <v>42018</v>
      </c>
      <c r="F316" s="6"/>
      <c r="G316" s="6"/>
      <c r="H316" s="6">
        <v>42048</v>
      </c>
      <c r="I316" s="6">
        <v>42090</v>
      </c>
      <c r="J316" s="6"/>
      <c r="K316" s="6"/>
      <c r="L316" s="6"/>
      <c r="M316" s="6"/>
      <c r="N316" s="6"/>
      <c r="O316" s="6"/>
      <c r="P316" s="6"/>
      <c r="Q316" s="6"/>
      <c r="R316" s="6"/>
      <c r="S316" s="6"/>
      <c r="T316" s="6"/>
      <c r="U316" s="6"/>
      <c r="V316" s="6"/>
      <c r="W316" s="6"/>
      <c r="X316" s="6">
        <v>42387</v>
      </c>
      <c r="Y316" s="6">
        <v>42361</v>
      </c>
      <c r="Z316" s="6"/>
      <c r="AA316" s="6"/>
      <c r="AB316" s="6"/>
      <c r="AC316" s="6"/>
      <c r="AD316" s="6"/>
      <c r="AE316" s="6"/>
      <c r="AF316" s="6"/>
      <c r="AG316" s="6"/>
      <c r="AH316" s="6"/>
      <c r="AI316" s="6">
        <v>42388</v>
      </c>
      <c r="AJ316" s="6"/>
      <c r="AK316" s="6"/>
      <c r="AL316" s="6"/>
      <c r="AM316" s="6">
        <v>42389</v>
      </c>
      <c r="AN316" s="6"/>
      <c r="AO316" s="6"/>
      <c r="AP316" s="6"/>
      <c r="AQ316" s="6"/>
      <c r="AR316" s="6"/>
      <c r="AS316" s="6">
        <v>42377</v>
      </c>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c r="FZ316" s="6"/>
      <c r="GA316" s="6"/>
      <c r="GB316" s="6"/>
      <c r="GC316" s="6"/>
      <c r="GD316" s="6"/>
      <c r="GE316" s="6"/>
      <c r="GF316" s="6"/>
      <c r="GG316" s="6"/>
      <c r="GH316" s="6"/>
      <c r="GI316" s="6"/>
      <c r="GJ316" s="6"/>
      <c r="GK316" s="6"/>
      <c r="GL316" s="6"/>
      <c r="GM316" s="6"/>
      <c r="GN316" s="6"/>
      <c r="GO316" s="6"/>
      <c r="GP316" s="6"/>
      <c r="GQ316" s="6"/>
      <c r="GR316" s="6"/>
      <c r="GS316" s="6"/>
      <c r="GT316" s="6"/>
      <c r="GU316" s="6"/>
      <c r="GV316" s="6"/>
      <c r="GW316" s="6"/>
      <c r="GX316" s="6"/>
      <c r="GY316" s="6"/>
      <c r="GZ316" s="6"/>
      <c r="HA316" s="6"/>
      <c r="HB316" s="6"/>
      <c r="HC316" s="6"/>
      <c r="HD316" s="6"/>
      <c r="HE316" s="6"/>
      <c r="HF316" s="6"/>
      <c r="HG316" s="6"/>
      <c r="HH316" s="6"/>
    </row>
    <row r="317" spans="1:216" x14ac:dyDescent="0.3">
      <c r="A317" s="8" t="str">
        <f>HYPERLINK("https://hpr-rps.hres.ca/reg-content/summary-basis-decision-detailTwo.php?lang=en&amp;linkID=SBD00327", "Taltz")</f>
        <v>Taltz</v>
      </c>
      <c r="B317" s="6" t="s">
        <v>848</v>
      </c>
      <c r="C317" s="6" t="s">
        <v>140</v>
      </c>
      <c r="D317" s="6" t="s">
        <v>849</v>
      </c>
      <c r="E317" s="6">
        <v>42018</v>
      </c>
      <c r="F317" s="6"/>
      <c r="G317" s="6"/>
      <c r="H317" s="6">
        <v>42048</v>
      </c>
      <c r="I317" s="6">
        <v>42090</v>
      </c>
      <c r="J317" s="6"/>
      <c r="K317" s="6"/>
      <c r="L317" s="6"/>
      <c r="M317" s="6"/>
      <c r="N317" s="6"/>
      <c r="O317" s="6"/>
      <c r="P317" s="6"/>
      <c r="Q317" s="6"/>
      <c r="R317" s="6"/>
      <c r="S317" s="6"/>
      <c r="T317" s="6"/>
      <c r="U317" s="6"/>
      <c r="V317" s="6"/>
      <c r="W317" s="6"/>
      <c r="X317" s="6">
        <v>42387</v>
      </c>
      <c r="Y317" s="6">
        <v>42361</v>
      </c>
      <c r="Z317" s="6"/>
      <c r="AA317" s="6"/>
      <c r="AB317" s="6"/>
      <c r="AC317" s="6"/>
      <c r="AD317" s="6"/>
      <c r="AE317" s="6"/>
      <c r="AF317" s="6"/>
      <c r="AG317" s="6"/>
      <c r="AH317" s="6"/>
      <c r="AI317" s="6">
        <v>42388</v>
      </c>
      <c r="AJ317" s="6"/>
      <c r="AK317" s="6"/>
      <c r="AL317" s="6"/>
      <c r="AM317" s="6">
        <v>42389</v>
      </c>
      <c r="AN317" s="6"/>
      <c r="AO317" s="6"/>
      <c r="AP317" s="6"/>
      <c r="AQ317" s="6"/>
      <c r="AR317" s="6"/>
      <c r="AS317" s="6">
        <v>42377</v>
      </c>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c r="FZ317" s="6"/>
      <c r="GA317" s="6"/>
      <c r="GB317" s="6"/>
      <c r="GC317" s="6"/>
      <c r="GD317" s="6"/>
      <c r="GE317" s="6"/>
      <c r="GF317" s="6"/>
      <c r="GG317" s="6"/>
      <c r="GH317" s="6"/>
      <c r="GI317" s="6"/>
      <c r="GJ317" s="6"/>
      <c r="GK317" s="6"/>
      <c r="GL317" s="6"/>
      <c r="GM317" s="6"/>
      <c r="GN317" s="6"/>
      <c r="GO317" s="6"/>
      <c r="GP317" s="6"/>
      <c r="GQ317" s="6"/>
      <c r="GR317" s="6"/>
      <c r="GS317" s="6"/>
      <c r="GT317" s="6"/>
      <c r="GU317" s="6"/>
      <c r="GV317" s="6"/>
      <c r="GW317" s="6"/>
      <c r="GX317" s="6"/>
      <c r="GY317" s="6"/>
      <c r="GZ317" s="6"/>
      <c r="HA317" s="6"/>
      <c r="HB317" s="6"/>
      <c r="HC317" s="6"/>
      <c r="HD317" s="6"/>
      <c r="HE317" s="6"/>
      <c r="HF317" s="6"/>
      <c r="HG317" s="6"/>
      <c r="HH317" s="6"/>
    </row>
    <row r="318" spans="1:216" x14ac:dyDescent="0.3">
      <c r="A318" s="8" t="str">
        <f>HYPERLINK("https://hpr-rps.hres.ca/reg-content/summary-basis-decision-detailTwo.php?lang=en&amp;linkID=SBD00328", "Tagrisso")</f>
        <v>Tagrisso</v>
      </c>
      <c r="B318" s="6" t="s">
        <v>850</v>
      </c>
      <c r="C318" s="6" t="s">
        <v>137</v>
      </c>
      <c r="D318" s="6" t="s">
        <v>851</v>
      </c>
      <c r="E318" s="6">
        <v>42304</v>
      </c>
      <c r="F318" s="6"/>
      <c r="G318" s="6"/>
      <c r="H318" s="6"/>
      <c r="I318" s="6"/>
      <c r="J318" s="6"/>
      <c r="K318" s="6"/>
      <c r="L318" s="6"/>
      <c r="M318" s="6"/>
      <c r="N318" s="6">
        <v>42313</v>
      </c>
      <c r="O318" s="6"/>
      <c r="P318" s="6"/>
      <c r="Q318" s="6"/>
      <c r="R318" s="6"/>
      <c r="S318" s="6">
        <v>42347</v>
      </c>
      <c r="T318" s="6"/>
      <c r="U318" s="6"/>
      <c r="V318" s="6">
        <v>42352</v>
      </c>
      <c r="W318" s="6"/>
      <c r="X318" s="6"/>
      <c r="Y318" s="6"/>
      <c r="Z318" s="6"/>
      <c r="AA318" s="6"/>
      <c r="AB318" s="6"/>
      <c r="AC318" s="6"/>
      <c r="AD318" s="6"/>
      <c r="AE318" s="6"/>
      <c r="AF318" s="6">
        <v>42384</v>
      </c>
      <c r="AG318" s="6"/>
      <c r="AH318" s="6"/>
      <c r="AI318" s="6"/>
      <c r="AJ318" s="6"/>
      <c r="AK318" s="6"/>
      <c r="AL318" s="6"/>
      <c r="AM318" s="6"/>
      <c r="AN318" s="6"/>
      <c r="AO318" s="6"/>
      <c r="AP318" s="6"/>
      <c r="AQ318" s="6"/>
      <c r="AR318" s="6">
        <v>42200</v>
      </c>
      <c r="AS318" s="6">
        <v>42076</v>
      </c>
      <c r="AT318" s="6"/>
      <c r="AU318" s="6"/>
      <c r="AV318" s="6">
        <v>42139</v>
      </c>
      <c r="AW318" s="6"/>
      <c r="AX318" s="6"/>
      <c r="AY318" s="6"/>
      <c r="AZ318" s="6">
        <v>42194</v>
      </c>
      <c r="BA318" s="6"/>
      <c r="BB318" s="6"/>
      <c r="BC318" s="6"/>
      <c r="BD318" s="6"/>
      <c r="BE318" s="6"/>
      <c r="BF318" s="6"/>
      <c r="BG318" s="6"/>
      <c r="BH318" s="6"/>
      <c r="BI318" s="6"/>
      <c r="BJ318" s="6"/>
      <c r="BK318" s="6"/>
      <c r="BL318" s="6"/>
      <c r="BM318" s="6">
        <v>42562</v>
      </c>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c r="FZ318" s="6"/>
      <c r="GA318" s="6"/>
      <c r="GB318" s="6"/>
      <c r="GC318" s="6"/>
      <c r="GD318" s="6"/>
      <c r="GE318" s="6"/>
      <c r="GF318" s="6"/>
      <c r="GG318" s="6"/>
      <c r="GH318" s="6"/>
      <c r="GI318" s="6"/>
      <c r="GJ318" s="6"/>
      <c r="GK318" s="6"/>
      <c r="GL318" s="6"/>
      <c r="GM318" s="6"/>
      <c r="GN318" s="6"/>
      <c r="GO318" s="6"/>
      <c r="GP318" s="6"/>
      <c r="GQ318" s="6"/>
      <c r="GR318" s="6"/>
      <c r="GS318" s="6"/>
      <c r="GT318" s="6"/>
      <c r="GU318" s="6"/>
      <c r="GV318" s="6"/>
      <c r="GW318" s="6"/>
      <c r="GX318" s="6"/>
      <c r="GY318" s="6"/>
      <c r="GZ318" s="6"/>
      <c r="HA318" s="6"/>
      <c r="HB318" s="6"/>
      <c r="HC318" s="6"/>
      <c r="HD318" s="6"/>
      <c r="HE318" s="6"/>
      <c r="HF318" s="6"/>
      <c r="HG318" s="6"/>
      <c r="HH318" s="6"/>
    </row>
    <row r="319" spans="1:216" x14ac:dyDescent="0.3">
      <c r="A319" s="8" t="str">
        <f>HYPERLINK("https://hpr-rps.hres.ca/reg-content/summary-basis-decision-detailTwo.php?lang=en&amp;linkID=SBD00343", "Afstyla")</f>
        <v>Afstyla</v>
      </c>
      <c r="B319" s="6" t="s">
        <v>852</v>
      </c>
      <c r="C319" s="6" t="s">
        <v>126</v>
      </c>
      <c r="D319" s="6" t="s">
        <v>853</v>
      </c>
      <c r="E319" s="6">
        <v>42258</v>
      </c>
      <c r="F319" s="6"/>
      <c r="G319" s="6"/>
      <c r="H319" s="6">
        <v>42361</v>
      </c>
      <c r="I319" s="6"/>
      <c r="J319" s="6"/>
      <c r="K319" s="6"/>
      <c r="L319" s="6"/>
      <c r="M319" s="6"/>
      <c r="N319" s="6"/>
      <c r="O319" s="6"/>
      <c r="P319" s="6"/>
      <c r="Q319" s="6"/>
      <c r="R319" s="6"/>
      <c r="S319" s="6"/>
      <c r="T319" s="6"/>
      <c r="U319" s="6"/>
      <c r="V319" s="6"/>
      <c r="W319" s="6"/>
      <c r="X319" s="6"/>
      <c r="Y319" s="6"/>
      <c r="Z319" s="6"/>
      <c r="AA319" s="6"/>
      <c r="AB319" s="6"/>
      <c r="AC319" s="6"/>
      <c r="AD319" s="6"/>
      <c r="AE319" s="6"/>
      <c r="AF319" s="6">
        <v>42417</v>
      </c>
      <c r="AG319" s="6"/>
      <c r="AH319" s="6"/>
      <c r="AI319" s="6"/>
      <c r="AJ319" s="6"/>
      <c r="AK319" s="6"/>
      <c r="AL319" s="6"/>
      <c r="AM319" s="6"/>
      <c r="AN319" s="6"/>
      <c r="AO319" s="6">
        <v>42683</v>
      </c>
      <c r="AP319" s="6"/>
      <c r="AQ319" s="6"/>
      <c r="AR319" s="6">
        <v>42712</v>
      </c>
      <c r="AS319" s="6"/>
      <c r="AT319" s="6"/>
      <c r="AU319" s="6"/>
      <c r="AV319" s="6">
        <v>42711</v>
      </c>
      <c r="AW319" s="6"/>
      <c r="AX319" s="6"/>
      <c r="AY319" s="6"/>
      <c r="AZ319" s="6">
        <v>42712</v>
      </c>
      <c r="BA319" s="6"/>
      <c r="BB319" s="6"/>
      <c r="BC319" s="6"/>
      <c r="BD319" s="6"/>
      <c r="BE319" s="6"/>
      <c r="BF319" s="6"/>
      <c r="BG319" s="6"/>
      <c r="BH319" s="6"/>
      <c r="BI319" s="6"/>
      <c r="BJ319" s="6"/>
      <c r="BK319" s="6"/>
      <c r="BL319" s="6"/>
      <c r="BM319" s="6">
        <v>42716</v>
      </c>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c r="FZ319" s="6"/>
      <c r="GA319" s="6"/>
      <c r="GB319" s="6"/>
      <c r="GC319" s="6"/>
      <c r="GD319" s="6"/>
      <c r="GE319" s="6"/>
      <c r="GF319" s="6"/>
      <c r="GG319" s="6"/>
      <c r="GH319" s="6"/>
      <c r="GI319" s="6"/>
      <c r="GJ319" s="6"/>
      <c r="GK319" s="6"/>
      <c r="GL319" s="6"/>
      <c r="GM319" s="6"/>
      <c r="GN319" s="6"/>
      <c r="GO319" s="6"/>
      <c r="GP319" s="6"/>
      <c r="GQ319" s="6"/>
      <c r="GR319" s="6"/>
      <c r="GS319" s="6"/>
      <c r="GT319" s="6"/>
      <c r="GU319" s="6"/>
      <c r="GV319" s="6"/>
      <c r="GW319" s="6"/>
      <c r="GX319" s="6"/>
      <c r="GY319" s="6"/>
      <c r="GZ319" s="6"/>
      <c r="HA319" s="6"/>
      <c r="HB319" s="6"/>
      <c r="HC319" s="6"/>
      <c r="HD319" s="6"/>
      <c r="HE319" s="6"/>
      <c r="HF319" s="6"/>
      <c r="HG319" s="6"/>
      <c r="HH319" s="6"/>
    </row>
    <row r="320" spans="1:216" x14ac:dyDescent="0.3">
      <c r="A320" s="8" t="str">
        <f>HYPERLINK("https://hpr-rps.hres.ca/reg-content/summary-basis-decision-detailTwo.php?lang=en&amp;linkID=SBD00329", "Epclusa")</f>
        <v>Epclusa</v>
      </c>
      <c r="B320" s="6" t="s">
        <v>854</v>
      </c>
      <c r="C320" s="6" t="s">
        <v>134</v>
      </c>
      <c r="D320" s="6" t="s">
        <v>855</v>
      </c>
      <c r="E320" s="6">
        <v>42304</v>
      </c>
      <c r="F320" s="6"/>
      <c r="G320" s="6"/>
      <c r="H320" s="6"/>
      <c r="I320" s="6"/>
      <c r="J320" s="6"/>
      <c r="K320" s="6"/>
      <c r="L320" s="6"/>
      <c r="M320" s="6"/>
      <c r="N320" s="6">
        <v>42313</v>
      </c>
      <c r="O320" s="6"/>
      <c r="P320" s="6"/>
      <c r="Q320" s="6"/>
      <c r="R320" s="6"/>
      <c r="S320" s="6">
        <v>42347</v>
      </c>
      <c r="T320" s="6"/>
      <c r="U320" s="6"/>
      <c r="V320" s="6">
        <v>42352</v>
      </c>
      <c r="W320" s="6"/>
      <c r="X320" s="6"/>
      <c r="Y320" s="6"/>
      <c r="Z320" s="6"/>
      <c r="AA320" s="6"/>
      <c r="AB320" s="6"/>
      <c r="AC320" s="6"/>
      <c r="AD320" s="6"/>
      <c r="AE320" s="6"/>
      <c r="AF320" s="6">
        <v>42384</v>
      </c>
      <c r="AG320" s="6"/>
      <c r="AH320" s="6"/>
      <c r="AI320" s="6"/>
      <c r="AJ320" s="6"/>
      <c r="AK320" s="6"/>
      <c r="AL320" s="6"/>
      <c r="AM320" s="6"/>
      <c r="AN320" s="6"/>
      <c r="AO320" s="6"/>
      <c r="AP320" s="6"/>
      <c r="AQ320" s="6"/>
      <c r="AR320" s="6">
        <v>42200</v>
      </c>
      <c r="AS320" s="6">
        <v>42076</v>
      </c>
      <c r="AT320" s="6"/>
      <c r="AU320" s="6"/>
      <c r="AV320" s="6">
        <v>42139</v>
      </c>
      <c r="AW320" s="6"/>
      <c r="AX320" s="6"/>
      <c r="AY320" s="6"/>
      <c r="AZ320" s="6">
        <v>42194</v>
      </c>
      <c r="BA320" s="6"/>
      <c r="BB320" s="6"/>
      <c r="BC320" s="6"/>
      <c r="BD320" s="6"/>
      <c r="BE320" s="6"/>
      <c r="BF320" s="6"/>
      <c r="BG320" s="6"/>
      <c r="BH320" s="6"/>
      <c r="BI320" s="6"/>
      <c r="BJ320" s="6"/>
      <c r="BK320" s="6"/>
      <c r="BL320" s="6"/>
      <c r="BM320" s="6">
        <v>42562</v>
      </c>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c r="FZ320" s="6"/>
      <c r="GA320" s="6"/>
      <c r="GB320" s="6"/>
      <c r="GC320" s="6"/>
      <c r="GD320" s="6"/>
      <c r="GE320" s="6"/>
      <c r="GF320" s="6"/>
      <c r="GG320" s="6"/>
      <c r="GH320" s="6"/>
      <c r="GI320" s="6"/>
      <c r="GJ320" s="6"/>
      <c r="GK320" s="6"/>
      <c r="GL320" s="6"/>
      <c r="GM320" s="6"/>
      <c r="GN320" s="6"/>
      <c r="GO320" s="6"/>
      <c r="GP320" s="6"/>
      <c r="GQ320" s="6"/>
      <c r="GR320" s="6"/>
      <c r="GS320" s="6"/>
      <c r="GT320" s="6"/>
      <c r="GU320" s="6"/>
      <c r="GV320" s="6"/>
      <c r="GW320" s="6"/>
      <c r="GX320" s="6"/>
      <c r="GY320" s="6"/>
      <c r="GZ320" s="6"/>
      <c r="HA320" s="6"/>
      <c r="HB320" s="6"/>
      <c r="HC320" s="6"/>
      <c r="HD320" s="6"/>
      <c r="HE320" s="6"/>
      <c r="HF320" s="6"/>
      <c r="HG320" s="6"/>
      <c r="HH320" s="6"/>
    </row>
    <row r="321" spans="1:216" x14ac:dyDescent="0.3">
      <c r="A321" s="8" t="str">
        <f>HYPERLINK("https://hpr-rps.hres.ca/reg-content/summary-basis-decision-detailTwo.php?lang=en&amp;linkID=SBD00330", "Remsima")</f>
        <v>Remsima</v>
      </c>
      <c r="B321" s="6" t="s">
        <v>701</v>
      </c>
      <c r="C321" s="6" t="s">
        <v>702</v>
      </c>
      <c r="D321" s="6" t="s">
        <v>856</v>
      </c>
      <c r="E321" s="6">
        <v>42258</v>
      </c>
      <c r="F321" s="6"/>
      <c r="G321" s="6"/>
      <c r="H321" s="6">
        <v>42361</v>
      </c>
      <c r="I321" s="6"/>
      <c r="J321" s="6"/>
      <c r="K321" s="6"/>
      <c r="L321" s="6"/>
      <c r="M321" s="6"/>
      <c r="N321" s="6"/>
      <c r="O321" s="6"/>
      <c r="P321" s="6"/>
      <c r="Q321" s="6"/>
      <c r="R321" s="6"/>
      <c r="S321" s="6"/>
      <c r="T321" s="6"/>
      <c r="U321" s="6"/>
      <c r="V321" s="6"/>
      <c r="W321" s="6"/>
      <c r="X321" s="6"/>
      <c r="Y321" s="6"/>
      <c r="Z321" s="6"/>
      <c r="AA321" s="6"/>
      <c r="AB321" s="6"/>
      <c r="AC321" s="6"/>
      <c r="AD321" s="6"/>
      <c r="AE321" s="6"/>
      <c r="AF321" s="6">
        <v>42417</v>
      </c>
      <c r="AG321" s="6"/>
      <c r="AH321" s="6"/>
      <c r="AI321" s="6"/>
      <c r="AJ321" s="6"/>
      <c r="AK321" s="6"/>
      <c r="AL321" s="6"/>
      <c r="AM321" s="6"/>
      <c r="AN321" s="6"/>
      <c r="AO321" s="6">
        <v>42683</v>
      </c>
      <c r="AP321" s="6"/>
      <c r="AQ321" s="6"/>
      <c r="AR321" s="6">
        <v>42712</v>
      </c>
      <c r="AS321" s="6"/>
      <c r="AT321" s="6"/>
      <c r="AU321" s="6"/>
      <c r="AV321" s="6">
        <v>42711</v>
      </c>
      <c r="AW321" s="6"/>
      <c r="AX321" s="6"/>
      <c r="AY321" s="6"/>
      <c r="AZ321" s="6">
        <v>42712</v>
      </c>
      <c r="BA321" s="6"/>
      <c r="BB321" s="6"/>
      <c r="BC321" s="6"/>
      <c r="BD321" s="6"/>
      <c r="BE321" s="6"/>
      <c r="BF321" s="6"/>
      <c r="BG321" s="6"/>
      <c r="BH321" s="6"/>
      <c r="BI321" s="6"/>
      <c r="BJ321" s="6"/>
      <c r="BK321" s="6"/>
      <c r="BL321" s="6"/>
      <c r="BM321" s="6">
        <v>42716</v>
      </c>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c r="FZ321" s="6"/>
      <c r="GA321" s="6"/>
      <c r="GB321" s="6"/>
      <c r="GC321" s="6"/>
      <c r="GD321" s="6"/>
      <c r="GE321" s="6"/>
      <c r="GF321" s="6"/>
      <c r="GG321" s="6"/>
      <c r="GH321" s="6"/>
      <c r="GI321" s="6"/>
      <c r="GJ321" s="6"/>
      <c r="GK321" s="6"/>
      <c r="GL321" s="6"/>
      <c r="GM321" s="6"/>
      <c r="GN321" s="6"/>
      <c r="GO321" s="6"/>
      <c r="GP321" s="6"/>
      <c r="GQ321" s="6"/>
      <c r="GR321" s="6"/>
      <c r="GS321" s="6"/>
      <c r="GT321" s="6"/>
      <c r="GU321" s="6"/>
      <c r="GV321" s="6"/>
      <c r="GW321" s="6"/>
      <c r="GX321" s="6"/>
      <c r="GY321" s="6"/>
      <c r="GZ321" s="6"/>
      <c r="HA321" s="6"/>
      <c r="HB321" s="6"/>
      <c r="HC321" s="6"/>
      <c r="HD321" s="6"/>
      <c r="HE321" s="6"/>
      <c r="HF321" s="6"/>
      <c r="HG321" s="6"/>
      <c r="HH321" s="6"/>
    </row>
    <row r="322" spans="1:216" x14ac:dyDescent="0.3">
      <c r="A322" s="8" t="str">
        <f>HYPERLINK("https://hpr-rps.hres.ca/reg-content/summary-basis-decision-detailTwo.php?lang=en&amp;linkID=SBD00350", "Mictoryl/Mictoryl Pediatric")</f>
        <v>Mictoryl/Mictoryl Pediatric</v>
      </c>
      <c r="B322" s="6" t="s">
        <v>857</v>
      </c>
      <c r="C322" s="6" t="s">
        <v>858</v>
      </c>
      <c r="D322" s="6" t="s">
        <v>859</v>
      </c>
      <c r="E322" s="6">
        <v>42258</v>
      </c>
      <c r="F322" s="6"/>
      <c r="G322" s="6"/>
      <c r="H322" s="6">
        <v>42361</v>
      </c>
      <c r="I322" s="6"/>
      <c r="J322" s="6"/>
      <c r="K322" s="6"/>
      <c r="L322" s="6"/>
      <c r="M322" s="6"/>
      <c r="N322" s="6"/>
      <c r="O322" s="6"/>
      <c r="P322" s="6"/>
      <c r="Q322" s="6"/>
      <c r="R322" s="6"/>
      <c r="S322" s="6"/>
      <c r="T322" s="6"/>
      <c r="U322" s="6"/>
      <c r="V322" s="6"/>
      <c r="W322" s="6"/>
      <c r="X322" s="6"/>
      <c r="Y322" s="6"/>
      <c r="Z322" s="6"/>
      <c r="AA322" s="6"/>
      <c r="AB322" s="6"/>
      <c r="AC322" s="6"/>
      <c r="AD322" s="6"/>
      <c r="AE322" s="6"/>
      <c r="AF322" s="6">
        <v>42417</v>
      </c>
      <c r="AG322" s="6"/>
      <c r="AH322" s="6"/>
      <c r="AI322" s="6"/>
      <c r="AJ322" s="6"/>
      <c r="AK322" s="6"/>
      <c r="AL322" s="6"/>
      <c r="AM322" s="6"/>
      <c r="AN322" s="6"/>
      <c r="AO322" s="6">
        <v>42683</v>
      </c>
      <c r="AP322" s="6"/>
      <c r="AQ322" s="6"/>
      <c r="AR322" s="6">
        <v>42712</v>
      </c>
      <c r="AS322" s="6"/>
      <c r="AT322" s="6"/>
      <c r="AU322" s="6"/>
      <c r="AV322" s="6">
        <v>42711</v>
      </c>
      <c r="AW322" s="6"/>
      <c r="AX322" s="6"/>
      <c r="AY322" s="6"/>
      <c r="AZ322" s="6">
        <v>42712</v>
      </c>
      <c r="BA322" s="6"/>
      <c r="BB322" s="6"/>
      <c r="BC322" s="6"/>
      <c r="BD322" s="6"/>
      <c r="BE322" s="6"/>
      <c r="BF322" s="6"/>
      <c r="BG322" s="6"/>
      <c r="BH322" s="6"/>
      <c r="BI322" s="6"/>
      <c r="BJ322" s="6"/>
      <c r="BK322" s="6"/>
      <c r="BL322" s="6"/>
      <c r="BM322" s="6">
        <v>42716</v>
      </c>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c r="FZ322" s="6"/>
      <c r="GA322" s="6"/>
      <c r="GB322" s="6"/>
      <c r="GC322" s="6"/>
      <c r="GD322" s="6"/>
      <c r="GE322" s="6"/>
      <c r="GF322" s="6"/>
      <c r="GG322" s="6"/>
      <c r="GH322" s="6"/>
      <c r="GI322" s="6"/>
      <c r="GJ322" s="6"/>
      <c r="GK322" s="6"/>
      <c r="GL322" s="6"/>
      <c r="GM322" s="6"/>
      <c r="GN322" s="6"/>
      <c r="GO322" s="6"/>
      <c r="GP322" s="6"/>
      <c r="GQ322" s="6"/>
      <c r="GR322" s="6"/>
      <c r="GS322" s="6"/>
      <c r="GT322" s="6"/>
      <c r="GU322" s="6"/>
      <c r="GV322" s="6"/>
      <c r="GW322" s="6"/>
      <c r="GX322" s="6"/>
      <c r="GY322" s="6"/>
      <c r="GZ322" s="6"/>
      <c r="HA322" s="6"/>
      <c r="HB322" s="6"/>
      <c r="HC322" s="6"/>
      <c r="HD322" s="6"/>
      <c r="HE322" s="6"/>
      <c r="HF322" s="6"/>
      <c r="HG322" s="6"/>
      <c r="HH322" s="6"/>
    </row>
    <row r="323" spans="1:216" x14ac:dyDescent="0.3">
      <c r="A323" s="8" t="str">
        <f>HYPERLINK("https://hpr-rps.hres.ca/reg-content/summary-basis-decision-detailTwo.php?lang=en&amp;linkID=SBD00331", "Cinqair")</f>
        <v>Cinqair</v>
      </c>
      <c r="B323" s="6" t="s">
        <v>860</v>
      </c>
      <c r="C323" s="6" t="s">
        <v>861</v>
      </c>
      <c r="D323" s="6" t="s">
        <v>862</v>
      </c>
      <c r="E323" s="6">
        <v>42124</v>
      </c>
      <c r="F323" s="6"/>
      <c r="G323" s="6"/>
      <c r="H323" s="6">
        <v>42188</v>
      </c>
      <c r="I323" s="6"/>
      <c r="J323" s="6"/>
      <c r="K323" s="6"/>
      <c r="L323" s="6"/>
      <c r="M323" s="6"/>
      <c r="N323" s="6"/>
      <c r="O323" s="6"/>
      <c r="P323" s="6"/>
      <c r="Q323" s="6"/>
      <c r="R323" s="6"/>
      <c r="S323" s="6"/>
      <c r="T323" s="6"/>
      <c r="U323" s="6"/>
      <c r="V323" s="6"/>
      <c r="W323" s="6"/>
      <c r="X323" s="6"/>
      <c r="Y323" s="6"/>
      <c r="Z323" s="6">
        <v>42236</v>
      </c>
      <c r="AA323" s="6"/>
      <c r="AB323" s="6"/>
      <c r="AC323" s="6">
        <v>42256</v>
      </c>
      <c r="AD323" s="6"/>
      <c r="AE323" s="6"/>
      <c r="AF323" s="6">
        <v>42272</v>
      </c>
      <c r="AG323" s="6"/>
      <c r="AH323" s="6"/>
      <c r="AI323" s="6"/>
      <c r="AJ323" s="6"/>
      <c r="AK323" s="6"/>
      <c r="AL323" s="6"/>
      <c r="AM323" s="6"/>
      <c r="AN323" s="6"/>
      <c r="AO323" s="6"/>
      <c r="AP323" s="6"/>
      <c r="AQ323" s="6"/>
      <c r="AR323" s="6">
        <v>42563</v>
      </c>
      <c r="AS323" s="6"/>
      <c r="AT323" s="6"/>
      <c r="AU323" s="6"/>
      <c r="AV323" s="6">
        <v>42563</v>
      </c>
      <c r="AW323" s="6"/>
      <c r="AX323" s="6"/>
      <c r="AY323" s="6"/>
      <c r="AZ323" s="6">
        <v>42564</v>
      </c>
      <c r="BA323" s="6"/>
      <c r="BB323" s="6"/>
      <c r="BC323" s="6"/>
      <c r="BD323" s="6"/>
      <c r="BE323" s="6"/>
      <c r="BF323" s="6"/>
      <c r="BG323" s="6"/>
      <c r="BH323" s="6"/>
      <c r="BI323" s="6"/>
      <c r="BJ323" s="6"/>
      <c r="BK323" s="6"/>
      <c r="BL323" s="6"/>
      <c r="BM323" s="6">
        <v>42571</v>
      </c>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c r="FZ323" s="6"/>
      <c r="GA323" s="6"/>
      <c r="GB323" s="6"/>
      <c r="GC323" s="6"/>
      <c r="GD323" s="6"/>
      <c r="GE323" s="6"/>
      <c r="GF323" s="6"/>
      <c r="GG323" s="6"/>
      <c r="GH323" s="6"/>
      <c r="GI323" s="6"/>
      <c r="GJ323" s="6"/>
      <c r="GK323" s="6"/>
      <c r="GL323" s="6"/>
      <c r="GM323" s="6"/>
      <c r="GN323" s="6"/>
      <c r="GO323" s="6"/>
      <c r="GP323" s="6"/>
      <c r="GQ323" s="6"/>
      <c r="GR323" s="6"/>
      <c r="GS323" s="6"/>
      <c r="GT323" s="6"/>
      <c r="GU323" s="6"/>
      <c r="GV323" s="6"/>
      <c r="GW323" s="6"/>
      <c r="GX323" s="6"/>
      <c r="GY323" s="6"/>
      <c r="GZ323" s="6"/>
      <c r="HA323" s="6"/>
      <c r="HB323" s="6"/>
      <c r="HC323" s="6"/>
      <c r="HD323" s="6"/>
      <c r="HE323" s="6"/>
      <c r="HF323" s="6"/>
      <c r="HG323" s="6"/>
      <c r="HH323" s="6"/>
    </row>
    <row r="324" spans="1:216" x14ac:dyDescent="0.3">
      <c r="A324" s="8" t="str">
        <f>HYPERLINK("https://hpr-rps.hres.ca/reg-content/summary-basis-decision-detailTwo.php?lang=en&amp;linkID=SBD00332", "Alecensaro")</f>
        <v>Alecensaro</v>
      </c>
      <c r="B324" s="6" t="s">
        <v>863</v>
      </c>
      <c r="C324" s="6" t="s">
        <v>864</v>
      </c>
      <c r="D324" s="6" t="s">
        <v>865</v>
      </c>
      <c r="E324" s="6"/>
      <c r="F324" s="6"/>
      <c r="G324" s="6"/>
      <c r="H324" s="6">
        <v>42320</v>
      </c>
      <c r="I324" s="6"/>
      <c r="J324" s="6"/>
      <c r="K324" s="6"/>
      <c r="L324" s="6"/>
      <c r="M324" s="6"/>
      <c r="N324" s="6"/>
      <c r="O324" s="6"/>
      <c r="P324" s="6"/>
      <c r="Q324" s="6"/>
      <c r="R324" s="6"/>
      <c r="S324" s="6"/>
      <c r="T324" s="6"/>
      <c r="U324" s="6"/>
      <c r="V324" s="6"/>
      <c r="W324" s="6"/>
      <c r="X324" s="6"/>
      <c r="Y324" s="6"/>
      <c r="Z324" s="6">
        <v>42355</v>
      </c>
      <c r="AA324" s="6"/>
      <c r="AB324" s="6"/>
      <c r="AC324" s="6">
        <v>42391</v>
      </c>
      <c r="AD324" s="6"/>
      <c r="AE324" s="6"/>
      <c r="AF324" s="6">
        <v>42411</v>
      </c>
      <c r="AG324" s="6"/>
      <c r="AH324" s="6"/>
      <c r="AI324" s="6"/>
      <c r="AJ324" s="6"/>
      <c r="AK324" s="6"/>
      <c r="AL324" s="6"/>
      <c r="AM324" s="6"/>
      <c r="AN324" s="6"/>
      <c r="AO324" s="6"/>
      <c r="AP324" s="6"/>
      <c r="AQ324" s="6"/>
      <c r="AR324" s="6">
        <v>42606</v>
      </c>
      <c r="AS324" s="6">
        <v>42549</v>
      </c>
      <c r="AT324" s="6"/>
      <c r="AU324" s="6"/>
      <c r="AV324" s="6">
        <v>42559</v>
      </c>
      <c r="AW324" s="6"/>
      <c r="AX324" s="6">
        <v>42544</v>
      </c>
      <c r="AY324" s="6"/>
      <c r="AZ324" s="6"/>
      <c r="BA324" s="6"/>
      <c r="BB324" s="6"/>
      <c r="BC324" s="6"/>
      <c r="BD324" s="6"/>
      <c r="BE324" s="6"/>
      <c r="BF324" s="6"/>
      <c r="BG324" s="6"/>
      <c r="BH324" s="6"/>
      <c r="BI324" s="6"/>
      <c r="BJ324" s="6"/>
      <c r="BK324" s="6">
        <v>42607</v>
      </c>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v>42636</v>
      </c>
      <c r="CV324" s="6"/>
      <c r="CW324" s="6"/>
      <c r="CX324" s="6"/>
      <c r="CY324" s="6"/>
      <c r="CZ324" s="6"/>
      <c r="DA324" s="6"/>
      <c r="DB324" s="6"/>
      <c r="DC324" s="6"/>
      <c r="DD324" s="6"/>
      <c r="DE324" s="6"/>
      <c r="DF324" s="6"/>
      <c r="DG324" s="6">
        <v>42641</v>
      </c>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c r="FZ324" s="6"/>
      <c r="GA324" s="6"/>
      <c r="GB324" s="6"/>
      <c r="GC324" s="6"/>
      <c r="GD324" s="6"/>
      <c r="GE324" s="6"/>
      <c r="GF324" s="6"/>
      <c r="GG324" s="6"/>
      <c r="GH324" s="6"/>
      <c r="GI324" s="6"/>
      <c r="GJ324" s="6"/>
      <c r="GK324" s="6"/>
      <c r="GL324" s="6"/>
      <c r="GM324" s="6"/>
      <c r="GN324" s="6"/>
      <c r="GO324" s="6"/>
      <c r="GP324" s="6"/>
      <c r="GQ324" s="6"/>
      <c r="GR324" s="6"/>
      <c r="GS324" s="6"/>
      <c r="GT324" s="6"/>
      <c r="GU324" s="6"/>
      <c r="GV324" s="6"/>
      <c r="GW324" s="6"/>
      <c r="GX324" s="6"/>
      <c r="GY324" s="6"/>
      <c r="GZ324" s="6"/>
      <c r="HA324" s="6"/>
      <c r="HB324" s="6"/>
      <c r="HC324" s="6"/>
      <c r="HD324" s="6"/>
      <c r="HE324" s="6"/>
      <c r="HF324" s="6"/>
      <c r="HG324" s="6"/>
      <c r="HH324" s="6"/>
    </row>
    <row r="325" spans="1:216" x14ac:dyDescent="0.3">
      <c r="A325" s="8" t="str">
        <f>HYPERLINK("https://hpr-rps.hres.ca/reg-content/summary-basis-decision-detailTwo.php?lang=en&amp;linkID=SBD00333", "Brenzys")</f>
        <v>Brenzys</v>
      </c>
      <c r="B325" s="6" t="s">
        <v>866</v>
      </c>
      <c r="C325" s="6" t="s">
        <v>867</v>
      </c>
      <c r="D325" s="6" t="s">
        <v>868</v>
      </c>
      <c r="E325" s="6">
        <v>41921</v>
      </c>
      <c r="F325" s="6"/>
      <c r="G325" s="6"/>
      <c r="H325" s="6">
        <v>42163</v>
      </c>
      <c r="I325" s="6"/>
      <c r="J325" s="6"/>
      <c r="K325" s="6"/>
      <c r="L325" s="6"/>
      <c r="M325" s="6"/>
      <c r="N325" s="6"/>
      <c r="O325" s="6"/>
      <c r="P325" s="6"/>
      <c r="Q325" s="6"/>
      <c r="R325" s="6"/>
      <c r="S325" s="6"/>
      <c r="T325" s="6"/>
      <c r="U325" s="6"/>
      <c r="V325" s="6"/>
      <c r="W325" s="6"/>
      <c r="X325" s="6"/>
      <c r="Y325" s="6"/>
      <c r="Z325" s="6"/>
      <c r="AA325" s="6"/>
      <c r="AB325" s="6"/>
      <c r="AC325" s="6"/>
      <c r="AD325" s="6"/>
      <c r="AE325" s="6"/>
      <c r="AF325" s="6">
        <v>42222</v>
      </c>
      <c r="AG325" s="6"/>
      <c r="AH325" s="6"/>
      <c r="AI325" s="6"/>
      <c r="AJ325" s="6"/>
      <c r="AK325" s="6"/>
      <c r="AL325" s="6"/>
      <c r="AM325" s="6"/>
      <c r="AN325" s="6"/>
      <c r="AO325" s="6">
        <v>42345</v>
      </c>
      <c r="AP325" s="6"/>
      <c r="AQ325" s="6"/>
      <c r="AR325" s="6">
        <v>42517</v>
      </c>
      <c r="AS325" s="6"/>
      <c r="AT325" s="6"/>
      <c r="AU325" s="6"/>
      <c r="AV325" s="6">
        <v>42514</v>
      </c>
      <c r="AW325" s="6"/>
      <c r="AX325" s="6"/>
      <c r="AY325" s="6"/>
      <c r="AZ325" s="6">
        <v>42514</v>
      </c>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c r="FZ325" s="6"/>
      <c r="GA325" s="6"/>
      <c r="GB325" s="6"/>
      <c r="GC325" s="6"/>
      <c r="GD325" s="6"/>
      <c r="GE325" s="6"/>
      <c r="GF325" s="6"/>
      <c r="GG325" s="6"/>
      <c r="GH325" s="6"/>
      <c r="GI325" s="6"/>
      <c r="GJ325" s="6"/>
      <c r="GK325" s="6"/>
      <c r="GL325" s="6"/>
      <c r="GM325" s="6"/>
      <c r="GN325" s="6"/>
      <c r="GO325" s="6"/>
      <c r="GP325" s="6"/>
      <c r="GQ325" s="6"/>
      <c r="GR325" s="6"/>
      <c r="GS325" s="6"/>
      <c r="GT325" s="6"/>
      <c r="GU325" s="6"/>
      <c r="GV325" s="6"/>
      <c r="GW325" s="6"/>
      <c r="GX325" s="6"/>
      <c r="GY325" s="6"/>
      <c r="GZ325" s="6"/>
      <c r="HA325" s="6"/>
      <c r="HB325" s="6"/>
      <c r="HC325" s="6"/>
      <c r="HD325" s="6"/>
      <c r="HE325" s="6"/>
      <c r="HF325" s="6"/>
      <c r="HG325" s="6"/>
      <c r="HH325" s="6"/>
    </row>
    <row r="326" spans="1:216" x14ac:dyDescent="0.3">
      <c r="A326" s="8" t="str">
        <f>HYPERLINK("https://hpr-rps.hres.ca/reg-content/summary-basis-decision-detailTwo.php?lang=en&amp;linkID=SBD00334", "Ninlaro")</f>
        <v>Ninlaro</v>
      </c>
      <c r="B326" s="6" t="s">
        <v>869</v>
      </c>
      <c r="C326" s="6" t="s">
        <v>870</v>
      </c>
      <c r="D326" s="6" t="s">
        <v>871</v>
      </c>
      <c r="E326" s="6"/>
      <c r="F326" s="6"/>
      <c r="G326" s="6"/>
      <c r="H326" s="6">
        <v>42216</v>
      </c>
      <c r="I326" s="6"/>
      <c r="J326" s="6"/>
      <c r="K326" s="6"/>
      <c r="L326" s="6"/>
      <c r="M326" s="6"/>
      <c r="N326" s="6"/>
      <c r="O326" s="6"/>
      <c r="P326" s="6"/>
      <c r="Q326" s="6"/>
      <c r="R326" s="6"/>
      <c r="S326" s="6"/>
      <c r="T326" s="6"/>
      <c r="U326" s="6"/>
      <c r="V326" s="6"/>
      <c r="W326" s="6"/>
      <c r="X326" s="6"/>
      <c r="Y326" s="6"/>
      <c r="Z326" s="6">
        <v>42263</v>
      </c>
      <c r="AA326" s="6"/>
      <c r="AB326" s="6"/>
      <c r="AC326" s="6">
        <v>42312</v>
      </c>
      <c r="AD326" s="6"/>
      <c r="AE326" s="6"/>
      <c r="AF326" s="6">
        <v>42355</v>
      </c>
      <c r="AG326" s="6"/>
      <c r="AH326" s="6"/>
      <c r="AI326" s="6"/>
      <c r="AJ326" s="6"/>
      <c r="AK326" s="6"/>
      <c r="AL326" s="6"/>
      <c r="AM326" s="6"/>
      <c r="AN326" s="6"/>
      <c r="AO326" s="6"/>
      <c r="AP326" s="6"/>
      <c r="AQ326" s="6"/>
      <c r="AR326" s="6">
        <v>42698</v>
      </c>
      <c r="AS326" s="6"/>
      <c r="AT326" s="6"/>
      <c r="AU326" s="6"/>
      <c r="AV326" s="6">
        <v>42697</v>
      </c>
      <c r="AW326" s="6"/>
      <c r="AX326" s="6"/>
      <c r="AY326" s="6"/>
      <c r="AZ326" s="6">
        <v>42697</v>
      </c>
      <c r="BA326" s="6"/>
      <c r="BB326" s="6"/>
      <c r="BC326" s="6"/>
      <c r="BD326" s="6"/>
      <c r="BE326" s="6"/>
      <c r="BF326" s="6"/>
      <c r="BG326" s="6"/>
      <c r="BH326" s="6"/>
      <c r="BI326" s="6"/>
      <c r="BJ326" s="6"/>
      <c r="BK326" s="6"/>
      <c r="BL326" s="6"/>
      <c r="BM326" s="6">
        <v>42699</v>
      </c>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c r="FZ326" s="6"/>
      <c r="GA326" s="6"/>
      <c r="GB326" s="6"/>
      <c r="GC326" s="6"/>
      <c r="GD326" s="6"/>
      <c r="GE326" s="6"/>
      <c r="GF326" s="6"/>
      <c r="GG326" s="6"/>
      <c r="GH326" s="6"/>
      <c r="GI326" s="6"/>
      <c r="GJ326" s="6"/>
      <c r="GK326" s="6"/>
      <c r="GL326" s="6"/>
      <c r="GM326" s="6"/>
      <c r="GN326" s="6"/>
      <c r="GO326" s="6"/>
      <c r="GP326" s="6"/>
      <c r="GQ326" s="6"/>
      <c r="GR326" s="6"/>
      <c r="GS326" s="6"/>
      <c r="GT326" s="6"/>
      <c r="GU326" s="6"/>
      <c r="GV326" s="6"/>
      <c r="GW326" s="6"/>
      <c r="GX326" s="6"/>
      <c r="GY326" s="6"/>
      <c r="GZ326" s="6"/>
      <c r="HA326" s="6"/>
      <c r="HB326" s="6"/>
      <c r="HC326" s="6"/>
      <c r="HD326" s="6"/>
      <c r="HE326" s="6"/>
      <c r="HF326" s="6"/>
      <c r="HG326" s="6"/>
      <c r="HH326" s="6"/>
    </row>
    <row r="327" spans="1:216" x14ac:dyDescent="0.3">
      <c r="A327" s="8" t="str">
        <f>HYPERLINK("https://hpr-rps.hres.ca/reg-content/summary-basis-decision-detailTwo.php?lang=en&amp;linkID=SBD00335", "Rupall (Formerly Rupatadine)")</f>
        <v>Rupall (Formerly Rupatadine)</v>
      </c>
      <c r="B327" s="6" t="s">
        <v>872</v>
      </c>
      <c r="C327" s="6" t="s">
        <v>873</v>
      </c>
      <c r="D327" s="6" t="s">
        <v>874</v>
      </c>
      <c r="E327" s="6"/>
      <c r="F327" s="6"/>
      <c r="G327" s="6"/>
      <c r="H327" s="6">
        <v>42216</v>
      </c>
      <c r="I327" s="6"/>
      <c r="J327" s="6"/>
      <c r="K327" s="6"/>
      <c r="L327" s="6"/>
      <c r="M327" s="6"/>
      <c r="N327" s="6"/>
      <c r="O327" s="6"/>
      <c r="P327" s="6"/>
      <c r="Q327" s="6"/>
      <c r="R327" s="6"/>
      <c r="S327" s="6"/>
      <c r="T327" s="6"/>
      <c r="U327" s="6"/>
      <c r="V327" s="6"/>
      <c r="W327" s="6"/>
      <c r="X327" s="6"/>
      <c r="Y327" s="6"/>
      <c r="Z327" s="6">
        <v>42263</v>
      </c>
      <c r="AA327" s="6"/>
      <c r="AB327" s="6"/>
      <c r="AC327" s="6">
        <v>42312</v>
      </c>
      <c r="AD327" s="6"/>
      <c r="AE327" s="6"/>
      <c r="AF327" s="6">
        <v>42355</v>
      </c>
      <c r="AG327" s="6"/>
      <c r="AH327" s="6"/>
      <c r="AI327" s="6"/>
      <c r="AJ327" s="6"/>
      <c r="AK327" s="6"/>
      <c r="AL327" s="6"/>
      <c r="AM327" s="6"/>
      <c r="AN327" s="6"/>
      <c r="AO327" s="6"/>
      <c r="AP327" s="6"/>
      <c r="AQ327" s="6"/>
      <c r="AR327" s="6">
        <v>42698</v>
      </c>
      <c r="AS327" s="6"/>
      <c r="AT327" s="6"/>
      <c r="AU327" s="6"/>
      <c r="AV327" s="6">
        <v>42697</v>
      </c>
      <c r="AW327" s="6"/>
      <c r="AX327" s="6"/>
      <c r="AY327" s="6"/>
      <c r="AZ327" s="6">
        <v>42697</v>
      </c>
      <c r="BA327" s="6"/>
      <c r="BB327" s="6"/>
      <c r="BC327" s="6"/>
      <c r="BD327" s="6"/>
      <c r="BE327" s="6"/>
      <c r="BF327" s="6"/>
      <c r="BG327" s="6"/>
      <c r="BH327" s="6"/>
      <c r="BI327" s="6"/>
      <c r="BJ327" s="6"/>
      <c r="BK327" s="6"/>
      <c r="BL327" s="6"/>
      <c r="BM327" s="6">
        <v>42699</v>
      </c>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c r="FZ327" s="6"/>
      <c r="GA327" s="6"/>
      <c r="GB327" s="6"/>
      <c r="GC327" s="6"/>
      <c r="GD327" s="6"/>
      <c r="GE327" s="6"/>
      <c r="GF327" s="6"/>
      <c r="GG327" s="6"/>
      <c r="GH327" s="6"/>
      <c r="GI327" s="6"/>
      <c r="GJ327" s="6"/>
      <c r="GK327" s="6"/>
      <c r="GL327" s="6"/>
      <c r="GM327" s="6"/>
      <c r="GN327" s="6"/>
      <c r="GO327" s="6"/>
      <c r="GP327" s="6"/>
      <c r="GQ327" s="6"/>
      <c r="GR327" s="6"/>
      <c r="GS327" s="6"/>
      <c r="GT327" s="6"/>
      <c r="GU327" s="6"/>
      <c r="GV327" s="6"/>
      <c r="GW327" s="6"/>
      <c r="GX327" s="6"/>
      <c r="GY327" s="6"/>
      <c r="GZ327" s="6"/>
      <c r="HA327" s="6"/>
      <c r="HB327" s="6"/>
      <c r="HC327" s="6"/>
      <c r="HD327" s="6"/>
      <c r="HE327" s="6"/>
      <c r="HF327" s="6"/>
      <c r="HG327" s="6"/>
      <c r="HH327" s="6"/>
    </row>
    <row r="328" spans="1:216" x14ac:dyDescent="0.3">
      <c r="A328" s="8" t="str">
        <f>HYPERLINK("https://hpr-rps.hres.ca/reg-content/summary-basis-decision-detailTwo.php?lang=en&amp;linkID=SBD00336", "MDK-Nitisinone")</f>
        <v>MDK-Nitisinone</v>
      </c>
      <c r="B328" s="6" t="s">
        <v>875</v>
      </c>
      <c r="C328" s="6" t="s">
        <v>876</v>
      </c>
      <c r="D328" s="6" t="s">
        <v>877</v>
      </c>
      <c r="E328" s="6"/>
      <c r="F328" s="6"/>
      <c r="G328" s="6"/>
      <c r="H328" s="6">
        <v>42216</v>
      </c>
      <c r="I328" s="6"/>
      <c r="J328" s="6"/>
      <c r="K328" s="6"/>
      <c r="L328" s="6"/>
      <c r="M328" s="6"/>
      <c r="N328" s="6"/>
      <c r="O328" s="6"/>
      <c r="P328" s="6"/>
      <c r="Q328" s="6"/>
      <c r="R328" s="6"/>
      <c r="S328" s="6"/>
      <c r="T328" s="6"/>
      <c r="U328" s="6"/>
      <c r="V328" s="6"/>
      <c r="W328" s="6"/>
      <c r="X328" s="6"/>
      <c r="Y328" s="6"/>
      <c r="Z328" s="6">
        <v>42263</v>
      </c>
      <c r="AA328" s="6"/>
      <c r="AB328" s="6"/>
      <c r="AC328" s="6">
        <v>42312</v>
      </c>
      <c r="AD328" s="6"/>
      <c r="AE328" s="6"/>
      <c r="AF328" s="6">
        <v>42355</v>
      </c>
      <c r="AG328" s="6"/>
      <c r="AH328" s="6"/>
      <c r="AI328" s="6"/>
      <c r="AJ328" s="6"/>
      <c r="AK328" s="6"/>
      <c r="AL328" s="6"/>
      <c r="AM328" s="6"/>
      <c r="AN328" s="6"/>
      <c r="AO328" s="6"/>
      <c r="AP328" s="6"/>
      <c r="AQ328" s="6"/>
      <c r="AR328" s="6">
        <v>42698</v>
      </c>
      <c r="AS328" s="6"/>
      <c r="AT328" s="6"/>
      <c r="AU328" s="6"/>
      <c r="AV328" s="6">
        <v>42697</v>
      </c>
      <c r="AW328" s="6"/>
      <c r="AX328" s="6"/>
      <c r="AY328" s="6"/>
      <c r="AZ328" s="6">
        <v>42697</v>
      </c>
      <c r="BA328" s="6"/>
      <c r="BB328" s="6"/>
      <c r="BC328" s="6"/>
      <c r="BD328" s="6"/>
      <c r="BE328" s="6"/>
      <c r="BF328" s="6"/>
      <c r="BG328" s="6"/>
      <c r="BH328" s="6"/>
      <c r="BI328" s="6"/>
      <c r="BJ328" s="6"/>
      <c r="BK328" s="6"/>
      <c r="BL328" s="6"/>
      <c r="BM328" s="6">
        <v>42699</v>
      </c>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c r="FZ328" s="6"/>
      <c r="GA328" s="6"/>
      <c r="GB328" s="6"/>
      <c r="GC328" s="6"/>
      <c r="GD328" s="6"/>
      <c r="GE328" s="6"/>
      <c r="GF328" s="6"/>
      <c r="GG328" s="6"/>
      <c r="GH328" s="6"/>
      <c r="GI328" s="6"/>
      <c r="GJ328" s="6"/>
      <c r="GK328" s="6"/>
      <c r="GL328" s="6"/>
      <c r="GM328" s="6"/>
      <c r="GN328" s="6"/>
      <c r="GO328" s="6"/>
      <c r="GP328" s="6"/>
      <c r="GQ328" s="6"/>
      <c r="GR328" s="6"/>
      <c r="GS328" s="6"/>
      <c r="GT328" s="6"/>
      <c r="GU328" s="6"/>
      <c r="GV328" s="6"/>
      <c r="GW328" s="6"/>
      <c r="GX328" s="6"/>
      <c r="GY328" s="6"/>
      <c r="GZ328" s="6"/>
      <c r="HA328" s="6"/>
      <c r="HB328" s="6"/>
      <c r="HC328" s="6"/>
      <c r="HD328" s="6"/>
      <c r="HE328" s="6"/>
      <c r="HF328" s="6"/>
      <c r="HG328" s="6"/>
      <c r="HH328" s="6"/>
    </row>
    <row r="329" spans="1:216" x14ac:dyDescent="0.3">
      <c r="A329" s="8" t="str">
        <f>HYPERLINK("https://hpr-rps.hres.ca/reg-content/summary-basis-decision-detailTwo.php?lang=en&amp;linkID=SBD00337", "Amitiza")</f>
        <v>Amitiza</v>
      </c>
      <c r="B329" s="6" t="s">
        <v>878</v>
      </c>
      <c r="C329" s="6" t="s">
        <v>879</v>
      </c>
      <c r="D329" s="6" t="s">
        <v>880</v>
      </c>
      <c r="E329" s="6">
        <v>39463</v>
      </c>
      <c r="F329" s="6"/>
      <c r="G329" s="6"/>
      <c r="H329" s="6">
        <v>41943</v>
      </c>
      <c r="I329" s="6"/>
      <c r="J329" s="6"/>
      <c r="K329" s="6"/>
      <c r="L329" s="6"/>
      <c r="M329" s="6"/>
      <c r="N329" s="6"/>
      <c r="O329" s="6"/>
      <c r="P329" s="6"/>
      <c r="Q329" s="6"/>
      <c r="R329" s="6"/>
      <c r="S329" s="6"/>
      <c r="T329" s="6"/>
      <c r="U329" s="6"/>
      <c r="V329" s="6"/>
      <c r="W329" s="6"/>
      <c r="X329" s="6"/>
      <c r="Y329" s="6"/>
      <c r="Z329" s="6"/>
      <c r="AA329" s="6"/>
      <c r="AB329" s="6"/>
      <c r="AC329" s="6"/>
      <c r="AD329" s="6"/>
      <c r="AE329" s="6"/>
      <c r="AF329" s="6">
        <v>41996</v>
      </c>
      <c r="AG329" s="6"/>
      <c r="AH329" s="6"/>
      <c r="AI329" s="6"/>
      <c r="AJ329" s="6"/>
      <c r="AK329" s="6"/>
      <c r="AL329" s="6"/>
      <c r="AM329" s="6"/>
      <c r="AN329" s="6"/>
      <c r="AO329" s="6"/>
      <c r="AP329" s="6"/>
      <c r="AQ329" s="6"/>
      <c r="AR329" s="6">
        <v>42285</v>
      </c>
      <c r="AS329" s="6">
        <v>42264</v>
      </c>
      <c r="AT329" s="6"/>
      <c r="AU329" s="6"/>
      <c r="AV329" s="6">
        <v>42285</v>
      </c>
      <c r="AW329" s="6"/>
      <c r="AX329" s="6"/>
      <c r="AY329" s="6"/>
      <c r="AZ329" s="6">
        <v>42285</v>
      </c>
      <c r="BA329" s="6"/>
      <c r="BB329" s="6"/>
      <c r="BC329" s="6"/>
      <c r="BD329" s="6"/>
      <c r="BE329" s="6"/>
      <c r="BF329" s="6"/>
      <c r="BG329" s="6"/>
      <c r="BH329" s="6"/>
      <c r="BI329" s="6"/>
      <c r="BJ329" s="6"/>
      <c r="BK329" s="6"/>
      <c r="BL329" s="6"/>
      <c r="BM329" s="6">
        <v>42291</v>
      </c>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row>
    <row r="330" spans="1:216" x14ac:dyDescent="0.3">
      <c r="A330" s="8" t="str">
        <f>HYPERLINK("https://hpr-rps.hres.ca/reg-content/summary-basis-decision-detailTwo.php?lang=en&amp;linkID=SBD00338", "Lixiana")</f>
        <v>Lixiana</v>
      </c>
      <c r="B330" s="6" t="s">
        <v>881</v>
      </c>
      <c r="C330" s="6" t="s">
        <v>882</v>
      </c>
      <c r="D330" s="6" t="s">
        <v>883</v>
      </c>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c r="FZ330" s="6"/>
      <c r="GA330" s="6"/>
      <c r="GB330" s="6"/>
      <c r="GC330" s="6"/>
      <c r="GD330" s="6"/>
      <c r="GE330" s="6"/>
      <c r="GF330" s="6"/>
      <c r="GG330" s="6"/>
      <c r="GH330" s="6"/>
      <c r="GI330" s="6"/>
      <c r="GJ330" s="6"/>
      <c r="GK330" s="6"/>
      <c r="GL330" s="6"/>
      <c r="GM330" s="6"/>
      <c r="GN330" s="6"/>
      <c r="GO330" s="6"/>
      <c r="GP330" s="6"/>
      <c r="GQ330" s="6"/>
      <c r="GR330" s="6"/>
      <c r="GS330" s="6"/>
      <c r="GT330" s="6"/>
      <c r="GU330" s="6"/>
      <c r="GV330" s="6"/>
      <c r="GW330" s="6"/>
      <c r="GX330" s="6"/>
      <c r="GY330" s="6"/>
      <c r="GZ330" s="6"/>
      <c r="HA330" s="6"/>
      <c r="HB330" s="6"/>
      <c r="HC330" s="6"/>
      <c r="HD330" s="6"/>
      <c r="HE330" s="6"/>
      <c r="HF330" s="6"/>
      <c r="HG330" s="6"/>
      <c r="HH330" s="6"/>
    </row>
    <row r="331" spans="1:216" x14ac:dyDescent="0.3">
      <c r="A331" s="8" t="str">
        <f>HYPERLINK("https://hpr-rps.hres.ca/reg-content/summary-basis-decision-detailTwo.php?lang=en&amp;linkID=SBD00339", "Venclexta")</f>
        <v>Venclexta</v>
      </c>
      <c r="B331" s="6" t="s">
        <v>884</v>
      </c>
      <c r="C331" s="6" t="s">
        <v>692</v>
      </c>
      <c r="D331" s="6" t="s">
        <v>885</v>
      </c>
      <c r="E331" s="6"/>
      <c r="F331" s="6"/>
      <c r="G331" s="6"/>
      <c r="H331" s="6">
        <v>40590</v>
      </c>
      <c r="I331" s="6"/>
      <c r="J331" s="6"/>
      <c r="K331" s="6"/>
      <c r="L331" s="6"/>
      <c r="M331" s="6"/>
      <c r="N331" s="6"/>
      <c r="O331" s="6"/>
      <c r="P331" s="6"/>
      <c r="Q331" s="6"/>
      <c r="R331" s="6"/>
      <c r="S331" s="6"/>
      <c r="T331" s="6"/>
      <c r="U331" s="6"/>
      <c r="V331" s="6"/>
      <c r="W331" s="6">
        <v>41918</v>
      </c>
      <c r="X331" s="6"/>
      <c r="Y331" s="6"/>
      <c r="Z331" s="6">
        <v>40634</v>
      </c>
      <c r="AA331" s="6"/>
      <c r="AB331" s="6"/>
      <c r="AC331" s="6">
        <v>40651</v>
      </c>
      <c r="AD331" s="6"/>
      <c r="AE331" s="6"/>
      <c r="AF331" s="6">
        <v>40695</v>
      </c>
      <c r="AG331" s="6"/>
      <c r="AH331" s="6"/>
      <c r="AI331" s="6"/>
      <c r="AJ331" s="6"/>
      <c r="AK331" s="6"/>
      <c r="AL331" s="6">
        <v>42208</v>
      </c>
      <c r="AM331" s="6"/>
      <c r="AN331" s="6"/>
      <c r="AO331" s="6"/>
      <c r="AP331" s="6"/>
      <c r="AQ331" s="6"/>
      <c r="AR331" s="6"/>
      <c r="AS331" s="6"/>
      <c r="AT331" s="6"/>
      <c r="AU331" s="6"/>
      <c r="AV331" s="6"/>
      <c r="AW331" s="6">
        <v>42271</v>
      </c>
      <c r="AX331" s="6"/>
      <c r="AY331" s="6"/>
      <c r="AZ331" s="6"/>
      <c r="BA331" s="6"/>
      <c r="BB331" s="6"/>
      <c r="BC331" s="6"/>
      <c r="BD331" s="6"/>
      <c r="BE331" s="6"/>
      <c r="BF331" s="6"/>
      <c r="BG331" s="6"/>
      <c r="BH331" s="6"/>
      <c r="BI331" s="6">
        <v>42571</v>
      </c>
      <c r="BJ331" s="6">
        <v>42485</v>
      </c>
      <c r="BK331" s="6"/>
      <c r="BL331" s="6"/>
      <c r="BM331" s="6">
        <v>42569</v>
      </c>
      <c r="BN331" s="6"/>
      <c r="BO331" s="6"/>
      <c r="BP331" s="6"/>
      <c r="BQ331" s="6">
        <v>42571</v>
      </c>
      <c r="BR331" s="6"/>
      <c r="BS331" s="6"/>
      <c r="BT331" s="6"/>
      <c r="BU331" s="6"/>
      <c r="BV331" s="6"/>
      <c r="BW331" s="6"/>
      <c r="BX331" s="6"/>
      <c r="BY331" s="6"/>
      <c r="BZ331" s="6"/>
      <c r="CA331" s="6"/>
      <c r="CB331" s="6"/>
      <c r="CC331" s="6"/>
      <c r="CD331" s="6">
        <v>42571</v>
      </c>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c r="FZ331" s="6"/>
      <c r="GA331" s="6"/>
      <c r="GB331" s="6"/>
      <c r="GC331" s="6"/>
      <c r="GD331" s="6"/>
      <c r="GE331" s="6"/>
      <c r="GF331" s="6"/>
      <c r="GG331" s="6"/>
      <c r="GH331" s="6"/>
      <c r="GI331" s="6"/>
      <c r="GJ331" s="6"/>
      <c r="GK331" s="6"/>
      <c r="GL331" s="6"/>
      <c r="GM331" s="6"/>
      <c r="GN331" s="6"/>
      <c r="GO331" s="6"/>
      <c r="GP331" s="6"/>
      <c r="GQ331" s="6"/>
      <c r="GR331" s="6"/>
      <c r="GS331" s="6"/>
      <c r="GT331" s="6"/>
      <c r="GU331" s="6"/>
      <c r="GV331" s="6"/>
      <c r="GW331" s="6"/>
      <c r="GX331" s="6"/>
      <c r="GY331" s="6"/>
      <c r="GZ331" s="6"/>
      <c r="HA331" s="6"/>
      <c r="HB331" s="6"/>
      <c r="HC331" s="6"/>
      <c r="HD331" s="6"/>
      <c r="HE331" s="6"/>
      <c r="HF331" s="6"/>
      <c r="HG331" s="6"/>
      <c r="HH331" s="6"/>
    </row>
    <row r="332" spans="1:216" x14ac:dyDescent="0.3">
      <c r="A332" s="8" t="str">
        <f>HYPERLINK("https://hpr-rps.hres.ca/reg-content/summary-basis-decision-detailTwo.php?lang=en&amp;linkID=SBD00340", "Adynovate")</f>
        <v>Adynovate</v>
      </c>
      <c r="B332" s="6" t="s">
        <v>886</v>
      </c>
      <c r="C332" s="6" t="s">
        <v>674</v>
      </c>
      <c r="D332" s="6" t="s">
        <v>887</v>
      </c>
      <c r="E332" s="6">
        <v>42130</v>
      </c>
      <c r="F332" s="6"/>
      <c r="G332" s="6"/>
      <c r="H332" s="6">
        <v>42250</v>
      </c>
      <c r="I332" s="6"/>
      <c r="J332" s="6"/>
      <c r="K332" s="6"/>
      <c r="L332" s="6"/>
      <c r="M332" s="6"/>
      <c r="N332" s="6"/>
      <c r="O332" s="6"/>
      <c r="P332" s="6"/>
      <c r="Q332" s="6"/>
      <c r="R332" s="6"/>
      <c r="S332" s="6"/>
      <c r="T332" s="6"/>
      <c r="U332" s="6"/>
      <c r="V332" s="6"/>
      <c r="W332" s="6"/>
      <c r="X332" s="6"/>
      <c r="Y332" s="6"/>
      <c r="Z332" s="6">
        <v>42293</v>
      </c>
      <c r="AA332" s="6"/>
      <c r="AB332" s="6"/>
      <c r="AC332" s="6">
        <v>42335</v>
      </c>
      <c r="AD332" s="6"/>
      <c r="AE332" s="6"/>
      <c r="AF332" s="6">
        <v>42348</v>
      </c>
      <c r="AG332" s="6"/>
      <c r="AH332" s="6"/>
      <c r="AI332" s="6"/>
      <c r="AJ332" s="6"/>
      <c r="AK332" s="6"/>
      <c r="AL332" s="6"/>
      <c r="AM332" s="6"/>
      <c r="AN332" s="6"/>
      <c r="AO332" s="6"/>
      <c r="AP332" s="6"/>
      <c r="AQ332" s="6"/>
      <c r="AR332" s="6">
        <v>42648</v>
      </c>
      <c r="AS332" s="6">
        <v>42647</v>
      </c>
      <c r="AT332" s="6"/>
      <c r="AU332" s="6"/>
      <c r="AV332" s="6">
        <v>42670</v>
      </c>
      <c r="AW332" s="6"/>
      <c r="AX332" s="6"/>
      <c r="AY332" s="6"/>
      <c r="AZ332" s="6">
        <v>42675</v>
      </c>
      <c r="BA332" s="6"/>
      <c r="BB332" s="6"/>
      <c r="BC332" s="6"/>
      <c r="BD332" s="6"/>
      <c r="BE332" s="6"/>
      <c r="BF332" s="6"/>
      <c r="BG332" s="6"/>
      <c r="BH332" s="6"/>
      <c r="BI332" s="6"/>
      <c r="BJ332" s="6"/>
      <c r="BK332" s="6"/>
      <c r="BL332" s="6"/>
      <c r="BM332" s="6">
        <v>42678</v>
      </c>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c r="FZ332" s="6"/>
      <c r="GA332" s="6"/>
      <c r="GB332" s="6"/>
      <c r="GC332" s="6"/>
      <c r="GD332" s="6"/>
      <c r="GE332" s="6"/>
      <c r="GF332" s="6"/>
      <c r="GG332" s="6"/>
      <c r="GH332" s="6"/>
      <c r="GI332" s="6"/>
      <c r="GJ332" s="6"/>
      <c r="GK332" s="6"/>
      <c r="GL332" s="6"/>
      <c r="GM332" s="6"/>
      <c r="GN332" s="6"/>
      <c r="GO332" s="6"/>
      <c r="GP332" s="6"/>
      <c r="GQ332" s="6"/>
      <c r="GR332" s="6"/>
      <c r="GS332" s="6"/>
      <c r="GT332" s="6"/>
      <c r="GU332" s="6"/>
      <c r="GV332" s="6"/>
      <c r="GW332" s="6"/>
      <c r="GX332" s="6"/>
      <c r="GY332" s="6"/>
      <c r="GZ332" s="6"/>
      <c r="HA332" s="6"/>
      <c r="HB332" s="6"/>
      <c r="HC332" s="6"/>
      <c r="HD332" s="6"/>
      <c r="HE332" s="6"/>
      <c r="HF332" s="6"/>
      <c r="HG332" s="6"/>
      <c r="HH332" s="6"/>
    </row>
    <row r="333" spans="1:216" x14ac:dyDescent="0.3">
      <c r="A333" s="8" t="str">
        <f>HYPERLINK("https://hpr-rps.hres.ca/reg-content/summary-basis-decision-detailTwo.php?lang=en&amp;linkID=SBD00341", "Dotarem")</f>
        <v>Dotarem</v>
      </c>
      <c r="B333" s="6" t="s">
        <v>888</v>
      </c>
      <c r="C333" s="6" t="s">
        <v>889</v>
      </c>
      <c r="D333" s="6" t="s">
        <v>890</v>
      </c>
      <c r="E333" s="6"/>
      <c r="F333" s="6"/>
      <c r="G333" s="6"/>
      <c r="H333" s="6">
        <v>42216</v>
      </c>
      <c r="I333" s="6"/>
      <c r="J333" s="6"/>
      <c r="K333" s="6"/>
      <c r="L333" s="6"/>
      <c r="M333" s="6"/>
      <c r="N333" s="6"/>
      <c r="O333" s="6"/>
      <c r="P333" s="6"/>
      <c r="Q333" s="6"/>
      <c r="R333" s="6"/>
      <c r="S333" s="6"/>
      <c r="T333" s="6"/>
      <c r="U333" s="6"/>
      <c r="V333" s="6"/>
      <c r="W333" s="6"/>
      <c r="X333" s="6"/>
      <c r="Y333" s="6"/>
      <c r="Z333" s="6">
        <v>42263</v>
      </c>
      <c r="AA333" s="6"/>
      <c r="AB333" s="6"/>
      <c r="AC333" s="6">
        <v>42312</v>
      </c>
      <c r="AD333" s="6"/>
      <c r="AE333" s="6"/>
      <c r="AF333" s="6">
        <v>42355</v>
      </c>
      <c r="AG333" s="6"/>
      <c r="AH333" s="6"/>
      <c r="AI333" s="6"/>
      <c r="AJ333" s="6"/>
      <c r="AK333" s="6"/>
      <c r="AL333" s="6"/>
      <c r="AM333" s="6"/>
      <c r="AN333" s="6"/>
      <c r="AO333" s="6"/>
      <c r="AP333" s="6"/>
      <c r="AQ333" s="6"/>
      <c r="AR333" s="6">
        <v>42698</v>
      </c>
      <c r="AS333" s="6"/>
      <c r="AT333" s="6"/>
      <c r="AU333" s="6"/>
      <c r="AV333" s="6">
        <v>42697</v>
      </c>
      <c r="AW333" s="6"/>
      <c r="AX333" s="6"/>
      <c r="AY333" s="6"/>
      <c r="AZ333" s="6">
        <v>42697</v>
      </c>
      <c r="BA333" s="6"/>
      <c r="BB333" s="6"/>
      <c r="BC333" s="6"/>
      <c r="BD333" s="6"/>
      <c r="BE333" s="6"/>
      <c r="BF333" s="6"/>
      <c r="BG333" s="6"/>
      <c r="BH333" s="6"/>
      <c r="BI333" s="6"/>
      <c r="BJ333" s="6"/>
      <c r="BK333" s="6"/>
      <c r="BL333" s="6"/>
      <c r="BM333" s="6">
        <v>42699</v>
      </c>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c r="FZ333" s="6"/>
      <c r="GA333" s="6"/>
      <c r="GB333" s="6"/>
      <c r="GC333" s="6"/>
      <c r="GD333" s="6"/>
      <c r="GE333" s="6"/>
      <c r="GF333" s="6"/>
      <c r="GG333" s="6"/>
      <c r="GH333" s="6"/>
      <c r="GI333" s="6"/>
      <c r="GJ333" s="6"/>
      <c r="GK333" s="6"/>
      <c r="GL333" s="6"/>
      <c r="GM333" s="6"/>
      <c r="GN333" s="6"/>
      <c r="GO333" s="6"/>
      <c r="GP333" s="6"/>
      <c r="GQ333" s="6"/>
      <c r="GR333" s="6"/>
      <c r="GS333" s="6"/>
      <c r="GT333" s="6"/>
      <c r="GU333" s="6"/>
      <c r="GV333" s="6"/>
      <c r="GW333" s="6"/>
      <c r="GX333" s="6"/>
      <c r="GY333" s="6"/>
      <c r="GZ333" s="6"/>
      <c r="HA333" s="6"/>
      <c r="HB333" s="6"/>
      <c r="HC333" s="6"/>
      <c r="HD333" s="6"/>
      <c r="HE333" s="6"/>
      <c r="HF333" s="6"/>
      <c r="HG333" s="6"/>
      <c r="HH333" s="6"/>
    </row>
    <row r="334" spans="1:216" x14ac:dyDescent="0.3">
      <c r="A334" s="8" t="str">
        <f>HYPERLINK("https://hpr-rps.hres.ca/reg-content/summary-basis-decision-detailTwo.php?lang=en&amp;linkID=SBD00342", "Zinbryta")</f>
        <v>Zinbryta</v>
      </c>
      <c r="B334" s="6" t="s">
        <v>891</v>
      </c>
      <c r="C334" s="6" t="s">
        <v>677</v>
      </c>
      <c r="D334" s="6" t="s">
        <v>892</v>
      </c>
      <c r="E334" s="6">
        <v>42151</v>
      </c>
      <c r="F334" s="6"/>
      <c r="G334" s="6"/>
      <c r="H334" s="6">
        <v>42359</v>
      </c>
      <c r="I334" s="6"/>
      <c r="J334" s="6"/>
      <c r="K334" s="6"/>
      <c r="L334" s="6"/>
      <c r="M334" s="6"/>
      <c r="N334" s="6"/>
      <c r="O334" s="6"/>
      <c r="P334" s="6"/>
      <c r="Q334" s="6"/>
      <c r="R334" s="6"/>
      <c r="S334" s="6"/>
      <c r="T334" s="6"/>
      <c r="U334" s="6"/>
      <c r="V334" s="6"/>
      <c r="W334" s="6"/>
      <c r="X334" s="6"/>
      <c r="Y334" s="6"/>
      <c r="Z334" s="6"/>
      <c r="AA334" s="6"/>
      <c r="AB334" s="6"/>
      <c r="AC334" s="6"/>
      <c r="AD334" s="6"/>
      <c r="AE334" s="6"/>
      <c r="AF334" s="6">
        <v>42412</v>
      </c>
      <c r="AG334" s="6"/>
      <c r="AH334" s="6"/>
      <c r="AI334" s="6"/>
      <c r="AJ334" s="6"/>
      <c r="AK334" s="6"/>
      <c r="AL334" s="6"/>
      <c r="AM334" s="6"/>
      <c r="AN334" s="6"/>
      <c r="AO334" s="6"/>
      <c r="AP334" s="6"/>
      <c r="AQ334" s="6"/>
      <c r="AR334" s="6">
        <v>42711</v>
      </c>
      <c r="AS334" s="6"/>
      <c r="AT334" s="6"/>
      <c r="AU334" s="6"/>
      <c r="AV334" s="6">
        <v>42710</v>
      </c>
      <c r="AW334" s="6"/>
      <c r="AX334" s="6"/>
      <c r="AY334" s="6"/>
      <c r="AZ334" s="6">
        <v>42711</v>
      </c>
      <c r="BA334" s="6"/>
      <c r="BB334" s="6"/>
      <c r="BC334" s="6"/>
      <c r="BD334" s="6"/>
      <c r="BE334" s="6"/>
      <c r="BF334" s="6"/>
      <c r="BG334" s="6"/>
      <c r="BH334" s="6"/>
      <c r="BI334" s="6"/>
      <c r="BJ334" s="6"/>
      <c r="BK334" s="6"/>
      <c r="BL334" s="6"/>
      <c r="BM334" s="6">
        <v>42712</v>
      </c>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c r="FZ334" s="6"/>
      <c r="GA334" s="6"/>
      <c r="GB334" s="6"/>
      <c r="GC334" s="6"/>
      <c r="GD334" s="6"/>
      <c r="GE334" s="6"/>
      <c r="GF334" s="6"/>
      <c r="GG334" s="6"/>
      <c r="GH334" s="6"/>
      <c r="GI334" s="6"/>
      <c r="GJ334" s="6"/>
      <c r="GK334" s="6"/>
      <c r="GL334" s="6"/>
      <c r="GM334" s="6"/>
      <c r="GN334" s="6"/>
      <c r="GO334" s="6"/>
      <c r="GP334" s="6"/>
      <c r="GQ334" s="6"/>
      <c r="GR334" s="6"/>
      <c r="GS334" s="6"/>
      <c r="GT334" s="6"/>
      <c r="GU334" s="6"/>
      <c r="GV334" s="6"/>
      <c r="GW334" s="6"/>
      <c r="GX334" s="6"/>
      <c r="GY334" s="6"/>
      <c r="GZ334" s="6"/>
      <c r="HA334" s="6"/>
      <c r="HB334" s="6"/>
      <c r="HC334" s="6"/>
      <c r="HD334" s="6"/>
      <c r="HE334" s="6"/>
      <c r="HF334" s="6"/>
      <c r="HG334" s="6"/>
      <c r="HH334" s="6"/>
    </row>
    <row r="335" spans="1:216" x14ac:dyDescent="0.3">
      <c r="A335" s="8" t="str">
        <f>HYPERLINK("https://hpr-rps.hres.ca/reg-content/summary-basis-decision-detailTwo.php?lang=en&amp;linkID=SBD00344", "Orfadin")</f>
        <v>Orfadin</v>
      </c>
      <c r="B335" s="6" t="s">
        <v>875</v>
      </c>
      <c r="C335" s="6" t="s">
        <v>893</v>
      </c>
      <c r="D335" s="6" t="s">
        <v>894</v>
      </c>
      <c r="E335" s="6">
        <v>42156</v>
      </c>
      <c r="F335" s="6"/>
      <c r="G335" s="6"/>
      <c r="H335" s="6"/>
      <c r="I335" s="6"/>
      <c r="J335" s="6"/>
      <c r="K335" s="6"/>
      <c r="L335" s="6"/>
      <c r="M335" s="6"/>
      <c r="N335" s="6">
        <v>42354</v>
      </c>
      <c r="O335" s="6"/>
      <c r="P335" s="6"/>
      <c r="Q335" s="6"/>
      <c r="R335" s="6"/>
      <c r="S335" s="6">
        <v>42384</v>
      </c>
      <c r="T335" s="6"/>
      <c r="U335" s="6"/>
      <c r="V335" s="6">
        <v>42459</v>
      </c>
      <c r="W335" s="6"/>
      <c r="X335" s="6"/>
      <c r="Y335" s="6"/>
      <c r="Z335" s="6">
        <v>42489</v>
      </c>
      <c r="AA335" s="6"/>
      <c r="AB335" s="6"/>
      <c r="AC335" s="6">
        <v>42531</v>
      </c>
      <c r="AD335" s="6"/>
      <c r="AE335" s="6"/>
      <c r="AF335" s="6">
        <v>42559</v>
      </c>
      <c r="AG335" s="6"/>
      <c r="AH335" s="6"/>
      <c r="AI335" s="6"/>
      <c r="AJ335" s="6"/>
      <c r="AK335" s="6"/>
      <c r="AL335" s="6"/>
      <c r="AM335" s="6"/>
      <c r="AN335" s="6"/>
      <c r="AO335" s="6"/>
      <c r="AP335" s="6"/>
      <c r="AQ335" s="6"/>
      <c r="AR335" s="6">
        <v>42713</v>
      </c>
      <c r="AS335" s="6">
        <v>42612</v>
      </c>
      <c r="AT335" s="6"/>
      <c r="AU335" s="6"/>
      <c r="AV335" s="6">
        <v>42704</v>
      </c>
      <c r="AW335" s="6"/>
      <c r="AX335" s="6"/>
      <c r="AY335" s="6"/>
      <c r="AZ335" s="6">
        <v>42717</v>
      </c>
      <c r="BA335" s="6"/>
      <c r="BB335" s="6"/>
      <c r="BC335" s="6"/>
      <c r="BD335" s="6"/>
      <c r="BE335" s="6"/>
      <c r="BF335" s="6"/>
      <c r="BG335" s="6"/>
      <c r="BH335" s="6"/>
      <c r="BI335" s="6"/>
      <c r="BJ335" s="6"/>
      <c r="BK335" s="6"/>
      <c r="BL335" s="6"/>
      <c r="BM335" s="6">
        <v>42717</v>
      </c>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c r="FZ335" s="6"/>
      <c r="GA335" s="6"/>
      <c r="GB335" s="6"/>
      <c r="GC335" s="6"/>
      <c r="GD335" s="6"/>
      <c r="GE335" s="6"/>
      <c r="GF335" s="6"/>
      <c r="GG335" s="6"/>
      <c r="GH335" s="6"/>
      <c r="GI335" s="6"/>
      <c r="GJ335" s="6"/>
      <c r="GK335" s="6"/>
      <c r="GL335" s="6"/>
      <c r="GM335" s="6"/>
      <c r="GN335" s="6"/>
      <c r="GO335" s="6"/>
      <c r="GP335" s="6"/>
      <c r="GQ335" s="6"/>
      <c r="GR335" s="6"/>
      <c r="GS335" s="6"/>
      <c r="GT335" s="6"/>
      <c r="GU335" s="6"/>
      <c r="GV335" s="6"/>
      <c r="GW335" s="6"/>
      <c r="GX335" s="6"/>
      <c r="GY335" s="6"/>
      <c r="GZ335" s="6"/>
      <c r="HA335" s="6"/>
      <c r="HB335" s="6"/>
      <c r="HC335" s="6"/>
      <c r="HD335" s="6"/>
      <c r="HE335" s="6"/>
      <c r="HF335" s="6"/>
      <c r="HG335" s="6"/>
      <c r="HH335" s="6"/>
    </row>
    <row r="336" spans="1:216" x14ac:dyDescent="0.3">
      <c r="A336" s="8" t="str">
        <f>HYPERLINK("https://hpr-rps.hres.ca/reg-content/summary-basis-decision-detailTwo.php?lang=en&amp;linkID=SBD00345", "Nitisinone Tablets")</f>
        <v>Nitisinone Tablets</v>
      </c>
      <c r="B336" s="6" t="s">
        <v>875</v>
      </c>
      <c r="C336" s="6" t="s">
        <v>895</v>
      </c>
      <c r="D336" s="6" t="s">
        <v>896</v>
      </c>
      <c r="E336" s="6">
        <v>42156</v>
      </c>
      <c r="F336" s="6"/>
      <c r="G336" s="6"/>
      <c r="H336" s="6"/>
      <c r="I336" s="6"/>
      <c r="J336" s="6"/>
      <c r="K336" s="6"/>
      <c r="L336" s="6"/>
      <c r="M336" s="6"/>
      <c r="N336" s="6">
        <v>42354</v>
      </c>
      <c r="O336" s="6"/>
      <c r="P336" s="6"/>
      <c r="Q336" s="6"/>
      <c r="R336" s="6"/>
      <c r="S336" s="6">
        <v>42384</v>
      </c>
      <c r="T336" s="6"/>
      <c r="U336" s="6"/>
      <c r="V336" s="6">
        <v>42459</v>
      </c>
      <c r="W336" s="6"/>
      <c r="X336" s="6"/>
      <c r="Y336" s="6"/>
      <c r="Z336" s="6">
        <v>42489</v>
      </c>
      <c r="AA336" s="6"/>
      <c r="AB336" s="6"/>
      <c r="AC336" s="6">
        <v>42531</v>
      </c>
      <c r="AD336" s="6"/>
      <c r="AE336" s="6"/>
      <c r="AF336" s="6">
        <v>42559</v>
      </c>
      <c r="AG336" s="6"/>
      <c r="AH336" s="6"/>
      <c r="AI336" s="6"/>
      <c r="AJ336" s="6"/>
      <c r="AK336" s="6"/>
      <c r="AL336" s="6"/>
      <c r="AM336" s="6"/>
      <c r="AN336" s="6"/>
      <c r="AO336" s="6"/>
      <c r="AP336" s="6"/>
      <c r="AQ336" s="6"/>
      <c r="AR336" s="6">
        <v>42713</v>
      </c>
      <c r="AS336" s="6">
        <v>42612</v>
      </c>
      <c r="AT336" s="6"/>
      <c r="AU336" s="6"/>
      <c r="AV336" s="6">
        <v>42704</v>
      </c>
      <c r="AW336" s="6"/>
      <c r="AX336" s="6"/>
      <c r="AY336" s="6"/>
      <c r="AZ336" s="6">
        <v>42717</v>
      </c>
      <c r="BA336" s="6"/>
      <c r="BB336" s="6"/>
      <c r="BC336" s="6"/>
      <c r="BD336" s="6"/>
      <c r="BE336" s="6"/>
      <c r="BF336" s="6"/>
      <c r="BG336" s="6"/>
      <c r="BH336" s="6"/>
      <c r="BI336" s="6"/>
      <c r="BJ336" s="6"/>
      <c r="BK336" s="6"/>
      <c r="BL336" s="6"/>
      <c r="BM336" s="6">
        <v>42717</v>
      </c>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c r="FZ336" s="6"/>
      <c r="GA336" s="6"/>
      <c r="GB336" s="6"/>
      <c r="GC336" s="6"/>
      <c r="GD336" s="6"/>
      <c r="GE336" s="6"/>
      <c r="GF336" s="6"/>
      <c r="GG336" s="6"/>
      <c r="GH336" s="6"/>
      <c r="GI336" s="6"/>
      <c r="GJ336" s="6"/>
      <c r="GK336" s="6"/>
      <c r="GL336" s="6"/>
      <c r="GM336" s="6"/>
      <c r="GN336" s="6"/>
      <c r="GO336" s="6"/>
      <c r="GP336" s="6"/>
      <c r="GQ336" s="6"/>
      <c r="GR336" s="6"/>
      <c r="GS336" s="6"/>
      <c r="GT336" s="6"/>
      <c r="GU336" s="6"/>
      <c r="GV336" s="6"/>
      <c r="GW336" s="6"/>
      <c r="GX336" s="6"/>
      <c r="GY336" s="6"/>
      <c r="GZ336" s="6"/>
      <c r="HA336" s="6"/>
      <c r="HB336" s="6"/>
      <c r="HC336" s="6"/>
      <c r="HD336" s="6"/>
      <c r="HE336" s="6"/>
      <c r="HF336" s="6"/>
      <c r="HG336" s="6"/>
      <c r="HH336" s="6"/>
    </row>
    <row r="337" spans="1:216" x14ac:dyDescent="0.3">
      <c r="A337" s="8" t="str">
        <f>HYPERLINK("https://hpr-rps.hres.ca/reg-content/summary-basis-decision-detailTwo.php?lang=en&amp;linkID=SBD00346", "Viberzi")</f>
        <v>Viberzi</v>
      </c>
      <c r="B337" s="6" t="s">
        <v>897</v>
      </c>
      <c r="C337" s="6" t="s">
        <v>898</v>
      </c>
      <c r="D337" s="6" t="s">
        <v>899</v>
      </c>
      <c r="E337" s="6">
        <v>42171</v>
      </c>
      <c r="F337" s="6"/>
      <c r="G337" s="6"/>
      <c r="H337" s="6">
        <v>42349</v>
      </c>
      <c r="I337" s="6"/>
      <c r="J337" s="6"/>
      <c r="K337" s="6"/>
      <c r="L337" s="6"/>
      <c r="M337" s="6"/>
      <c r="N337" s="6"/>
      <c r="O337" s="6"/>
      <c r="P337" s="6"/>
      <c r="Q337" s="6"/>
      <c r="R337" s="6"/>
      <c r="S337" s="6"/>
      <c r="T337" s="6"/>
      <c r="U337" s="6"/>
      <c r="V337" s="6"/>
      <c r="W337" s="6"/>
      <c r="X337" s="6"/>
      <c r="Y337" s="6"/>
      <c r="Z337" s="6">
        <v>42397</v>
      </c>
      <c r="AA337" s="6"/>
      <c r="AB337" s="6"/>
      <c r="AC337" s="6">
        <v>42412</v>
      </c>
      <c r="AD337" s="6"/>
      <c r="AE337" s="6"/>
      <c r="AF337" s="6">
        <v>42461</v>
      </c>
      <c r="AG337" s="6"/>
      <c r="AH337" s="6"/>
      <c r="AI337" s="6"/>
      <c r="AJ337" s="6"/>
      <c r="AK337" s="6"/>
      <c r="AL337" s="6"/>
      <c r="AM337" s="6"/>
      <c r="AN337" s="6"/>
      <c r="AO337" s="6"/>
      <c r="AP337" s="6"/>
      <c r="AQ337" s="6"/>
      <c r="AR337" s="6">
        <v>42759</v>
      </c>
      <c r="AS337" s="6">
        <v>42758</v>
      </c>
      <c r="AT337" s="6"/>
      <c r="AU337" s="6"/>
      <c r="AV337" s="6">
        <v>42751</v>
      </c>
      <c r="AW337" s="6"/>
      <c r="AX337" s="6"/>
      <c r="AY337" s="6"/>
      <c r="AZ337" s="6">
        <v>42760</v>
      </c>
      <c r="BA337" s="6"/>
      <c r="BB337" s="6"/>
      <c r="BC337" s="6"/>
      <c r="BD337" s="6"/>
      <c r="BE337" s="6"/>
      <c r="BF337" s="6"/>
      <c r="BG337" s="6"/>
      <c r="BH337" s="6"/>
      <c r="BI337" s="6"/>
      <c r="BJ337" s="6"/>
      <c r="BK337" s="6"/>
      <c r="BL337" s="6"/>
      <c r="BM337" s="6">
        <v>42761</v>
      </c>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c r="FZ337" s="6"/>
      <c r="GA337" s="6"/>
      <c r="GB337" s="6"/>
      <c r="GC337" s="6"/>
      <c r="GD337" s="6"/>
      <c r="GE337" s="6"/>
      <c r="GF337" s="6"/>
      <c r="GG337" s="6"/>
      <c r="GH337" s="6"/>
      <c r="GI337" s="6"/>
      <c r="GJ337" s="6"/>
      <c r="GK337" s="6"/>
      <c r="GL337" s="6"/>
      <c r="GM337" s="6"/>
      <c r="GN337" s="6"/>
      <c r="GO337" s="6"/>
      <c r="GP337" s="6"/>
      <c r="GQ337" s="6"/>
      <c r="GR337" s="6"/>
      <c r="GS337" s="6"/>
      <c r="GT337" s="6"/>
      <c r="GU337" s="6"/>
      <c r="GV337" s="6"/>
      <c r="GW337" s="6"/>
      <c r="GX337" s="6"/>
      <c r="GY337" s="6"/>
      <c r="GZ337" s="6"/>
      <c r="HA337" s="6"/>
      <c r="HB337" s="6"/>
      <c r="HC337" s="6"/>
      <c r="HD337" s="6"/>
      <c r="HE337" s="6"/>
      <c r="HF337" s="6"/>
      <c r="HG337" s="6"/>
      <c r="HH337" s="6"/>
    </row>
    <row r="338" spans="1:216" x14ac:dyDescent="0.3">
      <c r="A338" s="8" t="str">
        <f>HYPERLINK("https://hpr-rps.hres.ca/reg-content/summary-basis-decision-detailTwo.php?lang=en&amp;linkID=SBD00347", "Kevzara")</f>
        <v>Kevzara</v>
      </c>
      <c r="B338" s="6" t="s">
        <v>900</v>
      </c>
      <c r="C338" s="6" t="s">
        <v>759</v>
      </c>
      <c r="D338" s="6" t="s">
        <v>901</v>
      </c>
      <c r="E338" s="6"/>
      <c r="F338" s="6"/>
      <c r="G338" s="6"/>
      <c r="H338" s="6">
        <v>42398</v>
      </c>
      <c r="I338" s="6"/>
      <c r="J338" s="6"/>
      <c r="K338" s="6"/>
      <c r="L338" s="6"/>
      <c r="M338" s="6"/>
      <c r="N338" s="6"/>
      <c r="O338" s="6"/>
      <c r="P338" s="6"/>
      <c r="Q338" s="6"/>
      <c r="R338" s="6"/>
      <c r="S338" s="6"/>
      <c r="T338" s="6"/>
      <c r="U338" s="6"/>
      <c r="V338" s="6"/>
      <c r="W338" s="6"/>
      <c r="X338" s="6"/>
      <c r="Y338" s="6"/>
      <c r="Z338" s="6"/>
      <c r="AA338" s="6"/>
      <c r="AB338" s="6"/>
      <c r="AC338" s="6"/>
      <c r="AD338" s="6"/>
      <c r="AE338" s="6"/>
      <c r="AF338" s="6">
        <v>42447</v>
      </c>
      <c r="AG338" s="6"/>
      <c r="AH338" s="6"/>
      <c r="AI338" s="6"/>
      <c r="AJ338" s="6"/>
      <c r="AK338" s="6"/>
      <c r="AL338" s="6"/>
      <c r="AM338" s="6"/>
      <c r="AN338" s="6"/>
      <c r="AO338" s="6"/>
      <c r="AP338" s="6"/>
      <c r="AQ338" s="6"/>
      <c r="AR338" s="6">
        <v>42746</v>
      </c>
      <c r="AS338" s="6"/>
      <c r="AT338" s="6"/>
      <c r="AU338" s="6"/>
      <c r="AV338" s="6">
        <v>42718</v>
      </c>
      <c r="AW338" s="6"/>
      <c r="AX338" s="6">
        <v>42746</v>
      </c>
      <c r="AY338" s="6"/>
      <c r="AZ338" s="6">
        <v>42747</v>
      </c>
      <c r="BA338" s="6"/>
      <c r="BB338" s="6"/>
      <c r="BC338" s="6"/>
      <c r="BD338" s="6"/>
      <c r="BE338" s="6"/>
      <c r="BF338" s="6"/>
      <c r="BG338" s="6"/>
      <c r="BH338" s="6"/>
      <c r="BI338" s="6"/>
      <c r="BJ338" s="6"/>
      <c r="BK338" s="6"/>
      <c r="BL338" s="6"/>
      <c r="BM338" s="6">
        <v>42747</v>
      </c>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c r="FZ338" s="6"/>
      <c r="GA338" s="6"/>
      <c r="GB338" s="6"/>
      <c r="GC338" s="6"/>
      <c r="GD338" s="6"/>
      <c r="GE338" s="6"/>
      <c r="GF338" s="6"/>
      <c r="GG338" s="6"/>
      <c r="GH338" s="6"/>
      <c r="GI338" s="6"/>
      <c r="GJ338" s="6"/>
      <c r="GK338" s="6"/>
      <c r="GL338" s="6"/>
      <c r="GM338" s="6"/>
      <c r="GN338" s="6"/>
      <c r="GO338" s="6"/>
      <c r="GP338" s="6"/>
      <c r="GQ338" s="6"/>
      <c r="GR338" s="6"/>
      <c r="GS338" s="6"/>
      <c r="GT338" s="6"/>
      <c r="GU338" s="6"/>
      <c r="GV338" s="6"/>
      <c r="GW338" s="6"/>
      <c r="GX338" s="6"/>
      <c r="GY338" s="6"/>
      <c r="GZ338" s="6"/>
      <c r="HA338" s="6"/>
      <c r="HB338" s="6"/>
      <c r="HC338" s="6"/>
      <c r="HD338" s="6"/>
      <c r="HE338" s="6"/>
      <c r="HF338" s="6"/>
      <c r="HG338" s="6"/>
      <c r="HH338" s="6"/>
    </row>
    <row r="339" spans="1:216" x14ac:dyDescent="0.3">
      <c r="A339" s="8" t="str">
        <f>HYPERLINK("https://hpr-rps.hres.ca/reg-content/summary-basis-decision-detailTwo.php?lang=en&amp;linkID=SBD00348", "Lancora")</f>
        <v>Lancora</v>
      </c>
      <c r="B339" s="6" t="s">
        <v>902</v>
      </c>
      <c r="C339" s="6" t="s">
        <v>177</v>
      </c>
      <c r="D339" s="6" t="s">
        <v>903</v>
      </c>
      <c r="E339" s="6">
        <v>41086</v>
      </c>
      <c r="F339" s="6"/>
      <c r="G339" s="6"/>
      <c r="H339" s="6"/>
      <c r="I339" s="6"/>
      <c r="J339" s="6"/>
      <c r="K339" s="6"/>
      <c r="L339" s="6"/>
      <c r="M339" s="6"/>
      <c r="N339" s="6"/>
      <c r="O339" s="6"/>
      <c r="P339" s="6"/>
      <c r="Q339" s="6"/>
      <c r="R339" s="6"/>
      <c r="S339" s="6"/>
      <c r="T339" s="6"/>
      <c r="U339" s="6"/>
      <c r="V339" s="6"/>
      <c r="W339" s="6"/>
      <c r="X339" s="6"/>
      <c r="Y339" s="6"/>
      <c r="Z339" s="6">
        <v>41557</v>
      </c>
      <c r="AA339" s="6"/>
      <c r="AB339" s="6"/>
      <c r="AC339" s="6">
        <v>41563</v>
      </c>
      <c r="AD339" s="6"/>
      <c r="AE339" s="6"/>
      <c r="AF339" s="6"/>
      <c r="AG339" s="6"/>
      <c r="AH339" s="6"/>
      <c r="AI339" s="6"/>
      <c r="AJ339" s="6"/>
      <c r="AK339" s="6"/>
      <c r="AL339" s="6">
        <v>41509</v>
      </c>
      <c r="AM339" s="6"/>
      <c r="AN339" s="6"/>
      <c r="AO339" s="6"/>
      <c r="AP339" s="6"/>
      <c r="AQ339" s="6"/>
      <c r="AR339" s="6"/>
      <c r="AS339" s="6">
        <v>41815</v>
      </c>
      <c r="AT339" s="6"/>
      <c r="AU339" s="6"/>
      <c r="AV339" s="6">
        <v>41809</v>
      </c>
      <c r="AW339" s="6"/>
      <c r="AX339" s="6"/>
      <c r="AY339" s="6"/>
      <c r="AZ339" s="6">
        <v>41877</v>
      </c>
      <c r="BA339" s="6"/>
      <c r="BB339" s="6"/>
      <c r="BC339" s="6"/>
      <c r="BD339" s="6"/>
      <c r="BE339" s="6"/>
      <c r="BF339" s="6"/>
      <c r="BG339" s="6"/>
      <c r="BH339" s="6"/>
      <c r="BI339" s="6"/>
      <c r="BJ339" s="6"/>
      <c r="BK339" s="6"/>
      <c r="BL339" s="6"/>
      <c r="BM339" s="6"/>
      <c r="BN339" s="6"/>
      <c r="BO339" s="6"/>
      <c r="BP339" s="6">
        <v>41877</v>
      </c>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v>41964</v>
      </c>
      <c r="CP339" s="6"/>
      <c r="CQ339" s="6"/>
      <c r="CR339" s="6">
        <v>42012</v>
      </c>
      <c r="CS339" s="6"/>
      <c r="CT339" s="6"/>
      <c r="CU339" s="6"/>
      <c r="CV339" s="6"/>
      <c r="CW339" s="6"/>
      <c r="CX339" s="6"/>
      <c r="CY339" s="6"/>
      <c r="CZ339" s="6"/>
      <c r="DA339" s="6"/>
      <c r="DB339" s="6"/>
      <c r="DC339" s="6"/>
      <c r="DD339" s="6"/>
      <c r="DE339" s="6"/>
      <c r="DF339" s="6"/>
      <c r="DG339" s="6"/>
      <c r="DH339" s="6"/>
      <c r="DI339" s="6"/>
      <c r="DJ339" s="6"/>
      <c r="DK339" s="6"/>
      <c r="DL339" s="6">
        <v>42310</v>
      </c>
      <c r="DM339" s="6"/>
      <c r="DN339" s="6"/>
      <c r="DO339" s="6"/>
      <c r="DP339" s="6"/>
      <c r="DQ339" s="6"/>
      <c r="DR339" s="6"/>
      <c r="DS339" s="6"/>
      <c r="DT339" s="6"/>
      <c r="DU339" s="6"/>
      <c r="DV339" s="6"/>
      <c r="DW339" s="6"/>
      <c r="DX339" s="6"/>
      <c r="DY339" s="6"/>
      <c r="DZ339" s="6"/>
      <c r="EA339" s="6">
        <v>42312</v>
      </c>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v>42720</v>
      </c>
      <c r="EZ339" s="6"/>
      <c r="FA339" s="6"/>
      <c r="FB339" s="6"/>
      <c r="FC339" s="6"/>
      <c r="FD339" s="6"/>
      <c r="FE339" s="6"/>
      <c r="FF339" s="6"/>
      <c r="FG339" s="6">
        <v>42723</v>
      </c>
      <c r="FH339" s="6"/>
      <c r="FI339" s="6"/>
      <c r="FJ339" s="6"/>
      <c r="FK339" s="6"/>
      <c r="FL339" s="6"/>
      <c r="FM339" s="6"/>
      <c r="FN339" s="6"/>
      <c r="FO339" s="6"/>
      <c r="FP339" s="6"/>
      <c r="FQ339" s="6"/>
      <c r="FR339" s="6"/>
      <c r="FS339" s="6"/>
      <c r="FT339" s="6">
        <v>42727</v>
      </c>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row>
    <row r="340" spans="1:216" x14ac:dyDescent="0.3">
      <c r="A340" s="8" t="str">
        <f>HYPERLINK("https://hpr-rps.hres.ca/reg-content/summary-basis-decision-detailTwo.php?lang=en&amp;linkID=SBD00349", "Rapivab")</f>
        <v>Rapivab</v>
      </c>
      <c r="B340" s="6" t="s">
        <v>904</v>
      </c>
      <c r="C340" s="6" t="s">
        <v>905</v>
      </c>
      <c r="D340" s="6" t="s">
        <v>906</v>
      </c>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c r="FZ340" s="6"/>
      <c r="GA340" s="6"/>
      <c r="GB340" s="6"/>
      <c r="GC340" s="6"/>
      <c r="GD340" s="6"/>
      <c r="GE340" s="6"/>
      <c r="GF340" s="6"/>
      <c r="GG340" s="6"/>
      <c r="GH340" s="6"/>
      <c r="GI340" s="6"/>
      <c r="GJ340" s="6"/>
      <c r="GK340" s="6"/>
      <c r="GL340" s="6"/>
      <c r="GM340" s="6"/>
      <c r="GN340" s="6"/>
      <c r="GO340" s="6"/>
      <c r="GP340" s="6"/>
      <c r="GQ340" s="6"/>
      <c r="GR340" s="6"/>
      <c r="GS340" s="6"/>
      <c r="GT340" s="6"/>
      <c r="GU340" s="6"/>
      <c r="GV340" s="6"/>
      <c r="GW340" s="6"/>
      <c r="GX340" s="6"/>
      <c r="GY340" s="6"/>
      <c r="GZ340" s="6"/>
      <c r="HA340" s="6"/>
      <c r="HB340" s="6"/>
      <c r="HC340" s="6"/>
      <c r="HD340" s="6"/>
      <c r="HE340" s="6"/>
      <c r="HF340" s="6"/>
      <c r="HG340" s="6"/>
      <c r="HH340" s="6"/>
    </row>
    <row r="341" spans="1:216" x14ac:dyDescent="0.3">
      <c r="A341" s="8" t="str">
        <f>HYPERLINK("https://hpr-rps.hres.ca/reg-content/summary-basis-decision-detailTwo.php?lang=en&amp;linkID=SBD00351", "BAT")</f>
        <v>BAT</v>
      </c>
      <c r="B341" s="6" t="s">
        <v>907</v>
      </c>
      <c r="C341" s="6" t="s">
        <v>908</v>
      </c>
      <c r="D341" s="6" t="s">
        <v>909</v>
      </c>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c r="FZ341" s="6"/>
      <c r="GA341" s="6"/>
      <c r="GB341" s="6"/>
      <c r="GC341" s="6"/>
      <c r="GD341" s="6"/>
      <c r="GE341" s="6"/>
      <c r="GF341" s="6"/>
      <c r="GG341" s="6"/>
      <c r="GH341" s="6"/>
      <c r="GI341" s="6"/>
      <c r="GJ341" s="6"/>
      <c r="GK341" s="6"/>
      <c r="GL341" s="6"/>
      <c r="GM341" s="6"/>
      <c r="GN341" s="6"/>
      <c r="GO341" s="6"/>
      <c r="GP341" s="6"/>
      <c r="GQ341" s="6"/>
      <c r="GR341" s="6"/>
      <c r="GS341" s="6"/>
      <c r="GT341" s="6"/>
      <c r="GU341" s="6"/>
      <c r="GV341" s="6"/>
      <c r="GW341" s="6"/>
      <c r="GX341" s="6"/>
      <c r="GY341" s="6"/>
      <c r="GZ341" s="6"/>
      <c r="HA341" s="6"/>
      <c r="HB341" s="6"/>
      <c r="HC341" s="6"/>
      <c r="HD341" s="6"/>
      <c r="HE341" s="6"/>
      <c r="HF341" s="6"/>
      <c r="HG341" s="6"/>
      <c r="HH341" s="6"/>
    </row>
    <row r="342" spans="1:216" x14ac:dyDescent="0.3">
      <c r="A342" s="8" t="str">
        <f>HYPERLINK("https://hpr-rps.hres.ca/reg-content/summary-basis-decision-detailTwo.php?lang=en&amp;linkID=SBD00352", "NeuraCeq")</f>
        <v>NeuraCeq</v>
      </c>
      <c r="B342" s="6" t="s">
        <v>910</v>
      </c>
      <c r="C342" s="6" t="s">
        <v>911</v>
      </c>
      <c r="D342" s="6" t="s">
        <v>912</v>
      </c>
      <c r="E342" s="6"/>
      <c r="F342" s="6"/>
      <c r="G342" s="6"/>
      <c r="H342" s="6"/>
      <c r="I342" s="6"/>
      <c r="J342" s="6"/>
      <c r="K342" s="6"/>
      <c r="L342" s="6"/>
      <c r="M342" s="6"/>
      <c r="N342" s="6">
        <v>42383</v>
      </c>
      <c r="O342" s="6"/>
      <c r="P342" s="6"/>
      <c r="Q342" s="6"/>
      <c r="R342" s="6"/>
      <c r="S342" s="6"/>
      <c r="T342" s="6">
        <v>42405</v>
      </c>
      <c r="U342" s="6"/>
      <c r="V342" s="6">
        <v>42426</v>
      </c>
      <c r="W342" s="6"/>
      <c r="X342" s="6"/>
      <c r="Y342" s="6"/>
      <c r="Z342" s="6"/>
      <c r="AA342" s="6"/>
      <c r="AB342" s="6"/>
      <c r="AC342" s="6"/>
      <c r="AD342" s="6"/>
      <c r="AE342" s="6"/>
      <c r="AF342" s="6">
        <v>42489</v>
      </c>
      <c r="AG342" s="6"/>
      <c r="AH342" s="6"/>
      <c r="AI342" s="6"/>
      <c r="AJ342" s="6"/>
      <c r="AK342" s="6"/>
      <c r="AL342" s="6"/>
      <c r="AM342" s="6"/>
      <c r="AN342" s="6"/>
      <c r="AO342" s="6"/>
      <c r="AP342" s="6"/>
      <c r="AQ342" s="6"/>
      <c r="AR342" s="6">
        <v>42782</v>
      </c>
      <c r="AS342" s="6"/>
      <c r="AT342" s="6"/>
      <c r="AU342" s="6"/>
      <c r="AV342" s="6">
        <v>42786</v>
      </c>
      <c r="AW342" s="6"/>
      <c r="AX342" s="6"/>
      <c r="AY342" s="6"/>
      <c r="AZ342" s="6">
        <v>42786</v>
      </c>
      <c r="BA342" s="6"/>
      <c r="BB342" s="6"/>
      <c r="BC342" s="6"/>
      <c r="BD342" s="6"/>
      <c r="BE342" s="6"/>
      <c r="BF342" s="6"/>
      <c r="BG342" s="6"/>
      <c r="BH342" s="6"/>
      <c r="BI342" s="6"/>
      <c r="BJ342" s="6"/>
      <c r="BK342" s="6"/>
      <c r="BL342" s="6"/>
      <c r="BM342" s="6">
        <v>42788</v>
      </c>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c r="FZ342" s="6"/>
      <c r="GA342" s="6"/>
      <c r="GB342" s="6"/>
      <c r="GC342" s="6"/>
      <c r="GD342" s="6"/>
      <c r="GE342" s="6"/>
      <c r="GF342" s="6"/>
      <c r="GG342" s="6"/>
      <c r="GH342" s="6"/>
      <c r="GI342" s="6"/>
      <c r="GJ342" s="6"/>
      <c r="GK342" s="6"/>
      <c r="GL342" s="6"/>
      <c r="GM342" s="6"/>
      <c r="GN342" s="6"/>
      <c r="GO342" s="6"/>
      <c r="GP342" s="6"/>
      <c r="GQ342" s="6"/>
      <c r="GR342" s="6"/>
      <c r="GS342" s="6"/>
      <c r="GT342" s="6"/>
      <c r="GU342" s="6"/>
      <c r="GV342" s="6"/>
      <c r="GW342" s="6"/>
      <c r="GX342" s="6"/>
      <c r="GY342" s="6"/>
      <c r="GZ342" s="6"/>
      <c r="HA342" s="6"/>
      <c r="HB342" s="6"/>
      <c r="HC342" s="6"/>
      <c r="HD342" s="6"/>
      <c r="HE342" s="6"/>
      <c r="HF342" s="6"/>
      <c r="HG342" s="6"/>
      <c r="HH342" s="6"/>
    </row>
    <row r="343" spans="1:216" x14ac:dyDescent="0.3">
      <c r="A343" s="8" t="str">
        <f>HYPERLINK("https://hpr-rps.hres.ca/reg-content/summary-basis-decision-detailTwo.php?lang=en&amp;linkID=SBD00353", "Rexulti")</f>
        <v>Rexulti</v>
      </c>
      <c r="B343" s="6" t="s">
        <v>913</v>
      </c>
      <c r="C343" s="6" t="s">
        <v>914</v>
      </c>
      <c r="D343" s="6" t="s">
        <v>915</v>
      </c>
      <c r="E343" s="6">
        <v>42291</v>
      </c>
      <c r="F343" s="6"/>
      <c r="G343" s="6"/>
      <c r="H343" s="6">
        <v>42426</v>
      </c>
      <c r="I343" s="6"/>
      <c r="J343" s="6"/>
      <c r="K343" s="6"/>
      <c r="L343" s="6"/>
      <c r="M343" s="6"/>
      <c r="N343" s="6"/>
      <c r="O343" s="6"/>
      <c r="P343" s="6"/>
      <c r="Q343" s="6"/>
      <c r="R343" s="6"/>
      <c r="S343" s="6"/>
      <c r="T343" s="6"/>
      <c r="U343" s="6"/>
      <c r="V343" s="6"/>
      <c r="W343" s="6"/>
      <c r="X343" s="6"/>
      <c r="Y343" s="6"/>
      <c r="Z343" s="6"/>
      <c r="AA343" s="6"/>
      <c r="AB343" s="6"/>
      <c r="AC343" s="6"/>
      <c r="AD343" s="6"/>
      <c r="AE343" s="6"/>
      <c r="AF343" s="6">
        <v>42482</v>
      </c>
      <c r="AG343" s="6"/>
      <c r="AH343" s="6"/>
      <c r="AI343" s="6"/>
      <c r="AJ343" s="6"/>
      <c r="AK343" s="6"/>
      <c r="AL343" s="6"/>
      <c r="AM343" s="6"/>
      <c r="AN343" s="6"/>
      <c r="AO343" s="6"/>
      <c r="AP343" s="6"/>
      <c r="AQ343" s="6">
        <v>42781</v>
      </c>
      <c r="AR343" s="6">
        <v>42781</v>
      </c>
      <c r="AS343" s="6"/>
      <c r="AT343" s="6"/>
      <c r="AU343" s="6"/>
      <c r="AV343" s="6">
        <v>42774</v>
      </c>
      <c r="AW343" s="6"/>
      <c r="AX343" s="6"/>
      <c r="AY343" s="6"/>
      <c r="AZ343" s="6">
        <v>42781</v>
      </c>
      <c r="BA343" s="6"/>
      <c r="BB343" s="6"/>
      <c r="BC343" s="6"/>
      <c r="BD343" s="6"/>
      <c r="BE343" s="6"/>
      <c r="BF343" s="6"/>
      <c r="BG343" s="6"/>
      <c r="BH343" s="6"/>
      <c r="BI343" s="6"/>
      <c r="BJ343" s="6"/>
      <c r="BK343" s="6"/>
      <c r="BL343" s="6"/>
      <c r="BM343" s="6">
        <v>42782</v>
      </c>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c r="FZ343" s="6"/>
      <c r="GA343" s="6"/>
      <c r="GB343" s="6"/>
      <c r="GC343" s="6"/>
      <c r="GD343" s="6"/>
      <c r="GE343" s="6"/>
      <c r="GF343" s="6"/>
      <c r="GG343" s="6"/>
      <c r="GH343" s="6"/>
      <c r="GI343" s="6"/>
      <c r="GJ343" s="6"/>
      <c r="GK343" s="6"/>
      <c r="GL343" s="6"/>
      <c r="GM343" s="6"/>
      <c r="GN343" s="6"/>
      <c r="GO343" s="6"/>
      <c r="GP343" s="6"/>
      <c r="GQ343" s="6"/>
      <c r="GR343" s="6"/>
      <c r="GS343" s="6"/>
      <c r="GT343" s="6"/>
      <c r="GU343" s="6"/>
      <c r="GV343" s="6"/>
      <c r="GW343" s="6"/>
      <c r="GX343" s="6"/>
      <c r="GY343" s="6"/>
      <c r="GZ343" s="6"/>
      <c r="HA343" s="6"/>
      <c r="HB343" s="6"/>
      <c r="HC343" s="6"/>
      <c r="HD343" s="6"/>
      <c r="HE343" s="6"/>
      <c r="HF343" s="6"/>
      <c r="HG343" s="6"/>
      <c r="HH343" s="6"/>
    </row>
    <row r="344" spans="1:216" x14ac:dyDescent="0.3">
      <c r="A344" s="8" t="str">
        <f>HYPERLINK("https://hpr-rps.hres.ca/reg-content/summary-basis-decision-detailTwo.php?lang=en&amp;linkID=SBD00354", "Portrazza")</f>
        <v>Portrazza</v>
      </c>
      <c r="B344" s="6" t="s">
        <v>916</v>
      </c>
      <c r="C344" s="6" t="s">
        <v>140</v>
      </c>
      <c r="D344" s="6" t="s">
        <v>917</v>
      </c>
      <c r="E344" s="6">
        <v>42431</v>
      </c>
      <c r="F344" s="6"/>
      <c r="G344" s="6"/>
      <c r="H344" s="6">
        <v>42458</v>
      </c>
      <c r="I344" s="6"/>
      <c r="J344" s="6"/>
      <c r="K344" s="6"/>
      <c r="L344" s="6"/>
      <c r="M344" s="6"/>
      <c r="N344" s="6"/>
      <c r="O344" s="6"/>
      <c r="P344" s="6"/>
      <c r="Q344" s="6"/>
      <c r="R344" s="6"/>
      <c r="S344" s="6"/>
      <c r="T344" s="6"/>
      <c r="U344" s="6"/>
      <c r="V344" s="6"/>
      <c r="W344" s="6"/>
      <c r="X344" s="6"/>
      <c r="Y344" s="6"/>
      <c r="Z344" s="6"/>
      <c r="AA344" s="6"/>
      <c r="AB344" s="6"/>
      <c r="AC344" s="6"/>
      <c r="AD344" s="6"/>
      <c r="AE344" s="6"/>
      <c r="AF344" s="6">
        <v>42510</v>
      </c>
      <c r="AG344" s="6"/>
      <c r="AH344" s="6"/>
      <c r="AI344" s="6"/>
      <c r="AJ344" s="6"/>
      <c r="AK344" s="6"/>
      <c r="AL344" s="6"/>
      <c r="AM344" s="6"/>
      <c r="AN344" s="6"/>
      <c r="AO344" s="6"/>
      <c r="AP344" s="6"/>
      <c r="AQ344" s="6">
        <v>42748</v>
      </c>
      <c r="AR344" s="6">
        <v>42809</v>
      </c>
      <c r="AS344" s="6"/>
      <c r="AT344" s="6"/>
      <c r="AU344" s="6"/>
      <c r="AV344" s="6">
        <v>42809</v>
      </c>
      <c r="AW344" s="6"/>
      <c r="AX344" s="6"/>
      <c r="AY344" s="6"/>
      <c r="AZ344" s="6">
        <v>42809</v>
      </c>
      <c r="BA344" s="6"/>
      <c r="BB344" s="6"/>
      <c r="BC344" s="6"/>
      <c r="BD344" s="6"/>
      <c r="BE344" s="6"/>
      <c r="BF344" s="6"/>
      <c r="BG344" s="6"/>
      <c r="BH344" s="6"/>
      <c r="BI344" s="6"/>
      <c r="BJ344" s="6"/>
      <c r="BK344" s="6"/>
      <c r="BL344" s="6"/>
      <c r="BM344" s="6">
        <v>42810</v>
      </c>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c r="FZ344" s="6"/>
      <c r="GA344" s="6"/>
      <c r="GB344" s="6"/>
      <c r="GC344" s="6"/>
      <c r="GD344" s="6"/>
      <c r="GE344" s="6"/>
      <c r="GF344" s="6"/>
      <c r="GG344" s="6"/>
      <c r="GH344" s="6"/>
      <c r="GI344" s="6"/>
      <c r="GJ344" s="6"/>
      <c r="GK344" s="6"/>
      <c r="GL344" s="6"/>
      <c r="GM344" s="6"/>
      <c r="GN344" s="6"/>
      <c r="GO344" s="6"/>
      <c r="GP344" s="6"/>
      <c r="GQ344" s="6"/>
      <c r="GR344" s="6"/>
      <c r="GS344" s="6"/>
      <c r="GT344" s="6"/>
      <c r="GU344" s="6"/>
      <c r="GV344" s="6"/>
      <c r="GW344" s="6"/>
      <c r="GX344" s="6"/>
      <c r="GY344" s="6"/>
      <c r="GZ344" s="6"/>
      <c r="HA344" s="6"/>
      <c r="HB344" s="6"/>
      <c r="HC344" s="6"/>
      <c r="HD344" s="6"/>
      <c r="HE344" s="6"/>
      <c r="HF344" s="6"/>
      <c r="HG344" s="6"/>
      <c r="HH344" s="6"/>
    </row>
    <row r="345" spans="1:216" x14ac:dyDescent="0.3">
      <c r="A345" s="8" t="str">
        <f>HYPERLINK("https://hpr-rps.hres.ca/reg-content/summary-basis-decision-detailTwo.php?lang=en&amp;linkID=SBD00355", "Brinavess")</f>
        <v>Brinavess</v>
      </c>
      <c r="B345" s="6" t="s">
        <v>918</v>
      </c>
      <c r="C345" s="6" t="s">
        <v>919</v>
      </c>
      <c r="D345" s="6" t="s">
        <v>920</v>
      </c>
      <c r="E345" s="6">
        <v>42067</v>
      </c>
      <c r="F345" s="6"/>
      <c r="G345" s="6"/>
      <c r="H345" s="6">
        <v>42373</v>
      </c>
      <c r="I345" s="6"/>
      <c r="J345" s="6"/>
      <c r="K345" s="6"/>
      <c r="L345" s="6"/>
      <c r="M345" s="6"/>
      <c r="N345" s="6"/>
      <c r="O345" s="6"/>
      <c r="P345" s="6"/>
      <c r="Q345" s="6"/>
      <c r="R345" s="6"/>
      <c r="S345" s="6"/>
      <c r="T345" s="6"/>
      <c r="U345" s="6"/>
      <c r="V345" s="6"/>
      <c r="W345" s="6"/>
      <c r="X345" s="6"/>
      <c r="Y345" s="6"/>
      <c r="Z345" s="6">
        <v>42419</v>
      </c>
      <c r="AA345" s="6"/>
      <c r="AB345" s="6"/>
      <c r="AC345" s="6">
        <v>42436</v>
      </c>
      <c r="AD345" s="6"/>
      <c r="AE345" s="6"/>
      <c r="AF345" s="6">
        <v>42507</v>
      </c>
      <c r="AG345" s="6"/>
      <c r="AH345" s="6"/>
      <c r="AI345" s="6"/>
      <c r="AJ345" s="6"/>
      <c r="AK345" s="6"/>
      <c r="AL345" s="6"/>
      <c r="AM345" s="6"/>
      <c r="AN345" s="6"/>
      <c r="AO345" s="6"/>
      <c r="AP345" s="6"/>
      <c r="AQ345" s="6">
        <v>42782</v>
      </c>
      <c r="AR345" s="6">
        <v>42807</v>
      </c>
      <c r="AS345" s="6"/>
      <c r="AT345" s="6"/>
      <c r="AU345" s="6"/>
      <c r="AV345" s="6">
        <v>42801</v>
      </c>
      <c r="AW345" s="6"/>
      <c r="AX345" s="6"/>
      <c r="AY345" s="6"/>
      <c r="AZ345" s="6">
        <v>42797</v>
      </c>
      <c r="BA345" s="6"/>
      <c r="BB345" s="6"/>
      <c r="BC345" s="6"/>
      <c r="BD345" s="6"/>
      <c r="BE345" s="6"/>
      <c r="BF345" s="6"/>
      <c r="BG345" s="6"/>
      <c r="BH345" s="6"/>
      <c r="BI345" s="6"/>
      <c r="BJ345" s="6"/>
      <c r="BK345" s="6"/>
      <c r="BL345" s="6"/>
      <c r="BM345" s="6">
        <v>42807</v>
      </c>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c r="FZ345" s="6"/>
      <c r="GA345" s="6"/>
      <c r="GB345" s="6"/>
      <c r="GC345" s="6"/>
      <c r="GD345" s="6"/>
      <c r="GE345" s="6"/>
      <c r="GF345" s="6"/>
      <c r="GG345" s="6"/>
      <c r="GH345" s="6"/>
      <c r="GI345" s="6"/>
      <c r="GJ345" s="6"/>
      <c r="GK345" s="6"/>
      <c r="GL345" s="6"/>
      <c r="GM345" s="6"/>
      <c r="GN345" s="6"/>
      <c r="GO345" s="6"/>
      <c r="GP345" s="6"/>
      <c r="GQ345" s="6"/>
      <c r="GR345" s="6"/>
      <c r="GS345" s="6"/>
      <c r="GT345" s="6"/>
      <c r="GU345" s="6"/>
      <c r="GV345" s="6"/>
      <c r="GW345" s="6"/>
      <c r="GX345" s="6"/>
      <c r="GY345" s="6"/>
      <c r="GZ345" s="6"/>
      <c r="HA345" s="6"/>
      <c r="HB345" s="6"/>
      <c r="HC345" s="6"/>
      <c r="HD345" s="6"/>
      <c r="HE345" s="6"/>
      <c r="HF345" s="6"/>
      <c r="HG345" s="6"/>
      <c r="HH345" s="6"/>
    </row>
    <row r="346" spans="1:216" x14ac:dyDescent="0.3">
      <c r="A346" s="8" t="str">
        <f>HYPERLINK("https://hpr-rps.hres.ca/reg-content/summary-basis-decision-detailTwo.php?lang=en&amp;linkID=SBD00356", "Tecentriq")</f>
        <v>Tecentriq</v>
      </c>
      <c r="B346" s="6" t="s">
        <v>921</v>
      </c>
      <c r="C346" s="6" t="s">
        <v>84</v>
      </c>
      <c r="D346" s="6" t="s">
        <v>922</v>
      </c>
      <c r="E346" s="6">
        <v>42067</v>
      </c>
      <c r="F346" s="6"/>
      <c r="G346" s="6"/>
      <c r="H346" s="6">
        <v>42373</v>
      </c>
      <c r="I346" s="6"/>
      <c r="J346" s="6"/>
      <c r="K346" s="6"/>
      <c r="L346" s="6"/>
      <c r="M346" s="6"/>
      <c r="N346" s="6"/>
      <c r="O346" s="6"/>
      <c r="P346" s="6"/>
      <c r="Q346" s="6"/>
      <c r="R346" s="6"/>
      <c r="S346" s="6"/>
      <c r="T346" s="6"/>
      <c r="U346" s="6"/>
      <c r="V346" s="6"/>
      <c r="W346" s="6"/>
      <c r="X346" s="6"/>
      <c r="Y346" s="6"/>
      <c r="Z346" s="6">
        <v>42419</v>
      </c>
      <c r="AA346" s="6"/>
      <c r="AB346" s="6"/>
      <c r="AC346" s="6">
        <v>42436</v>
      </c>
      <c r="AD346" s="6"/>
      <c r="AE346" s="6"/>
      <c r="AF346" s="6">
        <v>42507</v>
      </c>
      <c r="AG346" s="6"/>
      <c r="AH346" s="6"/>
      <c r="AI346" s="6"/>
      <c r="AJ346" s="6"/>
      <c r="AK346" s="6"/>
      <c r="AL346" s="6"/>
      <c r="AM346" s="6"/>
      <c r="AN346" s="6"/>
      <c r="AO346" s="6"/>
      <c r="AP346" s="6"/>
      <c r="AQ346" s="6">
        <v>42782</v>
      </c>
      <c r="AR346" s="6">
        <v>42807</v>
      </c>
      <c r="AS346" s="6"/>
      <c r="AT346" s="6"/>
      <c r="AU346" s="6"/>
      <c r="AV346" s="6">
        <v>42801</v>
      </c>
      <c r="AW346" s="6"/>
      <c r="AX346" s="6"/>
      <c r="AY346" s="6"/>
      <c r="AZ346" s="6">
        <v>42797</v>
      </c>
      <c r="BA346" s="6"/>
      <c r="BB346" s="6"/>
      <c r="BC346" s="6"/>
      <c r="BD346" s="6"/>
      <c r="BE346" s="6"/>
      <c r="BF346" s="6"/>
      <c r="BG346" s="6"/>
      <c r="BH346" s="6"/>
      <c r="BI346" s="6"/>
      <c r="BJ346" s="6"/>
      <c r="BK346" s="6"/>
      <c r="BL346" s="6"/>
      <c r="BM346" s="6">
        <v>42807</v>
      </c>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c r="FZ346" s="6"/>
      <c r="GA346" s="6"/>
      <c r="GB346" s="6"/>
      <c r="GC346" s="6"/>
      <c r="GD346" s="6"/>
      <c r="GE346" s="6"/>
      <c r="GF346" s="6"/>
      <c r="GG346" s="6"/>
      <c r="GH346" s="6"/>
      <c r="GI346" s="6"/>
      <c r="GJ346" s="6"/>
      <c r="GK346" s="6"/>
      <c r="GL346" s="6"/>
      <c r="GM346" s="6"/>
      <c r="GN346" s="6"/>
      <c r="GO346" s="6"/>
      <c r="GP346" s="6"/>
      <c r="GQ346" s="6"/>
      <c r="GR346" s="6"/>
      <c r="GS346" s="6"/>
      <c r="GT346" s="6"/>
      <c r="GU346" s="6"/>
      <c r="GV346" s="6"/>
      <c r="GW346" s="6"/>
      <c r="GX346" s="6"/>
      <c r="GY346" s="6"/>
      <c r="GZ346" s="6"/>
      <c r="HA346" s="6"/>
      <c r="HB346" s="6"/>
      <c r="HC346" s="6"/>
      <c r="HD346" s="6"/>
      <c r="HE346" s="6"/>
      <c r="HF346" s="6"/>
      <c r="HG346" s="6"/>
      <c r="HH346" s="6"/>
    </row>
    <row r="347" spans="1:216" x14ac:dyDescent="0.3">
      <c r="A347" s="8" t="str">
        <f>HYPERLINK("https://hpr-rps.hres.ca/reg-content/summary-basis-decision-detailTwo.php?lang=en&amp;linkID=SBD00357", "Ocaliva")</f>
        <v>Ocaliva</v>
      </c>
      <c r="B347" s="6" t="s">
        <v>923</v>
      </c>
      <c r="C347" s="6" t="s">
        <v>924</v>
      </c>
      <c r="D347" s="6" t="s">
        <v>925</v>
      </c>
      <c r="E347" s="6">
        <v>42271</v>
      </c>
      <c r="F347" s="6"/>
      <c r="G347" s="6"/>
      <c r="H347" s="6"/>
      <c r="I347" s="6"/>
      <c r="J347" s="6"/>
      <c r="K347" s="6"/>
      <c r="L347" s="6"/>
      <c r="M347" s="6"/>
      <c r="N347" s="6">
        <v>42579</v>
      </c>
      <c r="O347" s="6"/>
      <c r="P347" s="6"/>
      <c r="Q347" s="6"/>
      <c r="R347" s="6"/>
      <c r="S347" s="6">
        <v>42613</v>
      </c>
      <c r="T347" s="6"/>
      <c r="U347" s="6"/>
      <c r="V347" s="6">
        <v>42629</v>
      </c>
      <c r="W347" s="6"/>
      <c r="X347" s="6"/>
      <c r="Y347" s="6"/>
      <c r="Z347" s="6"/>
      <c r="AA347" s="6"/>
      <c r="AB347" s="6"/>
      <c r="AC347" s="6"/>
      <c r="AD347" s="6"/>
      <c r="AE347" s="6"/>
      <c r="AF347" s="6">
        <v>42661</v>
      </c>
      <c r="AG347" s="6"/>
      <c r="AH347" s="6"/>
      <c r="AI347" s="6"/>
      <c r="AJ347" s="6"/>
      <c r="AK347" s="6"/>
      <c r="AL347" s="6"/>
      <c r="AM347" s="6"/>
      <c r="AN347" s="6"/>
      <c r="AO347" s="6"/>
      <c r="AP347" s="6"/>
      <c r="AQ347" s="6">
        <v>42822</v>
      </c>
      <c r="AR347" s="6">
        <v>42838</v>
      </c>
      <c r="AS347" s="6">
        <v>42836</v>
      </c>
      <c r="AT347" s="6"/>
      <c r="AU347" s="6"/>
      <c r="AV347" s="6">
        <v>42837</v>
      </c>
      <c r="AW347" s="6"/>
      <c r="AX347" s="6"/>
      <c r="AY347" s="6"/>
      <c r="AZ347" s="6"/>
      <c r="BA347" s="6"/>
      <c r="BB347" s="6"/>
      <c r="BC347" s="6"/>
      <c r="BD347" s="6"/>
      <c r="BE347" s="6"/>
      <c r="BF347" s="6"/>
      <c r="BG347" s="6"/>
      <c r="BH347" s="6"/>
      <c r="BI347" s="6"/>
      <c r="BJ347" s="6"/>
      <c r="BK347" s="6">
        <v>42838</v>
      </c>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v>42879</v>
      </c>
      <c r="CV347" s="6"/>
      <c r="CW347" s="6"/>
      <c r="CX347" s="6"/>
      <c r="CY347" s="6"/>
      <c r="CZ347" s="6"/>
      <c r="DA347" s="6"/>
      <c r="DB347" s="6"/>
      <c r="DC347" s="6"/>
      <c r="DD347" s="6"/>
      <c r="DE347" s="6"/>
      <c r="DF347" s="6"/>
      <c r="DG347" s="6">
        <v>42879</v>
      </c>
      <c r="DH347" s="6"/>
      <c r="DI347" s="6"/>
      <c r="DJ347" s="6"/>
      <c r="DK347" s="6"/>
      <c r="DL347" s="6"/>
      <c r="DM347" s="6"/>
      <c r="DN347" s="6"/>
      <c r="DO347" s="6"/>
      <c r="DP347" s="6"/>
      <c r="DQ347" s="6"/>
      <c r="DR347" s="6"/>
      <c r="DS347" s="6"/>
      <c r="DT347" s="6">
        <v>42850</v>
      </c>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c r="FZ347" s="6"/>
      <c r="GA347" s="6"/>
      <c r="GB347" s="6"/>
      <c r="GC347" s="6"/>
      <c r="GD347" s="6"/>
      <c r="GE347" s="6"/>
      <c r="GF347" s="6"/>
      <c r="GG347" s="6"/>
      <c r="GH347" s="6"/>
      <c r="GI347" s="6"/>
      <c r="GJ347" s="6"/>
      <c r="GK347" s="6"/>
      <c r="GL347" s="6"/>
      <c r="GM347" s="6"/>
      <c r="GN347" s="6"/>
      <c r="GO347" s="6"/>
      <c r="GP347" s="6"/>
      <c r="GQ347" s="6"/>
      <c r="GR347" s="6"/>
      <c r="GS347" s="6"/>
      <c r="GT347" s="6"/>
      <c r="GU347" s="6"/>
      <c r="GV347" s="6"/>
      <c r="GW347" s="6"/>
      <c r="GX347" s="6"/>
      <c r="GY347" s="6"/>
      <c r="GZ347" s="6"/>
      <c r="HA347" s="6"/>
      <c r="HB347" s="6"/>
      <c r="HC347" s="6"/>
      <c r="HD347" s="6"/>
      <c r="HE347" s="6"/>
      <c r="HF347" s="6"/>
      <c r="HG347" s="6"/>
      <c r="HH347" s="6"/>
    </row>
    <row r="348" spans="1:216" x14ac:dyDescent="0.3">
      <c r="A348" s="8" t="str">
        <f>HYPERLINK("https://hpr-rps.hres.ca/reg-content/summary-basis-decision-detailTwo.php?lang=en&amp;linkID=SBD00358", "Ozanex")</f>
        <v>Ozanex</v>
      </c>
      <c r="B348" s="6" t="s">
        <v>926</v>
      </c>
      <c r="C348" s="6" t="s">
        <v>927</v>
      </c>
      <c r="D348" s="6" t="s">
        <v>928</v>
      </c>
      <c r="E348" s="6">
        <v>41656</v>
      </c>
      <c r="F348" s="6"/>
      <c r="G348" s="6"/>
      <c r="H348" s="6">
        <v>42082</v>
      </c>
      <c r="I348" s="6"/>
      <c r="J348" s="6"/>
      <c r="K348" s="6"/>
      <c r="L348" s="6"/>
      <c r="M348" s="6"/>
      <c r="N348" s="6"/>
      <c r="O348" s="6"/>
      <c r="P348" s="6"/>
      <c r="Q348" s="6"/>
      <c r="R348" s="6"/>
      <c r="S348" s="6"/>
      <c r="T348" s="6"/>
      <c r="U348" s="6"/>
      <c r="V348" s="6"/>
      <c r="W348" s="6"/>
      <c r="X348" s="6"/>
      <c r="Y348" s="6"/>
      <c r="Z348" s="6"/>
      <c r="AA348" s="6"/>
      <c r="AB348" s="6"/>
      <c r="AC348" s="6"/>
      <c r="AD348" s="6"/>
      <c r="AE348" s="6"/>
      <c r="AF348" s="6">
        <v>42128</v>
      </c>
      <c r="AG348" s="6"/>
      <c r="AH348" s="6"/>
      <c r="AI348" s="6"/>
      <c r="AJ348" s="6"/>
      <c r="AK348" s="6"/>
      <c r="AL348" s="6"/>
      <c r="AM348" s="6"/>
      <c r="AN348" s="6"/>
      <c r="AO348" s="6"/>
      <c r="AP348" s="6"/>
      <c r="AQ348" s="6"/>
      <c r="AR348" s="6"/>
      <c r="AS348" s="6"/>
      <c r="AT348" s="6"/>
      <c r="AU348" s="6"/>
      <c r="AV348" s="6">
        <v>42422</v>
      </c>
      <c r="AW348" s="6"/>
      <c r="AX348" s="6"/>
      <c r="AY348" s="6"/>
      <c r="AZ348" s="6">
        <v>42425</v>
      </c>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v>42510</v>
      </c>
      <c r="BZ348" s="6"/>
      <c r="CA348" s="6"/>
      <c r="CB348" s="6"/>
      <c r="CC348" s="6"/>
      <c r="CD348" s="6"/>
      <c r="CE348" s="6"/>
      <c r="CF348" s="6"/>
      <c r="CG348" s="6"/>
      <c r="CH348" s="6"/>
      <c r="CI348" s="6"/>
      <c r="CJ348" s="6"/>
      <c r="CK348" s="6"/>
      <c r="CL348" s="6"/>
      <c r="CM348" s="6"/>
      <c r="CN348" s="6"/>
      <c r="CO348" s="6"/>
      <c r="CP348" s="6"/>
      <c r="CQ348" s="6"/>
      <c r="CR348" s="6">
        <v>42548</v>
      </c>
      <c r="CS348" s="6"/>
      <c r="CT348" s="6"/>
      <c r="CU348" s="6"/>
      <c r="CV348" s="6"/>
      <c r="CW348" s="6"/>
      <c r="CX348" s="6"/>
      <c r="CY348" s="6"/>
      <c r="CZ348" s="6"/>
      <c r="DA348" s="6"/>
      <c r="DB348" s="6"/>
      <c r="DC348" s="6">
        <v>42843</v>
      </c>
      <c r="DD348" s="6">
        <v>42845</v>
      </c>
      <c r="DE348" s="6"/>
      <c r="DF348" s="6"/>
      <c r="DG348" s="6"/>
      <c r="DH348" s="6"/>
      <c r="DI348" s="6"/>
      <c r="DJ348" s="6"/>
      <c r="DK348" s="6"/>
      <c r="DL348" s="6">
        <v>42846</v>
      </c>
      <c r="DM348" s="6"/>
      <c r="DN348" s="6"/>
      <c r="DO348" s="6"/>
      <c r="DP348" s="6"/>
      <c r="DQ348" s="6"/>
      <c r="DR348" s="6"/>
      <c r="DS348" s="6"/>
      <c r="DT348" s="6"/>
      <c r="DU348" s="6"/>
      <c r="DV348" s="6"/>
      <c r="DW348" s="6"/>
      <c r="DX348" s="6"/>
      <c r="DY348" s="6">
        <v>42846</v>
      </c>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c r="FZ348" s="6"/>
      <c r="GA348" s="6"/>
      <c r="GB348" s="6"/>
      <c r="GC348" s="6"/>
      <c r="GD348" s="6"/>
      <c r="GE348" s="6"/>
      <c r="GF348" s="6"/>
      <c r="GG348" s="6"/>
      <c r="GH348" s="6"/>
      <c r="GI348" s="6"/>
      <c r="GJ348" s="6"/>
      <c r="GK348" s="6"/>
      <c r="GL348" s="6"/>
      <c r="GM348" s="6"/>
      <c r="GN348" s="6"/>
      <c r="GO348" s="6"/>
      <c r="GP348" s="6"/>
      <c r="GQ348" s="6"/>
      <c r="GR348" s="6"/>
      <c r="GS348" s="6"/>
      <c r="GT348" s="6"/>
      <c r="GU348" s="6"/>
      <c r="GV348" s="6"/>
      <c r="GW348" s="6"/>
      <c r="GX348" s="6"/>
      <c r="GY348" s="6"/>
      <c r="GZ348" s="6"/>
      <c r="HA348" s="6"/>
      <c r="HB348" s="6"/>
      <c r="HC348" s="6"/>
      <c r="HD348" s="6"/>
      <c r="HE348" s="6"/>
      <c r="HF348" s="6"/>
      <c r="HG348" s="6"/>
      <c r="HH348" s="6"/>
    </row>
    <row r="349" spans="1:216" x14ac:dyDescent="0.3">
      <c r="A349" s="8" t="str">
        <f>HYPERLINK("https://hpr-rps.hres.ca/reg-content/summary-basis-decision-detailTwo.php?lang=en&amp;linkID=SBD00359", "Cerdelga")</f>
        <v>Cerdelga</v>
      </c>
      <c r="B349" s="6" t="s">
        <v>929</v>
      </c>
      <c r="C349" s="6" t="s">
        <v>930</v>
      </c>
      <c r="D349" s="6" t="s">
        <v>931</v>
      </c>
      <c r="E349" s="6">
        <v>41656</v>
      </c>
      <c r="F349" s="6"/>
      <c r="G349" s="6"/>
      <c r="H349" s="6">
        <v>42082</v>
      </c>
      <c r="I349" s="6"/>
      <c r="J349" s="6"/>
      <c r="K349" s="6"/>
      <c r="L349" s="6"/>
      <c r="M349" s="6"/>
      <c r="N349" s="6"/>
      <c r="O349" s="6"/>
      <c r="P349" s="6"/>
      <c r="Q349" s="6"/>
      <c r="R349" s="6"/>
      <c r="S349" s="6"/>
      <c r="T349" s="6"/>
      <c r="U349" s="6"/>
      <c r="V349" s="6"/>
      <c r="W349" s="6"/>
      <c r="X349" s="6"/>
      <c r="Y349" s="6"/>
      <c r="Z349" s="6"/>
      <c r="AA349" s="6"/>
      <c r="AB349" s="6"/>
      <c r="AC349" s="6"/>
      <c r="AD349" s="6"/>
      <c r="AE349" s="6"/>
      <c r="AF349" s="6">
        <v>42128</v>
      </c>
      <c r="AG349" s="6"/>
      <c r="AH349" s="6"/>
      <c r="AI349" s="6"/>
      <c r="AJ349" s="6"/>
      <c r="AK349" s="6"/>
      <c r="AL349" s="6"/>
      <c r="AM349" s="6"/>
      <c r="AN349" s="6"/>
      <c r="AO349" s="6"/>
      <c r="AP349" s="6"/>
      <c r="AQ349" s="6"/>
      <c r="AR349" s="6"/>
      <c r="AS349" s="6"/>
      <c r="AT349" s="6"/>
      <c r="AU349" s="6"/>
      <c r="AV349" s="6">
        <v>42422</v>
      </c>
      <c r="AW349" s="6"/>
      <c r="AX349" s="6"/>
      <c r="AY349" s="6"/>
      <c r="AZ349" s="6">
        <v>42425</v>
      </c>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v>42510</v>
      </c>
      <c r="BZ349" s="6"/>
      <c r="CA349" s="6"/>
      <c r="CB349" s="6"/>
      <c r="CC349" s="6"/>
      <c r="CD349" s="6"/>
      <c r="CE349" s="6"/>
      <c r="CF349" s="6"/>
      <c r="CG349" s="6"/>
      <c r="CH349" s="6"/>
      <c r="CI349" s="6"/>
      <c r="CJ349" s="6"/>
      <c r="CK349" s="6"/>
      <c r="CL349" s="6"/>
      <c r="CM349" s="6"/>
      <c r="CN349" s="6"/>
      <c r="CO349" s="6"/>
      <c r="CP349" s="6"/>
      <c r="CQ349" s="6"/>
      <c r="CR349" s="6">
        <v>42548</v>
      </c>
      <c r="CS349" s="6"/>
      <c r="CT349" s="6"/>
      <c r="CU349" s="6"/>
      <c r="CV349" s="6"/>
      <c r="CW349" s="6"/>
      <c r="CX349" s="6"/>
      <c r="CY349" s="6"/>
      <c r="CZ349" s="6"/>
      <c r="DA349" s="6"/>
      <c r="DB349" s="6"/>
      <c r="DC349" s="6">
        <v>42843</v>
      </c>
      <c r="DD349" s="6">
        <v>42845</v>
      </c>
      <c r="DE349" s="6"/>
      <c r="DF349" s="6"/>
      <c r="DG349" s="6"/>
      <c r="DH349" s="6"/>
      <c r="DI349" s="6"/>
      <c r="DJ349" s="6"/>
      <c r="DK349" s="6"/>
      <c r="DL349" s="6">
        <v>42846</v>
      </c>
      <c r="DM349" s="6"/>
      <c r="DN349" s="6"/>
      <c r="DO349" s="6"/>
      <c r="DP349" s="6"/>
      <c r="DQ349" s="6"/>
      <c r="DR349" s="6"/>
      <c r="DS349" s="6"/>
      <c r="DT349" s="6"/>
      <c r="DU349" s="6"/>
      <c r="DV349" s="6"/>
      <c r="DW349" s="6"/>
      <c r="DX349" s="6"/>
      <c r="DY349" s="6">
        <v>42846</v>
      </c>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c r="FZ349" s="6"/>
      <c r="GA349" s="6"/>
      <c r="GB349" s="6"/>
      <c r="GC349" s="6"/>
      <c r="GD349" s="6"/>
      <c r="GE349" s="6"/>
      <c r="GF349" s="6"/>
      <c r="GG349" s="6"/>
      <c r="GH349" s="6"/>
      <c r="GI349" s="6"/>
      <c r="GJ349" s="6"/>
      <c r="GK349" s="6"/>
      <c r="GL349" s="6"/>
      <c r="GM349" s="6"/>
      <c r="GN349" s="6"/>
      <c r="GO349" s="6"/>
      <c r="GP349" s="6"/>
      <c r="GQ349" s="6"/>
      <c r="GR349" s="6"/>
      <c r="GS349" s="6"/>
      <c r="GT349" s="6"/>
      <c r="GU349" s="6"/>
      <c r="GV349" s="6"/>
      <c r="GW349" s="6"/>
      <c r="GX349" s="6"/>
      <c r="GY349" s="6"/>
      <c r="GZ349" s="6"/>
      <c r="HA349" s="6"/>
      <c r="HB349" s="6"/>
      <c r="HC349" s="6"/>
      <c r="HD349" s="6"/>
      <c r="HE349" s="6"/>
      <c r="HF349" s="6"/>
      <c r="HG349" s="6"/>
      <c r="HH349" s="6"/>
    </row>
    <row r="350" spans="1:216" x14ac:dyDescent="0.3">
      <c r="A350" s="8" t="str">
        <f>HYPERLINK("https://hpr-rps.hres.ca/reg-content/summary-basis-decision-detailTwo.php?lang=en&amp;linkID=SBD00360", "Erelzi")</f>
        <v>Erelzi</v>
      </c>
      <c r="B350" s="6" t="s">
        <v>866</v>
      </c>
      <c r="C350" s="6" t="s">
        <v>932</v>
      </c>
      <c r="D350" s="6" t="s">
        <v>933</v>
      </c>
      <c r="E350" s="6">
        <v>41656</v>
      </c>
      <c r="F350" s="6"/>
      <c r="G350" s="6"/>
      <c r="H350" s="6">
        <v>42082</v>
      </c>
      <c r="I350" s="6"/>
      <c r="J350" s="6"/>
      <c r="K350" s="6"/>
      <c r="L350" s="6"/>
      <c r="M350" s="6"/>
      <c r="N350" s="6"/>
      <c r="O350" s="6"/>
      <c r="P350" s="6"/>
      <c r="Q350" s="6"/>
      <c r="R350" s="6"/>
      <c r="S350" s="6"/>
      <c r="T350" s="6"/>
      <c r="U350" s="6"/>
      <c r="V350" s="6"/>
      <c r="W350" s="6"/>
      <c r="X350" s="6"/>
      <c r="Y350" s="6"/>
      <c r="Z350" s="6"/>
      <c r="AA350" s="6"/>
      <c r="AB350" s="6"/>
      <c r="AC350" s="6"/>
      <c r="AD350" s="6"/>
      <c r="AE350" s="6"/>
      <c r="AF350" s="6">
        <v>42128</v>
      </c>
      <c r="AG350" s="6"/>
      <c r="AH350" s="6"/>
      <c r="AI350" s="6"/>
      <c r="AJ350" s="6"/>
      <c r="AK350" s="6"/>
      <c r="AL350" s="6"/>
      <c r="AM350" s="6"/>
      <c r="AN350" s="6"/>
      <c r="AO350" s="6"/>
      <c r="AP350" s="6"/>
      <c r="AQ350" s="6"/>
      <c r="AR350" s="6"/>
      <c r="AS350" s="6"/>
      <c r="AT350" s="6"/>
      <c r="AU350" s="6"/>
      <c r="AV350" s="6">
        <v>42422</v>
      </c>
      <c r="AW350" s="6"/>
      <c r="AX350" s="6"/>
      <c r="AY350" s="6"/>
      <c r="AZ350" s="6">
        <v>42425</v>
      </c>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v>42510</v>
      </c>
      <c r="BZ350" s="6"/>
      <c r="CA350" s="6"/>
      <c r="CB350" s="6"/>
      <c r="CC350" s="6"/>
      <c r="CD350" s="6"/>
      <c r="CE350" s="6"/>
      <c r="CF350" s="6"/>
      <c r="CG350" s="6"/>
      <c r="CH350" s="6"/>
      <c r="CI350" s="6"/>
      <c r="CJ350" s="6"/>
      <c r="CK350" s="6"/>
      <c r="CL350" s="6"/>
      <c r="CM350" s="6"/>
      <c r="CN350" s="6"/>
      <c r="CO350" s="6"/>
      <c r="CP350" s="6"/>
      <c r="CQ350" s="6"/>
      <c r="CR350" s="6">
        <v>42548</v>
      </c>
      <c r="CS350" s="6"/>
      <c r="CT350" s="6"/>
      <c r="CU350" s="6"/>
      <c r="CV350" s="6"/>
      <c r="CW350" s="6"/>
      <c r="CX350" s="6"/>
      <c r="CY350" s="6"/>
      <c r="CZ350" s="6"/>
      <c r="DA350" s="6"/>
      <c r="DB350" s="6"/>
      <c r="DC350" s="6">
        <v>42843</v>
      </c>
      <c r="DD350" s="6">
        <v>42845</v>
      </c>
      <c r="DE350" s="6"/>
      <c r="DF350" s="6"/>
      <c r="DG350" s="6"/>
      <c r="DH350" s="6"/>
      <c r="DI350" s="6"/>
      <c r="DJ350" s="6"/>
      <c r="DK350" s="6"/>
      <c r="DL350" s="6">
        <v>42846</v>
      </c>
      <c r="DM350" s="6"/>
      <c r="DN350" s="6"/>
      <c r="DO350" s="6"/>
      <c r="DP350" s="6"/>
      <c r="DQ350" s="6"/>
      <c r="DR350" s="6"/>
      <c r="DS350" s="6"/>
      <c r="DT350" s="6"/>
      <c r="DU350" s="6"/>
      <c r="DV350" s="6"/>
      <c r="DW350" s="6"/>
      <c r="DX350" s="6"/>
      <c r="DY350" s="6">
        <v>42846</v>
      </c>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c r="FZ350" s="6"/>
      <c r="GA350" s="6"/>
      <c r="GB350" s="6"/>
      <c r="GC350" s="6"/>
      <c r="GD350" s="6"/>
      <c r="GE350" s="6"/>
      <c r="GF350" s="6"/>
      <c r="GG350" s="6"/>
      <c r="GH350" s="6"/>
      <c r="GI350" s="6"/>
      <c r="GJ350" s="6"/>
      <c r="GK350" s="6"/>
      <c r="GL350" s="6"/>
      <c r="GM350" s="6"/>
      <c r="GN350" s="6"/>
      <c r="GO350" s="6"/>
      <c r="GP350" s="6"/>
      <c r="GQ350" s="6"/>
      <c r="GR350" s="6"/>
      <c r="GS350" s="6"/>
      <c r="GT350" s="6"/>
      <c r="GU350" s="6"/>
      <c r="GV350" s="6"/>
      <c r="GW350" s="6"/>
      <c r="GX350" s="6"/>
      <c r="GY350" s="6"/>
      <c r="GZ350" s="6"/>
      <c r="HA350" s="6"/>
      <c r="HB350" s="6"/>
      <c r="HC350" s="6"/>
      <c r="HD350" s="6"/>
      <c r="HE350" s="6"/>
      <c r="HF350" s="6"/>
      <c r="HG350" s="6"/>
      <c r="HH350" s="6"/>
    </row>
    <row r="351" spans="1:216" x14ac:dyDescent="0.3">
      <c r="A351" s="8" t="str">
        <f>HYPERLINK("https://hpr-rps.hres.ca/reg-content/summary-basis-decision-detailTwo.php?lang=en&amp;linkID=SBD00361", "Spinraza")</f>
        <v>Spinraza</v>
      </c>
      <c r="B351" s="6" t="s">
        <v>934</v>
      </c>
      <c r="C351" s="6" t="s">
        <v>935</v>
      </c>
      <c r="D351" s="6" t="s">
        <v>936</v>
      </c>
      <c r="E351" s="6">
        <v>42577</v>
      </c>
      <c r="F351" s="6"/>
      <c r="G351" s="6"/>
      <c r="H351" s="6">
        <v>42684</v>
      </c>
      <c r="I351" s="6"/>
      <c r="J351" s="6"/>
      <c r="K351" s="6"/>
      <c r="L351" s="6"/>
      <c r="M351" s="6"/>
      <c r="N351" s="6"/>
      <c r="O351" s="6"/>
      <c r="P351" s="6"/>
      <c r="Q351" s="6"/>
      <c r="R351" s="6"/>
      <c r="S351" s="6"/>
      <c r="T351" s="6"/>
      <c r="U351" s="6"/>
      <c r="V351" s="6"/>
      <c r="W351" s="6"/>
      <c r="X351" s="6"/>
      <c r="Y351" s="6"/>
      <c r="Z351" s="6"/>
      <c r="AA351" s="6"/>
      <c r="AB351" s="6"/>
      <c r="AC351" s="6"/>
      <c r="AD351" s="6"/>
      <c r="AE351" s="6"/>
      <c r="AF351" s="6">
        <v>42716</v>
      </c>
      <c r="AG351" s="6"/>
      <c r="AH351" s="6"/>
      <c r="AI351" s="6"/>
      <c r="AJ351" s="6"/>
      <c r="AK351" s="6"/>
      <c r="AL351" s="6"/>
      <c r="AM351" s="6"/>
      <c r="AN351" s="6"/>
      <c r="AO351" s="6"/>
      <c r="AP351" s="6"/>
      <c r="AQ351" s="6">
        <v>42900</v>
      </c>
      <c r="AR351" s="6">
        <v>42913</v>
      </c>
      <c r="AS351" s="6"/>
      <c r="AT351" s="6"/>
      <c r="AU351" s="6"/>
      <c r="AV351" s="6">
        <v>42913</v>
      </c>
      <c r="AW351" s="6"/>
      <c r="AX351" s="6"/>
      <c r="AY351" s="6"/>
      <c r="AZ351" s="6">
        <v>42914</v>
      </c>
      <c r="BA351" s="6"/>
      <c r="BB351" s="6"/>
      <c r="BC351" s="6"/>
      <c r="BD351" s="6"/>
      <c r="BE351" s="6"/>
      <c r="BF351" s="6"/>
      <c r="BG351" s="6"/>
      <c r="BH351" s="6"/>
      <c r="BI351" s="6"/>
      <c r="BJ351" s="6"/>
      <c r="BK351" s="6"/>
      <c r="BL351" s="6"/>
      <c r="BM351" s="6">
        <v>42915</v>
      </c>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c r="FZ351" s="6"/>
      <c r="GA351" s="6"/>
      <c r="GB351" s="6"/>
      <c r="GC351" s="6"/>
      <c r="GD351" s="6"/>
      <c r="GE351" s="6"/>
      <c r="GF351" s="6"/>
      <c r="GG351" s="6"/>
      <c r="GH351" s="6"/>
      <c r="GI351" s="6"/>
      <c r="GJ351" s="6"/>
      <c r="GK351" s="6"/>
      <c r="GL351" s="6"/>
      <c r="GM351" s="6"/>
      <c r="GN351" s="6"/>
      <c r="GO351" s="6"/>
      <c r="GP351" s="6"/>
      <c r="GQ351" s="6"/>
      <c r="GR351" s="6"/>
      <c r="GS351" s="6"/>
      <c r="GT351" s="6"/>
      <c r="GU351" s="6"/>
      <c r="GV351" s="6"/>
      <c r="GW351" s="6"/>
      <c r="GX351" s="6"/>
      <c r="GY351" s="6"/>
      <c r="GZ351" s="6"/>
      <c r="HA351" s="6"/>
      <c r="HB351" s="6"/>
      <c r="HC351" s="6"/>
      <c r="HD351" s="6"/>
      <c r="HE351" s="6"/>
      <c r="HF351" s="6"/>
      <c r="HG351" s="6"/>
      <c r="HH351" s="6"/>
    </row>
    <row r="352" spans="1:216" x14ac:dyDescent="0.3">
      <c r="A352" s="8" t="str">
        <f>HYPERLINK("https://hpr-rps.hres.ca/reg-content/summary-basis-decision-detailTwo.php?lang=en&amp;linkID=SBD00362", "Procysbi")</f>
        <v>Procysbi</v>
      </c>
      <c r="B352" s="6" t="s">
        <v>937</v>
      </c>
      <c r="C352" s="6" t="s">
        <v>796</v>
      </c>
      <c r="D352" s="6" t="s">
        <v>938</v>
      </c>
      <c r="E352" s="6">
        <v>41318</v>
      </c>
      <c r="F352" s="6"/>
      <c r="G352" s="6"/>
      <c r="H352" s="6"/>
      <c r="I352" s="6"/>
      <c r="J352" s="6"/>
      <c r="K352" s="6"/>
      <c r="L352" s="6"/>
      <c r="M352" s="6"/>
      <c r="N352" s="6">
        <v>42326</v>
      </c>
      <c r="O352" s="6"/>
      <c r="P352" s="6"/>
      <c r="Q352" s="6"/>
      <c r="R352" s="6"/>
      <c r="S352" s="6">
        <v>42362</v>
      </c>
      <c r="T352" s="6"/>
      <c r="U352" s="6"/>
      <c r="V352" s="6">
        <v>42390</v>
      </c>
      <c r="W352" s="6"/>
      <c r="X352" s="6"/>
      <c r="Y352" s="6"/>
      <c r="Z352" s="6">
        <v>42419</v>
      </c>
      <c r="AA352" s="6"/>
      <c r="AB352" s="6"/>
      <c r="AC352" s="6">
        <v>42424</v>
      </c>
      <c r="AD352" s="6"/>
      <c r="AE352" s="6"/>
      <c r="AF352" s="6">
        <v>42445</v>
      </c>
      <c r="AG352" s="6"/>
      <c r="AH352" s="6"/>
      <c r="AI352" s="6"/>
      <c r="AJ352" s="6"/>
      <c r="AK352" s="6"/>
      <c r="AL352" s="6"/>
      <c r="AM352" s="6"/>
      <c r="AN352" s="6"/>
      <c r="AO352" s="6"/>
      <c r="AP352" s="6"/>
      <c r="AQ352" s="6"/>
      <c r="AR352" s="6"/>
      <c r="AS352" s="6">
        <v>42549</v>
      </c>
      <c r="AT352" s="6"/>
      <c r="AU352" s="6"/>
      <c r="AV352" s="6"/>
      <c r="AW352" s="6"/>
      <c r="AX352" s="6"/>
      <c r="AY352" s="6"/>
      <c r="AZ352" s="6"/>
      <c r="BA352" s="6"/>
      <c r="BB352" s="6"/>
      <c r="BC352" s="6"/>
      <c r="BD352" s="6"/>
      <c r="BE352" s="6"/>
      <c r="BF352" s="6"/>
      <c r="BG352" s="6"/>
      <c r="BH352" s="6"/>
      <c r="BI352" s="6"/>
      <c r="BJ352" s="6"/>
      <c r="BK352" s="6"/>
      <c r="BL352" s="6"/>
      <c r="BM352" s="6"/>
      <c r="BN352" s="6"/>
      <c r="BO352" s="6"/>
      <c r="BP352" s="6">
        <v>42562</v>
      </c>
      <c r="BQ352" s="6"/>
      <c r="BR352" s="6"/>
      <c r="BS352" s="6"/>
      <c r="BT352" s="6"/>
      <c r="BU352" s="6"/>
      <c r="BV352" s="6"/>
      <c r="BW352" s="6"/>
      <c r="BX352" s="6"/>
      <c r="BY352" s="6">
        <v>42677</v>
      </c>
      <c r="BZ352" s="6"/>
      <c r="CA352" s="6"/>
      <c r="CB352" s="6"/>
      <c r="CC352" s="6"/>
      <c r="CD352" s="6"/>
      <c r="CE352" s="6"/>
      <c r="CF352" s="6"/>
      <c r="CG352" s="6"/>
      <c r="CH352" s="6"/>
      <c r="CI352" s="6"/>
      <c r="CJ352" s="6"/>
      <c r="CK352" s="6"/>
      <c r="CL352" s="6"/>
      <c r="CM352" s="6"/>
      <c r="CN352" s="6"/>
      <c r="CO352" s="6"/>
      <c r="CP352" s="6"/>
      <c r="CQ352" s="6"/>
      <c r="CR352" s="6">
        <v>42720</v>
      </c>
      <c r="CS352" s="6"/>
      <c r="CT352" s="6"/>
      <c r="CU352" s="6"/>
      <c r="CV352" s="6"/>
      <c r="CW352" s="6"/>
      <c r="CX352" s="6"/>
      <c r="CY352" s="6"/>
      <c r="CZ352" s="6"/>
      <c r="DA352" s="6"/>
      <c r="DB352" s="6"/>
      <c r="DC352" s="6">
        <v>42873</v>
      </c>
      <c r="DD352" s="6">
        <v>42895</v>
      </c>
      <c r="DE352" s="6"/>
      <c r="DF352" s="6"/>
      <c r="DG352" s="6"/>
      <c r="DH352" s="6">
        <v>42891</v>
      </c>
      <c r="DI352" s="6"/>
      <c r="DJ352" s="6"/>
      <c r="DK352" s="6"/>
      <c r="DL352" s="6">
        <v>42899</v>
      </c>
      <c r="DM352" s="6"/>
      <c r="DN352" s="6"/>
      <c r="DO352" s="6"/>
      <c r="DP352" s="6"/>
      <c r="DQ352" s="6"/>
      <c r="DR352" s="6"/>
      <c r="DS352" s="6"/>
      <c r="DT352" s="6"/>
      <c r="DU352" s="6"/>
      <c r="DV352" s="6"/>
      <c r="DW352" s="6"/>
      <c r="DX352" s="6"/>
      <c r="DY352" s="6">
        <v>42899</v>
      </c>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c r="FZ352" s="6"/>
      <c r="GA352" s="6"/>
      <c r="GB352" s="6"/>
      <c r="GC352" s="6"/>
      <c r="GD352" s="6"/>
      <c r="GE352" s="6"/>
      <c r="GF352" s="6"/>
      <c r="GG352" s="6"/>
      <c r="GH352" s="6"/>
      <c r="GI352" s="6"/>
      <c r="GJ352" s="6"/>
      <c r="GK352" s="6"/>
      <c r="GL352" s="6"/>
      <c r="GM352" s="6"/>
      <c r="GN352" s="6"/>
      <c r="GO352" s="6"/>
      <c r="GP352" s="6"/>
      <c r="GQ352" s="6"/>
      <c r="GR352" s="6"/>
      <c r="GS352" s="6"/>
      <c r="GT352" s="6"/>
      <c r="GU352" s="6"/>
      <c r="GV352" s="6"/>
      <c r="GW352" s="6"/>
      <c r="GX352" s="6"/>
      <c r="GY352" s="6"/>
      <c r="GZ352" s="6"/>
      <c r="HA352" s="6"/>
      <c r="HB352" s="6"/>
      <c r="HC352" s="6"/>
      <c r="HD352" s="6"/>
      <c r="HE352" s="6"/>
      <c r="HF352" s="6"/>
      <c r="HG352" s="6"/>
      <c r="HH352" s="6"/>
    </row>
    <row r="353" spans="1:216" x14ac:dyDescent="0.3">
      <c r="A353" s="8" t="str">
        <f>HYPERLINK("https://hpr-rps.hres.ca/reg-content/summary-basis-decision-detailTwo.php?lang=en&amp;linkID=SBD00363", "Adlyxine")</f>
        <v>Adlyxine</v>
      </c>
      <c r="B353" s="6" t="s">
        <v>939</v>
      </c>
      <c r="C353" s="6" t="s">
        <v>940</v>
      </c>
      <c r="D353" s="6" t="s">
        <v>941</v>
      </c>
      <c r="E353" s="6"/>
      <c r="F353" s="6"/>
      <c r="G353" s="6"/>
      <c r="H353" s="6">
        <v>42486</v>
      </c>
      <c r="I353" s="6"/>
      <c r="J353" s="6"/>
      <c r="K353" s="6"/>
      <c r="L353" s="6"/>
      <c r="M353" s="6"/>
      <c r="N353" s="6"/>
      <c r="O353" s="6"/>
      <c r="P353" s="6"/>
      <c r="Q353" s="6"/>
      <c r="R353" s="6"/>
      <c r="S353" s="6"/>
      <c r="T353" s="6"/>
      <c r="U353" s="6"/>
      <c r="V353" s="6"/>
      <c r="W353" s="6"/>
      <c r="X353" s="6"/>
      <c r="Y353" s="6"/>
      <c r="Z353" s="6"/>
      <c r="AA353" s="6"/>
      <c r="AB353" s="6"/>
      <c r="AC353" s="6"/>
      <c r="AD353" s="6"/>
      <c r="AE353" s="6"/>
      <c r="AF353" s="6">
        <v>42538</v>
      </c>
      <c r="AG353" s="6"/>
      <c r="AH353" s="6"/>
      <c r="AI353" s="6"/>
      <c r="AJ353" s="6"/>
      <c r="AK353" s="6"/>
      <c r="AL353" s="6"/>
      <c r="AM353" s="6"/>
      <c r="AN353" s="6"/>
      <c r="AO353" s="6"/>
      <c r="AP353" s="6"/>
      <c r="AQ353" s="6">
        <v>42803</v>
      </c>
      <c r="AR353" s="6">
        <v>42872</v>
      </c>
      <c r="AS353" s="6"/>
      <c r="AT353" s="6"/>
      <c r="AU353" s="6"/>
      <c r="AV353" s="6">
        <v>42828</v>
      </c>
      <c r="AW353" s="6"/>
      <c r="AX353" s="6"/>
      <c r="AY353" s="6"/>
      <c r="AZ353" s="6">
        <v>42874</v>
      </c>
      <c r="BA353" s="6"/>
      <c r="BB353" s="6"/>
      <c r="BC353" s="6"/>
      <c r="BD353" s="6"/>
      <c r="BE353" s="6"/>
      <c r="BF353" s="6"/>
      <c r="BG353" s="6"/>
      <c r="BH353" s="6"/>
      <c r="BI353" s="6"/>
      <c r="BJ353" s="6"/>
      <c r="BK353" s="6"/>
      <c r="BL353" s="6"/>
      <c r="BM353" s="6">
        <v>42880</v>
      </c>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c r="FZ353" s="6"/>
      <c r="GA353" s="6"/>
      <c r="GB353" s="6"/>
      <c r="GC353" s="6"/>
      <c r="GD353" s="6"/>
      <c r="GE353" s="6"/>
      <c r="GF353" s="6"/>
      <c r="GG353" s="6"/>
      <c r="GH353" s="6"/>
      <c r="GI353" s="6"/>
      <c r="GJ353" s="6"/>
      <c r="GK353" s="6"/>
      <c r="GL353" s="6"/>
      <c r="GM353" s="6"/>
      <c r="GN353" s="6"/>
      <c r="GO353" s="6"/>
      <c r="GP353" s="6"/>
      <c r="GQ353" s="6"/>
      <c r="GR353" s="6"/>
      <c r="GS353" s="6"/>
      <c r="GT353" s="6"/>
      <c r="GU353" s="6"/>
      <c r="GV353" s="6"/>
      <c r="GW353" s="6"/>
      <c r="GX353" s="6"/>
      <c r="GY353" s="6"/>
      <c r="GZ353" s="6"/>
      <c r="HA353" s="6"/>
      <c r="HB353" s="6"/>
      <c r="HC353" s="6"/>
      <c r="HD353" s="6"/>
      <c r="HE353" s="6"/>
      <c r="HF353" s="6"/>
      <c r="HG353" s="6"/>
      <c r="HH353" s="6"/>
    </row>
    <row r="354" spans="1:216" x14ac:dyDescent="0.3">
      <c r="A354" s="8" t="str">
        <f>HYPERLINK("https://hpr-rps.hres.ca/reg-content/summary-basis-decision-detailTwo.php?lang=en&amp;linkID=SBD00364", "Defitelio")</f>
        <v>Defitelio</v>
      </c>
      <c r="B354" s="6" t="s">
        <v>942</v>
      </c>
      <c r="C354" s="6" t="s">
        <v>943</v>
      </c>
      <c r="D354" s="6" t="s">
        <v>944</v>
      </c>
      <c r="E354" s="6">
        <v>42192</v>
      </c>
      <c r="F354" s="6"/>
      <c r="G354" s="6"/>
      <c r="H354" s="6">
        <v>42277</v>
      </c>
      <c r="I354" s="6"/>
      <c r="J354" s="6"/>
      <c r="K354" s="6"/>
      <c r="L354" s="6"/>
      <c r="M354" s="6"/>
      <c r="N354" s="6"/>
      <c r="O354" s="6"/>
      <c r="P354" s="6"/>
      <c r="Q354" s="6"/>
      <c r="R354" s="6"/>
      <c r="S354" s="6"/>
      <c r="T354" s="6"/>
      <c r="U354" s="6"/>
      <c r="V354" s="6"/>
      <c r="W354" s="6"/>
      <c r="X354" s="6"/>
      <c r="Y354" s="6"/>
      <c r="Z354" s="6"/>
      <c r="AA354" s="6"/>
      <c r="AB354" s="6"/>
      <c r="AC354" s="6"/>
      <c r="AD354" s="6"/>
      <c r="AE354" s="6"/>
      <c r="AF354" s="6">
        <v>42349</v>
      </c>
      <c r="AG354" s="6"/>
      <c r="AH354" s="6"/>
      <c r="AI354" s="6"/>
      <c r="AJ354" s="6"/>
      <c r="AK354" s="6"/>
      <c r="AL354" s="6"/>
      <c r="AM354" s="6"/>
      <c r="AN354" s="6"/>
      <c r="AO354" s="6"/>
      <c r="AP354" s="6"/>
      <c r="AQ354" s="6">
        <v>42485</v>
      </c>
      <c r="AR354" s="6">
        <v>42542</v>
      </c>
      <c r="AS354" s="6"/>
      <c r="AT354" s="6"/>
      <c r="AU354" s="6"/>
      <c r="AV354" s="6"/>
      <c r="AW354" s="6"/>
      <c r="AX354" s="6">
        <v>42619</v>
      </c>
      <c r="AY354" s="6"/>
      <c r="AZ354" s="6">
        <v>42619</v>
      </c>
      <c r="BA354" s="6"/>
      <c r="BB354" s="6"/>
      <c r="BC354" s="6"/>
      <c r="BD354" s="6"/>
      <c r="BE354" s="6"/>
      <c r="BF354" s="6"/>
      <c r="BG354" s="6"/>
      <c r="BH354" s="6"/>
      <c r="BI354" s="6"/>
      <c r="BJ354" s="6"/>
      <c r="BK354" s="6"/>
      <c r="BL354" s="6"/>
      <c r="BM354" s="6"/>
      <c r="BN354" s="6"/>
      <c r="BO354" s="6"/>
      <c r="BP354" s="6">
        <v>42649</v>
      </c>
      <c r="BQ354" s="6"/>
      <c r="BR354" s="6"/>
      <c r="BS354" s="6"/>
      <c r="BT354" s="6"/>
      <c r="BU354" s="6">
        <v>42752</v>
      </c>
      <c r="BV354" s="6"/>
      <c r="BW354" s="6"/>
      <c r="BX354" s="6"/>
      <c r="BY354" s="6"/>
      <c r="BZ354" s="6"/>
      <c r="CA354" s="6"/>
      <c r="CB354" s="6"/>
      <c r="CC354" s="6"/>
      <c r="CD354" s="6"/>
      <c r="CE354" s="6"/>
      <c r="CF354" s="6"/>
      <c r="CG354" s="6"/>
      <c r="CH354" s="6"/>
      <c r="CI354" s="6"/>
      <c r="CJ354" s="6"/>
      <c r="CK354" s="6"/>
      <c r="CL354" s="6"/>
      <c r="CM354" s="6"/>
      <c r="CN354" s="6"/>
      <c r="CO354" s="6"/>
      <c r="CP354" s="6"/>
      <c r="CQ354" s="6"/>
      <c r="CR354" s="6">
        <v>42772</v>
      </c>
      <c r="CS354" s="6"/>
      <c r="CT354" s="6"/>
      <c r="CU354" s="6"/>
      <c r="CV354" s="6"/>
      <c r="CW354" s="6"/>
      <c r="CX354" s="6"/>
      <c r="CY354" s="6"/>
      <c r="CZ354" s="6"/>
      <c r="DA354" s="6"/>
      <c r="DB354" s="6"/>
      <c r="DC354" s="6"/>
      <c r="DD354" s="6">
        <v>43069</v>
      </c>
      <c r="DE354" s="6"/>
      <c r="DF354" s="6"/>
      <c r="DG354" s="6"/>
      <c r="DH354" s="6">
        <v>43069</v>
      </c>
      <c r="DI354" s="6"/>
      <c r="DJ354" s="6">
        <v>43049</v>
      </c>
      <c r="DK354" s="6"/>
      <c r="DL354" s="6">
        <v>43049</v>
      </c>
      <c r="DM354" s="6"/>
      <c r="DN354" s="6"/>
      <c r="DO354" s="6"/>
      <c r="DP354" s="6"/>
      <c r="DQ354" s="6"/>
      <c r="DR354" s="6"/>
      <c r="DS354" s="6"/>
      <c r="DT354" s="6"/>
      <c r="DU354" s="6"/>
      <c r="DV354" s="6"/>
      <c r="DW354" s="6"/>
      <c r="DX354" s="6"/>
      <c r="DY354" s="6">
        <v>43070</v>
      </c>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c r="FZ354" s="6"/>
      <c r="GA354" s="6"/>
      <c r="GB354" s="6"/>
      <c r="GC354" s="6"/>
      <c r="GD354" s="6"/>
      <c r="GE354" s="6"/>
      <c r="GF354" s="6"/>
      <c r="GG354" s="6"/>
      <c r="GH354" s="6"/>
      <c r="GI354" s="6"/>
      <c r="GJ354" s="6"/>
      <c r="GK354" s="6"/>
      <c r="GL354" s="6"/>
      <c r="GM354" s="6"/>
      <c r="GN354" s="6"/>
      <c r="GO354" s="6"/>
      <c r="GP354" s="6"/>
      <c r="GQ354" s="6"/>
      <c r="GR354" s="6"/>
      <c r="GS354" s="6"/>
      <c r="GT354" s="6"/>
      <c r="GU354" s="6"/>
      <c r="GV354" s="6"/>
      <c r="GW354" s="6"/>
      <c r="GX354" s="6"/>
      <c r="GY354" s="6"/>
      <c r="GZ354" s="6"/>
      <c r="HA354" s="6"/>
      <c r="HB354" s="6"/>
      <c r="HC354" s="6"/>
      <c r="HD354" s="6"/>
      <c r="HE354" s="6"/>
      <c r="HF354" s="6"/>
      <c r="HG354" s="6"/>
      <c r="HH354" s="6"/>
    </row>
    <row r="355" spans="1:216" x14ac:dyDescent="0.3">
      <c r="A355" s="8" t="str">
        <f>HYPERLINK("https://hpr-rps.hres.ca/reg-content/summary-basis-decision-detailTwo.php?lang=en&amp;linkID=SBD00365", "Rydapt")</f>
        <v>Rydapt</v>
      </c>
      <c r="B355" s="6" t="s">
        <v>945</v>
      </c>
      <c r="C355" s="6" t="s">
        <v>87</v>
      </c>
      <c r="D355" s="6" t="s">
        <v>946</v>
      </c>
      <c r="E355" s="6">
        <v>42437</v>
      </c>
      <c r="F355" s="6"/>
      <c r="G355" s="6"/>
      <c r="H355" s="6">
        <v>42521</v>
      </c>
      <c r="I355" s="6"/>
      <c r="J355" s="6"/>
      <c r="K355" s="6"/>
      <c r="L355" s="6"/>
      <c r="M355" s="6"/>
      <c r="N355" s="6"/>
      <c r="O355" s="6"/>
      <c r="P355" s="6"/>
      <c r="Q355" s="6"/>
      <c r="R355" s="6"/>
      <c r="S355" s="6"/>
      <c r="T355" s="6"/>
      <c r="U355" s="6"/>
      <c r="V355" s="6"/>
      <c r="W355" s="6"/>
      <c r="X355" s="6"/>
      <c r="Y355" s="6"/>
      <c r="Z355" s="6"/>
      <c r="AA355" s="6"/>
      <c r="AB355" s="6"/>
      <c r="AC355" s="6"/>
      <c r="AD355" s="6"/>
      <c r="AE355" s="6"/>
      <c r="AF355" s="6">
        <v>42573</v>
      </c>
      <c r="AG355" s="6"/>
      <c r="AH355" s="6"/>
      <c r="AI355" s="6"/>
      <c r="AJ355" s="6"/>
      <c r="AK355" s="6"/>
      <c r="AL355" s="6"/>
      <c r="AM355" s="6"/>
      <c r="AN355" s="6"/>
      <c r="AO355" s="6"/>
      <c r="AP355" s="6"/>
      <c r="AQ355" s="6"/>
      <c r="AR355" s="6"/>
      <c r="AS355" s="6"/>
      <c r="AT355" s="6"/>
      <c r="AU355" s="6"/>
      <c r="AV355" s="6">
        <v>42671</v>
      </c>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v>42704</v>
      </c>
      <c r="BZ355" s="6"/>
      <c r="CA355" s="6"/>
      <c r="CB355" s="6"/>
      <c r="CC355" s="6"/>
      <c r="CD355" s="6"/>
      <c r="CE355" s="6"/>
      <c r="CF355" s="6"/>
      <c r="CG355" s="6"/>
      <c r="CH355" s="6"/>
      <c r="CI355" s="6"/>
      <c r="CJ355" s="6"/>
      <c r="CK355" s="6"/>
      <c r="CL355" s="6"/>
      <c r="CM355" s="6"/>
      <c r="CN355" s="6"/>
      <c r="CO355" s="6"/>
      <c r="CP355" s="6"/>
      <c r="CQ355" s="6"/>
      <c r="CR355" s="6">
        <v>42717</v>
      </c>
      <c r="CS355" s="6"/>
      <c r="CT355" s="6"/>
      <c r="CU355" s="6"/>
      <c r="CV355" s="6"/>
      <c r="CW355" s="6"/>
      <c r="CX355" s="6"/>
      <c r="CY355" s="6"/>
      <c r="CZ355" s="6"/>
      <c r="DA355" s="6">
        <v>42786</v>
      </c>
      <c r="DB355" s="6"/>
      <c r="DC355" s="6"/>
      <c r="DD355" s="6">
        <v>43004</v>
      </c>
      <c r="DE355" s="6"/>
      <c r="DF355" s="6"/>
      <c r="DG355" s="6"/>
      <c r="DH355" s="6">
        <v>42986</v>
      </c>
      <c r="DI355" s="6"/>
      <c r="DJ355" s="6">
        <v>43006</v>
      </c>
      <c r="DK355" s="6"/>
      <c r="DL355" s="6">
        <v>43010</v>
      </c>
      <c r="DM355" s="6"/>
      <c r="DN355" s="6"/>
      <c r="DO355" s="6"/>
      <c r="DP355" s="6"/>
      <c r="DQ355" s="6"/>
      <c r="DR355" s="6"/>
      <c r="DS355" s="6"/>
      <c r="DT355" s="6"/>
      <c r="DU355" s="6"/>
      <c r="DV355" s="6"/>
      <c r="DW355" s="6"/>
      <c r="DX355" s="6"/>
      <c r="DY355" s="6">
        <v>43013</v>
      </c>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c r="FZ355" s="6"/>
      <c r="GA355" s="6"/>
      <c r="GB355" s="6"/>
      <c r="GC355" s="6"/>
      <c r="GD355" s="6"/>
      <c r="GE355" s="6"/>
      <c r="GF355" s="6"/>
      <c r="GG355" s="6"/>
      <c r="GH355" s="6"/>
      <c r="GI355" s="6"/>
      <c r="GJ355" s="6"/>
      <c r="GK355" s="6"/>
      <c r="GL355" s="6"/>
      <c r="GM355" s="6"/>
      <c r="GN355" s="6"/>
      <c r="GO355" s="6"/>
      <c r="GP355" s="6"/>
      <c r="GQ355" s="6"/>
      <c r="GR355" s="6"/>
      <c r="GS355" s="6"/>
      <c r="GT355" s="6"/>
      <c r="GU355" s="6"/>
      <c r="GV355" s="6"/>
      <c r="GW355" s="6"/>
      <c r="GX355" s="6"/>
      <c r="GY355" s="6"/>
      <c r="GZ355" s="6"/>
      <c r="HA355" s="6"/>
      <c r="HB355" s="6"/>
      <c r="HC355" s="6"/>
      <c r="HD355" s="6"/>
      <c r="HE355" s="6"/>
      <c r="HF355" s="6"/>
      <c r="HG355" s="6"/>
      <c r="HH355" s="6"/>
    </row>
    <row r="356" spans="1:216" x14ac:dyDescent="0.3">
      <c r="A356" s="8" t="str">
        <f>HYPERLINK("https://hpr-rps.hres.ca/reg-content/summary-basis-decision-detailTwo.php?lang=en&amp;linkID=SBD00366", "Ocrevus")</f>
        <v>Ocrevus</v>
      </c>
      <c r="B356" s="6" t="s">
        <v>947</v>
      </c>
      <c r="C356" s="6" t="s">
        <v>322</v>
      </c>
      <c r="D356" s="6" t="s">
        <v>948</v>
      </c>
      <c r="E356" s="6">
        <v>42437</v>
      </c>
      <c r="F356" s="6"/>
      <c r="G356" s="6"/>
      <c r="H356" s="6">
        <v>42521</v>
      </c>
      <c r="I356" s="6"/>
      <c r="J356" s="6"/>
      <c r="K356" s="6"/>
      <c r="L356" s="6"/>
      <c r="M356" s="6"/>
      <c r="N356" s="6"/>
      <c r="O356" s="6"/>
      <c r="P356" s="6"/>
      <c r="Q356" s="6"/>
      <c r="R356" s="6"/>
      <c r="S356" s="6"/>
      <c r="T356" s="6"/>
      <c r="U356" s="6"/>
      <c r="V356" s="6"/>
      <c r="W356" s="6"/>
      <c r="X356" s="6"/>
      <c r="Y356" s="6"/>
      <c r="Z356" s="6"/>
      <c r="AA356" s="6"/>
      <c r="AB356" s="6"/>
      <c r="AC356" s="6"/>
      <c r="AD356" s="6"/>
      <c r="AE356" s="6"/>
      <c r="AF356" s="6">
        <v>42573</v>
      </c>
      <c r="AG356" s="6"/>
      <c r="AH356" s="6"/>
      <c r="AI356" s="6"/>
      <c r="AJ356" s="6"/>
      <c r="AK356" s="6"/>
      <c r="AL356" s="6"/>
      <c r="AM356" s="6"/>
      <c r="AN356" s="6"/>
      <c r="AO356" s="6"/>
      <c r="AP356" s="6"/>
      <c r="AQ356" s="6"/>
      <c r="AR356" s="6"/>
      <c r="AS356" s="6"/>
      <c r="AT356" s="6"/>
      <c r="AU356" s="6"/>
      <c r="AV356" s="6">
        <v>42671</v>
      </c>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v>42704</v>
      </c>
      <c r="BZ356" s="6"/>
      <c r="CA356" s="6"/>
      <c r="CB356" s="6"/>
      <c r="CC356" s="6"/>
      <c r="CD356" s="6"/>
      <c r="CE356" s="6"/>
      <c r="CF356" s="6"/>
      <c r="CG356" s="6"/>
      <c r="CH356" s="6"/>
      <c r="CI356" s="6"/>
      <c r="CJ356" s="6"/>
      <c r="CK356" s="6"/>
      <c r="CL356" s="6"/>
      <c r="CM356" s="6"/>
      <c r="CN356" s="6"/>
      <c r="CO356" s="6"/>
      <c r="CP356" s="6"/>
      <c r="CQ356" s="6"/>
      <c r="CR356" s="6">
        <v>42717</v>
      </c>
      <c r="CS356" s="6"/>
      <c r="CT356" s="6"/>
      <c r="CU356" s="6"/>
      <c r="CV356" s="6"/>
      <c r="CW356" s="6"/>
      <c r="CX356" s="6"/>
      <c r="CY356" s="6"/>
      <c r="CZ356" s="6"/>
      <c r="DA356" s="6">
        <v>42786</v>
      </c>
      <c r="DB356" s="6"/>
      <c r="DC356" s="6"/>
      <c r="DD356" s="6">
        <v>43004</v>
      </c>
      <c r="DE356" s="6"/>
      <c r="DF356" s="6"/>
      <c r="DG356" s="6"/>
      <c r="DH356" s="6">
        <v>42986</v>
      </c>
      <c r="DI356" s="6"/>
      <c r="DJ356" s="6">
        <v>43006</v>
      </c>
      <c r="DK356" s="6"/>
      <c r="DL356" s="6">
        <v>43010</v>
      </c>
      <c r="DM356" s="6"/>
      <c r="DN356" s="6"/>
      <c r="DO356" s="6"/>
      <c r="DP356" s="6"/>
      <c r="DQ356" s="6"/>
      <c r="DR356" s="6"/>
      <c r="DS356" s="6"/>
      <c r="DT356" s="6"/>
      <c r="DU356" s="6"/>
      <c r="DV356" s="6"/>
      <c r="DW356" s="6"/>
      <c r="DX356" s="6"/>
      <c r="DY356" s="6">
        <v>43013</v>
      </c>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c r="FZ356" s="6"/>
      <c r="GA356" s="6"/>
      <c r="GB356" s="6"/>
      <c r="GC356" s="6"/>
      <c r="GD356" s="6"/>
      <c r="GE356" s="6"/>
      <c r="GF356" s="6"/>
      <c r="GG356" s="6"/>
      <c r="GH356" s="6"/>
      <c r="GI356" s="6"/>
      <c r="GJ356" s="6"/>
      <c r="GK356" s="6"/>
      <c r="GL356" s="6"/>
      <c r="GM356" s="6"/>
      <c r="GN356" s="6"/>
      <c r="GO356" s="6"/>
      <c r="GP356" s="6"/>
      <c r="GQ356" s="6"/>
      <c r="GR356" s="6"/>
      <c r="GS356" s="6"/>
      <c r="GT356" s="6"/>
      <c r="GU356" s="6"/>
      <c r="GV356" s="6"/>
      <c r="GW356" s="6"/>
      <c r="GX356" s="6"/>
      <c r="GY356" s="6"/>
      <c r="GZ356" s="6"/>
      <c r="HA356" s="6"/>
      <c r="HB356" s="6"/>
      <c r="HC356" s="6"/>
      <c r="HD356" s="6"/>
      <c r="HE356" s="6"/>
      <c r="HF356" s="6"/>
      <c r="HG356" s="6"/>
      <c r="HH356" s="6"/>
    </row>
    <row r="357" spans="1:216" x14ac:dyDescent="0.3">
      <c r="A357" s="8" t="str">
        <f>HYPERLINK("https://hpr-rps.hres.ca/reg-content/summary-basis-decision-detailTwo.php?lang=en&amp;linkID=SBD00367", "Vosevi")</f>
        <v>Vosevi</v>
      </c>
      <c r="B357" s="6" t="s">
        <v>949</v>
      </c>
      <c r="C357" s="6" t="s">
        <v>134</v>
      </c>
      <c r="D357" s="6" t="s">
        <v>950</v>
      </c>
      <c r="E357" s="6">
        <v>42705</v>
      </c>
      <c r="F357" s="6"/>
      <c r="G357" s="6"/>
      <c r="H357" s="6"/>
      <c r="I357" s="6"/>
      <c r="J357" s="6"/>
      <c r="K357" s="6"/>
      <c r="L357" s="6"/>
      <c r="M357" s="6"/>
      <c r="N357" s="6">
        <v>42720</v>
      </c>
      <c r="O357" s="6"/>
      <c r="P357" s="6"/>
      <c r="Q357" s="6"/>
      <c r="R357" s="6"/>
      <c r="S357" s="6">
        <v>42753</v>
      </c>
      <c r="T357" s="6"/>
      <c r="U357" s="6"/>
      <c r="V357" s="6">
        <v>42762</v>
      </c>
      <c r="W357" s="6"/>
      <c r="X357" s="6"/>
      <c r="Y357" s="6"/>
      <c r="Z357" s="6"/>
      <c r="AA357" s="6"/>
      <c r="AB357" s="6"/>
      <c r="AC357" s="6"/>
      <c r="AD357" s="6"/>
      <c r="AE357" s="6"/>
      <c r="AF357" s="6">
        <v>42783</v>
      </c>
      <c r="AG357" s="6"/>
      <c r="AH357" s="6"/>
      <c r="AI357" s="6"/>
      <c r="AJ357" s="6"/>
      <c r="AK357" s="6"/>
      <c r="AL357" s="6"/>
      <c r="AM357" s="6"/>
      <c r="AN357" s="6"/>
      <c r="AO357" s="6"/>
      <c r="AP357" s="6"/>
      <c r="AQ357" s="6">
        <v>42943</v>
      </c>
      <c r="AR357" s="6">
        <v>42962</v>
      </c>
      <c r="AS357" s="6">
        <v>42923</v>
      </c>
      <c r="AT357" s="6"/>
      <c r="AU357" s="6"/>
      <c r="AV357" s="6">
        <v>42962</v>
      </c>
      <c r="AW357" s="6"/>
      <c r="AX357" s="6"/>
      <c r="AY357" s="6"/>
      <c r="AZ357" s="6">
        <v>42963</v>
      </c>
      <c r="BA357" s="6"/>
      <c r="BB357" s="6"/>
      <c r="BC357" s="6"/>
      <c r="BD357" s="6"/>
      <c r="BE357" s="6"/>
      <c r="BF357" s="6"/>
      <c r="BG357" s="6"/>
      <c r="BH357" s="6"/>
      <c r="BI357" s="6"/>
      <c r="BJ357" s="6"/>
      <c r="BK357" s="6"/>
      <c r="BL357" s="6"/>
      <c r="BM357" s="6">
        <v>42963</v>
      </c>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c r="FZ357" s="6"/>
      <c r="GA357" s="6"/>
      <c r="GB357" s="6"/>
      <c r="GC357" s="6"/>
      <c r="GD357" s="6"/>
      <c r="GE357" s="6"/>
      <c r="GF357" s="6"/>
      <c r="GG357" s="6"/>
      <c r="GH357" s="6"/>
      <c r="GI357" s="6"/>
      <c r="GJ357" s="6"/>
      <c r="GK357" s="6"/>
      <c r="GL357" s="6"/>
      <c r="GM357" s="6"/>
      <c r="GN357" s="6"/>
      <c r="GO357" s="6"/>
      <c r="GP357" s="6"/>
      <c r="GQ357" s="6"/>
      <c r="GR357" s="6"/>
      <c r="GS357" s="6"/>
      <c r="GT357" s="6"/>
      <c r="GU357" s="6"/>
      <c r="GV357" s="6"/>
      <c r="GW357" s="6"/>
      <c r="GX357" s="6"/>
      <c r="GY357" s="6"/>
      <c r="GZ357" s="6"/>
      <c r="HA357" s="6"/>
      <c r="HB357" s="6"/>
      <c r="HC357" s="6"/>
      <c r="HD357" s="6"/>
      <c r="HE357" s="6"/>
      <c r="HF357" s="6"/>
      <c r="HG357" s="6"/>
      <c r="HH357" s="6"/>
    </row>
    <row r="358" spans="1:216" x14ac:dyDescent="0.3">
      <c r="A358" s="8" t="str">
        <f>HYPERLINK("https://hpr-rps.hres.ca/reg-content/summary-basis-decision-detailTwo.php?lang=en&amp;linkID=SBD00368", "Trumenba")</f>
        <v>Trumenba</v>
      </c>
      <c r="B358" s="6" t="s">
        <v>951</v>
      </c>
      <c r="C358" s="6" t="s">
        <v>143</v>
      </c>
      <c r="D358" s="6" t="s">
        <v>952</v>
      </c>
      <c r="E358" s="6">
        <v>42437</v>
      </c>
      <c r="F358" s="6"/>
      <c r="G358" s="6"/>
      <c r="H358" s="6">
        <v>42521</v>
      </c>
      <c r="I358" s="6"/>
      <c r="J358" s="6"/>
      <c r="K358" s="6"/>
      <c r="L358" s="6"/>
      <c r="M358" s="6"/>
      <c r="N358" s="6"/>
      <c r="O358" s="6"/>
      <c r="P358" s="6"/>
      <c r="Q358" s="6"/>
      <c r="R358" s="6"/>
      <c r="S358" s="6"/>
      <c r="T358" s="6"/>
      <c r="U358" s="6"/>
      <c r="V358" s="6"/>
      <c r="W358" s="6"/>
      <c r="X358" s="6"/>
      <c r="Y358" s="6"/>
      <c r="Z358" s="6"/>
      <c r="AA358" s="6"/>
      <c r="AB358" s="6"/>
      <c r="AC358" s="6"/>
      <c r="AD358" s="6"/>
      <c r="AE358" s="6"/>
      <c r="AF358" s="6">
        <v>42573</v>
      </c>
      <c r="AG358" s="6"/>
      <c r="AH358" s="6"/>
      <c r="AI358" s="6"/>
      <c r="AJ358" s="6"/>
      <c r="AK358" s="6"/>
      <c r="AL358" s="6"/>
      <c r="AM358" s="6"/>
      <c r="AN358" s="6"/>
      <c r="AO358" s="6"/>
      <c r="AP358" s="6"/>
      <c r="AQ358" s="6"/>
      <c r="AR358" s="6"/>
      <c r="AS358" s="6"/>
      <c r="AT358" s="6"/>
      <c r="AU358" s="6"/>
      <c r="AV358" s="6">
        <v>42671</v>
      </c>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v>42704</v>
      </c>
      <c r="BZ358" s="6"/>
      <c r="CA358" s="6"/>
      <c r="CB358" s="6"/>
      <c r="CC358" s="6"/>
      <c r="CD358" s="6"/>
      <c r="CE358" s="6"/>
      <c r="CF358" s="6"/>
      <c r="CG358" s="6"/>
      <c r="CH358" s="6"/>
      <c r="CI358" s="6"/>
      <c r="CJ358" s="6"/>
      <c r="CK358" s="6"/>
      <c r="CL358" s="6"/>
      <c r="CM358" s="6"/>
      <c r="CN358" s="6"/>
      <c r="CO358" s="6"/>
      <c r="CP358" s="6"/>
      <c r="CQ358" s="6"/>
      <c r="CR358" s="6">
        <v>42717</v>
      </c>
      <c r="CS358" s="6"/>
      <c r="CT358" s="6"/>
      <c r="CU358" s="6"/>
      <c r="CV358" s="6"/>
      <c r="CW358" s="6"/>
      <c r="CX358" s="6"/>
      <c r="CY358" s="6"/>
      <c r="CZ358" s="6"/>
      <c r="DA358" s="6">
        <v>42786</v>
      </c>
      <c r="DB358" s="6"/>
      <c r="DC358" s="6"/>
      <c r="DD358" s="6">
        <v>43004</v>
      </c>
      <c r="DE358" s="6"/>
      <c r="DF358" s="6"/>
      <c r="DG358" s="6"/>
      <c r="DH358" s="6">
        <v>42986</v>
      </c>
      <c r="DI358" s="6"/>
      <c r="DJ358" s="6">
        <v>43006</v>
      </c>
      <c r="DK358" s="6"/>
      <c r="DL358" s="6">
        <v>43010</v>
      </c>
      <c r="DM358" s="6"/>
      <c r="DN358" s="6"/>
      <c r="DO358" s="6"/>
      <c r="DP358" s="6"/>
      <c r="DQ358" s="6"/>
      <c r="DR358" s="6"/>
      <c r="DS358" s="6"/>
      <c r="DT358" s="6"/>
      <c r="DU358" s="6"/>
      <c r="DV358" s="6"/>
      <c r="DW358" s="6"/>
      <c r="DX358" s="6"/>
      <c r="DY358" s="6">
        <v>43013</v>
      </c>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c r="FZ358" s="6"/>
      <c r="GA358" s="6"/>
      <c r="GB358" s="6"/>
      <c r="GC358" s="6"/>
      <c r="GD358" s="6"/>
      <c r="GE358" s="6"/>
      <c r="GF358" s="6"/>
      <c r="GG358" s="6"/>
      <c r="GH358" s="6"/>
      <c r="GI358" s="6"/>
      <c r="GJ358" s="6"/>
      <c r="GK358" s="6"/>
      <c r="GL358" s="6"/>
      <c r="GM358" s="6"/>
      <c r="GN358" s="6"/>
      <c r="GO358" s="6"/>
      <c r="GP358" s="6"/>
      <c r="GQ358" s="6"/>
      <c r="GR358" s="6"/>
      <c r="GS358" s="6"/>
      <c r="GT358" s="6"/>
      <c r="GU358" s="6"/>
      <c r="GV358" s="6"/>
      <c r="GW358" s="6"/>
      <c r="GX358" s="6"/>
      <c r="GY358" s="6"/>
      <c r="GZ358" s="6"/>
      <c r="HA358" s="6"/>
      <c r="HB358" s="6"/>
      <c r="HC358" s="6"/>
      <c r="HD358" s="6"/>
      <c r="HE358" s="6"/>
      <c r="HF358" s="6"/>
      <c r="HG358" s="6"/>
      <c r="HH358" s="6"/>
    </row>
    <row r="359" spans="1:216" x14ac:dyDescent="0.3">
      <c r="A359" s="8" t="str">
        <f>HYPERLINK("https://hpr-rps.hres.ca/reg-content/summary-basis-decision-detailTwo.php?lang=en&amp;linkID=SBD00369", "Tresiba")</f>
        <v>Tresiba</v>
      </c>
      <c r="B359" s="6" t="s">
        <v>953</v>
      </c>
      <c r="C359" s="6" t="s">
        <v>301</v>
      </c>
      <c r="D359" s="6" t="s">
        <v>954</v>
      </c>
      <c r="E359" s="6">
        <v>42436</v>
      </c>
      <c r="F359" s="6"/>
      <c r="G359" s="6"/>
      <c r="H359" s="6">
        <v>42566</v>
      </c>
      <c r="I359" s="6"/>
      <c r="J359" s="6"/>
      <c r="K359" s="6"/>
      <c r="L359" s="6"/>
      <c r="M359" s="6"/>
      <c r="N359" s="6"/>
      <c r="O359" s="6"/>
      <c r="P359" s="6"/>
      <c r="Q359" s="6"/>
      <c r="R359" s="6"/>
      <c r="S359" s="6"/>
      <c r="T359" s="6"/>
      <c r="U359" s="6"/>
      <c r="V359" s="6"/>
      <c r="W359" s="6"/>
      <c r="X359" s="6"/>
      <c r="Y359" s="6"/>
      <c r="Z359" s="6">
        <v>42619</v>
      </c>
      <c r="AA359" s="6"/>
      <c r="AB359" s="6"/>
      <c r="AC359" s="6">
        <v>42639</v>
      </c>
      <c r="AD359" s="6"/>
      <c r="AE359" s="6"/>
      <c r="AF359" s="6">
        <v>42682</v>
      </c>
      <c r="AG359" s="6"/>
      <c r="AH359" s="6"/>
      <c r="AI359" s="6"/>
      <c r="AJ359" s="6"/>
      <c r="AK359" s="6"/>
      <c r="AL359" s="6"/>
      <c r="AM359" s="6"/>
      <c r="AN359" s="6"/>
      <c r="AO359" s="6"/>
      <c r="AP359" s="6"/>
      <c r="AQ359" s="6">
        <v>42943</v>
      </c>
      <c r="AR359" s="6">
        <v>42978</v>
      </c>
      <c r="AS359" s="6">
        <v>42921</v>
      </c>
      <c r="AT359" s="6"/>
      <c r="AU359" s="6"/>
      <c r="AV359" s="6">
        <v>42970</v>
      </c>
      <c r="AW359" s="6"/>
      <c r="AX359" s="6"/>
      <c r="AY359" s="6"/>
      <c r="AZ359" s="6">
        <v>42977</v>
      </c>
      <c r="BA359" s="6"/>
      <c r="BB359" s="6"/>
      <c r="BC359" s="6"/>
      <c r="BD359" s="6"/>
      <c r="BE359" s="6"/>
      <c r="BF359" s="6"/>
      <c r="BG359" s="6"/>
      <c r="BH359" s="6"/>
      <c r="BI359" s="6"/>
      <c r="BJ359" s="6"/>
      <c r="BK359" s="6"/>
      <c r="BL359" s="6"/>
      <c r="BM359" s="6">
        <v>42983</v>
      </c>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c r="FZ359" s="6"/>
      <c r="GA359" s="6"/>
      <c r="GB359" s="6"/>
      <c r="GC359" s="6"/>
      <c r="GD359" s="6"/>
      <c r="GE359" s="6"/>
      <c r="GF359" s="6"/>
      <c r="GG359" s="6"/>
      <c r="GH359" s="6"/>
      <c r="GI359" s="6"/>
      <c r="GJ359" s="6"/>
      <c r="GK359" s="6"/>
      <c r="GL359" s="6"/>
      <c r="GM359" s="6"/>
      <c r="GN359" s="6"/>
      <c r="GO359" s="6"/>
      <c r="GP359" s="6"/>
      <c r="GQ359" s="6"/>
      <c r="GR359" s="6"/>
      <c r="GS359" s="6"/>
      <c r="GT359" s="6"/>
      <c r="GU359" s="6"/>
      <c r="GV359" s="6"/>
      <c r="GW359" s="6"/>
      <c r="GX359" s="6"/>
      <c r="GY359" s="6"/>
      <c r="GZ359" s="6"/>
      <c r="HA359" s="6"/>
      <c r="HB359" s="6"/>
      <c r="HC359" s="6"/>
      <c r="HD359" s="6"/>
      <c r="HE359" s="6"/>
      <c r="HF359" s="6"/>
      <c r="HG359" s="6"/>
      <c r="HH359" s="6"/>
    </row>
    <row r="360" spans="1:216" x14ac:dyDescent="0.3">
      <c r="A360" s="8" t="str">
        <f>HYPERLINK("https://hpr-rps.hres.ca/reg-content/summary-basis-decision-detailTwo.php?lang=en&amp;linkID=SBD00371", "Maviret")</f>
        <v>Maviret</v>
      </c>
      <c r="B360" s="6" t="s">
        <v>955</v>
      </c>
      <c r="C360" s="6" t="s">
        <v>692</v>
      </c>
      <c r="D360" s="6" t="s">
        <v>956</v>
      </c>
      <c r="E360" s="6">
        <v>42705</v>
      </c>
      <c r="F360" s="6"/>
      <c r="G360" s="6"/>
      <c r="H360" s="6"/>
      <c r="I360" s="6"/>
      <c r="J360" s="6"/>
      <c r="K360" s="6"/>
      <c r="L360" s="6"/>
      <c r="M360" s="6"/>
      <c r="N360" s="6">
        <v>42720</v>
      </c>
      <c r="O360" s="6"/>
      <c r="P360" s="6"/>
      <c r="Q360" s="6"/>
      <c r="R360" s="6"/>
      <c r="S360" s="6">
        <v>42753</v>
      </c>
      <c r="T360" s="6"/>
      <c r="U360" s="6"/>
      <c r="V360" s="6">
        <v>42762</v>
      </c>
      <c r="W360" s="6"/>
      <c r="X360" s="6"/>
      <c r="Y360" s="6"/>
      <c r="Z360" s="6"/>
      <c r="AA360" s="6"/>
      <c r="AB360" s="6"/>
      <c r="AC360" s="6"/>
      <c r="AD360" s="6"/>
      <c r="AE360" s="6"/>
      <c r="AF360" s="6">
        <v>42783</v>
      </c>
      <c r="AG360" s="6"/>
      <c r="AH360" s="6"/>
      <c r="AI360" s="6"/>
      <c r="AJ360" s="6"/>
      <c r="AK360" s="6"/>
      <c r="AL360" s="6"/>
      <c r="AM360" s="6"/>
      <c r="AN360" s="6"/>
      <c r="AO360" s="6"/>
      <c r="AP360" s="6"/>
      <c r="AQ360" s="6">
        <v>42943</v>
      </c>
      <c r="AR360" s="6">
        <v>42962</v>
      </c>
      <c r="AS360" s="6">
        <v>42923</v>
      </c>
      <c r="AT360" s="6"/>
      <c r="AU360" s="6"/>
      <c r="AV360" s="6">
        <v>42962</v>
      </c>
      <c r="AW360" s="6"/>
      <c r="AX360" s="6"/>
      <c r="AY360" s="6"/>
      <c r="AZ360" s="6">
        <v>42963</v>
      </c>
      <c r="BA360" s="6"/>
      <c r="BB360" s="6"/>
      <c r="BC360" s="6"/>
      <c r="BD360" s="6"/>
      <c r="BE360" s="6"/>
      <c r="BF360" s="6"/>
      <c r="BG360" s="6"/>
      <c r="BH360" s="6"/>
      <c r="BI360" s="6"/>
      <c r="BJ360" s="6"/>
      <c r="BK360" s="6"/>
      <c r="BL360" s="6"/>
      <c r="BM360" s="6">
        <v>42963</v>
      </c>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c r="FZ360" s="6"/>
      <c r="GA360" s="6"/>
      <c r="GB360" s="6"/>
      <c r="GC360" s="6"/>
      <c r="GD360" s="6"/>
      <c r="GE360" s="6"/>
      <c r="GF360" s="6"/>
      <c r="GG360" s="6"/>
      <c r="GH360" s="6"/>
      <c r="GI360" s="6"/>
      <c r="GJ360" s="6"/>
      <c r="GK360" s="6"/>
      <c r="GL360" s="6"/>
      <c r="GM360" s="6"/>
      <c r="GN360" s="6"/>
      <c r="GO360" s="6"/>
      <c r="GP360" s="6"/>
      <c r="GQ360" s="6"/>
      <c r="GR360" s="6"/>
      <c r="GS360" s="6"/>
      <c r="GT360" s="6"/>
      <c r="GU360" s="6"/>
      <c r="GV360" s="6"/>
      <c r="GW360" s="6"/>
      <c r="GX360" s="6"/>
      <c r="GY360" s="6"/>
      <c r="GZ360" s="6"/>
      <c r="HA360" s="6"/>
      <c r="HB360" s="6"/>
      <c r="HC360" s="6"/>
      <c r="HD360" s="6"/>
      <c r="HE360" s="6"/>
      <c r="HF360" s="6"/>
      <c r="HG360" s="6"/>
      <c r="HH360" s="6"/>
    </row>
    <row r="361" spans="1:216" x14ac:dyDescent="0.3">
      <c r="A361" s="8" t="str">
        <f>HYPERLINK("https://hpr-rps.hres.ca/reg-content/summary-basis-decision-detailTwo.php?lang=en&amp;linkID=SBD00372", "Galafold")</f>
        <v>Galafold</v>
      </c>
      <c r="B361" s="6" t="s">
        <v>957</v>
      </c>
      <c r="C361" s="6" t="s">
        <v>958</v>
      </c>
      <c r="D361" s="6" t="s">
        <v>959</v>
      </c>
      <c r="E361" s="6">
        <v>42436</v>
      </c>
      <c r="F361" s="6"/>
      <c r="G361" s="6"/>
      <c r="H361" s="6">
        <v>42566</v>
      </c>
      <c r="I361" s="6"/>
      <c r="J361" s="6"/>
      <c r="K361" s="6"/>
      <c r="L361" s="6"/>
      <c r="M361" s="6"/>
      <c r="N361" s="6"/>
      <c r="O361" s="6"/>
      <c r="P361" s="6"/>
      <c r="Q361" s="6"/>
      <c r="R361" s="6"/>
      <c r="S361" s="6"/>
      <c r="T361" s="6"/>
      <c r="U361" s="6"/>
      <c r="V361" s="6"/>
      <c r="W361" s="6"/>
      <c r="X361" s="6"/>
      <c r="Y361" s="6"/>
      <c r="Z361" s="6">
        <v>42619</v>
      </c>
      <c r="AA361" s="6"/>
      <c r="AB361" s="6"/>
      <c r="AC361" s="6">
        <v>42639</v>
      </c>
      <c r="AD361" s="6"/>
      <c r="AE361" s="6"/>
      <c r="AF361" s="6">
        <v>42682</v>
      </c>
      <c r="AG361" s="6"/>
      <c r="AH361" s="6"/>
      <c r="AI361" s="6"/>
      <c r="AJ361" s="6"/>
      <c r="AK361" s="6"/>
      <c r="AL361" s="6"/>
      <c r="AM361" s="6"/>
      <c r="AN361" s="6"/>
      <c r="AO361" s="6"/>
      <c r="AP361" s="6"/>
      <c r="AQ361" s="6">
        <v>42943</v>
      </c>
      <c r="AR361" s="6">
        <v>42978</v>
      </c>
      <c r="AS361" s="6">
        <v>42921</v>
      </c>
      <c r="AT361" s="6"/>
      <c r="AU361" s="6"/>
      <c r="AV361" s="6">
        <v>42970</v>
      </c>
      <c r="AW361" s="6"/>
      <c r="AX361" s="6"/>
      <c r="AY361" s="6"/>
      <c r="AZ361" s="6">
        <v>42977</v>
      </c>
      <c r="BA361" s="6"/>
      <c r="BB361" s="6"/>
      <c r="BC361" s="6"/>
      <c r="BD361" s="6"/>
      <c r="BE361" s="6"/>
      <c r="BF361" s="6"/>
      <c r="BG361" s="6"/>
      <c r="BH361" s="6"/>
      <c r="BI361" s="6"/>
      <c r="BJ361" s="6"/>
      <c r="BK361" s="6"/>
      <c r="BL361" s="6"/>
      <c r="BM361" s="6">
        <v>42983</v>
      </c>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c r="FZ361" s="6"/>
      <c r="GA361" s="6"/>
      <c r="GB361" s="6"/>
      <c r="GC361" s="6"/>
      <c r="GD361" s="6"/>
      <c r="GE361" s="6"/>
      <c r="GF361" s="6"/>
      <c r="GG361" s="6"/>
      <c r="GH361" s="6"/>
      <c r="GI361" s="6"/>
      <c r="GJ361" s="6"/>
      <c r="GK361" s="6"/>
      <c r="GL361" s="6"/>
      <c r="GM361" s="6"/>
      <c r="GN361" s="6"/>
      <c r="GO361" s="6"/>
      <c r="GP361" s="6"/>
      <c r="GQ361" s="6"/>
      <c r="GR361" s="6"/>
      <c r="GS361" s="6"/>
      <c r="GT361" s="6"/>
      <c r="GU361" s="6"/>
      <c r="GV361" s="6"/>
      <c r="GW361" s="6"/>
      <c r="GX361" s="6"/>
      <c r="GY361" s="6"/>
      <c r="GZ361" s="6"/>
      <c r="HA361" s="6"/>
      <c r="HB361" s="6"/>
      <c r="HC361" s="6"/>
      <c r="HD361" s="6"/>
      <c r="HE361" s="6"/>
      <c r="HF361" s="6"/>
      <c r="HG361" s="6"/>
      <c r="HH361" s="6"/>
    </row>
    <row r="362" spans="1:216" x14ac:dyDescent="0.3">
      <c r="A362" s="8" t="str">
        <f>HYPERLINK("https://hpr-rps.hres.ca/reg-content/summary-basis-decision-detailTwo.php?lang=en&amp;linkID=SBD00373", "Prevymis")</f>
        <v>Prevymis</v>
      </c>
      <c r="B362" s="6" t="s">
        <v>960</v>
      </c>
      <c r="C362" s="6" t="s">
        <v>418</v>
      </c>
      <c r="D362" s="6" t="s">
        <v>961</v>
      </c>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c r="FZ362" s="6"/>
      <c r="GA362" s="6"/>
      <c r="GB362" s="6"/>
      <c r="GC362" s="6"/>
      <c r="GD362" s="6"/>
      <c r="GE362" s="6"/>
      <c r="GF362" s="6"/>
      <c r="GG362" s="6"/>
      <c r="GH362" s="6"/>
      <c r="GI362" s="6"/>
      <c r="GJ362" s="6"/>
      <c r="GK362" s="6"/>
      <c r="GL362" s="6"/>
      <c r="GM362" s="6"/>
      <c r="GN362" s="6"/>
      <c r="GO362" s="6"/>
      <c r="GP362" s="6"/>
      <c r="GQ362" s="6"/>
      <c r="GR362" s="6"/>
      <c r="GS362" s="6"/>
      <c r="GT362" s="6"/>
      <c r="GU362" s="6"/>
      <c r="GV362" s="6"/>
      <c r="GW362" s="6"/>
      <c r="GX362" s="6"/>
      <c r="GY362" s="6"/>
      <c r="GZ362" s="6"/>
      <c r="HA362" s="6"/>
      <c r="HB362" s="6"/>
      <c r="HC362" s="6"/>
      <c r="HD362" s="6"/>
      <c r="HE362" s="6"/>
      <c r="HF362" s="6"/>
      <c r="HG362" s="6"/>
      <c r="HH362" s="6"/>
    </row>
    <row r="363" spans="1:216" x14ac:dyDescent="0.3">
      <c r="A363" s="8" t="str">
        <f>HYPERLINK("https://hpr-rps.hres.ca/reg-content/summary-basis-decision-detailTwo.php?lang=en&amp;linkID=SBD00374", "Admelog")</f>
        <v>Admelog</v>
      </c>
      <c r="B363" s="6" t="s">
        <v>962</v>
      </c>
      <c r="C363" s="6" t="s">
        <v>759</v>
      </c>
      <c r="D363" s="6" t="s">
        <v>963</v>
      </c>
      <c r="E363" s="6">
        <v>42641</v>
      </c>
      <c r="F363" s="6"/>
      <c r="G363" s="6"/>
      <c r="H363" s="6">
        <v>42704</v>
      </c>
      <c r="I363" s="6"/>
      <c r="J363" s="6"/>
      <c r="K363" s="6"/>
      <c r="L363" s="6"/>
      <c r="M363" s="6"/>
      <c r="N363" s="6"/>
      <c r="O363" s="6"/>
      <c r="P363" s="6"/>
      <c r="Q363" s="6"/>
      <c r="R363" s="6"/>
      <c r="S363" s="6"/>
      <c r="T363" s="6"/>
      <c r="U363" s="6"/>
      <c r="V363" s="6"/>
      <c r="W363" s="6"/>
      <c r="X363" s="6"/>
      <c r="Y363" s="6"/>
      <c r="Z363" s="6"/>
      <c r="AA363" s="6"/>
      <c r="AB363" s="6"/>
      <c r="AC363" s="6"/>
      <c r="AD363" s="6"/>
      <c r="AE363" s="6"/>
      <c r="AF363" s="6">
        <v>42755</v>
      </c>
      <c r="AG363" s="6"/>
      <c r="AH363" s="6"/>
      <c r="AI363" s="6"/>
      <c r="AJ363" s="6"/>
      <c r="AK363" s="6"/>
      <c r="AL363" s="6"/>
      <c r="AM363" s="6"/>
      <c r="AN363" s="6"/>
      <c r="AO363" s="6">
        <v>42814</v>
      </c>
      <c r="AP363" s="6"/>
      <c r="AQ363" s="6">
        <v>42920</v>
      </c>
      <c r="AR363" s="6">
        <v>43054</v>
      </c>
      <c r="AS363" s="6"/>
      <c r="AT363" s="6"/>
      <c r="AU363" s="6"/>
      <c r="AV363" s="6">
        <v>43019</v>
      </c>
      <c r="AW363" s="6"/>
      <c r="AX363" s="6">
        <v>43048</v>
      </c>
      <c r="AY363" s="6"/>
      <c r="AZ363" s="6">
        <v>43048</v>
      </c>
      <c r="BA363" s="6"/>
      <c r="BB363" s="6"/>
      <c r="BC363" s="6"/>
      <c r="BD363" s="6"/>
      <c r="BE363" s="6"/>
      <c r="BF363" s="6"/>
      <c r="BG363" s="6"/>
      <c r="BH363" s="6"/>
      <c r="BI363" s="6"/>
      <c r="BJ363" s="6"/>
      <c r="BK363" s="6"/>
      <c r="BL363" s="6"/>
      <c r="BM363" s="6">
        <v>43055</v>
      </c>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c r="FZ363" s="6"/>
      <c r="GA363" s="6"/>
      <c r="GB363" s="6"/>
      <c r="GC363" s="6"/>
      <c r="GD363" s="6"/>
      <c r="GE363" s="6"/>
      <c r="GF363" s="6"/>
      <c r="GG363" s="6"/>
      <c r="GH363" s="6"/>
      <c r="GI363" s="6"/>
      <c r="GJ363" s="6"/>
      <c r="GK363" s="6"/>
      <c r="GL363" s="6"/>
      <c r="GM363" s="6"/>
      <c r="GN363" s="6"/>
      <c r="GO363" s="6"/>
      <c r="GP363" s="6"/>
      <c r="GQ363" s="6"/>
      <c r="GR363" s="6"/>
      <c r="GS363" s="6"/>
      <c r="GT363" s="6"/>
      <c r="GU363" s="6"/>
      <c r="GV363" s="6"/>
      <c r="GW363" s="6"/>
      <c r="GX363" s="6"/>
      <c r="GY363" s="6"/>
      <c r="GZ363" s="6"/>
      <c r="HA363" s="6"/>
      <c r="HB363" s="6"/>
      <c r="HC363" s="6"/>
      <c r="HD363" s="6"/>
      <c r="HE363" s="6"/>
      <c r="HF363" s="6"/>
      <c r="HG363" s="6"/>
      <c r="HH363" s="6"/>
    </row>
    <row r="364" spans="1:216" x14ac:dyDescent="0.3">
      <c r="A364" s="8" t="str">
        <f>HYPERLINK("https://hpr-rps.hres.ca/reg-content/summary-basis-decision-detailTwo.php?lang=en&amp;linkID=SBD00375", "Akynzeo")</f>
        <v>Akynzeo</v>
      </c>
      <c r="B364" s="6" t="s">
        <v>964</v>
      </c>
      <c r="C364" s="6" t="s">
        <v>965</v>
      </c>
      <c r="D364" s="6" t="s">
        <v>966</v>
      </c>
      <c r="E364" s="6">
        <v>42472</v>
      </c>
      <c r="F364" s="6"/>
      <c r="G364" s="6"/>
      <c r="H364" s="6">
        <v>42716</v>
      </c>
      <c r="I364" s="6"/>
      <c r="J364" s="6"/>
      <c r="K364" s="6"/>
      <c r="L364" s="6"/>
      <c r="M364" s="6"/>
      <c r="N364" s="6"/>
      <c r="O364" s="6"/>
      <c r="P364" s="6"/>
      <c r="Q364" s="6"/>
      <c r="R364" s="6"/>
      <c r="S364" s="6"/>
      <c r="T364" s="6"/>
      <c r="U364" s="6"/>
      <c r="V364" s="6"/>
      <c r="W364" s="6"/>
      <c r="X364" s="6"/>
      <c r="Y364" s="6"/>
      <c r="Z364" s="6"/>
      <c r="AA364" s="6"/>
      <c r="AB364" s="6"/>
      <c r="AC364" s="6"/>
      <c r="AD364" s="6"/>
      <c r="AE364" s="6"/>
      <c r="AF364" s="6">
        <v>42768</v>
      </c>
      <c r="AG364" s="6"/>
      <c r="AH364" s="6"/>
      <c r="AI364" s="6"/>
      <c r="AJ364" s="6"/>
      <c r="AK364" s="6"/>
      <c r="AL364" s="6"/>
      <c r="AM364" s="6"/>
      <c r="AN364" s="6"/>
      <c r="AO364" s="6"/>
      <c r="AP364" s="6"/>
      <c r="AQ364" s="6">
        <v>43027</v>
      </c>
      <c r="AR364" s="6">
        <v>43062</v>
      </c>
      <c r="AS364" s="6"/>
      <c r="AT364" s="6"/>
      <c r="AU364" s="6"/>
      <c r="AV364" s="6">
        <v>43063</v>
      </c>
      <c r="AW364" s="6"/>
      <c r="AX364" s="6"/>
      <c r="AY364" s="6"/>
      <c r="AZ364" s="6">
        <v>43060</v>
      </c>
      <c r="BA364" s="6"/>
      <c r="BB364" s="6"/>
      <c r="BC364" s="6"/>
      <c r="BD364" s="6"/>
      <c r="BE364" s="6"/>
      <c r="BF364" s="6"/>
      <c r="BG364" s="6"/>
      <c r="BH364" s="6"/>
      <c r="BI364" s="6"/>
      <c r="BJ364" s="6"/>
      <c r="BK364" s="6"/>
      <c r="BL364" s="6"/>
      <c r="BM364" s="6">
        <v>43068</v>
      </c>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c r="FZ364" s="6"/>
      <c r="GA364" s="6"/>
      <c r="GB364" s="6"/>
      <c r="GC364" s="6"/>
      <c r="GD364" s="6"/>
      <c r="GE364" s="6"/>
      <c r="GF364" s="6"/>
      <c r="GG364" s="6"/>
      <c r="GH364" s="6"/>
      <c r="GI364" s="6"/>
      <c r="GJ364" s="6"/>
      <c r="GK364" s="6"/>
      <c r="GL364" s="6"/>
      <c r="GM364" s="6"/>
      <c r="GN364" s="6"/>
      <c r="GO364" s="6"/>
      <c r="GP364" s="6"/>
      <c r="GQ364" s="6"/>
      <c r="GR364" s="6"/>
      <c r="GS364" s="6"/>
      <c r="GT364" s="6"/>
      <c r="GU364" s="6"/>
      <c r="GV364" s="6"/>
      <c r="GW364" s="6"/>
      <c r="GX364" s="6"/>
      <c r="GY364" s="6"/>
      <c r="GZ364" s="6"/>
      <c r="HA364" s="6"/>
      <c r="HB364" s="6"/>
      <c r="HC364" s="6"/>
      <c r="HD364" s="6"/>
      <c r="HE364" s="6"/>
      <c r="HF364" s="6"/>
      <c r="HG364" s="6"/>
      <c r="HH364" s="6"/>
    </row>
    <row r="365" spans="1:216" x14ac:dyDescent="0.3">
      <c r="A365" s="8" t="str">
        <f>HYPERLINK("https://hpr-rps.hres.ca/reg-content/summary-basis-decision-detailTwo.php?lang=en&amp;linkID=SBD00376", "Anthrasil")</f>
        <v>Anthrasil</v>
      </c>
      <c r="B365" s="6" t="s">
        <v>967</v>
      </c>
      <c r="C365" s="6" t="s">
        <v>968</v>
      </c>
      <c r="D365" s="6" t="s">
        <v>969</v>
      </c>
      <c r="E365" s="6">
        <v>42192</v>
      </c>
      <c r="F365" s="6"/>
      <c r="G365" s="6"/>
      <c r="H365" s="6">
        <v>42277</v>
      </c>
      <c r="I365" s="6"/>
      <c r="J365" s="6"/>
      <c r="K365" s="6"/>
      <c r="L365" s="6"/>
      <c r="M365" s="6"/>
      <c r="N365" s="6"/>
      <c r="O365" s="6"/>
      <c r="P365" s="6"/>
      <c r="Q365" s="6"/>
      <c r="R365" s="6"/>
      <c r="S365" s="6"/>
      <c r="T365" s="6"/>
      <c r="U365" s="6"/>
      <c r="V365" s="6"/>
      <c r="W365" s="6"/>
      <c r="X365" s="6"/>
      <c r="Y365" s="6"/>
      <c r="Z365" s="6"/>
      <c r="AA365" s="6"/>
      <c r="AB365" s="6"/>
      <c r="AC365" s="6"/>
      <c r="AD365" s="6"/>
      <c r="AE365" s="6"/>
      <c r="AF365" s="6">
        <v>42349</v>
      </c>
      <c r="AG365" s="6"/>
      <c r="AH365" s="6"/>
      <c r="AI365" s="6"/>
      <c r="AJ365" s="6"/>
      <c r="AK365" s="6"/>
      <c r="AL365" s="6"/>
      <c r="AM365" s="6"/>
      <c r="AN365" s="6"/>
      <c r="AO365" s="6"/>
      <c r="AP365" s="6"/>
      <c r="AQ365" s="6">
        <v>42485</v>
      </c>
      <c r="AR365" s="6">
        <v>42542</v>
      </c>
      <c r="AS365" s="6"/>
      <c r="AT365" s="6"/>
      <c r="AU365" s="6"/>
      <c r="AV365" s="6"/>
      <c r="AW365" s="6"/>
      <c r="AX365" s="6">
        <v>42619</v>
      </c>
      <c r="AY365" s="6"/>
      <c r="AZ365" s="6">
        <v>42619</v>
      </c>
      <c r="BA365" s="6"/>
      <c r="BB365" s="6"/>
      <c r="BC365" s="6"/>
      <c r="BD365" s="6"/>
      <c r="BE365" s="6"/>
      <c r="BF365" s="6"/>
      <c r="BG365" s="6"/>
      <c r="BH365" s="6"/>
      <c r="BI365" s="6"/>
      <c r="BJ365" s="6"/>
      <c r="BK365" s="6"/>
      <c r="BL365" s="6"/>
      <c r="BM365" s="6"/>
      <c r="BN365" s="6"/>
      <c r="BO365" s="6"/>
      <c r="BP365" s="6">
        <v>42649</v>
      </c>
      <c r="BQ365" s="6"/>
      <c r="BR365" s="6"/>
      <c r="BS365" s="6"/>
      <c r="BT365" s="6"/>
      <c r="BU365" s="6">
        <v>42752</v>
      </c>
      <c r="BV365" s="6"/>
      <c r="BW365" s="6"/>
      <c r="BX365" s="6"/>
      <c r="BY365" s="6"/>
      <c r="BZ365" s="6"/>
      <c r="CA365" s="6"/>
      <c r="CB365" s="6"/>
      <c r="CC365" s="6"/>
      <c r="CD365" s="6"/>
      <c r="CE365" s="6"/>
      <c r="CF365" s="6"/>
      <c r="CG365" s="6"/>
      <c r="CH365" s="6"/>
      <c r="CI365" s="6"/>
      <c r="CJ365" s="6"/>
      <c r="CK365" s="6"/>
      <c r="CL365" s="6"/>
      <c r="CM365" s="6"/>
      <c r="CN365" s="6"/>
      <c r="CO365" s="6"/>
      <c r="CP365" s="6"/>
      <c r="CQ365" s="6"/>
      <c r="CR365" s="6">
        <v>42772</v>
      </c>
      <c r="CS365" s="6"/>
      <c r="CT365" s="6"/>
      <c r="CU365" s="6"/>
      <c r="CV365" s="6"/>
      <c r="CW365" s="6"/>
      <c r="CX365" s="6"/>
      <c r="CY365" s="6"/>
      <c r="CZ365" s="6"/>
      <c r="DA365" s="6"/>
      <c r="DB365" s="6"/>
      <c r="DC365" s="6"/>
      <c r="DD365" s="6">
        <v>43069</v>
      </c>
      <c r="DE365" s="6"/>
      <c r="DF365" s="6"/>
      <c r="DG365" s="6"/>
      <c r="DH365" s="6">
        <v>43069</v>
      </c>
      <c r="DI365" s="6"/>
      <c r="DJ365" s="6">
        <v>43049</v>
      </c>
      <c r="DK365" s="6"/>
      <c r="DL365" s="6">
        <v>43049</v>
      </c>
      <c r="DM365" s="6"/>
      <c r="DN365" s="6"/>
      <c r="DO365" s="6"/>
      <c r="DP365" s="6"/>
      <c r="DQ365" s="6"/>
      <c r="DR365" s="6"/>
      <c r="DS365" s="6"/>
      <c r="DT365" s="6"/>
      <c r="DU365" s="6"/>
      <c r="DV365" s="6"/>
      <c r="DW365" s="6"/>
      <c r="DX365" s="6"/>
      <c r="DY365" s="6">
        <v>43070</v>
      </c>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c r="FZ365" s="6"/>
      <c r="GA365" s="6"/>
      <c r="GB365" s="6"/>
      <c r="GC365" s="6"/>
      <c r="GD365" s="6"/>
      <c r="GE365" s="6"/>
      <c r="GF365" s="6"/>
      <c r="GG365" s="6"/>
      <c r="GH365" s="6"/>
      <c r="GI365" s="6"/>
      <c r="GJ365" s="6"/>
      <c r="GK365" s="6"/>
      <c r="GL365" s="6"/>
      <c r="GM365" s="6"/>
      <c r="GN365" s="6"/>
      <c r="GO365" s="6"/>
      <c r="GP365" s="6"/>
      <c r="GQ365" s="6"/>
      <c r="GR365" s="6"/>
      <c r="GS365" s="6"/>
      <c r="GT365" s="6"/>
      <c r="GU365" s="6"/>
      <c r="GV365" s="6"/>
      <c r="GW365" s="6"/>
      <c r="GX365" s="6"/>
      <c r="GY365" s="6"/>
      <c r="GZ365" s="6"/>
      <c r="HA365" s="6"/>
      <c r="HB365" s="6"/>
      <c r="HC365" s="6"/>
      <c r="HD365" s="6"/>
      <c r="HE365" s="6"/>
      <c r="HF365" s="6"/>
      <c r="HG365" s="6"/>
      <c r="HH365" s="6"/>
    </row>
    <row r="366" spans="1:216" x14ac:dyDescent="0.3">
      <c r="A366" s="8" t="str">
        <f>HYPERLINK("https://hpr-rps.hres.ca/reg-content/summary-basis-decision-detailTwo.php?lang=en&amp;linkID=SBD00377", "Shingrix")</f>
        <v>Shingrix</v>
      </c>
      <c r="B366" s="6" t="s">
        <v>970</v>
      </c>
      <c r="C366" s="6" t="s">
        <v>96</v>
      </c>
      <c r="D366" s="6" t="s">
        <v>971</v>
      </c>
      <c r="E366" s="6">
        <v>42641</v>
      </c>
      <c r="F366" s="6"/>
      <c r="G366" s="6"/>
      <c r="H366" s="6">
        <v>42704</v>
      </c>
      <c r="I366" s="6"/>
      <c r="J366" s="6"/>
      <c r="K366" s="6"/>
      <c r="L366" s="6"/>
      <c r="M366" s="6"/>
      <c r="N366" s="6"/>
      <c r="O366" s="6"/>
      <c r="P366" s="6"/>
      <c r="Q366" s="6"/>
      <c r="R366" s="6"/>
      <c r="S366" s="6"/>
      <c r="T366" s="6"/>
      <c r="U366" s="6"/>
      <c r="V366" s="6"/>
      <c r="W366" s="6"/>
      <c r="X366" s="6"/>
      <c r="Y366" s="6"/>
      <c r="Z366" s="6"/>
      <c r="AA366" s="6"/>
      <c r="AB366" s="6"/>
      <c r="AC366" s="6"/>
      <c r="AD366" s="6"/>
      <c r="AE366" s="6"/>
      <c r="AF366" s="6">
        <v>42755</v>
      </c>
      <c r="AG366" s="6"/>
      <c r="AH366" s="6"/>
      <c r="AI366" s="6"/>
      <c r="AJ366" s="6"/>
      <c r="AK366" s="6"/>
      <c r="AL366" s="6"/>
      <c r="AM366" s="6"/>
      <c r="AN366" s="6"/>
      <c r="AO366" s="6">
        <v>42814</v>
      </c>
      <c r="AP366" s="6"/>
      <c r="AQ366" s="6">
        <v>42920</v>
      </c>
      <c r="AR366" s="6">
        <v>43054</v>
      </c>
      <c r="AS366" s="6"/>
      <c r="AT366" s="6"/>
      <c r="AU366" s="6"/>
      <c r="AV366" s="6">
        <v>43019</v>
      </c>
      <c r="AW366" s="6"/>
      <c r="AX366" s="6">
        <v>43048</v>
      </c>
      <c r="AY366" s="6"/>
      <c r="AZ366" s="6">
        <v>43048</v>
      </c>
      <c r="BA366" s="6"/>
      <c r="BB366" s="6"/>
      <c r="BC366" s="6"/>
      <c r="BD366" s="6"/>
      <c r="BE366" s="6"/>
      <c r="BF366" s="6"/>
      <c r="BG366" s="6"/>
      <c r="BH366" s="6"/>
      <c r="BI366" s="6"/>
      <c r="BJ366" s="6"/>
      <c r="BK366" s="6"/>
      <c r="BL366" s="6"/>
      <c r="BM366" s="6">
        <v>43055</v>
      </c>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c r="FZ366" s="6"/>
      <c r="GA366" s="6"/>
      <c r="GB366" s="6"/>
      <c r="GC366" s="6"/>
      <c r="GD366" s="6"/>
      <c r="GE366" s="6"/>
      <c r="GF366" s="6"/>
      <c r="GG366" s="6"/>
      <c r="GH366" s="6"/>
      <c r="GI366" s="6"/>
      <c r="GJ366" s="6"/>
      <c r="GK366" s="6"/>
      <c r="GL366" s="6"/>
      <c r="GM366" s="6"/>
      <c r="GN366" s="6"/>
      <c r="GO366" s="6"/>
      <c r="GP366" s="6"/>
      <c r="GQ366" s="6"/>
      <c r="GR366" s="6"/>
      <c r="GS366" s="6"/>
      <c r="GT366" s="6"/>
      <c r="GU366" s="6"/>
      <c r="GV366" s="6"/>
      <c r="GW366" s="6"/>
      <c r="GX366" s="6"/>
      <c r="GY366" s="6"/>
      <c r="GZ366" s="6"/>
      <c r="HA366" s="6"/>
      <c r="HB366" s="6"/>
      <c r="HC366" s="6"/>
      <c r="HD366" s="6"/>
      <c r="HE366" s="6"/>
      <c r="HF366" s="6"/>
      <c r="HG366" s="6"/>
      <c r="HH366" s="6"/>
    </row>
    <row r="367" spans="1:216" x14ac:dyDescent="0.3">
      <c r="A367" s="8" t="str">
        <f>HYPERLINK("https://hpr-rps.hres.ca/reg-content/summary-basis-decision-detailTwo.php?lang=en&amp;linkID=SBD00378", "Rebinyn")</f>
        <v>Rebinyn</v>
      </c>
      <c r="B367" s="6" t="s">
        <v>972</v>
      </c>
      <c r="C367" s="6" t="s">
        <v>301</v>
      </c>
      <c r="D367" s="6" t="s">
        <v>973</v>
      </c>
      <c r="E367" s="6">
        <v>42472</v>
      </c>
      <c r="F367" s="6"/>
      <c r="G367" s="6"/>
      <c r="H367" s="6">
        <v>42716</v>
      </c>
      <c r="I367" s="6"/>
      <c r="J367" s="6"/>
      <c r="K367" s="6"/>
      <c r="L367" s="6"/>
      <c r="M367" s="6"/>
      <c r="N367" s="6"/>
      <c r="O367" s="6"/>
      <c r="P367" s="6"/>
      <c r="Q367" s="6"/>
      <c r="R367" s="6"/>
      <c r="S367" s="6"/>
      <c r="T367" s="6"/>
      <c r="U367" s="6"/>
      <c r="V367" s="6"/>
      <c r="W367" s="6"/>
      <c r="X367" s="6"/>
      <c r="Y367" s="6"/>
      <c r="Z367" s="6"/>
      <c r="AA367" s="6"/>
      <c r="AB367" s="6"/>
      <c r="AC367" s="6"/>
      <c r="AD367" s="6"/>
      <c r="AE367" s="6"/>
      <c r="AF367" s="6">
        <v>42768</v>
      </c>
      <c r="AG367" s="6"/>
      <c r="AH367" s="6"/>
      <c r="AI367" s="6"/>
      <c r="AJ367" s="6"/>
      <c r="AK367" s="6"/>
      <c r="AL367" s="6"/>
      <c r="AM367" s="6"/>
      <c r="AN367" s="6"/>
      <c r="AO367" s="6"/>
      <c r="AP367" s="6"/>
      <c r="AQ367" s="6">
        <v>43027</v>
      </c>
      <c r="AR367" s="6">
        <v>43062</v>
      </c>
      <c r="AS367" s="6"/>
      <c r="AT367" s="6"/>
      <c r="AU367" s="6"/>
      <c r="AV367" s="6">
        <v>43063</v>
      </c>
      <c r="AW367" s="6"/>
      <c r="AX367" s="6"/>
      <c r="AY367" s="6"/>
      <c r="AZ367" s="6">
        <v>43060</v>
      </c>
      <c r="BA367" s="6"/>
      <c r="BB367" s="6"/>
      <c r="BC367" s="6"/>
      <c r="BD367" s="6"/>
      <c r="BE367" s="6"/>
      <c r="BF367" s="6"/>
      <c r="BG367" s="6"/>
      <c r="BH367" s="6"/>
      <c r="BI367" s="6"/>
      <c r="BJ367" s="6"/>
      <c r="BK367" s="6"/>
      <c r="BL367" s="6"/>
      <c r="BM367" s="6">
        <v>43068</v>
      </c>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c r="FZ367" s="6"/>
      <c r="GA367" s="6"/>
      <c r="GB367" s="6"/>
      <c r="GC367" s="6"/>
      <c r="GD367" s="6"/>
      <c r="GE367" s="6"/>
      <c r="GF367" s="6"/>
      <c r="GG367" s="6"/>
      <c r="GH367" s="6"/>
      <c r="GI367" s="6"/>
      <c r="GJ367" s="6"/>
      <c r="GK367" s="6"/>
      <c r="GL367" s="6"/>
      <c r="GM367" s="6"/>
      <c r="GN367" s="6"/>
      <c r="GO367" s="6"/>
      <c r="GP367" s="6"/>
      <c r="GQ367" s="6"/>
      <c r="GR367" s="6"/>
      <c r="GS367" s="6"/>
      <c r="GT367" s="6"/>
      <c r="GU367" s="6"/>
      <c r="GV367" s="6"/>
      <c r="GW367" s="6"/>
      <c r="GX367" s="6"/>
      <c r="GY367" s="6"/>
      <c r="GZ367" s="6"/>
      <c r="HA367" s="6"/>
      <c r="HB367" s="6"/>
      <c r="HC367" s="6"/>
      <c r="HD367" s="6"/>
      <c r="HE367" s="6"/>
      <c r="HF367" s="6"/>
      <c r="HG367" s="6"/>
      <c r="HH367" s="6"/>
    </row>
    <row r="368" spans="1:216" x14ac:dyDescent="0.3">
      <c r="A368" s="8" t="str">
        <f>HYPERLINK("https://hpr-rps.hres.ca/reg-content/summary-basis-decision-detailTwo.php?lang=en&amp;linkID=SBD00379", "Renflexis")</f>
        <v>Renflexis</v>
      </c>
      <c r="B368" s="6" t="s">
        <v>701</v>
      </c>
      <c r="C368" s="6" t="s">
        <v>867</v>
      </c>
      <c r="D368" s="6" t="s">
        <v>974</v>
      </c>
      <c r="E368" s="6">
        <v>42192</v>
      </c>
      <c r="F368" s="6"/>
      <c r="G368" s="6"/>
      <c r="H368" s="6">
        <v>42277</v>
      </c>
      <c r="I368" s="6"/>
      <c r="J368" s="6"/>
      <c r="K368" s="6"/>
      <c r="L368" s="6"/>
      <c r="M368" s="6"/>
      <c r="N368" s="6"/>
      <c r="O368" s="6"/>
      <c r="P368" s="6"/>
      <c r="Q368" s="6"/>
      <c r="R368" s="6"/>
      <c r="S368" s="6"/>
      <c r="T368" s="6"/>
      <c r="U368" s="6"/>
      <c r="V368" s="6"/>
      <c r="W368" s="6"/>
      <c r="X368" s="6"/>
      <c r="Y368" s="6"/>
      <c r="Z368" s="6"/>
      <c r="AA368" s="6"/>
      <c r="AB368" s="6"/>
      <c r="AC368" s="6"/>
      <c r="AD368" s="6"/>
      <c r="AE368" s="6"/>
      <c r="AF368" s="6">
        <v>42349</v>
      </c>
      <c r="AG368" s="6"/>
      <c r="AH368" s="6"/>
      <c r="AI368" s="6"/>
      <c r="AJ368" s="6"/>
      <c r="AK368" s="6"/>
      <c r="AL368" s="6"/>
      <c r="AM368" s="6"/>
      <c r="AN368" s="6"/>
      <c r="AO368" s="6"/>
      <c r="AP368" s="6"/>
      <c r="AQ368" s="6">
        <v>42485</v>
      </c>
      <c r="AR368" s="6">
        <v>42542</v>
      </c>
      <c r="AS368" s="6"/>
      <c r="AT368" s="6"/>
      <c r="AU368" s="6"/>
      <c r="AV368" s="6"/>
      <c r="AW368" s="6"/>
      <c r="AX368" s="6">
        <v>42619</v>
      </c>
      <c r="AY368" s="6"/>
      <c r="AZ368" s="6">
        <v>42619</v>
      </c>
      <c r="BA368" s="6"/>
      <c r="BB368" s="6"/>
      <c r="BC368" s="6"/>
      <c r="BD368" s="6"/>
      <c r="BE368" s="6"/>
      <c r="BF368" s="6"/>
      <c r="BG368" s="6"/>
      <c r="BH368" s="6"/>
      <c r="BI368" s="6"/>
      <c r="BJ368" s="6"/>
      <c r="BK368" s="6"/>
      <c r="BL368" s="6"/>
      <c r="BM368" s="6"/>
      <c r="BN368" s="6"/>
      <c r="BO368" s="6"/>
      <c r="BP368" s="6">
        <v>42649</v>
      </c>
      <c r="BQ368" s="6"/>
      <c r="BR368" s="6"/>
      <c r="BS368" s="6"/>
      <c r="BT368" s="6"/>
      <c r="BU368" s="6">
        <v>42752</v>
      </c>
      <c r="BV368" s="6"/>
      <c r="BW368" s="6"/>
      <c r="BX368" s="6"/>
      <c r="BY368" s="6"/>
      <c r="BZ368" s="6"/>
      <c r="CA368" s="6"/>
      <c r="CB368" s="6"/>
      <c r="CC368" s="6"/>
      <c r="CD368" s="6"/>
      <c r="CE368" s="6"/>
      <c r="CF368" s="6"/>
      <c r="CG368" s="6"/>
      <c r="CH368" s="6"/>
      <c r="CI368" s="6"/>
      <c r="CJ368" s="6"/>
      <c r="CK368" s="6"/>
      <c r="CL368" s="6"/>
      <c r="CM368" s="6"/>
      <c r="CN368" s="6"/>
      <c r="CO368" s="6"/>
      <c r="CP368" s="6"/>
      <c r="CQ368" s="6"/>
      <c r="CR368" s="6">
        <v>42772</v>
      </c>
      <c r="CS368" s="6"/>
      <c r="CT368" s="6"/>
      <c r="CU368" s="6"/>
      <c r="CV368" s="6"/>
      <c r="CW368" s="6"/>
      <c r="CX368" s="6"/>
      <c r="CY368" s="6"/>
      <c r="CZ368" s="6"/>
      <c r="DA368" s="6"/>
      <c r="DB368" s="6"/>
      <c r="DC368" s="6"/>
      <c r="DD368" s="6">
        <v>43069</v>
      </c>
      <c r="DE368" s="6"/>
      <c r="DF368" s="6"/>
      <c r="DG368" s="6"/>
      <c r="DH368" s="6">
        <v>43069</v>
      </c>
      <c r="DI368" s="6"/>
      <c r="DJ368" s="6">
        <v>43049</v>
      </c>
      <c r="DK368" s="6"/>
      <c r="DL368" s="6">
        <v>43049</v>
      </c>
      <c r="DM368" s="6"/>
      <c r="DN368" s="6"/>
      <c r="DO368" s="6"/>
      <c r="DP368" s="6"/>
      <c r="DQ368" s="6"/>
      <c r="DR368" s="6"/>
      <c r="DS368" s="6"/>
      <c r="DT368" s="6"/>
      <c r="DU368" s="6"/>
      <c r="DV368" s="6"/>
      <c r="DW368" s="6"/>
      <c r="DX368" s="6"/>
      <c r="DY368" s="6">
        <v>43070</v>
      </c>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c r="FZ368" s="6"/>
      <c r="GA368" s="6"/>
      <c r="GB368" s="6"/>
      <c r="GC368" s="6"/>
      <c r="GD368" s="6"/>
      <c r="GE368" s="6"/>
      <c r="GF368" s="6"/>
      <c r="GG368" s="6"/>
      <c r="GH368" s="6"/>
      <c r="GI368" s="6"/>
      <c r="GJ368" s="6"/>
      <c r="GK368" s="6"/>
      <c r="GL368" s="6"/>
      <c r="GM368" s="6"/>
      <c r="GN368" s="6"/>
      <c r="GO368" s="6"/>
      <c r="GP368" s="6"/>
      <c r="GQ368" s="6"/>
      <c r="GR368" s="6"/>
      <c r="GS368" s="6"/>
      <c r="GT368" s="6"/>
      <c r="GU368" s="6"/>
      <c r="GV368" s="6"/>
      <c r="GW368" s="6"/>
      <c r="GX368" s="6"/>
      <c r="GY368" s="6"/>
      <c r="GZ368" s="6"/>
      <c r="HA368" s="6"/>
      <c r="HB368" s="6"/>
      <c r="HC368" s="6"/>
      <c r="HD368" s="6"/>
      <c r="HE368" s="6"/>
      <c r="HF368" s="6"/>
      <c r="HG368" s="6"/>
      <c r="HH368" s="6"/>
    </row>
    <row r="369" spans="1:216" x14ac:dyDescent="0.3">
      <c r="A369" s="8" t="str">
        <f>HYPERLINK("https://hpr-rps.hres.ca/reg-content/summary-basis-decision-detailTwo.php?lang=en&amp;linkID=SBD00386", "Velphoro")</f>
        <v>Velphoro</v>
      </c>
      <c r="B369" s="6" t="s">
        <v>975</v>
      </c>
      <c r="C369" s="6" t="s">
        <v>976</v>
      </c>
      <c r="D369" s="6" t="s">
        <v>977</v>
      </c>
      <c r="E369" s="6">
        <v>42192</v>
      </c>
      <c r="F369" s="6"/>
      <c r="G369" s="6"/>
      <c r="H369" s="6">
        <v>42277</v>
      </c>
      <c r="I369" s="6"/>
      <c r="J369" s="6"/>
      <c r="K369" s="6"/>
      <c r="L369" s="6"/>
      <c r="M369" s="6"/>
      <c r="N369" s="6"/>
      <c r="O369" s="6"/>
      <c r="P369" s="6"/>
      <c r="Q369" s="6"/>
      <c r="R369" s="6"/>
      <c r="S369" s="6"/>
      <c r="T369" s="6"/>
      <c r="U369" s="6"/>
      <c r="V369" s="6"/>
      <c r="W369" s="6"/>
      <c r="X369" s="6"/>
      <c r="Y369" s="6"/>
      <c r="Z369" s="6"/>
      <c r="AA369" s="6"/>
      <c r="AB369" s="6"/>
      <c r="AC369" s="6"/>
      <c r="AD369" s="6"/>
      <c r="AE369" s="6"/>
      <c r="AF369" s="6">
        <v>42349</v>
      </c>
      <c r="AG369" s="6"/>
      <c r="AH369" s="6"/>
      <c r="AI369" s="6"/>
      <c r="AJ369" s="6"/>
      <c r="AK369" s="6"/>
      <c r="AL369" s="6"/>
      <c r="AM369" s="6"/>
      <c r="AN369" s="6"/>
      <c r="AO369" s="6"/>
      <c r="AP369" s="6"/>
      <c r="AQ369" s="6">
        <v>42485</v>
      </c>
      <c r="AR369" s="6">
        <v>42542</v>
      </c>
      <c r="AS369" s="6"/>
      <c r="AT369" s="6"/>
      <c r="AU369" s="6"/>
      <c r="AV369" s="6"/>
      <c r="AW369" s="6"/>
      <c r="AX369" s="6">
        <v>42619</v>
      </c>
      <c r="AY369" s="6"/>
      <c r="AZ369" s="6">
        <v>42619</v>
      </c>
      <c r="BA369" s="6"/>
      <c r="BB369" s="6"/>
      <c r="BC369" s="6"/>
      <c r="BD369" s="6"/>
      <c r="BE369" s="6"/>
      <c r="BF369" s="6"/>
      <c r="BG369" s="6"/>
      <c r="BH369" s="6"/>
      <c r="BI369" s="6"/>
      <c r="BJ369" s="6"/>
      <c r="BK369" s="6"/>
      <c r="BL369" s="6"/>
      <c r="BM369" s="6"/>
      <c r="BN369" s="6"/>
      <c r="BO369" s="6"/>
      <c r="BP369" s="6">
        <v>42649</v>
      </c>
      <c r="BQ369" s="6"/>
      <c r="BR369" s="6"/>
      <c r="BS369" s="6"/>
      <c r="BT369" s="6"/>
      <c r="BU369" s="6">
        <v>42752</v>
      </c>
      <c r="BV369" s="6"/>
      <c r="BW369" s="6"/>
      <c r="BX369" s="6"/>
      <c r="BY369" s="6"/>
      <c r="BZ369" s="6"/>
      <c r="CA369" s="6"/>
      <c r="CB369" s="6"/>
      <c r="CC369" s="6"/>
      <c r="CD369" s="6"/>
      <c r="CE369" s="6"/>
      <c r="CF369" s="6"/>
      <c r="CG369" s="6"/>
      <c r="CH369" s="6"/>
      <c r="CI369" s="6"/>
      <c r="CJ369" s="6"/>
      <c r="CK369" s="6"/>
      <c r="CL369" s="6"/>
      <c r="CM369" s="6"/>
      <c r="CN369" s="6"/>
      <c r="CO369" s="6"/>
      <c r="CP369" s="6"/>
      <c r="CQ369" s="6"/>
      <c r="CR369" s="6">
        <v>42772</v>
      </c>
      <c r="CS369" s="6"/>
      <c r="CT369" s="6"/>
      <c r="CU369" s="6"/>
      <c r="CV369" s="6"/>
      <c r="CW369" s="6"/>
      <c r="CX369" s="6"/>
      <c r="CY369" s="6"/>
      <c r="CZ369" s="6"/>
      <c r="DA369" s="6"/>
      <c r="DB369" s="6"/>
      <c r="DC369" s="6"/>
      <c r="DD369" s="6">
        <v>43069</v>
      </c>
      <c r="DE369" s="6"/>
      <c r="DF369" s="6"/>
      <c r="DG369" s="6"/>
      <c r="DH369" s="6">
        <v>43069</v>
      </c>
      <c r="DI369" s="6"/>
      <c r="DJ369" s="6">
        <v>43049</v>
      </c>
      <c r="DK369" s="6"/>
      <c r="DL369" s="6">
        <v>43049</v>
      </c>
      <c r="DM369" s="6"/>
      <c r="DN369" s="6"/>
      <c r="DO369" s="6"/>
      <c r="DP369" s="6"/>
      <c r="DQ369" s="6"/>
      <c r="DR369" s="6"/>
      <c r="DS369" s="6"/>
      <c r="DT369" s="6"/>
      <c r="DU369" s="6"/>
      <c r="DV369" s="6"/>
      <c r="DW369" s="6"/>
      <c r="DX369" s="6"/>
      <c r="DY369" s="6">
        <v>43070</v>
      </c>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c r="FZ369" s="6"/>
      <c r="GA369" s="6"/>
      <c r="GB369" s="6"/>
      <c r="GC369" s="6"/>
      <c r="GD369" s="6"/>
      <c r="GE369" s="6"/>
      <c r="GF369" s="6"/>
      <c r="GG369" s="6"/>
      <c r="GH369" s="6"/>
      <c r="GI369" s="6"/>
      <c r="GJ369" s="6"/>
      <c r="GK369" s="6"/>
      <c r="GL369" s="6"/>
      <c r="GM369" s="6"/>
      <c r="GN369" s="6"/>
      <c r="GO369" s="6"/>
      <c r="GP369" s="6"/>
      <c r="GQ369" s="6"/>
      <c r="GR369" s="6"/>
      <c r="GS369" s="6"/>
      <c r="GT369" s="6"/>
      <c r="GU369" s="6"/>
      <c r="GV369" s="6"/>
      <c r="GW369" s="6"/>
      <c r="GX369" s="6"/>
      <c r="GY369" s="6"/>
      <c r="GZ369" s="6"/>
      <c r="HA369" s="6"/>
      <c r="HB369" s="6"/>
      <c r="HC369" s="6"/>
      <c r="HD369" s="6"/>
      <c r="HE369" s="6"/>
      <c r="HF369" s="6"/>
      <c r="HG369" s="6"/>
      <c r="HH369" s="6"/>
    </row>
    <row r="370" spans="1:216" x14ac:dyDescent="0.3">
      <c r="A370" s="8" t="str">
        <f>HYPERLINK("https://hpr-rps.hres.ca/reg-content/summary-basis-decision-detailTwo.php?lang=en&amp;linkID=SBD00380", "Lartruvo")</f>
        <v>Lartruvo</v>
      </c>
      <c r="B370" s="6" t="s">
        <v>978</v>
      </c>
      <c r="C370" s="6" t="s">
        <v>140</v>
      </c>
      <c r="D370" s="6" t="s">
        <v>979</v>
      </c>
      <c r="E370" s="6">
        <v>42690</v>
      </c>
      <c r="F370" s="6"/>
      <c r="G370" s="6">
        <v>42772</v>
      </c>
      <c r="H370" s="6">
        <v>42800</v>
      </c>
      <c r="I370" s="6"/>
      <c r="J370" s="6"/>
      <c r="K370" s="6"/>
      <c r="L370" s="6"/>
      <c r="M370" s="6"/>
      <c r="N370" s="6"/>
      <c r="O370" s="6"/>
      <c r="P370" s="6"/>
      <c r="Q370" s="6"/>
      <c r="R370" s="6"/>
      <c r="S370" s="6"/>
      <c r="T370" s="6"/>
      <c r="U370" s="6"/>
      <c r="V370" s="6"/>
      <c r="W370" s="6"/>
      <c r="X370" s="6"/>
      <c r="Y370" s="6"/>
      <c r="Z370" s="6"/>
      <c r="AA370" s="6"/>
      <c r="AB370" s="6"/>
      <c r="AC370" s="6"/>
      <c r="AD370" s="6"/>
      <c r="AE370" s="6"/>
      <c r="AF370" s="6">
        <v>42831</v>
      </c>
      <c r="AG370" s="6"/>
      <c r="AH370" s="6"/>
      <c r="AI370" s="6"/>
      <c r="AJ370" s="6"/>
      <c r="AK370" s="6"/>
      <c r="AL370" s="6"/>
      <c r="AM370" s="6"/>
      <c r="AN370" s="6"/>
      <c r="AO370" s="6">
        <v>42968</v>
      </c>
      <c r="AP370" s="6"/>
      <c r="AQ370" s="6">
        <v>42937</v>
      </c>
      <c r="AR370" s="6">
        <v>43025</v>
      </c>
      <c r="AS370" s="6"/>
      <c r="AT370" s="6"/>
      <c r="AU370" s="6"/>
      <c r="AV370" s="6">
        <v>43024</v>
      </c>
      <c r="AW370" s="6"/>
      <c r="AX370" s="6"/>
      <c r="AY370" s="6"/>
      <c r="AZ370" s="6">
        <v>43027</v>
      </c>
      <c r="BA370" s="6"/>
      <c r="BB370" s="6"/>
      <c r="BC370" s="6"/>
      <c r="BD370" s="6"/>
      <c r="BE370" s="6"/>
      <c r="BF370" s="6"/>
      <c r="BG370" s="6"/>
      <c r="BH370" s="6"/>
      <c r="BI370" s="6"/>
      <c r="BJ370" s="6"/>
      <c r="BK370" s="6">
        <v>43031</v>
      </c>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v>43061</v>
      </c>
      <c r="CN370" s="6"/>
      <c r="CO370" s="6"/>
      <c r="CP370" s="6"/>
      <c r="CQ370" s="6"/>
      <c r="CR370" s="6"/>
      <c r="CS370" s="6"/>
      <c r="CT370" s="6"/>
      <c r="CU370" s="6">
        <v>43055</v>
      </c>
      <c r="CV370" s="6"/>
      <c r="CW370" s="6"/>
      <c r="CX370" s="6"/>
      <c r="CY370" s="6"/>
      <c r="CZ370" s="6"/>
      <c r="DA370" s="6"/>
      <c r="DB370" s="6"/>
      <c r="DC370" s="6"/>
      <c r="DD370" s="6"/>
      <c r="DE370" s="6"/>
      <c r="DF370" s="6"/>
      <c r="DG370" s="6">
        <v>43062</v>
      </c>
      <c r="DH370" s="6"/>
      <c r="DI370" s="6"/>
      <c r="DJ370" s="6"/>
      <c r="DK370" s="6"/>
      <c r="DL370" s="6"/>
      <c r="DM370" s="6"/>
      <c r="DN370" s="6"/>
      <c r="DO370" s="6"/>
      <c r="DP370" s="6"/>
      <c r="DQ370" s="6"/>
      <c r="DR370" s="6"/>
      <c r="DS370" s="6"/>
      <c r="DT370" s="6">
        <v>43035</v>
      </c>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c r="FZ370" s="6"/>
      <c r="GA370" s="6"/>
      <c r="GB370" s="6"/>
      <c r="GC370" s="6"/>
      <c r="GD370" s="6"/>
      <c r="GE370" s="6"/>
      <c r="GF370" s="6"/>
      <c r="GG370" s="6"/>
      <c r="GH370" s="6"/>
      <c r="GI370" s="6"/>
      <c r="GJ370" s="6"/>
      <c r="GK370" s="6"/>
      <c r="GL370" s="6"/>
      <c r="GM370" s="6"/>
      <c r="GN370" s="6"/>
      <c r="GO370" s="6"/>
      <c r="GP370" s="6"/>
      <c r="GQ370" s="6"/>
      <c r="GR370" s="6"/>
      <c r="GS370" s="6"/>
      <c r="GT370" s="6"/>
      <c r="GU370" s="6"/>
      <c r="GV370" s="6"/>
      <c r="GW370" s="6"/>
      <c r="GX370" s="6"/>
      <c r="GY370" s="6"/>
      <c r="GZ370" s="6"/>
      <c r="HA370" s="6"/>
      <c r="HB370" s="6"/>
      <c r="HC370" s="6"/>
      <c r="HD370" s="6"/>
      <c r="HE370" s="6"/>
      <c r="HF370" s="6"/>
      <c r="HG370" s="6"/>
      <c r="HH370" s="6"/>
    </row>
    <row r="371" spans="1:216" x14ac:dyDescent="0.3">
      <c r="A371" s="8" t="str">
        <f>HYPERLINK("https://hpr-rps.hres.ca/reg-content/summary-basis-decision-detailTwo.php?lang=en&amp;linkID=SBD00381", "Dupixent")</f>
        <v>Dupixent</v>
      </c>
      <c r="B371" s="6" t="s">
        <v>980</v>
      </c>
      <c r="C371" s="6" t="s">
        <v>759</v>
      </c>
      <c r="D371" s="6" t="s">
        <v>981</v>
      </c>
      <c r="E371" s="6">
        <v>42627</v>
      </c>
      <c r="F371" s="6"/>
      <c r="G371" s="6"/>
      <c r="H371" s="6">
        <v>42811</v>
      </c>
      <c r="I371" s="6"/>
      <c r="J371" s="6"/>
      <c r="K371" s="6"/>
      <c r="L371" s="6"/>
      <c r="M371" s="6"/>
      <c r="N371" s="6"/>
      <c r="O371" s="6"/>
      <c r="P371" s="6"/>
      <c r="Q371" s="6"/>
      <c r="R371" s="6"/>
      <c r="S371" s="6"/>
      <c r="T371" s="6"/>
      <c r="U371" s="6"/>
      <c r="V371" s="6"/>
      <c r="W371" s="6"/>
      <c r="X371" s="6"/>
      <c r="Y371" s="6"/>
      <c r="Z371" s="6"/>
      <c r="AA371" s="6"/>
      <c r="AB371" s="6"/>
      <c r="AC371" s="6"/>
      <c r="AD371" s="6"/>
      <c r="AE371" s="6"/>
      <c r="AF371" s="6">
        <v>42863</v>
      </c>
      <c r="AG371" s="6"/>
      <c r="AH371" s="6"/>
      <c r="AI371" s="6"/>
      <c r="AJ371" s="6"/>
      <c r="AK371" s="6"/>
      <c r="AL371" s="6"/>
      <c r="AM371" s="6"/>
      <c r="AN371" s="6"/>
      <c r="AO371" s="6"/>
      <c r="AP371" s="6"/>
      <c r="AQ371" s="6">
        <v>43151</v>
      </c>
      <c r="AR371" s="6">
        <v>43158</v>
      </c>
      <c r="AS371" s="6">
        <v>43090</v>
      </c>
      <c r="AT371" s="6"/>
      <c r="AU371" s="6"/>
      <c r="AV371" s="6">
        <v>43160</v>
      </c>
      <c r="AW371" s="6"/>
      <c r="AX371" s="6"/>
      <c r="AY371" s="6"/>
      <c r="AZ371" s="6">
        <v>43160</v>
      </c>
      <c r="BA371" s="6"/>
      <c r="BB371" s="6"/>
      <c r="BC371" s="6"/>
      <c r="BD371" s="6"/>
      <c r="BE371" s="6"/>
      <c r="BF371" s="6"/>
      <c r="BG371" s="6"/>
      <c r="BH371" s="6"/>
      <c r="BI371" s="6"/>
      <c r="BJ371" s="6"/>
      <c r="BK371" s="6"/>
      <c r="BL371" s="6"/>
      <c r="BM371" s="6">
        <v>43161</v>
      </c>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c r="FZ371" s="6"/>
      <c r="GA371" s="6"/>
      <c r="GB371" s="6"/>
      <c r="GC371" s="6"/>
      <c r="GD371" s="6"/>
      <c r="GE371" s="6"/>
      <c r="GF371" s="6"/>
      <c r="GG371" s="6"/>
      <c r="GH371" s="6"/>
      <c r="GI371" s="6"/>
      <c r="GJ371" s="6"/>
      <c r="GK371" s="6"/>
      <c r="GL371" s="6"/>
      <c r="GM371" s="6"/>
      <c r="GN371" s="6"/>
      <c r="GO371" s="6"/>
      <c r="GP371" s="6"/>
      <c r="GQ371" s="6"/>
      <c r="GR371" s="6"/>
      <c r="GS371" s="6"/>
      <c r="GT371" s="6"/>
      <c r="GU371" s="6"/>
      <c r="GV371" s="6"/>
      <c r="GW371" s="6"/>
      <c r="GX371" s="6"/>
      <c r="GY371" s="6"/>
      <c r="GZ371" s="6"/>
      <c r="HA371" s="6"/>
      <c r="HB371" s="6"/>
      <c r="HC371" s="6"/>
      <c r="HD371" s="6"/>
      <c r="HE371" s="6"/>
      <c r="HF371" s="6"/>
      <c r="HG371" s="6"/>
      <c r="HH371" s="6"/>
    </row>
    <row r="372" spans="1:216" x14ac:dyDescent="0.3">
      <c r="A372" s="8" t="str">
        <f>HYPERLINK("https://hpr-rps.hres.ca/reg-content/summary-basis-decision-detailTwo.php?lang=en&amp;linkID=SBD00382", "Kanuma")</f>
        <v>Kanuma</v>
      </c>
      <c r="B372" s="6" t="s">
        <v>982</v>
      </c>
      <c r="C372" s="6" t="s">
        <v>983</v>
      </c>
      <c r="D372" s="6" t="s">
        <v>984</v>
      </c>
      <c r="E372" s="6">
        <v>42690</v>
      </c>
      <c r="F372" s="6"/>
      <c r="G372" s="6">
        <v>42772</v>
      </c>
      <c r="H372" s="6">
        <v>42800</v>
      </c>
      <c r="I372" s="6"/>
      <c r="J372" s="6"/>
      <c r="K372" s="6"/>
      <c r="L372" s="6"/>
      <c r="M372" s="6"/>
      <c r="N372" s="6"/>
      <c r="O372" s="6"/>
      <c r="P372" s="6"/>
      <c r="Q372" s="6"/>
      <c r="R372" s="6"/>
      <c r="S372" s="6"/>
      <c r="T372" s="6"/>
      <c r="U372" s="6"/>
      <c r="V372" s="6"/>
      <c r="W372" s="6"/>
      <c r="X372" s="6"/>
      <c r="Y372" s="6"/>
      <c r="Z372" s="6"/>
      <c r="AA372" s="6"/>
      <c r="AB372" s="6"/>
      <c r="AC372" s="6"/>
      <c r="AD372" s="6"/>
      <c r="AE372" s="6"/>
      <c r="AF372" s="6">
        <v>42831</v>
      </c>
      <c r="AG372" s="6"/>
      <c r="AH372" s="6"/>
      <c r="AI372" s="6"/>
      <c r="AJ372" s="6"/>
      <c r="AK372" s="6"/>
      <c r="AL372" s="6"/>
      <c r="AM372" s="6"/>
      <c r="AN372" s="6"/>
      <c r="AO372" s="6">
        <v>42968</v>
      </c>
      <c r="AP372" s="6"/>
      <c r="AQ372" s="6">
        <v>42937</v>
      </c>
      <c r="AR372" s="6">
        <v>43025</v>
      </c>
      <c r="AS372" s="6"/>
      <c r="AT372" s="6"/>
      <c r="AU372" s="6"/>
      <c r="AV372" s="6">
        <v>43024</v>
      </c>
      <c r="AW372" s="6"/>
      <c r="AX372" s="6"/>
      <c r="AY372" s="6"/>
      <c r="AZ372" s="6">
        <v>43027</v>
      </c>
      <c r="BA372" s="6"/>
      <c r="BB372" s="6"/>
      <c r="BC372" s="6"/>
      <c r="BD372" s="6"/>
      <c r="BE372" s="6"/>
      <c r="BF372" s="6"/>
      <c r="BG372" s="6"/>
      <c r="BH372" s="6"/>
      <c r="BI372" s="6"/>
      <c r="BJ372" s="6"/>
      <c r="BK372" s="6">
        <v>43031</v>
      </c>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v>43061</v>
      </c>
      <c r="CN372" s="6"/>
      <c r="CO372" s="6"/>
      <c r="CP372" s="6"/>
      <c r="CQ372" s="6"/>
      <c r="CR372" s="6"/>
      <c r="CS372" s="6"/>
      <c r="CT372" s="6"/>
      <c r="CU372" s="6">
        <v>43055</v>
      </c>
      <c r="CV372" s="6"/>
      <c r="CW372" s="6"/>
      <c r="CX372" s="6"/>
      <c r="CY372" s="6"/>
      <c r="CZ372" s="6"/>
      <c r="DA372" s="6"/>
      <c r="DB372" s="6"/>
      <c r="DC372" s="6"/>
      <c r="DD372" s="6"/>
      <c r="DE372" s="6"/>
      <c r="DF372" s="6"/>
      <c r="DG372" s="6">
        <v>43062</v>
      </c>
      <c r="DH372" s="6"/>
      <c r="DI372" s="6"/>
      <c r="DJ372" s="6"/>
      <c r="DK372" s="6"/>
      <c r="DL372" s="6"/>
      <c r="DM372" s="6"/>
      <c r="DN372" s="6"/>
      <c r="DO372" s="6"/>
      <c r="DP372" s="6"/>
      <c r="DQ372" s="6"/>
      <c r="DR372" s="6"/>
      <c r="DS372" s="6"/>
      <c r="DT372" s="6">
        <v>43035</v>
      </c>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c r="FZ372" s="6"/>
      <c r="GA372" s="6"/>
      <c r="GB372" s="6"/>
      <c r="GC372" s="6"/>
      <c r="GD372" s="6"/>
      <c r="GE372" s="6"/>
      <c r="GF372" s="6"/>
      <c r="GG372" s="6"/>
      <c r="GH372" s="6"/>
      <c r="GI372" s="6"/>
      <c r="GJ372" s="6"/>
      <c r="GK372" s="6"/>
      <c r="GL372" s="6"/>
      <c r="GM372" s="6"/>
      <c r="GN372" s="6"/>
      <c r="GO372" s="6"/>
      <c r="GP372" s="6"/>
      <c r="GQ372" s="6"/>
      <c r="GR372" s="6"/>
      <c r="GS372" s="6"/>
      <c r="GT372" s="6"/>
      <c r="GU372" s="6"/>
      <c r="GV372" s="6"/>
      <c r="GW372" s="6"/>
      <c r="GX372" s="6"/>
      <c r="GY372" s="6"/>
      <c r="GZ372" s="6"/>
      <c r="HA372" s="6"/>
      <c r="HB372" s="6"/>
      <c r="HC372" s="6"/>
      <c r="HD372" s="6"/>
      <c r="HE372" s="6"/>
      <c r="HF372" s="6"/>
      <c r="HG372" s="6"/>
      <c r="HH372" s="6"/>
    </row>
    <row r="373" spans="1:216" x14ac:dyDescent="0.3">
      <c r="A373" s="8" t="str">
        <f>HYPERLINK("https://hpr-rps.hres.ca/reg-content/summary-basis-decision-detailTwo.php?lang=en&amp;linkID=SBD00383", "Xiidra")</f>
        <v>Xiidra</v>
      </c>
      <c r="B373" s="6" t="s">
        <v>985</v>
      </c>
      <c r="C373" s="6" t="s">
        <v>986</v>
      </c>
      <c r="D373" s="6" t="s">
        <v>987</v>
      </c>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c r="FZ373" s="6"/>
      <c r="GA373" s="6"/>
      <c r="GB373" s="6"/>
      <c r="GC373" s="6"/>
      <c r="GD373" s="6"/>
      <c r="GE373" s="6"/>
      <c r="GF373" s="6"/>
      <c r="GG373" s="6"/>
      <c r="GH373" s="6"/>
      <c r="GI373" s="6"/>
      <c r="GJ373" s="6"/>
      <c r="GK373" s="6"/>
      <c r="GL373" s="6"/>
      <c r="GM373" s="6"/>
      <c r="GN373" s="6"/>
      <c r="GO373" s="6"/>
      <c r="GP373" s="6"/>
      <c r="GQ373" s="6"/>
      <c r="GR373" s="6"/>
      <c r="GS373" s="6"/>
      <c r="GT373" s="6"/>
      <c r="GU373" s="6"/>
      <c r="GV373" s="6"/>
      <c r="GW373" s="6"/>
      <c r="GX373" s="6"/>
      <c r="GY373" s="6"/>
      <c r="GZ373" s="6"/>
      <c r="HA373" s="6"/>
      <c r="HB373" s="6"/>
      <c r="HC373" s="6"/>
      <c r="HD373" s="6"/>
      <c r="HE373" s="6"/>
      <c r="HF373" s="6"/>
      <c r="HG373" s="6"/>
      <c r="HH373" s="6"/>
    </row>
    <row r="374" spans="1:216" x14ac:dyDescent="0.3">
      <c r="A374" s="8" t="str">
        <f>HYPERLINK("https://hpr-rps.hres.ca/reg-content/summary-basis-decision-detailTwo.php?lang=en&amp;linkID=SBD00384", "Imfinzi")</f>
        <v>Imfinzi</v>
      </c>
      <c r="B374" s="6" t="s">
        <v>988</v>
      </c>
      <c r="C374" s="6" t="s">
        <v>137</v>
      </c>
      <c r="D374" s="6" t="s">
        <v>989</v>
      </c>
      <c r="E374" s="6">
        <v>42643</v>
      </c>
      <c r="F374" s="6"/>
      <c r="G374" s="6"/>
      <c r="H374" s="6">
        <v>42725</v>
      </c>
      <c r="I374" s="6"/>
      <c r="J374" s="6"/>
      <c r="K374" s="6"/>
      <c r="L374" s="6"/>
      <c r="M374" s="6"/>
      <c r="N374" s="6"/>
      <c r="O374" s="6"/>
      <c r="P374" s="6"/>
      <c r="Q374" s="6"/>
      <c r="R374" s="6"/>
      <c r="S374" s="6"/>
      <c r="T374" s="6"/>
      <c r="U374" s="6"/>
      <c r="V374" s="6"/>
      <c r="W374" s="6"/>
      <c r="X374" s="6"/>
      <c r="Y374" s="6"/>
      <c r="Z374" s="6"/>
      <c r="AA374" s="6"/>
      <c r="AB374" s="6"/>
      <c r="AC374" s="6"/>
      <c r="AD374" s="6"/>
      <c r="AE374" s="6"/>
      <c r="AF374" s="6">
        <v>42783</v>
      </c>
      <c r="AG374" s="6"/>
      <c r="AH374" s="6"/>
      <c r="AI374" s="6"/>
      <c r="AJ374" s="6"/>
      <c r="AK374" s="6"/>
      <c r="AL374" s="6"/>
      <c r="AM374" s="6"/>
      <c r="AN374" s="6"/>
      <c r="AO374" s="6">
        <v>42863</v>
      </c>
      <c r="AP374" s="6"/>
      <c r="AQ374" s="6">
        <v>43034</v>
      </c>
      <c r="AR374" s="6">
        <v>43082</v>
      </c>
      <c r="AS374" s="6"/>
      <c r="AT374" s="6"/>
      <c r="AU374" s="6"/>
      <c r="AV374" s="6">
        <v>43062</v>
      </c>
      <c r="AW374" s="6"/>
      <c r="AX374" s="6"/>
      <c r="AY374" s="6"/>
      <c r="AZ374" s="6">
        <v>43077</v>
      </c>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c r="FZ374" s="6"/>
      <c r="GA374" s="6"/>
      <c r="GB374" s="6"/>
      <c r="GC374" s="6"/>
      <c r="GD374" s="6"/>
      <c r="GE374" s="6"/>
      <c r="GF374" s="6"/>
      <c r="GG374" s="6"/>
      <c r="GH374" s="6"/>
      <c r="GI374" s="6"/>
      <c r="GJ374" s="6"/>
      <c r="GK374" s="6"/>
      <c r="GL374" s="6"/>
      <c r="GM374" s="6"/>
      <c r="GN374" s="6"/>
      <c r="GO374" s="6"/>
      <c r="GP374" s="6"/>
      <c r="GQ374" s="6"/>
      <c r="GR374" s="6"/>
      <c r="GS374" s="6"/>
      <c r="GT374" s="6"/>
      <c r="GU374" s="6"/>
      <c r="GV374" s="6"/>
      <c r="GW374" s="6"/>
      <c r="GX374" s="6"/>
      <c r="GY374" s="6"/>
      <c r="GZ374" s="6"/>
      <c r="HA374" s="6"/>
      <c r="HB374" s="6"/>
      <c r="HC374" s="6"/>
      <c r="HD374" s="6"/>
      <c r="HE374" s="6"/>
      <c r="HF374" s="6"/>
      <c r="HG374" s="6"/>
      <c r="HH374" s="6"/>
    </row>
    <row r="375" spans="1:216" x14ac:dyDescent="0.3">
      <c r="A375" s="8" t="str">
        <f>HYPERLINK("https://hpr-rps.hres.ca/reg-content/summary-basis-decision-detailTwo.php?lang=en&amp;linkID=SBD00385", "Bavencio")</f>
        <v>Bavencio</v>
      </c>
      <c r="B375" s="6" t="s">
        <v>990</v>
      </c>
      <c r="C375" s="6" t="s">
        <v>991</v>
      </c>
      <c r="D375" s="6" t="s">
        <v>992</v>
      </c>
      <c r="E375" s="6">
        <v>42706</v>
      </c>
      <c r="F375" s="6"/>
      <c r="G375" s="6">
        <v>42760</v>
      </c>
      <c r="H375" s="6">
        <v>42817</v>
      </c>
      <c r="I375" s="6"/>
      <c r="J375" s="6"/>
      <c r="K375" s="6"/>
      <c r="L375" s="6"/>
      <c r="M375" s="6"/>
      <c r="N375" s="6"/>
      <c r="O375" s="6"/>
      <c r="P375" s="6"/>
      <c r="Q375" s="6"/>
      <c r="R375" s="6"/>
      <c r="S375" s="6"/>
      <c r="T375" s="6"/>
      <c r="U375" s="6"/>
      <c r="V375" s="6"/>
      <c r="W375" s="6"/>
      <c r="X375" s="6"/>
      <c r="Y375" s="6"/>
      <c r="Z375" s="6"/>
      <c r="AA375" s="6"/>
      <c r="AB375" s="6"/>
      <c r="AC375" s="6"/>
      <c r="AD375" s="6"/>
      <c r="AE375" s="6"/>
      <c r="AF375" s="6">
        <v>42846</v>
      </c>
      <c r="AG375" s="6"/>
      <c r="AH375" s="6"/>
      <c r="AI375" s="6"/>
      <c r="AJ375" s="6"/>
      <c r="AK375" s="6"/>
      <c r="AL375" s="6"/>
      <c r="AM375" s="6"/>
      <c r="AN375" s="6"/>
      <c r="AO375" s="6">
        <v>42997</v>
      </c>
      <c r="AP375" s="6"/>
      <c r="AQ375" s="6">
        <v>42975</v>
      </c>
      <c r="AR375" s="6">
        <v>43042</v>
      </c>
      <c r="AS375" s="6"/>
      <c r="AT375" s="6"/>
      <c r="AU375" s="6"/>
      <c r="AV375" s="6">
        <v>43045</v>
      </c>
      <c r="AW375" s="6"/>
      <c r="AX375" s="6"/>
      <c r="AY375" s="6"/>
      <c r="AZ375" s="6">
        <v>43046</v>
      </c>
      <c r="BA375" s="6"/>
      <c r="BB375" s="6"/>
      <c r="BC375" s="6"/>
      <c r="BD375" s="6"/>
      <c r="BE375" s="6"/>
      <c r="BF375" s="6"/>
      <c r="BG375" s="6"/>
      <c r="BH375" s="6"/>
      <c r="BI375" s="6"/>
      <c r="BJ375" s="6"/>
      <c r="BK375" s="6">
        <v>43046</v>
      </c>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v>43069</v>
      </c>
      <c r="CV375" s="6"/>
      <c r="CW375" s="6"/>
      <c r="CX375" s="6"/>
      <c r="CY375" s="6"/>
      <c r="CZ375" s="6"/>
      <c r="DA375" s="6"/>
      <c r="DB375" s="6"/>
      <c r="DC375" s="6"/>
      <c r="DD375" s="6"/>
      <c r="DE375" s="6"/>
      <c r="DF375" s="6"/>
      <c r="DG375" s="6">
        <v>43087</v>
      </c>
      <c r="DH375" s="6"/>
      <c r="DI375" s="6"/>
      <c r="DJ375" s="6"/>
      <c r="DK375" s="6"/>
      <c r="DL375" s="6"/>
      <c r="DM375" s="6"/>
      <c r="DN375" s="6"/>
      <c r="DO375" s="6"/>
      <c r="DP375" s="6"/>
      <c r="DQ375" s="6"/>
      <c r="DR375" s="6"/>
      <c r="DS375" s="6"/>
      <c r="DT375" s="6">
        <v>43059</v>
      </c>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c r="FZ375" s="6"/>
      <c r="GA375" s="6"/>
      <c r="GB375" s="6"/>
      <c r="GC375" s="6"/>
      <c r="GD375" s="6"/>
      <c r="GE375" s="6"/>
      <c r="GF375" s="6"/>
      <c r="GG375" s="6"/>
      <c r="GH375" s="6"/>
      <c r="GI375" s="6"/>
      <c r="GJ375" s="6"/>
      <c r="GK375" s="6"/>
      <c r="GL375" s="6"/>
      <c r="GM375" s="6"/>
      <c r="GN375" s="6"/>
      <c r="GO375" s="6"/>
      <c r="GP375" s="6"/>
      <c r="GQ375" s="6"/>
      <c r="GR375" s="6"/>
      <c r="GS375" s="6"/>
      <c r="GT375" s="6"/>
      <c r="GU375" s="6"/>
      <c r="GV375" s="6"/>
      <c r="GW375" s="6"/>
      <c r="GX375" s="6"/>
      <c r="GY375" s="6"/>
      <c r="GZ375" s="6"/>
      <c r="HA375" s="6"/>
      <c r="HB375" s="6"/>
      <c r="HC375" s="6"/>
      <c r="HD375" s="6"/>
      <c r="HE375" s="6"/>
      <c r="HF375" s="6"/>
      <c r="HG375" s="6"/>
      <c r="HH375" s="6"/>
    </row>
    <row r="376" spans="1:216" x14ac:dyDescent="0.3">
      <c r="A376" s="8" t="str">
        <f>HYPERLINK("https://hpr-rps.hres.ca/reg-content/summary-basis-decision-detailTwo.php?lang=en&amp;linkID=SBD00387", "Tremfya")</f>
        <v>Tremfya</v>
      </c>
      <c r="B376" s="6" t="s">
        <v>993</v>
      </c>
      <c r="C376" s="6" t="s">
        <v>201</v>
      </c>
      <c r="D376" s="6" t="s">
        <v>994</v>
      </c>
      <c r="E376" s="6">
        <v>42586</v>
      </c>
      <c r="F376" s="6"/>
      <c r="G376" s="6"/>
      <c r="H376" s="6">
        <v>42699</v>
      </c>
      <c r="I376" s="6"/>
      <c r="J376" s="6"/>
      <c r="K376" s="6"/>
      <c r="L376" s="6"/>
      <c r="M376" s="6"/>
      <c r="N376" s="6"/>
      <c r="O376" s="6"/>
      <c r="P376" s="6"/>
      <c r="Q376" s="6"/>
      <c r="R376" s="6"/>
      <c r="S376" s="6"/>
      <c r="T376" s="6"/>
      <c r="U376" s="6"/>
      <c r="V376" s="6"/>
      <c r="W376" s="6"/>
      <c r="X376" s="6"/>
      <c r="Y376" s="6"/>
      <c r="Z376" s="6"/>
      <c r="AA376" s="6"/>
      <c r="AB376" s="6"/>
      <c r="AC376" s="6"/>
      <c r="AD376" s="6"/>
      <c r="AE376" s="6"/>
      <c r="AF376" s="6">
        <v>42751</v>
      </c>
      <c r="AG376" s="6"/>
      <c r="AH376" s="6"/>
      <c r="AI376" s="6"/>
      <c r="AJ376" s="6"/>
      <c r="AK376" s="6"/>
      <c r="AL376" s="6"/>
      <c r="AM376" s="6"/>
      <c r="AN376" s="6"/>
      <c r="AO376" s="6"/>
      <c r="AP376" s="6"/>
      <c r="AQ376" s="6">
        <v>42934</v>
      </c>
      <c r="AR376" s="6">
        <v>43047</v>
      </c>
      <c r="AS376" s="6"/>
      <c r="AT376" s="6"/>
      <c r="AU376" s="6"/>
      <c r="AV376" s="6">
        <v>43014</v>
      </c>
      <c r="AW376" s="6"/>
      <c r="AX376" s="6">
        <v>43049</v>
      </c>
      <c r="AY376" s="6"/>
      <c r="AZ376" s="6">
        <v>43049</v>
      </c>
      <c r="BA376" s="6"/>
      <c r="BB376" s="6"/>
      <c r="BC376" s="6"/>
      <c r="BD376" s="6"/>
      <c r="BE376" s="6"/>
      <c r="BF376" s="6"/>
      <c r="BG376" s="6"/>
      <c r="BH376" s="6"/>
      <c r="BI376" s="6"/>
      <c r="BJ376" s="6"/>
      <c r="BK376" s="6"/>
      <c r="BL376" s="6"/>
      <c r="BM376" s="6">
        <v>43049</v>
      </c>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c r="FZ376" s="6"/>
      <c r="GA376" s="6"/>
      <c r="GB376" s="6"/>
      <c r="GC376" s="6"/>
      <c r="GD376" s="6"/>
      <c r="GE376" s="6"/>
      <c r="GF376" s="6"/>
      <c r="GG376" s="6"/>
      <c r="GH376" s="6"/>
      <c r="GI376" s="6"/>
      <c r="GJ376" s="6"/>
      <c r="GK376" s="6"/>
      <c r="GL376" s="6"/>
      <c r="GM376" s="6"/>
      <c r="GN376" s="6"/>
      <c r="GO376" s="6"/>
      <c r="GP376" s="6"/>
      <c r="GQ376" s="6"/>
      <c r="GR376" s="6"/>
      <c r="GS376" s="6"/>
      <c r="GT376" s="6"/>
      <c r="GU376" s="6"/>
      <c r="GV376" s="6"/>
      <c r="GW376" s="6"/>
      <c r="GX376" s="6"/>
      <c r="GY376" s="6"/>
      <c r="GZ376" s="6"/>
      <c r="HA376" s="6"/>
      <c r="HB376" s="6"/>
      <c r="HC376" s="6"/>
      <c r="HD376" s="6"/>
      <c r="HE376" s="6"/>
      <c r="HF376" s="6"/>
      <c r="HG376" s="6"/>
      <c r="HH376" s="6"/>
    </row>
    <row r="377" spans="1:216" x14ac:dyDescent="0.3">
      <c r="A377" s="8" t="str">
        <f>HYPERLINK("https://hpr-rps.hres.ca/reg-content/summary-basis-decision-detailTwo.php?lang=en&amp;linkID=SBD00388", "Ozempic")</f>
        <v>Ozempic</v>
      </c>
      <c r="B377" s="6" t="s">
        <v>995</v>
      </c>
      <c r="C377" s="6" t="s">
        <v>301</v>
      </c>
      <c r="D377" s="6" t="s">
        <v>996</v>
      </c>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c r="FZ377" s="6"/>
      <c r="GA377" s="6"/>
      <c r="GB377" s="6"/>
      <c r="GC377" s="6"/>
      <c r="GD377" s="6"/>
      <c r="GE377" s="6"/>
      <c r="GF377" s="6"/>
      <c r="GG377" s="6"/>
      <c r="GH377" s="6"/>
      <c r="GI377" s="6"/>
      <c r="GJ377" s="6"/>
      <c r="GK377" s="6"/>
      <c r="GL377" s="6"/>
      <c r="GM377" s="6"/>
      <c r="GN377" s="6"/>
      <c r="GO377" s="6"/>
      <c r="GP377" s="6"/>
      <c r="GQ377" s="6"/>
      <c r="GR377" s="6"/>
      <c r="GS377" s="6"/>
      <c r="GT377" s="6"/>
      <c r="GU377" s="6"/>
      <c r="GV377" s="6"/>
      <c r="GW377" s="6"/>
      <c r="GX377" s="6"/>
      <c r="GY377" s="6"/>
      <c r="GZ377" s="6"/>
      <c r="HA377" s="6"/>
      <c r="HB377" s="6"/>
      <c r="HC377" s="6"/>
      <c r="HD377" s="6"/>
      <c r="HE377" s="6"/>
      <c r="HF377" s="6"/>
      <c r="HG377" s="6"/>
      <c r="HH377" s="6"/>
    </row>
    <row r="378" spans="1:216" x14ac:dyDescent="0.3">
      <c r="A378" s="8" t="str">
        <f>HYPERLINK("https://hpr-rps.hres.ca/reg-content/summary-basis-decision-detailTwo.php?lang=en&amp;linkID=SBD00389", "Lonsurf")</f>
        <v>Lonsurf</v>
      </c>
      <c r="B378" s="6" t="s">
        <v>997</v>
      </c>
      <c r="C378" s="6" t="s">
        <v>998</v>
      </c>
      <c r="D378" s="6" t="s">
        <v>999</v>
      </c>
      <c r="E378" s="6">
        <v>42682</v>
      </c>
      <c r="F378" s="6"/>
      <c r="G378" s="6"/>
      <c r="H378" s="6"/>
      <c r="I378" s="6"/>
      <c r="J378" s="6"/>
      <c r="K378" s="6"/>
      <c r="L378" s="6"/>
      <c r="M378" s="6"/>
      <c r="N378" s="6">
        <v>42794</v>
      </c>
      <c r="O378" s="6"/>
      <c r="P378" s="6"/>
      <c r="Q378" s="6"/>
      <c r="R378" s="6"/>
      <c r="S378" s="6">
        <v>42831</v>
      </c>
      <c r="T378" s="6"/>
      <c r="U378" s="6"/>
      <c r="V378" s="6">
        <v>42885</v>
      </c>
      <c r="W378" s="6"/>
      <c r="X378" s="6"/>
      <c r="Y378" s="6"/>
      <c r="Z378" s="6">
        <v>42913</v>
      </c>
      <c r="AA378" s="6"/>
      <c r="AB378" s="6"/>
      <c r="AC378" s="6">
        <v>42927</v>
      </c>
      <c r="AD378" s="6"/>
      <c r="AE378" s="6"/>
      <c r="AF378" s="6">
        <v>42947</v>
      </c>
      <c r="AG378" s="6"/>
      <c r="AH378" s="6"/>
      <c r="AI378" s="6"/>
      <c r="AJ378" s="6"/>
      <c r="AK378" s="6"/>
      <c r="AL378" s="6"/>
      <c r="AM378" s="6"/>
      <c r="AN378" s="6"/>
      <c r="AO378" s="6"/>
      <c r="AP378" s="6"/>
      <c r="AQ378" s="6">
        <v>43089</v>
      </c>
      <c r="AR378" s="6">
        <v>43117</v>
      </c>
      <c r="AS378" s="6">
        <v>43077</v>
      </c>
      <c r="AT378" s="6"/>
      <c r="AU378" s="6"/>
      <c r="AV378" s="6">
        <v>43118</v>
      </c>
      <c r="AW378" s="6"/>
      <c r="AX378" s="6"/>
      <c r="AY378" s="6"/>
      <c r="AZ378" s="6">
        <v>43119</v>
      </c>
      <c r="BA378" s="6"/>
      <c r="BB378" s="6"/>
      <c r="BC378" s="6"/>
      <c r="BD378" s="6"/>
      <c r="BE378" s="6"/>
      <c r="BF378" s="6"/>
      <c r="BG378" s="6"/>
      <c r="BH378" s="6"/>
      <c r="BI378" s="6"/>
      <c r="BJ378" s="6"/>
      <c r="BK378" s="6"/>
      <c r="BL378" s="6"/>
      <c r="BM378" s="6">
        <v>43125</v>
      </c>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c r="FZ378" s="6"/>
      <c r="GA378" s="6"/>
      <c r="GB378" s="6"/>
      <c r="GC378" s="6"/>
      <c r="GD378" s="6"/>
      <c r="GE378" s="6"/>
      <c r="GF378" s="6"/>
      <c r="GG378" s="6"/>
      <c r="GH378" s="6"/>
      <c r="GI378" s="6"/>
      <c r="GJ378" s="6"/>
      <c r="GK378" s="6"/>
      <c r="GL378" s="6"/>
      <c r="GM378" s="6"/>
      <c r="GN378" s="6"/>
      <c r="GO378" s="6"/>
      <c r="GP378" s="6"/>
      <c r="GQ378" s="6"/>
      <c r="GR378" s="6"/>
      <c r="GS378" s="6"/>
      <c r="GT378" s="6"/>
      <c r="GU378" s="6"/>
      <c r="GV378" s="6"/>
      <c r="GW378" s="6"/>
      <c r="GX378" s="6"/>
      <c r="GY378" s="6"/>
      <c r="GZ378" s="6"/>
      <c r="HA378" s="6"/>
      <c r="HB378" s="6"/>
      <c r="HC378" s="6"/>
      <c r="HD378" s="6"/>
      <c r="HE378" s="6"/>
      <c r="HF378" s="6"/>
      <c r="HG378" s="6"/>
      <c r="HH378" s="6"/>
    </row>
    <row r="379" spans="1:216" x14ac:dyDescent="0.3">
      <c r="A379" s="8" t="str">
        <f>HYPERLINK("https://hpr-rps.hres.ca/reg-content/summary-basis-decision-detailTwo.php?lang=en&amp;linkID=SBD00390", "Fasenra")</f>
        <v>Fasenra</v>
      </c>
      <c r="B379" s="6" t="s">
        <v>1000</v>
      </c>
      <c r="C379" s="6" t="s">
        <v>137</v>
      </c>
      <c r="D379" s="6" t="s">
        <v>1001</v>
      </c>
      <c r="E379" s="6">
        <v>42823</v>
      </c>
      <c r="F379" s="6"/>
      <c r="G379" s="6"/>
      <c r="H379" s="6"/>
      <c r="I379" s="6"/>
      <c r="J379" s="6"/>
      <c r="K379" s="6"/>
      <c r="L379" s="6"/>
      <c r="M379" s="6"/>
      <c r="N379" s="6">
        <v>42853</v>
      </c>
      <c r="O379" s="6"/>
      <c r="P379" s="6"/>
      <c r="Q379" s="6"/>
      <c r="R379" s="6"/>
      <c r="S379" s="6">
        <v>42881</v>
      </c>
      <c r="T379" s="6"/>
      <c r="U379" s="6"/>
      <c r="V379" s="6">
        <v>42891</v>
      </c>
      <c r="W379" s="6"/>
      <c r="X379" s="6"/>
      <c r="Y379" s="6"/>
      <c r="Z379" s="6">
        <v>42916</v>
      </c>
      <c r="AA379" s="6"/>
      <c r="AB379" s="6"/>
      <c r="AC379" s="6">
        <v>42922</v>
      </c>
      <c r="AD379" s="6"/>
      <c r="AE379" s="6"/>
      <c r="AF379" s="6">
        <v>42942</v>
      </c>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v>43069</v>
      </c>
      <c r="BQ379" s="6"/>
      <c r="BR379" s="6"/>
      <c r="BS379" s="6"/>
      <c r="BT379" s="6"/>
      <c r="BU379" s="6"/>
      <c r="BV379" s="6"/>
      <c r="BW379" s="6"/>
      <c r="BX379" s="6"/>
      <c r="BY379" s="6">
        <v>43158</v>
      </c>
      <c r="BZ379" s="6"/>
      <c r="CA379" s="6"/>
      <c r="CB379" s="6"/>
      <c r="CC379" s="6"/>
      <c r="CD379" s="6"/>
      <c r="CE379" s="6"/>
      <c r="CF379" s="6"/>
      <c r="CG379" s="6"/>
      <c r="CH379" s="6"/>
      <c r="CI379" s="6"/>
      <c r="CJ379" s="6"/>
      <c r="CK379" s="6"/>
      <c r="CL379" s="6"/>
      <c r="CM379" s="6"/>
      <c r="CN379" s="6"/>
      <c r="CO379" s="6"/>
      <c r="CP379" s="6"/>
      <c r="CQ379" s="6"/>
      <c r="CR379" s="6">
        <v>43175</v>
      </c>
      <c r="CS379" s="6"/>
      <c r="CT379" s="6"/>
      <c r="CU379" s="6"/>
      <c r="CV379" s="6"/>
      <c r="CW379" s="6"/>
      <c r="CX379" s="6"/>
      <c r="CY379" s="6"/>
      <c r="CZ379" s="6"/>
      <c r="DA379" s="6"/>
      <c r="DB379" s="6"/>
      <c r="DC379" s="6">
        <v>43089</v>
      </c>
      <c r="DD379" s="6">
        <v>43328</v>
      </c>
      <c r="DE379" s="6"/>
      <c r="DF379" s="6"/>
      <c r="DG379" s="6"/>
      <c r="DH379" s="6">
        <v>43355</v>
      </c>
      <c r="DI379" s="6"/>
      <c r="DJ379" s="6">
        <v>43062</v>
      </c>
      <c r="DK379" s="6"/>
      <c r="DL379" s="6">
        <v>43355</v>
      </c>
      <c r="DM379" s="6"/>
      <c r="DN379" s="6"/>
      <c r="DO379" s="6"/>
      <c r="DP379" s="6"/>
      <c r="DQ379" s="6"/>
      <c r="DR379" s="6"/>
      <c r="DS379" s="6"/>
      <c r="DT379" s="6"/>
      <c r="DU379" s="6"/>
      <c r="DV379" s="6"/>
      <c r="DW379" s="6"/>
      <c r="DX379" s="6"/>
      <c r="DY379" s="6">
        <v>43357</v>
      </c>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c r="FZ379" s="6"/>
      <c r="GA379" s="6"/>
      <c r="GB379" s="6"/>
      <c r="GC379" s="6"/>
      <c r="GD379" s="6"/>
      <c r="GE379" s="6"/>
      <c r="GF379" s="6"/>
      <c r="GG379" s="6"/>
      <c r="GH379" s="6"/>
      <c r="GI379" s="6"/>
      <c r="GJ379" s="6"/>
      <c r="GK379" s="6"/>
      <c r="GL379" s="6"/>
      <c r="GM379" s="6"/>
      <c r="GN379" s="6"/>
      <c r="GO379" s="6"/>
      <c r="GP379" s="6"/>
      <c r="GQ379" s="6"/>
      <c r="GR379" s="6"/>
      <c r="GS379" s="6"/>
      <c r="GT379" s="6"/>
      <c r="GU379" s="6"/>
      <c r="GV379" s="6"/>
      <c r="GW379" s="6"/>
      <c r="GX379" s="6"/>
      <c r="GY379" s="6"/>
      <c r="GZ379" s="6"/>
      <c r="HA379" s="6"/>
      <c r="HB379" s="6"/>
      <c r="HC379" s="6"/>
      <c r="HD379" s="6"/>
      <c r="HE379" s="6"/>
      <c r="HF379" s="6"/>
      <c r="HG379" s="6"/>
      <c r="HH379" s="6"/>
    </row>
    <row r="380" spans="1:216" x14ac:dyDescent="0.3">
      <c r="A380" s="8" t="str">
        <f>HYPERLINK("https://hpr-rps.hres.ca/reg-content/summary-basis-decision-detailTwo.php?lang=en&amp;linkID=SBD00391", "DaTscan")</f>
        <v>DaTscan</v>
      </c>
      <c r="B380" s="6" t="s">
        <v>1002</v>
      </c>
      <c r="C380" s="6" t="s">
        <v>1003</v>
      </c>
      <c r="D380" s="6" t="s">
        <v>1004</v>
      </c>
      <c r="E380" s="6">
        <v>40500</v>
      </c>
      <c r="F380" s="6"/>
      <c r="G380" s="6"/>
      <c r="H380" s="6"/>
      <c r="I380" s="6"/>
      <c r="J380" s="6"/>
      <c r="K380" s="6"/>
      <c r="L380" s="6"/>
      <c r="M380" s="6"/>
      <c r="N380" s="6">
        <v>42423</v>
      </c>
      <c r="O380" s="6"/>
      <c r="P380" s="6"/>
      <c r="Q380" s="6"/>
      <c r="R380" s="6"/>
      <c r="S380" s="6"/>
      <c r="T380" s="6">
        <v>42447</v>
      </c>
      <c r="U380" s="6"/>
      <c r="V380" s="6">
        <v>42726</v>
      </c>
      <c r="W380" s="6"/>
      <c r="X380" s="6"/>
      <c r="Y380" s="6"/>
      <c r="Z380" s="6"/>
      <c r="AA380" s="6"/>
      <c r="AB380" s="6"/>
      <c r="AC380" s="6"/>
      <c r="AD380" s="6"/>
      <c r="AE380" s="6"/>
      <c r="AF380" s="6">
        <v>42776</v>
      </c>
      <c r="AG380" s="6"/>
      <c r="AH380" s="6"/>
      <c r="AI380" s="6"/>
      <c r="AJ380" s="6"/>
      <c r="AK380" s="6"/>
      <c r="AL380" s="6"/>
      <c r="AM380" s="6"/>
      <c r="AN380" s="6"/>
      <c r="AO380" s="6"/>
      <c r="AP380" s="6"/>
      <c r="AQ380" s="6">
        <v>43031</v>
      </c>
      <c r="AR380" s="6">
        <v>43069</v>
      </c>
      <c r="AS380" s="6"/>
      <c r="AT380" s="6"/>
      <c r="AU380" s="6"/>
      <c r="AV380" s="6">
        <v>43073</v>
      </c>
      <c r="AW380" s="6"/>
      <c r="AX380" s="6"/>
      <c r="AY380" s="6"/>
      <c r="AZ380" s="6">
        <v>43075</v>
      </c>
      <c r="BA380" s="6"/>
      <c r="BB380" s="6"/>
      <c r="BC380" s="6"/>
      <c r="BD380" s="6"/>
      <c r="BE380" s="6"/>
      <c r="BF380" s="6"/>
      <c r="BG380" s="6"/>
      <c r="BH380" s="6"/>
      <c r="BI380" s="6"/>
      <c r="BJ380" s="6"/>
      <c r="BK380" s="6"/>
      <c r="BL380" s="6"/>
      <c r="BM380" s="6">
        <v>43076</v>
      </c>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c r="FZ380" s="6"/>
      <c r="GA380" s="6"/>
      <c r="GB380" s="6"/>
      <c r="GC380" s="6"/>
      <c r="GD380" s="6"/>
      <c r="GE380" s="6"/>
      <c r="GF380" s="6"/>
      <c r="GG380" s="6"/>
      <c r="GH380" s="6"/>
      <c r="GI380" s="6"/>
      <c r="GJ380" s="6"/>
      <c r="GK380" s="6"/>
      <c r="GL380" s="6"/>
      <c r="GM380" s="6"/>
      <c r="GN380" s="6"/>
      <c r="GO380" s="6"/>
      <c r="GP380" s="6"/>
      <c r="GQ380" s="6"/>
      <c r="GR380" s="6"/>
      <c r="GS380" s="6"/>
      <c r="GT380" s="6"/>
      <c r="GU380" s="6"/>
      <c r="GV380" s="6"/>
      <c r="GW380" s="6"/>
      <c r="GX380" s="6"/>
      <c r="GY380" s="6"/>
      <c r="GZ380" s="6"/>
      <c r="HA380" s="6"/>
      <c r="HB380" s="6"/>
      <c r="HC380" s="6"/>
      <c r="HD380" s="6"/>
      <c r="HE380" s="6"/>
      <c r="HF380" s="6"/>
      <c r="HG380" s="6"/>
      <c r="HH380" s="6"/>
    </row>
    <row r="381" spans="1:216" x14ac:dyDescent="0.3">
      <c r="A381" s="8" t="str">
        <f>HYPERLINK("https://hpr-rps.hres.ca/reg-content/summary-basis-decision-detailTwo.php?lang=en&amp;linkID=SBD00392", "Addyi")</f>
        <v>Addyi</v>
      </c>
      <c r="B381" s="6" t="s">
        <v>1005</v>
      </c>
      <c r="C381" s="6" t="s">
        <v>1006</v>
      </c>
      <c r="D381" s="6" t="s">
        <v>1007</v>
      </c>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v>40210</v>
      </c>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v>40441</v>
      </c>
      <c r="BQ381" s="6"/>
      <c r="BR381" s="6"/>
      <c r="BS381" s="6"/>
      <c r="BT381" s="6"/>
      <c r="BU381" s="6"/>
      <c r="BV381" s="6"/>
      <c r="BW381" s="6"/>
      <c r="BX381" s="6"/>
      <c r="BY381" s="6"/>
      <c r="BZ381" s="6"/>
      <c r="CA381" s="6"/>
      <c r="CB381" s="6"/>
      <c r="CC381" s="6"/>
      <c r="CD381" s="6"/>
      <c r="CE381" s="6"/>
      <c r="CF381" s="6"/>
      <c r="CG381" s="6"/>
      <c r="CH381" s="6">
        <v>40457</v>
      </c>
      <c r="CI381" s="6"/>
      <c r="CJ381" s="6"/>
      <c r="CK381" s="6"/>
      <c r="CL381" s="6">
        <v>42377</v>
      </c>
      <c r="CM381" s="6"/>
      <c r="CN381" s="6"/>
      <c r="CO381" s="6">
        <v>42433</v>
      </c>
      <c r="CP381" s="6"/>
      <c r="CQ381" s="6"/>
      <c r="CR381" s="6">
        <v>42461</v>
      </c>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v>42683</v>
      </c>
      <c r="EH381" s="6"/>
      <c r="EI381" s="6"/>
      <c r="EJ381" s="6"/>
      <c r="EK381" s="6">
        <v>42814</v>
      </c>
      <c r="EL381" s="6"/>
      <c r="EM381" s="6"/>
      <c r="EN381" s="6"/>
      <c r="EO381" s="6"/>
      <c r="EP381" s="6"/>
      <c r="EQ381" s="6"/>
      <c r="ER381" s="6"/>
      <c r="ES381" s="6"/>
      <c r="ET381" s="6"/>
      <c r="EU381" s="6"/>
      <c r="EV381" s="6"/>
      <c r="EW381" s="6"/>
      <c r="EX381" s="6"/>
      <c r="EY381" s="6"/>
      <c r="EZ381" s="6"/>
      <c r="FA381" s="6"/>
      <c r="FB381" s="6"/>
      <c r="FC381" s="6"/>
      <c r="FD381" s="6">
        <v>42858</v>
      </c>
      <c r="FE381" s="6"/>
      <c r="FF381" s="6"/>
      <c r="FG381" s="6"/>
      <c r="FH381" s="6"/>
      <c r="FI381" s="6"/>
      <c r="FJ381" s="6"/>
      <c r="FK381" s="6"/>
      <c r="FL381" s="6"/>
      <c r="FM381" s="6"/>
      <c r="FN381" s="6"/>
      <c r="FO381" s="6">
        <v>43158</v>
      </c>
      <c r="FP381" s="6">
        <v>43157</v>
      </c>
      <c r="FQ381" s="6">
        <v>43102</v>
      </c>
      <c r="FR381" s="6"/>
      <c r="FS381" s="6">
        <v>43110</v>
      </c>
      <c r="FT381" s="6">
        <v>43157</v>
      </c>
      <c r="FU381" s="6"/>
      <c r="FV381" s="6"/>
      <c r="FW381" s="6"/>
      <c r="FX381" s="6">
        <v>43157</v>
      </c>
      <c r="FY381" s="6"/>
      <c r="FZ381" s="6"/>
      <c r="GA381" s="6"/>
      <c r="GB381" s="6"/>
      <c r="GC381" s="6"/>
      <c r="GD381" s="6"/>
      <c r="GE381" s="6"/>
      <c r="GF381" s="6"/>
      <c r="GG381" s="6"/>
      <c r="GH381" s="6"/>
      <c r="GI381" s="6"/>
      <c r="GJ381" s="6"/>
      <c r="GK381" s="6">
        <v>43158</v>
      </c>
      <c r="GL381" s="6"/>
      <c r="GM381" s="6"/>
      <c r="GN381" s="6"/>
      <c r="GO381" s="6"/>
      <c r="GP381" s="6"/>
      <c r="GQ381" s="6"/>
      <c r="GR381" s="6"/>
      <c r="GS381" s="6"/>
      <c r="GT381" s="6"/>
      <c r="GU381" s="6"/>
      <c r="GV381" s="6"/>
      <c r="GW381" s="6"/>
      <c r="GX381" s="6"/>
      <c r="GY381" s="6"/>
      <c r="GZ381" s="6"/>
      <c r="HA381" s="6"/>
      <c r="HB381" s="6"/>
      <c r="HC381" s="6"/>
      <c r="HD381" s="6"/>
      <c r="HE381" s="6"/>
      <c r="HF381" s="6"/>
      <c r="HG381" s="6"/>
      <c r="HH381" s="6"/>
    </row>
    <row r="382" spans="1:216" x14ac:dyDescent="0.3">
      <c r="A382" s="8" t="str">
        <f>HYPERLINK("https://hpr-rps.hres.ca/reg-content/summary-basis-decision-detailTwo.php?lang=en&amp;linkID=SBD00395", "Kisqali")</f>
        <v>Kisqali</v>
      </c>
      <c r="B382" s="6" t="s">
        <v>1008</v>
      </c>
      <c r="C382" s="6" t="s">
        <v>87</v>
      </c>
      <c r="D382" s="6" t="s">
        <v>1009</v>
      </c>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c r="FZ382" s="6"/>
      <c r="GA382" s="6"/>
      <c r="GB382" s="6"/>
      <c r="GC382" s="6"/>
      <c r="GD382" s="6"/>
      <c r="GE382" s="6"/>
      <c r="GF382" s="6"/>
      <c r="GG382" s="6"/>
      <c r="GH382" s="6"/>
      <c r="GI382" s="6"/>
      <c r="GJ382" s="6"/>
      <c r="GK382" s="6"/>
      <c r="GL382" s="6"/>
      <c r="GM382" s="6"/>
      <c r="GN382" s="6"/>
      <c r="GO382" s="6"/>
      <c r="GP382" s="6"/>
      <c r="GQ382" s="6"/>
      <c r="GR382" s="6"/>
      <c r="GS382" s="6"/>
      <c r="GT382" s="6"/>
      <c r="GU382" s="6"/>
      <c r="GV382" s="6"/>
      <c r="GW382" s="6"/>
      <c r="GX382" s="6"/>
      <c r="GY382" s="6"/>
      <c r="GZ382" s="6"/>
      <c r="HA382" s="6"/>
      <c r="HB382" s="6"/>
      <c r="HC382" s="6"/>
      <c r="HD382" s="6"/>
      <c r="HE382" s="6"/>
      <c r="HF382" s="6"/>
      <c r="HG382" s="6"/>
      <c r="HH382" s="6"/>
    </row>
    <row r="383" spans="1:216" x14ac:dyDescent="0.3">
      <c r="A383" s="8" t="str">
        <f>HYPERLINK("https://hpr-rps.hres.ca/reg-content/summary-basis-decision-detailTwo.php?lang=en&amp;linkID=SBD00393", "Rekovelle")</f>
        <v>Rekovelle</v>
      </c>
      <c r="B383" s="6" t="s">
        <v>1010</v>
      </c>
      <c r="C383" s="6" t="s">
        <v>1011</v>
      </c>
      <c r="D383" s="6" t="s">
        <v>1012</v>
      </c>
      <c r="E383" s="6">
        <v>43145</v>
      </c>
      <c r="F383" s="6"/>
      <c r="G383" s="6"/>
      <c r="H383" s="6"/>
      <c r="I383" s="6"/>
      <c r="J383" s="6"/>
      <c r="K383" s="6"/>
      <c r="L383" s="6"/>
      <c r="M383" s="6"/>
      <c r="N383" s="6">
        <v>43119</v>
      </c>
      <c r="O383" s="6"/>
      <c r="P383" s="6"/>
      <c r="Q383" s="6"/>
      <c r="R383" s="6"/>
      <c r="S383" s="6">
        <v>43152</v>
      </c>
      <c r="T383" s="6"/>
      <c r="U383" s="6"/>
      <c r="V383" s="6">
        <v>43166</v>
      </c>
      <c r="W383" s="6"/>
      <c r="X383" s="6"/>
      <c r="Y383" s="6"/>
      <c r="Z383" s="6"/>
      <c r="AA383" s="6"/>
      <c r="AB383" s="6"/>
      <c r="AC383" s="6"/>
      <c r="AD383" s="6"/>
      <c r="AE383" s="6"/>
      <c r="AF383" s="6">
        <v>43196</v>
      </c>
      <c r="AG383" s="6"/>
      <c r="AH383" s="6"/>
      <c r="AI383" s="6"/>
      <c r="AJ383" s="6"/>
      <c r="AK383" s="6"/>
      <c r="AL383" s="6"/>
      <c r="AM383" s="6"/>
      <c r="AN383" s="6"/>
      <c r="AO383" s="6"/>
      <c r="AP383" s="6"/>
      <c r="AQ383" s="6">
        <v>43364</v>
      </c>
      <c r="AR383" s="6">
        <v>43375</v>
      </c>
      <c r="AS383" s="6"/>
      <c r="AT383" s="6"/>
      <c r="AU383" s="6"/>
      <c r="AV383" s="6">
        <v>43375</v>
      </c>
      <c r="AW383" s="6"/>
      <c r="AX383" s="6">
        <v>43376</v>
      </c>
      <c r="AY383" s="6"/>
      <c r="AZ383" s="6">
        <v>43375</v>
      </c>
      <c r="BA383" s="6"/>
      <c r="BB383" s="6"/>
      <c r="BC383" s="6"/>
      <c r="BD383" s="6"/>
      <c r="BE383" s="6"/>
      <c r="BF383" s="6"/>
      <c r="BG383" s="6"/>
      <c r="BH383" s="6"/>
      <c r="BI383" s="6"/>
      <c r="BJ383" s="6"/>
      <c r="BK383" s="6"/>
      <c r="BL383" s="6"/>
      <c r="BM383" s="6">
        <v>43376</v>
      </c>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c r="FZ383" s="6"/>
      <c r="GA383" s="6"/>
      <c r="GB383" s="6"/>
      <c r="GC383" s="6"/>
      <c r="GD383" s="6"/>
      <c r="GE383" s="6"/>
      <c r="GF383" s="6"/>
      <c r="GG383" s="6"/>
      <c r="GH383" s="6"/>
      <c r="GI383" s="6"/>
      <c r="GJ383" s="6"/>
      <c r="GK383" s="6"/>
      <c r="GL383" s="6"/>
      <c r="GM383" s="6"/>
      <c r="GN383" s="6"/>
      <c r="GO383" s="6"/>
      <c r="GP383" s="6"/>
      <c r="GQ383" s="6"/>
      <c r="GR383" s="6"/>
      <c r="GS383" s="6"/>
      <c r="GT383" s="6"/>
      <c r="GU383" s="6"/>
      <c r="GV383" s="6"/>
      <c r="GW383" s="6"/>
      <c r="GX383" s="6"/>
      <c r="GY383" s="6"/>
      <c r="GZ383" s="6"/>
      <c r="HA383" s="6"/>
      <c r="HB383" s="6"/>
      <c r="HC383" s="6"/>
      <c r="HD383" s="6"/>
      <c r="HE383" s="6"/>
      <c r="HF383" s="6"/>
      <c r="HG383" s="6"/>
      <c r="HH383" s="6"/>
    </row>
    <row r="384" spans="1:216" x14ac:dyDescent="0.3">
      <c r="A384" s="8" t="str">
        <f>HYPERLINK("https://hpr-rps.hres.ca/reg-content/summary-basis-decision-detailTwo.php?lang=en&amp;linkID=SBD00394", "Siliq")</f>
        <v>Siliq</v>
      </c>
      <c r="B384" s="6" t="s">
        <v>1013</v>
      </c>
      <c r="C384" s="6" t="s">
        <v>718</v>
      </c>
      <c r="D384" s="6" t="s">
        <v>1014</v>
      </c>
      <c r="E384" s="6"/>
      <c r="F384" s="6"/>
      <c r="G384" s="6"/>
      <c r="H384" s="6">
        <v>42514</v>
      </c>
      <c r="I384" s="6">
        <v>42566</v>
      </c>
      <c r="J384" s="6"/>
      <c r="K384" s="6"/>
      <c r="L384" s="6"/>
      <c r="M384" s="6"/>
      <c r="N384" s="6"/>
      <c r="O384" s="6"/>
      <c r="P384" s="6"/>
      <c r="Q384" s="6"/>
      <c r="R384" s="6"/>
      <c r="S384" s="6"/>
      <c r="T384" s="6"/>
      <c r="U384" s="6"/>
      <c r="V384" s="6"/>
      <c r="W384" s="6"/>
      <c r="X384" s="6">
        <v>42831</v>
      </c>
      <c r="Y384" s="6">
        <v>43164</v>
      </c>
      <c r="Z384" s="6"/>
      <c r="AA384" s="6"/>
      <c r="AB384" s="6"/>
      <c r="AC384" s="6">
        <v>42863</v>
      </c>
      <c r="AD384" s="6"/>
      <c r="AE384" s="6"/>
      <c r="AF384" s="6">
        <v>42865</v>
      </c>
      <c r="AG384" s="6"/>
      <c r="AH384" s="6"/>
      <c r="AI384" s="6">
        <v>43159</v>
      </c>
      <c r="AJ384" s="6"/>
      <c r="AK384" s="6"/>
      <c r="AL384" s="6"/>
      <c r="AM384" s="6">
        <v>43165</v>
      </c>
      <c r="AN384" s="6"/>
      <c r="AO384" s="6"/>
      <c r="AP384" s="6"/>
      <c r="AQ384" s="6"/>
      <c r="AR384" s="6"/>
      <c r="AS384" s="6"/>
      <c r="AT384" s="6"/>
      <c r="AU384" s="6"/>
      <c r="AV384" s="6">
        <v>43161</v>
      </c>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c r="FZ384" s="6"/>
      <c r="GA384" s="6"/>
      <c r="GB384" s="6"/>
      <c r="GC384" s="6"/>
      <c r="GD384" s="6"/>
      <c r="GE384" s="6"/>
      <c r="GF384" s="6"/>
      <c r="GG384" s="6"/>
      <c r="GH384" s="6"/>
      <c r="GI384" s="6"/>
      <c r="GJ384" s="6"/>
      <c r="GK384" s="6"/>
      <c r="GL384" s="6"/>
      <c r="GM384" s="6"/>
      <c r="GN384" s="6"/>
      <c r="GO384" s="6"/>
      <c r="GP384" s="6"/>
      <c r="GQ384" s="6"/>
      <c r="GR384" s="6"/>
      <c r="GS384" s="6"/>
      <c r="GT384" s="6"/>
      <c r="GU384" s="6"/>
      <c r="GV384" s="6"/>
      <c r="GW384" s="6"/>
      <c r="GX384" s="6"/>
      <c r="GY384" s="6"/>
      <c r="GZ384" s="6"/>
      <c r="HA384" s="6"/>
      <c r="HB384" s="6"/>
      <c r="HC384" s="6"/>
      <c r="HD384" s="6"/>
      <c r="HE384" s="6"/>
      <c r="HF384" s="6"/>
      <c r="HG384" s="6"/>
      <c r="HH384" s="6"/>
    </row>
    <row r="385" spans="1:216" x14ac:dyDescent="0.3">
      <c r="A385" s="8" t="str">
        <f>HYPERLINK("https://hpr-rps.hres.ca/reg-content/summary-basis-decision-detailTwo.php?lang=en&amp;linkID=SBD00396", "Lapelga")</f>
        <v>Lapelga</v>
      </c>
      <c r="B385" s="6" t="s">
        <v>1015</v>
      </c>
      <c r="C385" s="6" t="s">
        <v>756</v>
      </c>
      <c r="D385" s="6" t="s">
        <v>1016</v>
      </c>
      <c r="E385" s="6">
        <v>41942</v>
      </c>
      <c r="F385" s="6"/>
      <c r="G385" s="6"/>
      <c r="H385" s="6">
        <v>42846</v>
      </c>
      <c r="I385" s="6"/>
      <c r="J385" s="6"/>
      <c r="K385" s="6"/>
      <c r="L385" s="6"/>
      <c r="M385" s="6"/>
      <c r="N385" s="6"/>
      <c r="O385" s="6"/>
      <c r="P385" s="6"/>
      <c r="Q385" s="6"/>
      <c r="R385" s="6"/>
      <c r="S385" s="6"/>
      <c r="T385" s="6"/>
      <c r="U385" s="6"/>
      <c r="V385" s="6"/>
      <c r="W385" s="6"/>
      <c r="X385" s="6"/>
      <c r="Y385" s="6"/>
      <c r="Z385" s="6"/>
      <c r="AA385" s="6"/>
      <c r="AB385" s="6"/>
      <c r="AC385" s="6"/>
      <c r="AD385" s="6"/>
      <c r="AE385" s="6"/>
      <c r="AF385" s="6">
        <v>42895</v>
      </c>
      <c r="AG385" s="6"/>
      <c r="AH385" s="6"/>
      <c r="AI385" s="6"/>
      <c r="AJ385" s="6"/>
      <c r="AK385" s="6"/>
      <c r="AL385" s="6"/>
      <c r="AM385" s="6"/>
      <c r="AN385" s="6"/>
      <c r="AO385" s="6"/>
      <c r="AP385" s="6"/>
      <c r="AQ385" s="6">
        <v>43160</v>
      </c>
      <c r="AR385" s="6">
        <v>43180</v>
      </c>
      <c r="AS385" s="6"/>
      <c r="AT385" s="6"/>
      <c r="AU385" s="6"/>
      <c r="AV385" s="6">
        <v>43180</v>
      </c>
      <c r="AW385" s="6"/>
      <c r="AX385" s="6"/>
      <c r="AY385" s="6"/>
      <c r="AZ385" s="6">
        <v>43195</v>
      </c>
      <c r="BA385" s="6"/>
      <c r="BB385" s="6"/>
      <c r="BC385" s="6"/>
      <c r="BD385" s="6"/>
      <c r="BE385" s="6"/>
      <c r="BF385" s="6"/>
      <c r="BG385" s="6"/>
      <c r="BH385" s="6"/>
      <c r="BI385" s="6"/>
      <c r="BJ385" s="6"/>
      <c r="BK385" s="6"/>
      <c r="BL385" s="6"/>
      <c r="BM385" s="6">
        <v>43195</v>
      </c>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c r="FZ385" s="6"/>
      <c r="GA385" s="6"/>
      <c r="GB385" s="6"/>
      <c r="GC385" s="6"/>
      <c r="GD385" s="6"/>
      <c r="GE385" s="6"/>
      <c r="GF385" s="6"/>
      <c r="GG385" s="6"/>
      <c r="GH385" s="6"/>
      <c r="GI385" s="6"/>
      <c r="GJ385" s="6"/>
      <c r="GK385" s="6"/>
      <c r="GL385" s="6"/>
      <c r="GM385" s="6"/>
      <c r="GN385" s="6"/>
      <c r="GO385" s="6"/>
      <c r="GP385" s="6"/>
      <c r="GQ385" s="6"/>
      <c r="GR385" s="6"/>
      <c r="GS385" s="6"/>
      <c r="GT385" s="6"/>
      <c r="GU385" s="6"/>
      <c r="GV385" s="6"/>
      <c r="GW385" s="6"/>
      <c r="GX385" s="6"/>
      <c r="GY385" s="6"/>
      <c r="GZ385" s="6"/>
      <c r="HA385" s="6"/>
      <c r="HB385" s="6"/>
      <c r="HC385" s="6"/>
      <c r="HD385" s="6"/>
      <c r="HE385" s="6"/>
      <c r="HF385" s="6"/>
      <c r="HG385" s="6"/>
      <c r="HH385" s="6"/>
    </row>
    <row r="386" spans="1:216" x14ac:dyDescent="0.3">
      <c r="A386" s="8" t="str">
        <f>HYPERLINK("https://hpr-rps.hres.ca/reg-content/summary-basis-decision-detailTwo.php?lang=en&amp;linkID=SBD00397", "Probuphine")</f>
        <v>Probuphine</v>
      </c>
      <c r="B386" s="6" t="s">
        <v>1017</v>
      </c>
      <c r="C386" s="6" t="s">
        <v>1018</v>
      </c>
      <c r="D386" s="6" t="s">
        <v>1019</v>
      </c>
      <c r="E386" s="6">
        <v>42655</v>
      </c>
      <c r="F386" s="6"/>
      <c r="G386" s="6"/>
      <c r="H386" s="6">
        <v>42845</v>
      </c>
      <c r="I386" s="6"/>
      <c r="J386" s="6"/>
      <c r="K386" s="6"/>
      <c r="L386" s="6"/>
      <c r="M386" s="6"/>
      <c r="N386" s="6"/>
      <c r="O386" s="6"/>
      <c r="P386" s="6"/>
      <c r="Q386" s="6"/>
      <c r="R386" s="6"/>
      <c r="S386" s="6"/>
      <c r="T386" s="6"/>
      <c r="U386" s="6"/>
      <c r="V386" s="6"/>
      <c r="W386" s="6"/>
      <c r="X386" s="6"/>
      <c r="Y386" s="6"/>
      <c r="Z386" s="6"/>
      <c r="AA386" s="6"/>
      <c r="AB386" s="6"/>
      <c r="AC386" s="6"/>
      <c r="AD386" s="6"/>
      <c r="AE386" s="6"/>
      <c r="AF386" s="6">
        <v>42894</v>
      </c>
      <c r="AG386" s="6"/>
      <c r="AH386" s="6"/>
      <c r="AI386" s="6"/>
      <c r="AJ386" s="6"/>
      <c r="AK386" s="6"/>
      <c r="AL386" s="6"/>
      <c r="AM386" s="6"/>
      <c r="AN386" s="6"/>
      <c r="AO386" s="6"/>
      <c r="AP386" s="6"/>
      <c r="AQ386" s="6">
        <v>43117</v>
      </c>
      <c r="AR386" s="6">
        <v>43172</v>
      </c>
      <c r="AS386" s="6"/>
      <c r="AT386" s="6"/>
      <c r="AU386" s="6">
        <v>43140</v>
      </c>
      <c r="AV386" s="6">
        <v>43203</v>
      </c>
      <c r="AW386" s="6"/>
      <c r="AX386" s="6"/>
      <c r="AY386" s="6"/>
      <c r="AZ386" s="6">
        <v>43203</v>
      </c>
      <c r="BA386" s="6"/>
      <c r="BB386" s="6"/>
      <c r="BC386" s="6"/>
      <c r="BD386" s="6"/>
      <c r="BE386" s="6"/>
      <c r="BF386" s="6"/>
      <c r="BG386" s="6"/>
      <c r="BH386" s="6"/>
      <c r="BI386" s="6"/>
      <c r="BJ386" s="6"/>
      <c r="BK386" s="6"/>
      <c r="BL386" s="6"/>
      <c r="BM386" s="6">
        <v>43208</v>
      </c>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c r="FZ386" s="6"/>
      <c r="GA386" s="6"/>
      <c r="GB386" s="6"/>
      <c r="GC386" s="6"/>
      <c r="GD386" s="6"/>
      <c r="GE386" s="6"/>
      <c r="GF386" s="6"/>
      <c r="GG386" s="6"/>
      <c r="GH386" s="6"/>
      <c r="GI386" s="6"/>
      <c r="GJ386" s="6"/>
      <c r="GK386" s="6"/>
      <c r="GL386" s="6"/>
      <c r="GM386" s="6"/>
      <c r="GN386" s="6"/>
      <c r="GO386" s="6"/>
      <c r="GP386" s="6"/>
      <c r="GQ386" s="6"/>
      <c r="GR386" s="6"/>
      <c r="GS386" s="6"/>
      <c r="GT386" s="6"/>
      <c r="GU386" s="6"/>
      <c r="GV386" s="6"/>
      <c r="GW386" s="6"/>
      <c r="GX386" s="6"/>
      <c r="GY386" s="6"/>
      <c r="GZ386" s="6"/>
      <c r="HA386" s="6"/>
      <c r="HB386" s="6"/>
      <c r="HC386" s="6"/>
      <c r="HD386" s="6"/>
      <c r="HE386" s="6"/>
      <c r="HF386" s="6"/>
      <c r="HG386" s="6"/>
      <c r="HH386" s="6"/>
    </row>
    <row r="387" spans="1:216" x14ac:dyDescent="0.3">
      <c r="A387" s="8" t="str">
        <f>HYPERLINK("https://hpr-rps.hres.ca/reg-content/summary-basis-decision-detailTwo.php?lang=en&amp;linkID=SBD00398", "Hadlima / Hadlima PushTouch")</f>
        <v>Hadlima / Hadlima PushTouch</v>
      </c>
      <c r="B387" s="6" t="s">
        <v>1020</v>
      </c>
      <c r="C387" s="6" t="s">
        <v>867</v>
      </c>
      <c r="D387" s="6" t="s">
        <v>1021</v>
      </c>
      <c r="E387" s="6">
        <v>42650</v>
      </c>
      <c r="F387" s="6"/>
      <c r="G387" s="6"/>
      <c r="H387" s="6">
        <v>42796</v>
      </c>
      <c r="I387" s="6"/>
      <c r="J387" s="6"/>
      <c r="K387" s="6"/>
      <c r="L387" s="6"/>
      <c r="M387" s="6"/>
      <c r="N387" s="6"/>
      <c r="O387" s="6"/>
      <c r="P387" s="6"/>
      <c r="Q387" s="6"/>
      <c r="R387" s="6"/>
      <c r="S387" s="6"/>
      <c r="T387" s="6"/>
      <c r="U387" s="6"/>
      <c r="V387" s="6"/>
      <c r="W387" s="6"/>
      <c r="X387" s="6"/>
      <c r="Y387" s="6"/>
      <c r="Z387" s="6"/>
      <c r="AA387" s="6"/>
      <c r="AB387" s="6"/>
      <c r="AC387" s="6"/>
      <c r="AD387" s="6"/>
      <c r="AE387" s="6"/>
      <c r="AF387" s="6">
        <v>42849</v>
      </c>
      <c r="AG387" s="6"/>
      <c r="AH387" s="6"/>
      <c r="AI387" s="6"/>
      <c r="AJ387" s="6"/>
      <c r="AK387" s="6"/>
      <c r="AL387" s="6"/>
      <c r="AM387" s="6"/>
      <c r="AN387" s="6"/>
      <c r="AO387" s="6"/>
      <c r="AP387" s="6"/>
      <c r="AQ387" s="6">
        <v>43074</v>
      </c>
      <c r="AR387" s="6">
        <v>43146</v>
      </c>
      <c r="AS387" s="6"/>
      <c r="AT387" s="6"/>
      <c r="AU387" s="6"/>
      <c r="AV387" s="6">
        <v>43111</v>
      </c>
      <c r="AW387" s="6"/>
      <c r="AX387" s="6"/>
      <c r="AY387" s="6"/>
      <c r="AZ387" s="6">
        <v>43147</v>
      </c>
      <c r="BA387" s="6"/>
      <c r="BB387" s="6"/>
      <c r="BC387" s="6"/>
      <c r="BD387" s="6"/>
      <c r="BE387" s="6"/>
      <c r="BF387" s="6"/>
      <c r="BG387" s="6"/>
      <c r="BH387" s="6"/>
      <c r="BI387" s="6"/>
      <c r="BJ387" s="6"/>
      <c r="BK387" s="6"/>
      <c r="BL387" s="6"/>
      <c r="BM387" s="6">
        <v>43228</v>
      </c>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c r="FZ387" s="6"/>
      <c r="GA387" s="6"/>
      <c r="GB387" s="6"/>
      <c r="GC387" s="6"/>
      <c r="GD387" s="6"/>
      <c r="GE387" s="6"/>
      <c r="GF387" s="6"/>
      <c r="GG387" s="6"/>
      <c r="GH387" s="6"/>
      <c r="GI387" s="6"/>
      <c r="GJ387" s="6"/>
      <c r="GK387" s="6"/>
      <c r="GL387" s="6"/>
      <c r="GM387" s="6"/>
      <c r="GN387" s="6"/>
      <c r="GO387" s="6"/>
      <c r="GP387" s="6"/>
      <c r="GQ387" s="6"/>
      <c r="GR387" s="6"/>
      <c r="GS387" s="6"/>
      <c r="GT387" s="6"/>
      <c r="GU387" s="6"/>
      <c r="GV387" s="6"/>
      <c r="GW387" s="6"/>
      <c r="GX387" s="6"/>
      <c r="GY387" s="6"/>
      <c r="GZ387" s="6"/>
      <c r="HA387" s="6"/>
      <c r="HB387" s="6"/>
      <c r="HC387" s="6"/>
      <c r="HD387" s="6"/>
      <c r="HE387" s="6"/>
      <c r="HF387" s="6"/>
      <c r="HG387" s="6"/>
      <c r="HH387" s="6"/>
    </row>
    <row r="388" spans="1:216" x14ac:dyDescent="0.3">
      <c r="A388" s="8" t="str">
        <f>HYPERLINK("https://hpr-rps.hres.ca/reg-content/summary-basis-decision-detailTwo.php?lang=en&amp;linkID=SBD00399", "Besponsa")</f>
        <v>Besponsa</v>
      </c>
      <c r="B388" s="6" t="s">
        <v>1022</v>
      </c>
      <c r="C388" s="6" t="s">
        <v>143</v>
      </c>
      <c r="D388" s="6" t="s">
        <v>1023</v>
      </c>
      <c r="E388" s="6">
        <v>42773</v>
      </c>
      <c r="F388" s="6"/>
      <c r="G388" s="6"/>
      <c r="H388" s="6">
        <v>42824</v>
      </c>
      <c r="I388" s="6"/>
      <c r="J388" s="6"/>
      <c r="K388" s="6"/>
      <c r="L388" s="6"/>
      <c r="M388" s="6"/>
      <c r="N388" s="6"/>
      <c r="O388" s="6"/>
      <c r="P388" s="6"/>
      <c r="Q388" s="6"/>
      <c r="R388" s="6"/>
      <c r="S388" s="6"/>
      <c r="T388" s="6"/>
      <c r="U388" s="6"/>
      <c r="V388" s="6"/>
      <c r="W388" s="6"/>
      <c r="X388" s="6"/>
      <c r="Y388" s="6"/>
      <c r="Z388" s="6"/>
      <c r="AA388" s="6"/>
      <c r="AB388" s="6"/>
      <c r="AC388" s="6"/>
      <c r="AD388" s="6"/>
      <c r="AE388" s="6"/>
      <c r="AF388" s="6">
        <v>42874</v>
      </c>
      <c r="AG388" s="6"/>
      <c r="AH388" s="6"/>
      <c r="AI388" s="6"/>
      <c r="AJ388" s="6"/>
      <c r="AK388" s="6"/>
      <c r="AL388" s="6"/>
      <c r="AM388" s="6"/>
      <c r="AN388" s="6"/>
      <c r="AO388" s="6">
        <v>43143</v>
      </c>
      <c r="AP388" s="6"/>
      <c r="AQ388" s="6">
        <v>43090</v>
      </c>
      <c r="AR388" s="6">
        <v>43174</v>
      </c>
      <c r="AS388" s="6"/>
      <c r="AT388" s="6"/>
      <c r="AU388" s="6"/>
      <c r="AV388" s="6">
        <v>43171</v>
      </c>
      <c r="AW388" s="6"/>
      <c r="AX388" s="6">
        <v>43181</v>
      </c>
      <c r="AY388" s="6"/>
      <c r="AZ388" s="6">
        <v>43174</v>
      </c>
      <c r="BA388" s="6"/>
      <c r="BB388" s="6"/>
      <c r="BC388" s="6"/>
      <c r="BD388" s="6"/>
      <c r="BE388" s="6"/>
      <c r="BF388" s="6"/>
      <c r="BG388" s="6"/>
      <c r="BH388" s="6"/>
      <c r="BI388" s="6"/>
      <c r="BJ388" s="6"/>
      <c r="BK388" s="6"/>
      <c r="BL388" s="6"/>
      <c r="BM388" s="6">
        <v>43174</v>
      </c>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c r="FZ388" s="6"/>
      <c r="GA388" s="6"/>
      <c r="GB388" s="6"/>
      <c r="GC388" s="6"/>
      <c r="GD388" s="6"/>
      <c r="GE388" s="6"/>
      <c r="GF388" s="6"/>
      <c r="GG388" s="6"/>
      <c r="GH388" s="6"/>
      <c r="GI388" s="6"/>
      <c r="GJ388" s="6"/>
      <c r="GK388" s="6"/>
      <c r="GL388" s="6"/>
      <c r="GM388" s="6"/>
      <c r="GN388" s="6"/>
      <c r="GO388" s="6"/>
      <c r="GP388" s="6"/>
      <c r="GQ388" s="6"/>
      <c r="GR388" s="6"/>
      <c r="GS388" s="6"/>
      <c r="GT388" s="6"/>
      <c r="GU388" s="6"/>
      <c r="GV388" s="6"/>
      <c r="GW388" s="6"/>
      <c r="GX388" s="6"/>
      <c r="GY388" s="6"/>
      <c r="GZ388" s="6"/>
      <c r="HA388" s="6"/>
      <c r="HB388" s="6"/>
      <c r="HC388" s="6"/>
      <c r="HD388" s="6"/>
      <c r="HE388" s="6"/>
      <c r="HF388" s="6"/>
      <c r="HG388" s="6"/>
      <c r="HH388" s="6"/>
    </row>
    <row r="389" spans="1:216" x14ac:dyDescent="0.3">
      <c r="A389" s="8" t="str">
        <f>HYPERLINK("https://hpr-rps.hres.ca/reg-content/summary-basis-decision-detailTwo.php?lang=en&amp;linkID=SBD00400", "Erleada")</f>
        <v>Erleada</v>
      </c>
      <c r="B389" s="6" t="s">
        <v>1024</v>
      </c>
      <c r="C389" s="6" t="s">
        <v>201</v>
      </c>
      <c r="D389" s="6" t="s">
        <v>1025</v>
      </c>
      <c r="E389" s="6"/>
      <c r="F389" s="6"/>
      <c r="G389" s="6"/>
      <c r="H389" s="6">
        <v>42942</v>
      </c>
      <c r="I389" s="6"/>
      <c r="J389" s="6"/>
      <c r="K389" s="6"/>
      <c r="L389" s="6"/>
      <c r="M389" s="6"/>
      <c r="N389" s="6"/>
      <c r="O389" s="6"/>
      <c r="P389" s="6"/>
      <c r="Q389" s="6"/>
      <c r="R389" s="6"/>
      <c r="S389" s="6"/>
      <c r="T389" s="6"/>
      <c r="U389" s="6"/>
      <c r="V389" s="6"/>
      <c r="W389" s="6"/>
      <c r="X389" s="6"/>
      <c r="Y389" s="6"/>
      <c r="Z389" s="6"/>
      <c r="AA389" s="6"/>
      <c r="AB389" s="6"/>
      <c r="AC389" s="6"/>
      <c r="AD389" s="6"/>
      <c r="AE389" s="6"/>
      <c r="AF389" s="6">
        <v>42992</v>
      </c>
      <c r="AG389" s="6"/>
      <c r="AH389" s="6"/>
      <c r="AI389" s="6"/>
      <c r="AJ389" s="6"/>
      <c r="AK389" s="6"/>
      <c r="AL389" s="6"/>
      <c r="AM389" s="6"/>
      <c r="AN389" s="6"/>
      <c r="AO389" s="6"/>
      <c r="AP389" s="6"/>
      <c r="AQ389" s="6">
        <v>43152</v>
      </c>
      <c r="AR389" s="6">
        <v>43290</v>
      </c>
      <c r="AS389" s="6">
        <v>43286</v>
      </c>
      <c r="AT389" s="6"/>
      <c r="AU389" s="6"/>
      <c r="AV389" s="6">
        <v>43290</v>
      </c>
      <c r="AW389" s="6"/>
      <c r="AX389" s="6"/>
      <c r="AY389" s="6"/>
      <c r="AZ389" s="6">
        <v>43291</v>
      </c>
      <c r="BA389" s="6"/>
      <c r="BB389" s="6"/>
      <c r="BC389" s="6"/>
      <c r="BD389" s="6"/>
      <c r="BE389" s="6"/>
      <c r="BF389" s="6"/>
      <c r="BG389" s="6"/>
      <c r="BH389" s="6"/>
      <c r="BI389" s="6"/>
      <c r="BJ389" s="6"/>
      <c r="BK389" s="6"/>
      <c r="BL389" s="6"/>
      <c r="BM389" s="6">
        <v>43291</v>
      </c>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c r="FZ389" s="6"/>
      <c r="GA389" s="6"/>
      <c r="GB389" s="6"/>
      <c r="GC389" s="6"/>
      <c r="GD389" s="6"/>
      <c r="GE389" s="6"/>
      <c r="GF389" s="6"/>
      <c r="GG389" s="6"/>
      <c r="GH389" s="6"/>
      <c r="GI389" s="6"/>
      <c r="GJ389" s="6"/>
      <c r="GK389" s="6"/>
      <c r="GL389" s="6"/>
      <c r="GM389" s="6"/>
      <c r="GN389" s="6"/>
      <c r="GO389" s="6"/>
      <c r="GP389" s="6"/>
      <c r="GQ389" s="6"/>
      <c r="GR389" s="6"/>
      <c r="GS389" s="6"/>
      <c r="GT389" s="6"/>
      <c r="GU389" s="6"/>
      <c r="GV389" s="6"/>
      <c r="GW389" s="6"/>
      <c r="GX389" s="6"/>
      <c r="GY389" s="6"/>
      <c r="GZ389" s="6"/>
      <c r="HA389" s="6"/>
      <c r="HB389" s="6"/>
      <c r="HC389" s="6"/>
      <c r="HD389" s="6"/>
      <c r="HE389" s="6"/>
      <c r="HF389" s="6"/>
      <c r="HG389" s="6"/>
      <c r="HH389" s="6"/>
    </row>
    <row r="390" spans="1:216" x14ac:dyDescent="0.3">
      <c r="A390" s="8" t="str">
        <f>HYPERLINK("https://hpr-rps.hres.ca/reg-content/summary-basis-decision-detailTwo.php?lang=en&amp;linkID=SBD00402", "Symdeko")</f>
        <v>Symdeko</v>
      </c>
      <c r="B390" s="6" t="s">
        <v>1026</v>
      </c>
      <c r="C390" s="6" t="s">
        <v>1027</v>
      </c>
      <c r="D390" s="6" t="s">
        <v>1028</v>
      </c>
      <c r="E390" s="6">
        <v>42970</v>
      </c>
      <c r="F390" s="6"/>
      <c r="G390" s="6"/>
      <c r="H390" s="6"/>
      <c r="I390" s="6"/>
      <c r="J390" s="6"/>
      <c r="K390" s="6"/>
      <c r="L390" s="6"/>
      <c r="M390" s="6"/>
      <c r="N390" s="6">
        <v>42999</v>
      </c>
      <c r="O390" s="6"/>
      <c r="P390" s="6"/>
      <c r="Q390" s="6"/>
      <c r="R390" s="6"/>
      <c r="S390" s="6">
        <v>43026</v>
      </c>
      <c r="T390" s="6"/>
      <c r="U390" s="6"/>
      <c r="V390" s="6">
        <v>43056</v>
      </c>
      <c r="W390" s="6"/>
      <c r="X390" s="6"/>
      <c r="Y390" s="6"/>
      <c r="Z390" s="6">
        <v>43081</v>
      </c>
      <c r="AA390" s="6"/>
      <c r="AB390" s="6"/>
      <c r="AC390" s="6">
        <v>43090</v>
      </c>
      <c r="AD390" s="6"/>
      <c r="AE390" s="6"/>
      <c r="AF390" s="6">
        <v>43098</v>
      </c>
      <c r="AG390" s="6"/>
      <c r="AH390" s="6"/>
      <c r="AI390" s="6"/>
      <c r="AJ390" s="6"/>
      <c r="AK390" s="6"/>
      <c r="AL390" s="6"/>
      <c r="AM390" s="6"/>
      <c r="AN390" s="6"/>
      <c r="AO390" s="6"/>
      <c r="AP390" s="6"/>
      <c r="AQ390" s="6">
        <v>43238</v>
      </c>
      <c r="AR390" s="6">
        <v>43277</v>
      </c>
      <c r="AS390" s="6">
        <v>43273</v>
      </c>
      <c r="AT390" s="6"/>
      <c r="AU390" s="6"/>
      <c r="AV390" s="6">
        <v>43278</v>
      </c>
      <c r="AW390" s="6"/>
      <c r="AX390" s="6"/>
      <c r="AY390" s="6"/>
      <c r="AZ390" s="6">
        <v>43273</v>
      </c>
      <c r="BA390" s="6"/>
      <c r="BB390" s="6"/>
      <c r="BC390" s="6"/>
      <c r="BD390" s="6"/>
      <c r="BE390" s="6"/>
      <c r="BF390" s="6"/>
      <c r="BG390" s="6"/>
      <c r="BH390" s="6"/>
      <c r="BI390" s="6"/>
      <c r="BJ390" s="6"/>
      <c r="BK390" s="6"/>
      <c r="BL390" s="6"/>
      <c r="BM390" s="6">
        <v>43278</v>
      </c>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c r="FZ390" s="6"/>
      <c r="GA390" s="6"/>
      <c r="GB390" s="6"/>
      <c r="GC390" s="6"/>
      <c r="GD390" s="6"/>
      <c r="GE390" s="6"/>
      <c r="GF390" s="6"/>
      <c r="GG390" s="6"/>
      <c r="GH390" s="6"/>
      <c r="GI390" s="6"/>
      <c r="GJ390" s="6"/>
      <c r="GK390" s="6"/>
      <c r="GL390" s="6"/>
      <c r="GM390" s="6"/>
      <c r="GN390" s="6"/>
      <c r="GO390" s="6"/>
      <c r="GP390" s="6"/>
      <c r="GQ390" s="6"/>
      <c r="GR390" s="6"/>
      <c r="GS390" s="6"/>
      <c r="GT390" s="6"/>
      <c r="GU390" s="6"/>
      <c r="GV390" s="6"/>
      <c r="GW390" s="6"/>
      <c r="GX390" s="6"/>
      <c r="GY390" s="6"/>
      <c r="GZ390" s="6"/>
      <c r="HA390" s="6"/>
      <c r="HB390" s="6"/>
      <c r="HC390" s="6"/>
      <c r="HD390" s="6"/>
      <c r="HE390" s="6"/>
      <c r="HF390" s="6"/>
      <c r="HG390" s="6"/>
      <c r="HH390" s="6"/>
    </row>
    <row r="391" spans="1:216" x14ac:dyDescent="0.3">
      <c r="A391" s="8" t="str">
        <f>HYPERLINK("https://hpr-rps.hres.ca/reg-content/summary-basis-decision-detailTwo.php?lang=en&amp;linkID=SBD00403", "Steglatro")</f>
        <v>Steglatro</v>
      </c>
      <c r="B391" s="6" t="s">
        <v>1029</v>
      </c>
      <c r="C391" s="6" t="s">
        <v>418</v>
      </c>
      <c r="D391" s="6" t="s">
        <v>1030</v>
      </c>
      <c r="E391" s="6"/>
      <c r="F391" s="6"/>
      <c r="G391" s="6"/>
      <c r="H391" s="6">
        <v>42942</v>
      </c>
      <c r="I391" s="6"/>
      <c r="J391" s="6"/>
      <c r="K391" s="6"/>
      <c r="L391" s="6"/>
      <c r="M391" s="6"/>
      <c r="N391" s="6"/>
      <c r="O391" s="6"/>
      <c r="P391" s="6"/>
      <c r="Q391" s="6"/>
      <c r="R391" s="6"/>
      <c r="S391" s="6"/>
      <c r="T391" s="6"/>
      <c r="U391" s="6"/>
      <c r="V391" s="6"/>
      <c r="W391" s="6"/>
      <c r="X391" s="6"/>
      <c r="Y391" s="6"/>
      <c r="Z391" s="6"/>
      <c r="AA391" s="6"/>
      <c r="AB391" s="6"/>
      <c r="AC391" s="6"/>
      <c r="AD391" s="6"/>
      <c r="AE391" s="6"/>
      <c r="AF391" s="6">
        <v>42992</v>
      </c>
      <c r="AG391" s="6"/>
      <c r="AH391" s="6"/>
      <c r="AI391" s="6"/>
      <c r="AJ391" s="6"/>
      <c r="AK391" s="6"/>
      <c r="AL391" s="6"/>
      <c r="AM391" s="6"/>
      <c r="AN391" s="6"/>
      <c r="AO391" s="6"/>
      <c r="AP391" s="6"/>
      <c r="AQ391" s="6">
        <v>43152</v>
      </c>
      <c r="AR391" s="6">
        <v>43290</v>
      </c>
      <c r="AS391" s="6">
        <v>43286</v>
      </c>
      <c r="AT391" s="6"/>
      <c r="AU391" s="6"/>
      <c r="AV391" s="6">
        <v>43290</v>
      </c>
      <c r="AW391" s="6"/>
      <c r="AX391" s="6"/>
      <c r="AY391" s="6"/>
      <c r="AZ391" s="6">
        <v>43291</v>
      </c>
      <c r="BA391" s="6"/>
      <c r="BB391" s="6"/>
      <c r="BC391" s="6"/>
      <c r="BD391" s="6"/>
      <c r="BE391" s="6"/>
      <c r="BF391" s="6"/>
      <c r="BG391" s="6"/>
      <c r="BH391" s="6"/>
      <c r="BI391" s="6"/>
      <c r="BJ391" s="6"/>
      <c r="BK391" s="6"/>
      <c r="BL391" s="6"/>
      <c r="BM391" s="6">
        <v>43291</v>
      </c>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c r="FZ391" s="6"/>
      <c r="GA391" s="6"/>
      <c r="GB391" s="6"/>
      <c r="GC391" s="6"/>
      <c r="GD391" s="6"/>
      <c r="GE391" s="6"/>
      <c r="GF391" s="6"/>
      <c r="GG391" s="6"/>
      <c r="GH391" s="6"/>
      <c r="GI391" s="6"/>
      <c r="GJ391" s="6"/>
      <c r="GK391" s="6"/>
      <c r="GL391" s="6"/>
      <c r="GM391" s="6"/>
      <c r="GN391" s="6"/>
      <c r="GO391" s="6"/>
      <c r="GP391" s="6"/>
      <c r="GQ391" s="6"/>
      <c r="GR391" s="6"/>
      <c r="GS391" s="6"/>
      <c r="GT391" s="6"/>
      <c r="GU391" s="6"/>
      <c r="GV391" s="6"/>
      <c r="GW391" s="6"/>
      <c r="GX391" s="6"/>
      <c r="GY391" s="6"/>
      <c r="GZ391" s="6"/>
      <c r="HA391" s="6"/>
      <c r="HB391" s="6"/>
      <c r="HC391" s="6"/>
      <c r="HD391" s="6"/>
      <c r="HE391" s="6"/>
      <c r="HF391" s="6"/>
      <c r="HG391" s="6"/>
      <c r="HH391" s="6"/>
    </row>
    <row r="392" spans="1:216" x14ac:dyDescent="0.3">
      <c r="A392" s="8" t="str">
        <f>HYPERLINK("https://hpr-rps.hres.ca/reg-content/summary-basis-decision-detailTwo.php?lang=en&amp;linkID=SBD00404", "MVASI")</f>
        <v>MVASI</v>
      </c>
      <c r="B392" s="6" t="s">
        <v>114</v>
      </c>
      <c r="C392" s="6" t="s">
        <v>289</v>
      </c>
      <c r="D392" s="6" t="s">
        <v>1031</v>
      </c>
      <c r="E392" s="6">
        <v>42643</v>
      </c>
      <c r="F392" s="6"/>
      <c r="G392" s="6"/>
      <c r="H392" s="6">
        <v>42725</v>
      </c>
      <c r="I392" s="6"/>
      <c r="J392" s="6"/>
      <c r="K392" s="6"/>
      <c r="L392" s="6"/>
      <c r="M392" s="6"/>
      <c r="N392" s="6"/>
      <c r="O392" s="6"/>
      <c r="P392" s="6"/>
      <c r="Q392" s="6"/>
      <c r="R392" s="6"/>
      <c r="S392" s="6"/>
      <c r="T392" s="6"/>
      <c r="U392" s="6"/>
      <c r="V392" s="6"/>
      <c r="W392" s="6"/>
      <c r="X392" s="6"/>
      <c r="Y392" s="6"/>
      <c r="Z392" s="6"/>
      <c r="AA392" s="6"/>
      <c r="AB392" s="6"/>
      <c r="AC392" s="6"/>
      <c r="AD392" s="6"/>
      <c r="AE392" s="6"/>
      <c r="AF392" s="6">
        <v>42783</v>
      </c>
      <c r="AG392" s="6"/>
      <c r="AH392" s="6"/>
      <c r="AI392" s="6"/>
      <c r="AJ392" s="6"/>
      <c r="AK392" s="6"/>
      <c r="AL392" s="6"/>
      <c r="AM392" s="6"/>
      <c r="AN392" s="6"/>
      <c r="AO392" s="6">
        <v>42863</v>
      </c>
      <c r="AP392" s="6"/>
      <c r="AQ392" s="6">
        <v>43034</v>
      </c>
      <c r="AR392" s="6">
        <v>43082</v>
      </c>
      <c r="AS392" s="6"/>
      <c r="AT392" s="6"/>
      <c r="AU392" s="6"/>
      <c r="AV392" s="6">
        <v>43062</v>
      </c>
      <c r="AW392" s="6"/>
      <c r="AX392" s="6"/>
      <c r="AY392" s="6"/>
      <c r="AZ392" s="6">
        <v>43077</v>
      </c>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row>
    <row r="393" spans="1:216" x14ac:dyDescent="0.3">
      <c r="A393" s="8" t="str">
        <f>HYPERLINK("https://hpr-rps.hres.ca/reg-content/summary-basis-decision-detailTwo.php?lang=en&amp;linkID=SBD00405", "Biktarvy")</f>
        <v>Biktarvy</v>
      </c>
      <c r="B393" s="6" t="s">
        <v>1032</v>
      </c>
      <c r="C393" s="6" t="s">
        <v>549</v>
      </c>
      <c r="D393" s="6" t="s">
        <v>1033</v>
      </c>
      <c r="E393" s="6">
        <v>42773</v>
      </c>
      <c r="F393" s="6"/>
      <c r="G393" s="6"/>
      <c r="H393" s="6">
        <v>42824</v>
      </c>
      <c r="I393" s="6"/>
      <c r="J393" s="6"/>
      <c r="K393" s="6"/>
      <c r="L393" s="6"/>
      <c r="M393" s="6"/>
      <c r="N393" s="6"/>
      <c r="O393" s="6"/>
      <c r="P393" s="6"/>
      <c r="Q393" s="6"/>
      <c r="R393" s="6"/>
      <c r="S393" s="6"/>
      <c r="T393" s="6"/>
      <c r="U393" s="6"/>
      <c r="V393" s="6"/>
      <c r="W393" s="6"/>
      <c r="X393" s="6"/>
      <c r="Y393" s="6"/>
      <c r="Z393" s="6"/>
      <c r="AA393" s="6"/>
      <c r="AB393" s="6"/>
      <c r="AC393" s="6"/>
      <c r="AD393" s="6"/>
      <c r="AE393" s="6"/>
      <c r="AF393" s="6">
        <v>42874</v>
      </c>
      <c r="AG393" s="6"/>
      <c r="AH393" s="6"/>
      <c r="AI393" s="6"/>
      <c r="AJ393" s="6"/>
      <c r="AK393" s="6"/>
      <c r="AL393" s="6"/>
      <c r="AM393" s="6"/>
      <c r="AN393" s="6"/>
      <c r="AO393" s="6">
        <v>43143</v>
      </c>
      <c r="AP393" s="6"/>
      <c r="AQ393" s="6">
        <v>43090</v>
      </c>
      <c r="AR393" s="6">
        <v>43174</v>
      </c>
      <c r="AS393" s="6"/>
      <c r="AT393" s="6"/>
      <c r="AU393" s="6"/>
      <c r="AV393" s="6">
        <v>43171</v>
      </c>
      <c r="AW393" s="6"/>
      <c r="AX393" s="6">
        <v>43181</v>
      </c>
      <c r="AY393" s="6"/>
      <c r="AZ393" s="6">
        <v>43174</v>
      </c>
      <c r="BA393" s="6"/>
      <c r="BB393" s="6"/>
      <c r="BC393" s="6"/>
      <c r="BD393" s="6"/>
      <c r="BE393" s="6"/>
      <c r="BF393" s="6"/>
      <c r="BG393" s="6"/>
      <c r="BH393" s="6"/>
      <c r="BI393" s="6"/>
      <c r="BJ393" s="6"/>
      <c r="BK393" s="6"/>
      <c r="BL393" s="6"/>
      <c r="BM393" s="6">
        <v>43174</v>
      </c>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row>
    <row r="394" spans="1:216" x14ac:dyDescent="0.3">
      <c r="A394" s="8" t="str">
        <f>HYPERLINK("https://hpr-rps.hres.ca/reg-content/summary-basis-decision-detailTwo.php?lang=en&amp;linkID=SBD00406", "Eucrisa")</f>
        <v>Eucrisa</v>
      </c>
      <c r="B394" s="6" t="s">
        <v>1034</v>
      </c>
      <c r="C394" s="6" t="s">
        <v>143</v>
      </c>
      <c r="D394" s="6" t="s">
        <v>1035</v>
      </c>
      <c r="E394" s="6">
        <v>42387</v>
      </c>
      <c r="F394" s="6"/>
      <c r="G394" s="6"/>
      <c r="H394" s="6">
        <v>42864</v>
      </c>
      <c r="I394" s="6"/>
      <c r="J394" s="6"/>
      <c r="K394" s="6"/>
      <c r="L394" s="6"/>
      <c r="M394" s="6"/>
      <c r="N394" s="6"/>
      <c r="O394" s="6"/>
      <c r="P394" s="6"/>
      <c r="Q394" s="6"/>
      <c r="R394" s="6"/>
      <c r="S394" s="6"/>
      <c r="T394" s="6"/>
      <c r="U394" s="6"/>
      <c r="V394" s="6"/>
      <c r="W394" s="6"/>
      <c r="X394" s="6"/>
      <c r="Y394" s="6"/>
      <c r="Z394" s="6">
        <v>42912</v>
      </c>
      <c r="AA394" s="6"/>
      <c r="AB394" s="6"/>
      <c r="AC394" s="6">
        <v>42956</v>
      </c>
      <c r="AD394" s="6"/>
      <c r="AE394" s="6"/>
      <c r="AF394" s="6">
        <v>42992</v>
      </c>
      <c r="AG394" s="6"/>
      <c r="AH394" s="6"/>
      <c r="AI394" s="6"/>
      <c r="AJ394" s="6"/>
      <c r="AK394" s="6"/>
      <c r="AL394" s="6"/>
      <c r="AM394" s="6"/>
      <c r="AN394" s="6"/>
      <c r="AO394" s="6"/>
      <c r="AP394" s="6"/>
      <c r="AQ394" s="6"/>
      <c r="AR394" s="6">
        <v>43291</v>
      </c>
      <c r="AS394" s="6">
        <v>43282</v>
      </c>
      <c r="AT394" s="6"/>
      <c r="AU394" s="6"/>
      <c r="AV394" s="6">
        <v>43282</v>
      </c>
      <c r="AW394" s="6"/>
      <c r="AX394" s="6"/>
      <c r="AY394" s="6"/>
      <c r="AZ394" s="6">
        <v>43291</v>
      </c>
      <c r="BA394" s="6"/>
      <c r="BB394" s="6"/>
      <c r="BC394" s="6"/>
      <c r="BD394" s="6"/>
      <c r="BE394" s="6"/>
      <c r="BF394" s="6"/>
      <c r="BG394" s="6"/>
      <c r="BH394" s="6"/>
      <c r="BI394" s="6"/>
      <c r="BJ394" s="6"/>
      <c r="BK394" s="6"/>
      <c r="BL394" s="6"/>
      <c r="BM394" s="6">
        <v>43291</v>
      </c>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row>
    <row r="395" spans="1:216" x14ac:dyDescent="0.3">
      <c r="A395" s="8" t="str">
        <f>HYPERLINK("https://hpr-rps.hres.ca/reg-content/summary-basis-decision-detailTwo.php?lang=en&amp;linkID=SBD00407", "Panhematin")</f>
        <v>Panhematin</v>
      </c>
      <c r="B395" s="6" t="s">
        <v>1036</v>
      </c>
      <c r="C395" s="6" t="s">
        <v>1037</v>
      </c>
      <c r="D395" s="6" t="s">
        <v>1038</v>
      </c>
      <c r="E395" s="6"/>
      <c r="F395" s="6"/>
      <c r="G395" s="6"/>
      <c r="H395" s="6"/>
      <c r="I395" s="6"/>
      <c r="J395" s="6"/>
      <c r="K395" s="6"/>
      <c r="L395" s="6"/>
      <c r="M395" s="6"/>
      <c r="N395" s="6">
        <v>43039</v>
      </c>
      <c r="O395" s="6"/>
      <c r="P395" s="6"/>
      <c r="Q395" s="6"/>
      <c r="R395" s="6"/>
      <c r="S395" s="6">
        <v>43061</v>
      </c>
      <c r="T395" s="6"/>
      <c r="U395" s="6"/>
      <c r="V395" s="6">
        <v>43089</v>
      </c>
      <c r="W395" s="6"/>
      <c r="X395" s="6"/>
      <c r="Y395" s="6"/>
      <c r="Z395" s="6"/>
      <c r="AA395" s="6"/>
      <c r="AB395" s="6"/>
      <c r="AC395" s="6"/>
      <c r="AD395" s="6"/>
      <c r="AE395" s="6"/>
      <c r="AF395" s="6">
        <v>43116</v>
      </c>
      <c r="AG395" s="6"/>
      <c r="AH395" s="6"/>
      <c r="AI395" s="6"/>
      <c r="AJ395" s="6"/>
      <c r="AK395" s="6"/>
      <c r="AL395" s="6"/>
      <c r="AM395" s="6"/>
      <c r="AN395" s="6"/>
      <c r="AO395" s="6">
        <v>43264</v>
      </c>
      <c r="AP395" s="6"/>
      <c r="AQ395" s="6">
        <v>43217</v>
      </c>
      <c r="AR395" s="6">
        <v>43293</v>
      </c>
      <c r="AS395" s="6"/>
      <c r="AT395" s="6"/>
      <c r="AU395" s="6"/>
      <c r="AV395" s="6">
        <v>43293</v>
      </c>
      <c r="AW395" s="6"/>
      <c r="AX395" s="6"/>
      <c r="AY395" s="6"/>
      <c r="AZ395" s="6">
        <v>43294</v>
      </c>
      <c r="BA395" s="6"/>
      <c r="BB395" s="6"/>
      <c r="BC395" s="6"/>
      <c r="BD395" s="6"/>
      <c r="BE395" s="6"/>
      <c r="BF395" s="6"/>
      <c r="BG395" s="6"/>
      <c r="BH395" s="6"/>
      <c r="BI395" s="6"/>
      <c r="BJ395" s="6"/>
      <c r="BK395" s="6"/>
      <c r="BL395" s="6"/>
      <c r="BM395" s="6">
        <v>43294</v>
      </c>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row>
    <row r="396" spans="1:216" x14ac:dyDescent="0.3">
      <c r="A396" s="8" t="str">
        <f>HYPERLINK("https://hpr-rps.hres.ca/reg-content/summary-basis-decision-detailTwo.php?lang=en&amp;linkID=SBD00408", "Monoferric")</f>
        <v>Monoferric</v>
      </c>
      <c r="B396" s="6" t="s">
        <v>1039</v>
      </c>
      <c r="C396" s="6" t="s">
        <v>1040</v>
      </c>
      <c r="D396" s="6" t="s">
        <v>1041</v>
      </c>
      <c r="E396" s="6">
        <v>42256</v>
      </c>
      <c r="F396" s="6"/>
      <c r="G396" s="6"/>
      <c r="H396" s="6">
        <v>42488</v>
      </c>
      <c r="I396" s="6"/>
      <c r="J396" s="6"/>
      <c r="K396" s="6"/>
      <c r="L396" s="6"/>
      <c r="M396" s="6"/>
      <c r="N396" s="6"/>
      <c r="O396" s="6"/>
      <c r="P396" s="6"/>
      <c r="Q396" s="6"/>
      <c r="R396" s="6"/>
      <c r="S396" s="6"/>
      <c r="T396" s="6"/>
      <c r="U396" s="6"/>
      <c r="V396" s="6"/>
      <c r="W396" s="6"/>
      <c r="X396" s="6"/>
      <c r="Y396" s="6"/>
      <c r="Z396" s="6">
        <v>42531</v>
      </c>
      <c r="AA396" s="6"/>
      <c r="AB396" s="6"/>
      <c r="AC396" s="6">
        <v>42556</v>
      </c>
      <c r="AD396" s="6"/>
      <c r="AE396" s="6"/>
      <c r="AF396" s="6">
        <v>42564</v>
      </c>
      <c r="AG396" s="6"/>
      <c r="AH396" s="6"/>
      <c r="AI396" s="6"/>
      <c r="AJ396" s="6"/>
      <c r="AK396" s="6"/>
      <c r="AL396" s="6"/>
      <c r="AM396" s="6"/>
      <c r="AN396" s="6"/>
      <c r="AO396" s="6"/>
      <c r="AP396" s="6"/>
      <c r="AQ396" s="6"/>
      <c r="AR396" s="6"/>
      <c r="AS396" s="6"/>
      <c r="AT396" s="6"/>
      <c r="AU396" s="6"/>
      <c r="AV396" s="6"/>
      <c r="AW396" s="6"/>
      <c r="AX396" s="6">
        <v>42803</v>
      </c>
      <c r="AY396" s="6"/>
      <c r="AZ396" s="6"/>
      <c r="BA396" s="6"/>
      <c r="BB396" s="6"/>
      <c r="BC396" s="6"/>
      <c r="BD396" s="6"/>
      <c r="BE396" s="6"/>
      <c r="BF396" s="6"/>
      <c r="BG396" s="6"/>
      <c r="BH396" s="6"/>
      <c r="BI396" s="6"/>
      <c r="BJ396" s="6"/>
      <c r="BK396" s="6"/>
      <c r="BL396" s="6"/>
      <c r="BM396" s="6"/>
      <c r="BN396" s="6"/>
      <c r="BO396" s="6"/>
      <c r="BP396" s="6">
        <v>42852</v>
      </c>
      <c r="BQ396" s="6"/>
      <c r="BR396" s="6"/>
      <c r="BS396" s="6"/>
      <c r="BT396" s="6"/>
      <c r="BU396" s="6"/>
      <c r="BV396" s="6"/>
      <c r="BW396" s="6"/>
      <c r="BX396" s="6"/>
      <c r="BY396" s="6">
        <v>42934</v>
      </c>
      <c r="BZ396" s="6"/>
      <c r="CA396" s="6"/>
      <c r="CB396" s="6"/>
      <c r="CC396" s="6"/>
      <c r="CD396" s="6"/>
      <c r="CE396" s="6"/>
      <c r="CF396" s="6"/>
      <c r="CG396" s="6"/>
      <c r="CH396" s="6"/>
      <c r="CI396" s="6"/>
      <c r="CJ396" s="6"/>
      <c r="CK396" s="6"/>
      <c r="CL396" s="6"/>
      <c r="CM396" s="6"/>
      <c r="CN396" s="6"/>
      <c r="CO396" s="6"/>
      <c r="CP396" s="6"/>
      <c r="CQ396" s="6"/>
      <c r="CR396" s="6">
        <v>42975</v>
      </c>
      <c r="CS396" s="6"/>
      <c r="CT396" s="6"/>
      <c r="CU396" s="6"/>
      <c r="CV396" s="6"/>
      <c r="CW396" s="6"/>
      <c r="CX396" s="6"/>
      <c r="CY396" s="6"/>
      <c r="CZ396" s="6"/>
      <c r="DA396" s="6"/>
      <c r="DB396" s="6"/>
      <c r="DC396" s="6">
        <v>43238</v>
      </c>
      <c r="DD396" s="6">
        <v>43272</v>
      </c>
      <c r="DE396" s="6"/>
      <c r="DF396" s="6"/>
      <c r="DG396" s="6">
        <v>43196</v>
      </c>
      <c r="DH396" s="6">
        <v>43272</v>
      </c>
      <c r="DI396" s="6"/>
      <c r="DJ396" s="6"/>
      <c r="DK396" s="6"/>
      <c r="DL396" s="6">
        <v>43272</v>
      </c>
      <c r="DM396" s="6"/>
      <c r="DN396" s="6"/>
      <c r="DO396" s="6"/>
      <c r="DP396" s="6"/>
      <c r="DQ396" s="6"/>
      <c r="DR396" s="6"/>
      <c r="DS396" s="6"/>
      <c r="DT396" s="6"/>
      <c r="DU396" s="6"/>
      <c r="DV396" s="6"/>
      <c r="DW396" s="6"/>
      <c r="DX396" s="6"/>
      <c r="DY396" s="6">
        <v>43273</v>
      </c>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row>
    <row r="397" spans="1:216" x14ac:dyDescent="0.3">
      <c r="A397" s="8" t="str">
        <f>HYPERLINK("https://hpr-rps.hres.ca/reg-content/summary-basis-decision-detailTwo.php?lang=en&amp;linkID=SBD00409", "Rayaldee")</f>
        <v>Rayaldee</v>
      </c>
      <c r="B397" s="6" t="s">
        <v>1042</v>
      </c>
      <c r="C397" s="6" t="s">
        <v>976</v>
      </c>
      <c r="D397" s="6" t="s">
        <v>1043</v>
      </c>
      <c r="E397" s="6">
        <v>42387</v>
      </c>
      <c r="F397" s="6"/>
      <c r="G397" s="6"/>
      <c r="H397" s="6">
        <v>42864</v>
      </c>
      <c r="I397" s="6"/>
      <c r="J397" s="6"/>
      <c r="K397" s="6"/>
      <c r="L397" s="6"/>
      <c r="M397" s="6"/>
      <c r="N397" s="6"/>
      <c r="O397" s="6"/>
      <c r="P397" s="6"/>
      <c r="Q397" s="6"/>
      <c r="R397" s="6"/>
      <c r="S397" s="6"/>
      <c r="T397" s="6"/>
      <c r="U397" s="6"/>
      <c r="V397" s="6"/>
      <c r="W397" s="6"/>
      <c r="X397" s="6"/>
      <c r="Y397" s="6"/>
      <c r="Z397" s="6">
        <v>42912</v>
      </c>
      <c r="AA397" s="6"/>
      <c r="AB397" s="6"/>
      <c r="AC397" s="6">
        <v>42956</v>
      </c>
      <c r="AD397" s="6"/>
      <c r="AE397" s="6"/>
      <c r="AF397" s="6">
        <v>42992</v>
      </c>
      <c r="AG397" s="6"/>
      <c r="AH397" s="6"/>
      <c r="AI397" s="6"/>
      <c r="AJ397" s="6"/>
      <c r="AK397" s="6"/>
      <c r="AL397" s="6"/>
      <c r="AM397" s="6"/>
      <c r="AN397" s="6"/>
      <c r="AO397" s="6"/>
      <c r="AP397" s="6"/>
      <c r="AQ397" s="6"/>
      <c r="AR397" s="6">
        <v>43291</v>
      </c>
      <c r="AS397" s="6">
        <v>43282</v>
      </c>
      <c r="AT397" s="6"/>
      <c r="AU397" s="6"/>
      <c r="AV397" s="6">
        <v>43282</v>
      </c>
      <c r="AW397" s="6"/>
      <c r="AX397" s="6"/>
      <c r="AY397" s="6"/>
      <c r="AZ397" s="6">
        <v>43291</v>
      </c>
      <c r="BA397" s="6"/>
      <c r="BB397" s="6"/>
      <c r="BC397" s="6"/>
      <c r="BD397" s="6"/>
      <c r="BE397" s="6"/>
      <c r="BF397" s="6"/>
      <c r="BG397" s="6"/>
      <c r="BH397" s="6"/>
      <c r="BI397" s="6"/>
      <c r="BJ397" s="6"/>
      <c r="BK397" s="6"/>
      <c r="BL397" s="6"/>
      <c r="BM397" s="6">
        <v>43291</v>
      </c>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row>
    <row r="398" spans="1:216" x14ac:dyDescent="0.3">
      <c r="A398" s="8" t="str">
        <f>HYPERLINK("https://hpr-rps.hres.ca/reg-content/summary-basis-decision-detailTwo.php?lang=en&amp;linkID=SBD00410", "Olumiant")</f>
        <v>Olumiant</v>
      </c>
      <c r="B398" s="6" t="s">
        <v>1044</v>
      </c>
      <c r="C398" s="6" t="s">
        <v>140</v>
      </c>
      <c r="D398" s="6" t="s">
        <v>1045</v>
      </c>
      <c r="E398" s="6">
        <v>42824</v>
      </c>
      <c r="F398" s="6"/>
      <c r="G398" s="6"/>
      <c r="H398" s="6">
        <v>42965</v>
      </c>
      <c r="I398" s="6"/>
      <c r="J398" s="6"/>
      <c r="K398" s="6"/>
      <c r="L398" s="6"/>
      <c r="M398" s="6"/>
      <c r="N398" s="6"/>
      <c r="O398" s="6"/>
      <c r="P398" s="6"/>
      <c r="Q398" s="6"/>
      <c r="R398" s="6"/>
      <c r="S398" s="6"/>
      <c r="T398" s="6"/>
      <c r="U398" s="6"/>
      <c r="V398" s="6"/>
      <c r="W398" s="6"/>
      <c r="X398" s="6"/>
      <c r="Y398" s="6"/>
      <c r="Z398" s="6"/>
      <c r="AA398" s="6"/>
      <c r="AB398" s="6"/>
      <c r="AC398" s="6"/>
      <c r="AD398" s="6"/>
      <c r="AE398" s="6"/>
      <c r="AF398" s="6">
        <v>43014</v>
      </c>
      <c r="AG398" s="6"/>
      <c r="AH398" s="6"/>
      <c r="AI398" s="6"/>
      <c r="AJ398" s="6"/>
      <c r="AK398" s="6"/>
      <c r="AL398" s="6"/>
      <c r="AM398" s="6"/>
      <c r="AN398" s="6"/>
      <c r="AO398" s="6"/>
      <c r="AP398" s="6"/>
      <c r="AQ398" s="6">
        <v>43231</v>
      </c>
      <c r="AR398" s="6">
        <v>43312</v>
      </c>
      <c r="AS398" s="6"/>
      <c r="AT398" s="6"/>
      <c r="AU398" s="6"/>
      <c r="AV398" s="6">
        <v>43313</v>
      </c>
      <c r="AW398" s="6"/>
      <c r="AX398" s="6">
        <v>43307</v>
      </c>
      <c r="AY398" s="6"/>
      <c r="AZ398" s="6">
        <v>43307</v>
      </c>
      <c r="BA398" s="6"/>
      <c r="BB398" s="6"/>
      <c r="BC398" s="6"/>
      <c r="BD398" s="6"/>
      <c r="BE398" s="6"/>
      <c r="BF398" s="6"/>
      <c r="BG398" s="6"/>
      <c r="BH398" s="6"/>
      <c r="BI398" s="6"/>
      <c r="BJ398" s="6"/>
      <c r="BK398" s="6"/>
      <c r="BL398" s="6"/>
      <c r="BM398" s="6">
        <v>43313</v>
      </c>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row>
    <row r="399" spans="1:216" x14ac:dyDescent="0.3">
      <c r="A399" s="8" t="str">
        <f>HYPERLINK("https://hpr-rps.hres.ca/reg-content/summary-basis-decision-detailTwo.php?lang=en&amp;linkID=SBD00411", "Hemlibra")</f>
        <v>Hemlibra</v>
      </c>
      <c r="B399" s="6" t="s">
        <v>1046</v>
      </c>
      <c r="C399" s="6" t="s">
        <v>84</v>
      </c>
      <c r="D399" s="6" t="s">
        <v>1047</v>
      </c>
      <c r="E399" s="6">
        <v>42398</v>
      </c>
      <c r="F399" s="6"/>
      <c r="G399" s="6"/>
      <c r="H399" s="6">
        <v>42458</v>
      </c>
      <c r="I399" s="6"/>
      <c r="J399" s="6"/>
      <c r="K399" s="6"/>
      <c r="L399" s="6"/>
      <c r="M399" s="6"/>
      <c r="N399" s="6"/>
      <c r="O399" s="6"/>
      <c r="P399" s="6"/>
      <c r="Q399" s="6"/>
      <c r="R399" s="6"/>
      <c r="S399" s="6"/>
      <c r="T399" s="6"/>
      <c r="U399" s="6"/>
      <c r="V399" s="6"/>
      <c r="W399" s="6"/>
      <c r="X399" s="6"/>
      <c r="Y399" s="6"/>
      <c r="Z399" s="6"/>
      <c r="AA399" s="6"/>
      <c r="AB399" s="6"/>
      <c r="AC399" s="6"/>
      <c r="AD399" s="6"/>
      <c r="AE399" s="6"/>
      <c r="AF399" s="6">
        <v>42507</v>
      </c>
      <c r="AG399" s="6"/>
      <c r="AH399" s="6"/>
      <c r="AI399" s="6"/>
      <c r="AJ399" s="6"/>
      <c r="AK399" s="6"/>
      <c r="AL399" s="6"/>
      <c r="AM399" s="6"/>
      <c r="AN399" s="6"/>
      <c r="AO399" s="6"/>
      <c r="AP399" s="6"/>
      <c r="AQ399" s="6"/>
      <c r="AR399" s="6"/>
      <c r="AS399" s="6">
        <v>42689</v>
      </c>
      <c r="AT399" s="6"/>
      <c r="AU399" s="6"/>
      <c r="AV399" s="6">
        <v>42927</v>
      </c>
      <c r="AW399" s="6"/>
      <c r="AX399" s="6">
        <v>42689</v>
      </c>
      <c r="AY399" s="6"/>
      <c r="AZ399" s="6"/>
      <c r="BA399" s="6"/>
      <c r="BB399" s="6"/>
      <c r="BC399" s="6"/>
      <c r="BD399" s="6"/>
      <c r="BE399" s="6"/>
      <c r="BF399" s="6"/>
      <c r="BG399" s="6"/>
      <c r="BH399" s="6"/>
      <c r="BI399" s="6"/>
      <c r="BJ399" s="6"/>
      <c r="BK399" s="6"/>
      <c r="BL399" s="6"/>
      <c r="BM399" s="6"/>
      <c r="BN399" s="6"/>
      <c r="BO399" s="6"/>
      <c r="BP399" s="6"/>
      <c r="BQ399" s="6"/>
      <c r="BR399" s="6"/>
      <c r="BS399" s="6"/>
      <c r="BT399" s="6">
        <v>42978</v>
      </c>
      <c r="BU399" s="6"/>
      <c r="BV399" s="6"/>
      <c r="BW399" s="6"/>
      <c r="BX399" s="6"/>
      <c r="BY399" s="6">
        <v>43133</v>
      </c>
      <c r="BZ399" s="6"/>
      <c r="CA399" s="6"/>
      <c r="CB399" s="6"/>
      <c r="CC399" s="6">
        <v>43136</v>
      </c>
      <c r="CD399" s="6"/>
      <c r="CE399" s="6"/>
      <c r="CF399" s="6"/>
      <c r="CG399" s="6"/>
      <c r="CH399" s="6"/>
      <c r="CI399" s="6"/>
      <c r="CJ399" s="6"/>
      <c r="CK399" s="6"/>
      <c r="CL399" s="6"/>
      <c r="CM399" s="6"/>
      <c r="CN399" s="6"/>
      <c r="CO399" s="6"/>
      <c r="CP399" s="6"/>
      <c r="CQ399" s="6"/>
      <c r="CR399" s="6">
        <v>43182</v>
      </c>
      <c r="CS399" s="6"/>
      <c r="CT399" s="6"/>
      <c r="CU399" s="6"/>
      <c r="CV399" s="6"/>
      <c r="CW399" s="6"/>
      <c r="CX399" s="6"/>
      <c r="CY399" s="6"/>
      <c r="CZ399" s="6"/>
      <c r="DA399" s="6"/>
      <c r="DB399" s="6"/>
      <c r="DC399" s="6"/>
      <c r="DD399" s="6">
        <v>43300</v>
      </c>
      <c r="DE399" s="6"/>
      <c r="DF399" s="6"/>
      <c r="DG399" s="6">
        <v>43252</v>
      </c>
      <c r="DH399" s="6">
        <v>43304</v>
      </c>
      <c r="DI399" s="6"/>
      <c r="DJ399" s="6"/>
      <c r="DK399" s="6"/>
      <c r="DL399" s="6">
        <v>43328</v>
      </c>
      <c r="DM399" s="6"/>
      <c r="DN399" s="6"/>
      <c r="DO399" s="6"/>
      <c r="DP399" s="6"/>
      <c r="DQ399" s="6"/>
      <c r="DR399" s="6"/>
      <c r="DS399" s="6"/>
      <c r="DT399" s="6"/>
      <c r="DU399" s="6"/>
      <c r="DV399" s="6"/>
      <c r="DW399" s="6"/>
      <c r="DX399" s="6"/>
      <c r="DY399" s="6">
        <v>43329</v>
      </c>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row>
    <row r="400" spans="1:216" x14ac:dyDescent="0.3">
      <c r="A400" s="8" t="str">
        <f>HYPERLINK("https://hpr-rps.hres.ca/reg-content/summary-basis-decision-detailTwo.php?lang=en&amp;linkID=SBD00412", "Aimovig")</f>
        <v>Aimovig</v>
      </c>
      <c r="B400" s="6" t="s">
        <v>1048</v>
      </c>
      <c r="C400" s="6" t="s">
        <v>87</v>
      </c>
      <c r="D400" s="6" t="s">
        <v>1049</v>
      </c>
      <c r="E400" s="6">
        <v>42824</v>
      </c>
      <c r="F400" s="6"/>
      <c r="G400" s="6"/>
      <c r="H400" s="6">
        <v>42965</v>
      </c>
      <c r="I400" s="6"/>
      <c r="J400" s="6"/>
      <c r="K400" s="6"/>
      <c r="L400" s="6"/>
      <c r="M400" s="6"/>
      <c r="N400" s="6"/>
      <c r="O400" s="6"/>
      <c r="P400" s="6"/>
      <c r="Q400" s="6"/>
      <c r="R400" s="6"/>
      <c r="S400" s="6"/>
      <c r="T400" s="6"/>
      <c r="U400" s="6"/>
      <c r="V400" s="6"/>
      <c r="W400" s="6"/>
      <c r="X400" s="6"/>
      <c r="Y400" s="6"/>
      <c r="Z400" s="6"/>
      <c r="AA400" s="6"/>
      <c r="AB400" s="6"/>
      <c r="AC400" s="6"/>
      <c r="AD400" s="6"/>
      <c r="AE400" s="6"/>
      <c r="AF400" s="6">
        <v>43014</v>
      </c>
      <c r="AG400" s="6"/>
      <c r="AH400" s="6"/>
      <c r="AI400" s="6"/>
      <c r="AJ400" s="6"/>
      <c r="AK400" s="6"/>
      <c r="AL400" s="6"/>
      <c r="AM400" s="6"/>
      <c r="AN400" s="6"/>
      <c r="AO400" s="6"/>
      <c r="AP400" s="6"/>
      <c r="AQ400" s="6">
        <v>43231</v>
      </c>
      <c r="AR400" s="6">
        <v>43312</v>
      </c>
      <c r="AS400" s="6"/>
      <c r="AT400" s="6"/>
      <c r="AU400" s="6"/>
      <c r="AV400" s="6">
        <v>43313</v>
      </c>
      <c r="AW400" s="6"/>
      <c r="AX400" s="6">
        <v>43307</v>
      </c>
      <c r="AY400" s="6"/>
      <c r="AZ400" s="6">
        <v>43307</v>
      </c>
      <c r="BA400" s="6"/>
      <c r="BB400" s="6"/>
      <c r="BC400" s="6"/>
      <c r="BD400" s="6"/>
      <c r="BE400" s="6"/>
      <c r="BF400" s="6"/>
      <c r="BG400" s="6"/>
      <c r="BH400" s="6"/>
      <c r="BI400" s="6"/>
      <c r="BJ400" s="6"/>
      <c r="BK400" s="6"/>
      <c r="BL400" s="6"/>
      <c r="BM400" s="6">
        <v>43313</v>
      </c>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row>
    <row r="401" spans="1:216" x14ac:dyDescent="0.3">
      <c r="A401" s="8" t="str">
        <f>HYPERLINK("https://hpr-rps.hres.ca/reg-content/summary-basis-decision-detailTwo.php?lang=en&amp;linkID=SBD00413", "Xydalba")</f>
        <v>Xydalba</v>
      </c>
      <c r="B401" s="6" t="s">
        <v>1050</v>
      </c>
      <c r="C401" s="6" t="s">
        <v>1051</v>
      </c>
      <c r="D401" s="6" t="s">
        <v>1052</v>
      </c>
      <c r="E401" s="6">
        <v>43034</v>
      </c>
      <c r="F401" s="6"/>
      <c r="G401" s="6"/>
      <c r="H401" s="6"/>
      <c r="I401" s="6"/>
      <c r="J401" s="6"/>
      <c r="K401" s="6"/>
      <c r="L401" s="6"/>
      <c r="M401" s="6"/>
      <c r="N401" s="6">
        <v>43070</v>
      </c>
      <c r="O401" s="6"/>
      <c r="P401" s="6"/>
      <c r="Q401" s="6"/>
      <c r="R401" s="6"/>
      <c r="S401" s="6">
        <v>43102</v>
      </c>
      <c r="T401" s="6"/>
      <c r="U401" s="6"/>
      <c r="V401" s="6">
        <v>43140</v>
      </c>
      <c r="W401" s="6"/>
      <c r="X401" s="6"/>
      <c r="Y401" s="6"/>
      <c r="Z401" s="6"/>
      <c r="AA401" s="6"/>
      <c r="AB401" s="6"/>
      <c r="AC401" s="6"/>
      <c r="AD401" s="6"/>
      <c r="AE401" s="6"/>
      <c r="AF401" s="6">
        <v>43168</v>
      </c>
      <c r="AG401" s="6"/>
      <c r="AH401" s="6"/>
      <c r="AI401" s="6"/>
      <c r="AJ401" s="6"/>
      <c r="AK401" s="6"/>
      <c r="AL401" s="6"/>
      <c r="AM401" s="6"/>
      <c r="AN401" s="6"/>
      <c r="AO401" s="6">
        <v>43262</v>
      </c>
      <c r="AP401" s="6"/>
      <c r="AQ401" s="6">
        <v>43284</v>
      </c>
      <c r="AR401" s="6">
        <v>43341</v>
      </c>
      <c r="AS401" s="6"/>
      <c r="AT401" s="6"/>
      <c r="AU401" s="6"/>
      <c r="AV401" s="6">
        <v>43342</v>
      </c>
      <c r="AW401" s="6"/>
      <c r="AX401" s="6"/>
      <c r="AY401" s="6"/>
      <c r="AZ401" s="6">
        <v>43334</v>
      </c>
      <c r="BA401" s="6"/>
      <c r="BB401" s="6"/>
      <c r="BC401" s="6"/>
      <c r="BD401" s="6"/>
      <c r="BE401" s="6"/>
      <c r="BF401" s="6"/>
      <c r="BG401" s="6"/>
      <c r="BH401" s="6"/>
      <c r="BI401" s="6"/>
      <c r="BJ401" s="6"/>
      <c r="BK401" s="6"/>
      <c r="BL401" s="6"/>
      <c r="BM401" s="6">
        <v>43348</v>
      </c>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row>
    <row r="402" spans="1:216" x14ac:dyDescent="0.3">
      <c r="A402" s="8" t="str">
        <f>HYPERLINK("https://hpr-rps.hres.ca/reg-content/summary-basis-decision-detailTwo.php?lang=en&amp;linkID=SBD00414", "Xermelo")</f>
        <v>Xermelo</v>
      </c>
      <c r="B402" s="6" t="s">
        <v>1053</v>
      </c>
      <c r="C402" s="6" t="s">
        <v>1054</v>
      </c>
      <c r="D402" s="6" t="s">
        <v>1055</v>
      </c>
      <c r="E402" s="6">
        <v>42024</v>
      </c>
      <c r="F402" s="6"/>
      <c r="G402" s="6"/>
      <c r="H402" s="6">
        <v>43040</v>
      </c>
      <c r="I402" s="6"/>
      <c r="J402" s="6"/>
      <c r="K402" s="6"/>
      <c r="L402" s="6"/>
      <c r="M402" s="6"/>
      <c r="N402" s="6"/>
      <c r="O402" s="6"/>
      <c r="P402" s="6"/>
      <c r="Q402" s="6"/>
      <c r="R402" s="6"/>
      <c r="S402" s="6"/>
      <c r="T402" s="6"/>
      <c r="U402" s="6"/>
      <c r="V402" s="6"/>
      <c r="W402" s="6"/>
      <c r="X402" s="6"/>
      <c r="Y402" s="6"/>
      <c r="Z402" s="6"/>
      <c r="AA402" s="6"/>
      <c r="AB402" s="6"/>
      <c r="AC402" s="6"/>
      <c r="AD402" s="6"/>
      <c r="AE402" s="6"/>
      <c r="AF402" s="6">
        <v>43084</v>
      </c>
      <c r="AG402" s="6"/>
      <c r="AH402" s="6"/>
      <c r="AI402" s="6"/>
      <c r="AJ402" s="6"/>
      <c r="AK402" s="6"/>
      <c r="AL402" s="6"/>
      <c r="AM402" s="6"/>
      <c r="AN402" s="6"/>
      <c r="AO402" s="6"/>
      <c r="AP402" s="6"/>
      <c r="AQ402" s="6">
        <v>43336</v>
      </c>
      <c r="AR402" s="6">
        <v>43383</v>
      </c>
      <c r="AS402" s="6">
        <v>43307</v>
      </c>
      <c r="AT402" s="6"/>
      <c r="AU402" s="6"/>
      <c r="AV402" s="6">
        <v>43382</v>
      </c>
      <c r="AW402" s="6"/>
      <c r="AX402" s="6"/>
      <c r="AY402" s="6"/>
      <c r="AZ402" s="6">
        <v>43382</v>
      </c>
      <c r="BA402" s="6"/>
      <c r="BB402" s="6"/>
      <c r="BC402" s="6"/>
      <c r="BD402" s="6"/>
      <c r="BE402" s="6"/>
      <c r="BF402" s="6"/>
      <c r="BG402" s="6"/>
      <c r="BH402" s="6"/>
      <c r="BI402" s="6"/>
      <c r="BJ402" s="6"/>
      <c r="BK402" s="6"/>
      <c r="BL402" s="6"/>
      <c r="BM402" s="6">
        <v>43385</v>
      </c>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row>
    <row r="403" spans="1:216" x14ac:dyDescent="0.3">
      <c r="A403" s="8" t="str">
        <f>HYPERLINK("https://hpr-rps.hres.ca/reg-content/summary-basis-decision-detailTwo.php?lang=en&amp;linkID=SBD00415", "Alunbrig")</f>
        <v>Alunbrig</v>
      </c>
      <c r="B403" s="6" t="s">
        <v>1056</v>
      </c>
      <c r="C403" s="6" t="s">
        <v>870</v>
      </c>
      <c r="D403" s="6" t="s">
        <v>1057</v>
      </c>
      <c r="E403" s="6">
        <v>42934</v>
      </c>
      <c r="F403" s="6"/>
      <c r="G403" s="6"/>
      <c r="H403" s="6"/>
      <c r="I403" s="6"/>
      <c r="J403" s="6"/>
      <c r="K403" s="6"/>
      <c r="L403" s="6"/>
      <c r="M403" s="6"/>
      <c r="N403" s="6">
        <v>42850</v>
      </c>
      <c r="O403" s="6">
        <v>43024</v>
      </c>
      <c r="P403" s="6"/>
      <c r="Q403" s="6"/>
      <c r="R403" s="6"/>
      <c r="S403" s="6"/>
      <c r="T403" s="6"/>
      <c r="U403" s="6"/>
      <c r="V403" s="6">
        <v>43025</v>
      </c>
      <c r="W403" s="6"/>
      <c r="X403" s="6"/>
      <c r="Y403" s="6"/>
      <c r="Z403" s="6"/>
      <c r="AA403" s="6"/>
      <c r="AB403" s="6"/>
      <c r="AC403" s="6"/>
      <c r="AD403" s="6"/>
      <c r="AE403" s="6"/>
      <c r="AF403" s="6">
        <v>43056</v>
      </c>
      <c r="AG403" s="6"/>
      <c r="AH403" s="6"/>
      <c r="AI403" s="6"/>
      <c r="AJ403" s="6"/>
      <c r="AK403" s="6"/>
      <c r="AL403" s="6"/>
      <c r="AM403" s="6"/>
      <c r="AN403" s="6"/>
      <c r="AO403" s="6"/>
      <c r="AP403" s="6"/>
      <c r="AQ403" s="6">
        <v>43222</v>
      </c>
      <c r="AR403" s="6">
        <v>43280</v>
      </c>
      <c r="AS403" s="6"/>
      <c r="AT403" s="6"/>
      <c r="AU403" s="6"/>
      <c r="AV403" s="6">
        <v>43287</v>
      </c>
      <c r="AW403" s="6"/>
      <c r="AX403" s="6"/>
      <c r="AY403" s="6"/>
      <c r="AZ403" s="6">
        <v>43292</v>
      </c>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v>43301</v>
      </c>
      <c r="CV403" s="6"/>
      <c r="CW403" s="6"/>
      <c r="CX403" s="6"/>
      <c r="CY403" s="6"/>
      <c r="CZ403" s="6"/>
      <c r="DA403" s="6"/>
      <c r="DB403" s="6"/>
      <c r="DC403" s="6"/>
      <c r="DD403" s="6"/>
      <c r="DE403" s="6"/>
      <c r="DF403" s="6"/>
      <c r="DG403" s="6">
        <v>43307</v>
      </c>
      <c r="DH403" s="6"/>
      <c r="DI403" s="6"/>
      <c r="DJ403" s="6"/>
      <c r="DK403" s="6"/>
      <c r="DL403" s="6"/>
      <c r="DM403" s="6"/>
      <c r="DN403" s="6"/>
      <c r="DO403" s="6"/>
      <c r="DP403" s="6"/>
      <c r="DQ403" s="6"/>
      <c r="DR403" s="6"/>
      <c r="DS403" s="6"/>
      <c r="DT403" s="6">
        <v>43298</v>
      </c>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row>
    <row r="404" spans="1:216" x14ac:dyDescent="0.3">
      <c r="A404" s="8" t="str">
        <f>HYPERLINK("https://hpr-rps.hres.ca/reg-content/summary-basis-decision-detailTwo.php?lang=en&amp;linkID=SBD00416", "Kymriah")</f>
        <v>Kymriah</v>
      </c>
      <c r="B404" s="6" t="s">
        <v>1058</v>
      </c>
      <c r="C404" s="6" t="s">
        <v>87</v>
      </c>
      <c r="D404" s="6" t="s">
        <v>1059</v>
      </c>
      <c r="E404" s="6">
        <v>42024</v>
      </c>
      <c r="F404" s="6"/>
      <c r="G404" s="6"/>
      <c r="H404" s="6">
        <v>43040</v>
      </c>
      <c r="I404" s="6"/>
      <c r="J404" s="6"/>
      <c r="K404" s="6"/>
      <c r="L404" s="6"/>
      <c r="M404" s="6"/>
      <c r="N404" s="6"/>
      <c r="O404" s="6"/>
      <c r="P404" s="6"/>
      <c r="Q404" s="6"/>
      <c r="R404" s="6"/>
      <c r="S404" s="6"/>
      <c r="T404" s="6"/>
      <c r="U404" s="6"/>
      <c r="V404" s="6"/>
      <c r="W404" s="6"/>
      <c r="X404" s="6"/>
      <c r="Y404" s="6"/>
      <c r="Z404" s="6"/>
      <c r="AA404" s="6"/>
      <c r="AB404" s="6"/>
      <c r="AC404" s="6"/>
      <c r="AD404" s="6"/>
      <c r="AE404" s="6"/>
      <c r="AF404" s="6">
        <v>43084</v>
      </c>
      <c r="AG404" s="6"/>
      <c r="AH404" s="6"/>
      <c r="AI404" s="6"/>
      <c r="AJ404" s="6"/>
      <c r="AK404" s="6"/>
      <c r="AL404" s="6"/>
      <c r="AM404" s="6"/>
      <c r="AN404" s="6"/>
      <c r="AO404" s="6"/>
      <c r="AP404" s="6"/>
      <c r="AQ404" s="6">
        <v>43336</v>
      </c>
      <c r="AR404" s="6">
        <v>43383</v>
      </c>
      <c r="AS404" s="6">
        <v>43307</v>
      </c>
      <c r="AT404" s="6"/>
      <c r="AU404" s="6"/>
      <c r="AV404" s="6">
        <v>43382</v>
      </c>
      <c r="AW404" s="6"/>
      <c r="AX404" s="6"/>
      <c r="AY404" s="6"/>
      <c r="AZ404" s="6">
        <v>43382</v>
      </c>
      <c r="BA404" s="6"/>
      <c r="BB404" s="6"/>
      <c r="BC404" s="6"/>
      <c r="BD404" s="6"/>
      <c r="BE404" s="6"/>
      <c r="BF404" s="6"/>
      <c r="BG404" s="6"/>
      <c r="BH404" s="6"/>
      <c r="BI404" s="6"/>
      <c r="BJ404" s="6"/>
      <c r="BK404" s="6"/>
      <c r="BL404" s="6"/>
      <c r="BM404" s="6">
        <v>43385</v>
      </c>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row>
    <row r="405" spans="1:216" x14ac:dyDescent="0.3">
      <c r="A405" s="8" t="str">
        <f>HYPERLINK("https://hpr-rps.hres.ca/reg-content/summary-basis-decision-detailTwo.php?lang=en&amp;linkID=SBD00417", "Radicava")</f>
        <v>Radicava</v>
      </c>
      <c r="B405" s="6" t="s">
        <v>1060</v>
      </c>
      <c r="C405" s="6" t="s">
        <v>1061</v>
      </c>
      <c r="D405" s="6" t="s">
        <v>1062</v>
      </c>
      <c r="E405" s="6">
        <v>42985</v>
      </c>
      <c r="F405" s="6"/>
      <c r="G405" s="6"/>
      <c r="H405" s="6"/>
      <c r="I405" s="6"/>
      <c r="J405" s="6"/>
      <c r="K405" s="6"/>
      <c r="L405" s="6"/>
      <c r="M405" s="6"/>
      <c r="N405" s="6">
        <v>42963</v>
      </c>
      <c r="O405" s="6"/>
      <c r="P405" s="6"/>
      <c r="Q405" s="6"/>
      <c r="R405" s="6"/>
      <c r="S405" s="6">
        <v>43140</v>
      </c>
      <c r="T405" s="6"/>
      <c r="U405" s="6"/>
      <c r="V405" s="6">
        <v>43168</v>
      </c>
      <c r="W405" s="6"/>
      <c r="X405" s="6"/>
      <c r="Y405" s="6"/>
      <c r="Z405" s="6"/>
      <c r="AA405" s="6"/>
      <c r="AB405" s="6"/>
      <c r="AC405" s="6"/>
      <c r="AD405" s="6"/>
      <c r="AE405" s="6"/>
      <c r="AF405" s="6">
        <v>43196</v>
      </c>
      <c r="AG405" s="6"/>
      <c r="AH405" s="6"/>
      <c r="AI405" s="6"/>
      <c r="AJ405" s="6"/>
      <c r="AK405" s="6"/>
      <c r="AL405" s="6"/>
      <c r="AM405" s="6"/>
      <c r="AN405" s="6"/>
      <c r="AO405" s="6"/>
      <c r="AP405" s="6"/>
      <c r="AQ405" s="6">
        <v>43361</v>
      </c>
      <c r="AR405" s="6">
        <v>43371</v>
      </c>
      <c r="AS405" s="6"/>
      <c r="AT405" s="6"/>
      <c r="AU405" s="6">
        <v>43374</v>
      </c>
      <c r="AV405" s="6">
        <v>43370</v>
      </c>
      <c r="AW405" s="6"/>
      <c r="AX405" s="6"/>
      <c r="AY405" s="6"/>
      <c r="AZ405" s="6">
        <v>43357</v>
      </c>
      <c r="BA405" s="6"/>
      <c r="BB405" s="6"/>
      <c r="BC405" s="6"/>
      <c r="BD405" s="6"/>
      <c r="BE405" s="6"/>
      <c r="BF405" s="6"/>
      <c r="BG405" s="6"/>
      <c r="BH405" s="6"/>
      <c r="BI405" s="6"/>
      <c r="BJ405" s="6"/>
      <c r="BK405" s="6"/>
      <c r="BL405" s="6"/>
      <c r="BM405" s="6">
        <v>43376</v>
      </c>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c r="FZ405" s="6"/>
      <c r="GA405" s="6"/>
      <c r="GB405" s="6"/>
      <c r="GC405" s="6"/>
      <c r="GD405" s="6"/>
      <c r="GE405" s="6"/>
      <c r="GF405" s="6"/>
      <c r="GG405" s="6"/>
      <c r="GH405" s="6"/>
      <c r="GI405" s="6"/>
      <c r="GJ405" s="6"/>
      <c r="GK405" s="6"/>
      <c r="GL405" s="6"/>
      <c r="GM405" s="6"/>
      <c r="GN405" s="6"/>
      <c r="GO405" s="6"/>
      <c r="GP405" s="6"/>
      <c r="GQ405" s="6"/>
      <c r="GR405" s="6"/>
      <c r="GS405" s="6"/>
      <c r="GT405" s="6"/>
      <c r="GU405" s="6"/>
      <c r="GV405" s="6"/>
      <c r="GW405" s="6"/>
      <c r="GX405" s="6"/>
      <c r="GY405" s="6"/>
      <c r="GZ405" s="6"/>
      <c r="HA405" s="6"/>
      <c r="HB405" s="6"/>
      <c r="HC405" s="6"/>
      <c r="HD405" s="6"/>
      <c r="HE405" s="6"/>
      <c r="HF405" s="6"/>
      <c r="HG405" s="6"/>
      <c r="HH405" s="6"/>
    </row>
    <row r="406" spans="1:216" x14ac:dyDescent="0.3">
      <c r="A406" s="8" t="str">
        <f>HYPERLINK("https://hpr-rps.hres.ca/reg-content/summary-basis-decision-detailTwo.php?lang=en&amp;linkID=SBD00418", "Veltassa")</f>
        <v>Veltassa</v>
      </c>
      <c r="B406" s="6" t="s">
        <v>1063</v>
      </c>
      <c r="C406" s="6" t="s">
        <v>976</v>
      </c>
      <c r="D406" s="6" t="s">
        <v>1064</v>
      </c>
      <c r="E406" s="6">
        <v>42969</v>
      </c>
      <c r="F406" s="6"/>
      <c r="G406" s="6"/>
      <c r="H406" s="6">
        <v>43028</v>
      </c>
      <c r="I406" s="6"/>
      <c r="J406" s="6"/>
      <c r="K406" s="6"/>
      <c r="L406" s="6"/>
      <c r="M406" s="6"/>
      <c r="N406" s="6"/>
      <c r="O406" s="6"/>
      <c r="P406" s="6"/>
      <c r="Q406" s="6"/>
      <c r="R406" s="6"/>
      <c r="S406" s="6"/>
      <c r="T406" s="6"/>
      <c r="U406" s="6"/>
      <c r="V406" s="6"/>
      <c r="W406" s="6"/>
      <c r="X406" s="6"/>
      <c r="Y406" s="6"/>
      <c r="Z406" s="6"/>
      <c r="AA406" s="6"/>
      <c r="AB406" s="6"/>
      <c r="AC406" s="6"/>
      <c r="AD406" s="6"/>
      <c r="AE406" s="6"/>
      <c r="AF406" s="6">
        <v>43076</v>
      </c>
      <c r="AG406" s="6"/>
      <c r="AH406" s="6"/>
      <c r="AI406" s="6"/>
      <c r="AJ406" s="6"/>
      <c r="AK406" s="6"/>
      <c r="AL406" s="6"/>
      <c r="AM406" s="6"/>
      <c r="AN406" s="6"/>
      <c r="AO406" s="6"/>
      <c r="AP406" s="6"/>
      <c r="AQ406" s="6">
        <v>43370</v>
      </c>
      <c r="AR406" s="6">
        <v>43374</v>
      </c>
      <c r="AS406" s="6"/>
      <c r="AT406" s="6"/>
      <c r="AU406" s="6"/>
      <c r="AV406" s="6">
        <v>43374</v>
      </c>
      <c r="AW406" s="6"/>
      <c r="AX406" s="6"/>
      <c r="AY406" s="6"/>
      <c r="AZ406" s="6">
        <v>43375</v>
      </c>
      <c r="BA406" s="6"/>
      <c r="BB406" s="6"/>
      <c r="BC406" s="6"/>
      <c r="BD406" s="6"/>
      <c r="BE406" s="6"/>
      <c r="BF406" s="6"/>
      <c r="BG406" s="6"/>
      <c r="BH406" s="6"/>
      <c r="BI406" s="6"/>
      <c r="BJ406" s="6"/>
      <c r="BK406" s="6"/>
      <c r="BL406" s="6"/>
      <c r="BM406" s="6">
        <v>43376</v>
      </c>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row>
    <row r="407" spans="1:216" x14ac:dyDescent="0.3">
      <c r="A407" s="8" t="str">
        <f>HYPERLINK("https://hpr-rps.hres.ca/reg-content/summary-basis-decision-detailTwo.php?lang=en&amp;linkID=SBD00419", "Cabometyx")</f>
        <v>Cabometyx</v>
      </c>
      <c r="B407" s="6" t="s">
        <v>1065</v>
      </c>
      <c r="C407" s="6" t="s">
        <v>1054</v>
      </c>
      <c r="D407" s="6" t="s">
        <v>1066</v>
      </c>
      <c r="E407" s="6">
        <v>43011</v>
      </c>
      <c r="F407" s="6"/>
      <c r="G407" s="6"/>
      <c r="H407" s="6"/>
      <c r="I407" s="6"/>
      <c r="J407" s="6"/>
      <c r="K407" s="6"/>
      <c r="L407" s="6"/>
      <c r="M407" s="6"/>
      <c r="N407" s="6">
        <v>43110</v>
      </c>
      <c r="O407" s="6"/>
      <c r="P407" s="6"/>
      <c r="Q407" s="6"/>
      <c r="R407" s="6"/>
      <c r="S407" s="6">
        <v>43137</v>
      </c>
      <c r="T407" s="6"/>
      <c r="U407" s="6"/>
      <c r="V407" s="6">
        <v>43153</v>
      </c>
      <c r="W407" s="6"/>
      <c r="X407" s="6"/>
      <c r="Y407" s="6"/>
      <c r="Z407" s="6"/>
      <c r="AA407" s="6"/>
      <c r="AB407" s="6"/>
      <c r="AC407" s="6"/>
      <c r="AD407" s="6"/>
      <c r="AE407" s="6"/>
      <c r="AF407" s="6">
        <v>43182</v>
      </c>
      <c r="AG407" s="6"/>
      <c r="AH407" s="6"/>
      <c r="AI407" s="6"/>
      <c r="AJ407" s="6"/>
      <c r="AK407" s="6"/>
      <c r="AL407" s="6"/>
      <c r="AM407" s="6"/>
      <c r="AN407" s="6"/>
      <c r="AO407" s="6">
        <v>43353</v>
      </c>
      <c r="AP407" s="6"/>
      <c r="AQ407" s="6">
        <v>43342</v>
      </c>
      <c r="AR407" s="6">
        <v>43357</v>
      </c>
      <c r="AS407" s="6"/>
      <c r="AT407" s="6"/>
      <c r="AU407" s="6"/>
      <c r="AV407" s="6">
        <v>43349</v>
      </c>
      <c r="AW407" s="6"/>
      <c r="AX407" s="6"/>
      <c r="AY407" s="6"/>
      <c r="AZ407" s="6">
        <v>43360</v>
      </c>
      <c r="BA407" s="6"/>
      <c r="BB407" s="6"/>
      <c r="BC407" s="6"/>
      <c r="BD407" s="6"/>
      <c r="BE407" s="6"/>
      <c r="BF407" s="6"/>
      <c r="BG407" s="6"/>
      <c r="BH407" s="6"/>
      <c r="BI407" s="6"/>
      <c r="BJ407" s="6"/>
      <c r="BK407" s="6"/>
      <c r="BL407" s="6"/>
      <c r="BM407" s="6">
        <v>43362</v>
      </c>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c r="FZ407" s="6"/>
      <c r="GA407" s="6"/>
      <c r="GB407" s="6"/>
      <c r="GC407" s="6"/>
      <c r="GD407" s="6"/>
      <c r="GE407" s="6"/>
      <c r="GF407" s="6"/>
      <c r="GG407" s="6"/>
      <c r="GH407" s="6"/>
      <c r="GI407" s="6"/>
      <c r="GJ407" s="6"/>
      <c r="GK407" s="6"/>
      <c r="GL407" s="6"/>
      <c r="GM407" s="6"/>
      <c r="GN407" s="6"/>
      <c r="GO407" s="6"/>
      <c r="GP407" s="6"/>
      <c r="GQ407" s="6"/>
      <c r="GR407" s="6"/>
      <c r="GS407" s="6"/>
      <c r="GT407" s="6"/>
      <c r="GU407" s="6"/>
      <c r="GV407" s="6"/>
      <c r="GW407" s="6"/>
      <c r="GX407" s="6"/>
      <c r="GY407" s="6"/>
      <c r="GZ407" s="6"/>
      <c r="HA407" s="6"/>
      <c r="HB407" s="6"/>
      <c r="HC407" s="6"/>
      <c r="HD407" s="6"/>
      <c r="HE407" s="6"/>
      <c r="HF407" s="6"/>
      <c r="HG407" s="6"/>
      <c r="HH407" s="6"/>
    </row>
    <row r="408" spans="1:216" x14ac:dyDescent="0.3">
      <c r="A408" s="8" t="str">
        <f>HYPERLINK("https://hpr-rps.hres.ca/reg-content/summary-basis-decision-detailTwo.php?lang=en&amp;linkID=SBD00420", "Takhzyro")</f>
        <v>Takhzyro</v>
      </c>
      <c r="B408" s="6" t="s">
        <v>1067</v>
      </c>
      <c r="C408" s="6" t="s">
        <v>986</v>
      </c>
      <c r="D408" s="6" t="s">
        <v>1068</v>
      </c>
      <c r="E408" s="6">
        <v>43011</v>
      </c>
      <c r="F408" s="6"/>
      <c r="G408" s="6"/>
      <c r="H408" s="6"/>
      <c r="I408" s="6"/>
      <c r="J408" s="6"/>
      <c r="K408" s="6"/>
      <c r="L408" s="6"/>
      <c r="M408" s="6"/>
      <c r="N408" s="6">
        <v>43110</v>
      </c>
      <c r="O408" s="6"/>
      <c r="P408" s="6"/>
      <c r="Q408" s="6"/>
      <c r="R408" s="6"/>
      <c r="S408" s="6">
        <v>43137</v>
      </c>
      <c r="T408" s="6"/>
      <c r="U408" s="6"/>
      <c r="V408" s="6">
        <v>43153</v>
      </c>
      <c r="W408" s="6"/>
      <c r="X408" s="6"/>
      <c r="Y408" s="6"/>
      <c r="Z408" s="6"/>
      <c r="AA408" s="6"/>
      <c r="AB408" s="6"/>
      <c r="AC408" s="6"/>
      <c r="AD408" s="6"/>
      <c r="AE408" s="6"/>
      <c r="AF408" s="6">
        <v>43182</v>
      </c>
      <c r="AG408" s="6"/>
      <c r="AH408" s="6"/>
      <c r="AI408" s="6"/>
      <c r="AJ408" s="6"/>
      <c r="AK408" s="6"/>
      <c r="AL408" s="6"/>
      <c r="AM408" s="6"/>
      <c r="AN408" s="6"/>
      <c r="AO408" s="6">
        <v>43353</v>
      </c>
      <c r="AP408" s="6"/>
      <c r="AQ408" s="6">
        <v>43342</v>
      </c>
      <c r="AR408" s="6">
        <v>43357</v>
      </c>
      <c r="AS408" s="6"/>
      <c r="AT408" s="6"/>
      <c r="AU408" s="6"/>
      <c r="AV408" s="6">
        <v>43349</v>
      </c>
      <c r="AW408" s="6"/>
      <c r="AX408" s="6"/>
      <c r="AY408" s="6"/>
      <c r="AZ408" s="6">
        <v>43360</v>
      </c>
      <c r="BA408" s="6"/>
      <c r="BB408" s="6"/>
      <c r="BC408" s="6"/>
      <c r="BD408" s="6"/>
      <c r="BE408" s="6"/>
      <c r="BF408" s="6"/>
      <c r="BG408" s="6"/>
      <c r="BH408" s="6"/>
      <c r="BI408" s="6"/>
      <c r="BJ408" s="6"/>
      <c r="BK408" s="6"/>
      <c r="BL408" s="6"/>
      <c r="BM408" s="6">
        <v>43362</v>
      </c>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c r="FZ408" s="6"/>
      <c r="GA408" s="6"/>
      <c r="GB408" s="6"/>
      <c r="GC408" s="6"/>
      <c r="GD408" s="6"/>
      <c r="GE408" s="6"/>
      <c r="GF408" s="6"/>
      <c r="GG408" s="6"/>
      <c r="GH408" s="6"/>
      <c r="GI408" s="6"/>
      <c r="GJ408" s="6"/>
      <c r="GK408" s="6"/>
      <c r="GL408" s="6"/>
      <c r="GM408" s="6"/>
      <c r="GN408" s="6"/>
      <c r="GO408" s="6"/>
      <c r="GP408" s="6"/>
      <c r="GQ408" s="6"/>
      <c r="GR408" s="6"/>
      <c r="GS408" s="6"/>
      <c r="GT408" s="6"/>
      <c r="GU408" s="6"/>
      <c r="GV408" s="6"/>
      <c r="GW408" s="6"/>
      <c r="GX408" s="6"/>
      <c r="GY408" s="6"/>
      <c r="GZ408" s="6"/>
      <c r="HA408" s="6"/>
      <c r="HB408" s="6"/>
      <c r="HC408" s="6"/>
      <c r="HD408" s="6"/>
      <c r="HE408" s="6"/>
      <c r="HF408" s="6"/>
      <c r="HG408" s="6"/>
      <c r="HH408" s="6"/>
    </row>
    <row r="409" spans="1:216" x14ac:dyDescent="0.3">
      <c r="A409" s="8" t="str">
        <f>HYPERLINK("https://hpr-rps.hres.ca/reg-content/summary-basis-decision-detailTwo.php?lang=en&amp;linkID=SBD00421", "Pifeltro")</f>
        <v>Pifeltro</v>
      </c>
      <c r="B409" s="6" t="s">
        <v>1069</v>
      </c>
      <c r="C409" s="6" t="s">
        <v>418</v>
      </c>
      <c r="D409" s="6" t="s">
        <v>1070</v>
      </c>
      <c r="E409" s="6">
        <v>42957</v>
      </c>
      <c r="F409" s="6"/>
      <c r="G409" s="6"/>
      <c r="H409" s="6">
        <v>43042</v>
      </c>
      <c r="I409" s="6"/>
      <c r="J409" s="6"/>
      <c r="K409" s="6"/>
      <c r="L409" s="6"/>
      <c r="M409" s="6"/>
      <c r="N409" s="6"/>
      <c r="O409" s="6"/>
      <c r="P409" s="6"/>
      <c r="Q409" s="6"/>
      <c r="R409" s="6"/>
      <c r="S409" s="6"/>
      <c r="T409" s="6"/>
      <c r="U409" s="6"/>
      <c r="V409" s="6"/>
      <c r="W409" s="6"/>
      <c r="X409" s="6"/>
      <c r="Y409" s="6"/>
      <c r="Z409" s="6"/>
      <c r="AA409" s="6"/>
      <c r="AB409" s="6"/>
      <c r="AC409" s="6"/>
      <c r="AD409" s="6"/>
      <c r="AE409" s="6"/>
      <c r="AF409" s="6">
        <v>43091</v>
      </c>
      <c r="AG409" s="6"/>
      <c r="AH409" s="6"/>
      <c r="AI409" s="6"/>
      <c r="AJ409" s="6"/>
      <c r="AK409" s="6"/>
      <c r="AL409" s="6"/>
      <c r="AM409" s="6"/>
      <c r="AN409" s="6"/>
      <c r="AO409" s="6"/>
      <c r="AP409" s="6"/>
      <c r="AQ409" s="6">
        <v>43286</v>
      </c>
      <c r="AR409" s="6">
        <v>43390</v>
      </c>
      <c r="AS409" s="6"/>
      <c r="AT409" s="6"/>
      <c r="AU409" s="6"/>
      <c r="AV409" s="6">
        <v>43389</v>
      </c>
      <c r="AW409" s="6"/>
      <c r="AX409" s="6"/>
      <c r="AY409" s="6"/>
      <c r="AZ409" s="6">
        <v>43390</v>
      </c>
      <c r="BA409" s="6"/>
      <c r="BB409" s="6"/>
      <c r="BC409" s="6"/>
      <c r="BD409" s="6"/>
      <c r="BE409" s="6"/>
      <c r="BF409" s="6"/>
      <c r="BG409" s="6"/>
      <c r="BH409" s="6"/>
      <c r="BI409" s="6"/>
      <c r="BJ409" s="6"/>
      <c r="BK409" s="6"/>
      <c r="BL409" s="6"/>
      <c r="BM409" s="6">
        <v>43391</v>
      </c>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c r="FZ409" s="6"/>
      <c r="GA409" s="6"/>
      <c r="GB409" s="6"/>
      <c r="GC409" s="6"/>
      <c r="GD409" s="6"/>
      <c r="GE409" s="6"/>
      <c r="GF409" s="6"/>
      <c r="GG409" s="6"/>
      <c r="GH409" s="6"/>
      <c r="GI409" s="6"/>
      <c r="GJ409" s="6"/>
      <c r="GK409" s="6"/>
      <c r="GL409" s="6"/>
      <c r="GM409" s="6"/>
      <c r="GN409" s="6"/>
      <c r="GO409" s="6"/>
      <c r="GP409" s="6"/>
      <c r="GQ409" s="6"/>
      <c r="GR409" s="6"/>
      <c r="GS409" s="6"/>
      <c r="GT409" s="6"/>
      <c r="GU409" s="6"/>
      <c r="GV409" s="6"/>
      <c r="GW409" s="6"/>
      <c r="GX409" s="6"/>
      <c r="GY409" s="6"/>
      <c r="GZ409" s="6"/>
      <c r="HA409" s="6"/>
      <c r="HB409" s="6"/>
      <c r="HC409" s="6"/>
      <c r="HD409" s="6"/>
      <c r="HE409" s="6"/>
      <c r="HF409" s="6"/>
      <c r="HG409" s="6"/>
      <c r="HH409" s="6"/>
    </row>
    <row r="410" spans="1:216" x14ac:dyDescent="0.3">
      <c r="A410" s="8" t="str">
        <f>HYPERLINK("https://hpr-rps.hres.ca/reg-content/summary-basis-decision-detailTwo.php?lang=en&amp;linkID=SBD00422", "Tegsedi")</f>
        <v>Tegsedi</v>
      </c>
      <c r="B410" s="6" t="s">
        <v>1071</v>
      </c>
      <c r="C410" s="6" t="s">
        <v>1072</v>
      </c>
      <c r="D410" s="6" t="s">
        <v>1073</v>
      </c>
      <c r="E410" s="6">
        <v>43145</v>
      </c>
      <c r="F410" s="6"/>
      <c r="G410" s="6"/>
      <c r="H410" s="6"/>
      <c r="I410" s="6"/>
      <c r="J410" s="6"/>
      <c r="K410" s="6"/>
      <c r="L410" s="6"/>
      <c r="M410" s="6"/>
      <c r="N410" s="6">
        <v>43119</v>
      </c>
      <c r="O410" s="6"/>
      <c r="P410" s="6"/>
      <c r="Q410" s="6"/>
      <c r="R410" s="6"/>
      <c r="S410" s="6">
        <v>43152</v>
      </c>
      <c r="T410" s="6"/>
      <c r="U410" s="6"/>
      <c r="V410" s="6">
        <v>43166</v>
      </c>
      <c r="W410" s="6"/>
      <c r="X410" s="6"/>
      <c r="Y410" s="6"/>
      <c r="Z410" s="6"/>
      <c r="AA410" s="6"/>
      <c r="AB410" s="6"/>
      <c r="AC410" s="6"/>
      <c r="AD410" s="6"/>
      <c r="AE410" s="6"/>
      <c r="AF410" s="6">
        <v>43196</v>
      </c>
      <c r="AG410" s="6"/>
      <c r="AH410" s="6"/>
      <c r="AI410" s="6"/>
      <c r="AJ410" s="6"/>
      <c r="AK410" s="6"/>
      <c r="AL410" s="6"/>
      <c r="AM410" s="6"/>
      <c r="AN410" s="6"/>
      <c r="AO410" s="6"/>
      <c r="AP410" s="6"/>
      <c r="AQ410" s="6">
        <v>43364</v>
      </c>
      <c r="AR410" s="6">
        <v>43375</v>
      </c>
      <c r="AS410" s="6"/>
      <c r="AT410" s="6"/>
      <c r="AU410" s="6"/>
      <c r="AV410" s="6">
        <v>43375</v>
      </c>
      <c r="AW410" s="6"/>
      <c r="AX410" s="6">
        <v>43376</v>
      </c>
      <c r="AY410" s="6"/>
      <c r="AZ410" s="6">
        <v>43375</v>
      </c>
      <c r="BA410" s="6"/>
      <c r="BB410" s="6"/>
      <c r="BC410" s="6"/>
      <c r="BD410" s="6"/>
      <c r="BE410" s="6"/>
      <c r="BF410" s="6"/>
      <c r="BG410" s="6"/>
      <c r="BH410" s="6"/>
      <c r="BI410" s="6"/>
      <c r="BJ410" s="6"/>
      <c r="BK410" s="6"/>
      <c r="BL410" s="6"/>
      <c r="BM410" s="6">
        <v>43376</v>
      </c>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c r="FZ410" s="6"/>
      <c r="GA410" s="6"/>
      <c r="GB410" s="6"/>
      <c r="GC410" s="6"/>
      <c r="GD410" s="6"/>
      <c r="GE410" s="6"/>
      <c r="GF410" s="6"/>
      <c r="GG410" s="6"/>
      <c r="GH410" s="6"/>
      <c r="GI410" s="6"/>
      <c r="GJ410" s="6"/>
      <c r="GK410" s="6"/>
      <c r="GL410" s="6"/>
      <c r="GM410" s="6"/>
      <c r="GN410" s="6"/>
      <c r="GO410" s="6"/>
      <c r="GP410" s="6"/>
      <c r="GQ410" s="6"/>
      <c r="GR410" s="6"/>
      <c r="GS410" s="6"/>
      <c r="GT410" s="6"/>
      <c r="GU410" s="6"/>
      <c r="GV410" s="6"/>
      <c r="GW410" s="6"/>
      <c r="GX410" s="6"/>
      <c r="GY410" s="6"/>
      <c r="GZ410" s="6"/>
      <c r="HA410" s="6"/>
      <c r="HB410" s="6"/>
      <c r="HC410" s="6"/>
      <c r="HD410" s="6"/>
      <c r="HE410" s="6"/>
      <c r="HF410" s="6"/>
      <c r="HG410" s="6"/>
      <c r="HH410" s="6"/>
    </row>
    <row r="411" spans="1:216" x14ac:dyDescent="0.3">
      <c r="A411" s="8" t="str">
        <f>HYPERLINK("https://hpr-rps.hres.ca/reg-content/summary-basis-decision-detailTwo.php?lang=en&amp;linkID=SBD00423", "Jivi")</f>
        <v>Jivi</v>
      </c>
      <c r="B411" s="6" t="s">
        <v>1074</v>
      </c>
      <c r="C411" s="6" t="s">
        <v>341</v>
      </c>
      <c r="D411" s="6" t="s">
        <v>1075</v>
      </c>
      <c r="E411" s="6">
        <v>42957</v>
      </c>
      <c r="F411" s="6"/>
      <c r="G411" s="6"/>
      <c r="H411" s="6">
        <v>43042</v>
      </c>
      <c r="I411" s="6"/>
      <c r="J411" s="6"/>
      <c r="K411" s="6"/>
      <c r="L411" s="6"/>
      <c r="M411" s="6"/>
      <c r="N411" s="6"/>
      <c r="O411" s="6"/>
      <c r="P411" s="6"/>
      <c r="Q411" s="6"/>
      <c r="R411" s="6"/>
      <c r="S411" s="6"/>
      <c r="T411" s="6"/>
      <c r="U411" s="6"/>
      <c r="V411" s="6"/>
      <c r="W411" s="6"/>
      <c r="X411" s="6"/>
      <c r="Y411" s="6"/>
      <c r="Z411" s="6"/>
      <c r="AA411" s="6"/>
      <c r="AB411" s="6"/>
      <c r="AC411" s="6"/>
      <c r="AD411" s="6"/>
      <c r="AE411" s="6"/>
      <c r="AF411" s="6">
        <v>43091</v>
      </c>
      <c r="AG411" s="6"/>
      <c r="AH411" s="6"/>
      <c r="AI411" s="6"/>
      <c r="AJ411" s="6"/>
      <c r="AK411" s="6"/>
      <c r="AL411" s="6"/>
      <c r="AM411" s="6"/>
      <c r="AN411" s="6"/>
      <c r="AO411" s="6"/>
      <c r="AP411" s="6"/>
      <c r="AQ411" s="6">
        <v>43286</v>
      </c>
      <c r="AR411" s="6">
        <v>43390</v>
      </c>
      <c r="AS411" s="6"/>
      <c r="AT411" s="6"/>
      <c r="AU411" s="6"/>
      <c r="AV411" s="6">
        <v>43389</v>
      </c>
      <c r="AW411" s="6"/>
      <c r="AX411" s="6"/>
      <c r="AY411" s="6"/>
      <c r="AZ411" s="6">
        <v>43390</v>
      </c>
      <c r="BA411" s="6"/>
      <c r="BB411" s="6"/>
      <c r="BC411" s="6"/>
      <c r="BD411" s="6"/>
      <c r="BE411" s="6"/>
      <c r="BF411" s="6"/>
      <c r="BG411" s="6"/>
      <c r="BH411" s="6"/>
      <c r="BI411" s="6"/>
      <c r="BJ411" s="6"/>
      <c r="BK411" s="6"/>
      <c r="BL411" s="6"/>
      <c r="BM411" s="6">
        <v>43391</v>
      </c>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c r="FZ411" s="6"/>
      <c r="GA411" s="6"/>
      <c r="GB411" s="6"/>
      <c r="GC411" s="6"/>
      <c r="GD411" s="6"/>
      <c r="GE411" s="6"/>
      <c r="GF411" s="6"/>
      <c r="GG411" s="6"/>
      <c r="GH411" s="6"/>
      <c r="GI411" s="6"/>
      <c r="GJ411" s="6"/>
      <c r="GK411" s="6"/>
      <c r="GL411" s="6"/>
      <c r="GM411" s="6"/>
      <c r="GN411" s="6"/>
      <c r="GO411" s="6"/>
      <c r="GP411" s="6"/>
      <c r="GQ411" s="6"/>
      <c r="GR411" s="6"/>
      <c r="GS411" s="6"/>
      <c r="GT411" s="6"/>
      <c r="GU411" s="6"/>
      <c r="GV411" s="6"/>
      <c r="GW411" s="6"/>
      <c r="GX411" s="6"/>
      <c r="GY411" s="6"/>
      <c r="GZ411" s="6"/>
      <c r="HA411" s="6"/>
      <c r="HB411" s="6"/>
      <c r="HC411" s="6"/>
      <c r="HD411" s="6"/>
      <c r="HE411" s="6"/>
      <c r="HF411" s="6"/>
      <c r="HG411" s="6"/>
      <c r="HH411" s="6"/>
    </row>
    <row r="412" spans="1:216" x14ac:dyDescent="0.3">
      <c r="A412" s="8" t="str">
        <f>HYPERLINK("https://hpr-rps.hres.ca/reg-content/summary-basis-decision-detailTwo.php?lang=en&amp;linkID=SBD00424", "Cresemba")</f>
        <v>Cresemba</v>
      </c>
      <c r="B412" s="6" t="s">
        <v>1076</v>
      </c>
      <c r="C412" s="6" t="s">
        <v>1077</v>
      </c>
      <c r="D412" s="6" t="s">
        <v>1078</v>
      </c>
      <c r="E412" s="6">
        <v>43145</v>
      </c>
      <c r="F412" s="6"/>
      <c r="G412" s="6"/>
      <c r="H412" s="6"/>
      <c r="I412" s="6"/>
      <c r="J412" s="6"/>
      <c r="K412" s="6"/>
      <c r="L412" s="6"/>
      <c r="M412" s="6"/>
      <c r="N412" s="6">
        <v>43119</v>
      </c>
      <c r="O412" s="6"/>
      <c r="P412" s="6"/>
      <c r="Q412" s="6"/>
      <c r="R412" s="6"/>
      <c r="S412" s="6">
        <v>43152</v>
      </c>
      <c r="T412" s="6"/>
      <c r="U412" s="6"/>
      <c r="V412" s="6">
        <v>43166</v>
      </c>
      <c r="W412" s="6"/>
      <c r="X412" s="6"/>
      <c r="Y412" s="6"/>
      <c r="Z412" s="6"/>
      <c r="AA412" s="6"/>
      <c r="AB412" s="6"/>
      <c r="AC412" s="6"/>
      <c r="AD412" s="6"/>
      <c r="AE412" s="6"/>
      <c r="AF412" s="6">
        <v>43196</v>
      </c>
      <c r="AG412" s="6"/>
      <c r="AH412" s="6"/>
      <c r="AI412" s="6"/>
      <c r="AJ412" s="6"/>
      <c r="AK412" s="6"/>
      <c r="AL412" s="6"/>
      <c r="AM412" s="6"/>
      <c r="AN412" s="6"/>
      <c r="AO412" s="6"/>
      <c r="AP412" s="6"/>
      <c r="AQ412" s="6">
        <v>43364</v>
      </c>
      <c r="AR412" s="6">
        <v>43375</v>
      </c>
      <c r="AS412" s="6"/>
      <c r="AT412" s="6"/>
      <c r="AU412" s="6"/>
      <c r="AV412" s="6">
        <v>43375</v>
      </c>
      <c r="AW412" s="6"/>
      <c r="AX412" s="6">
        <v>43376</v>
      </c>
      <c r="AY412" s="6"/>
      <c r="AZ412" s="6">
        <v>43375</v>
      </c>
      <c r="BA412" s="6"/>
      <c r="BB412" s="6"/>
      <c r="BC412" s="6"/>
      <c r="BD412" s="6"/>
      <c r="BE412" s="6"/>
      <c r="BF412" s="6"/>
      <c r="BG412" s="6"/>
      <c r="BH412" s="6"/>
      <c r="BI412" s="6"/>
      <c r="BJ412" s="6"/>
      <c r="BK412" s="6"/>
      <c r="BL412" s="6"/>
      <c r="BM412" s="6">
        <v>43376</v>
      </c>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c r="FZ412" s="6"/>
      <c r="GA412" s="6"/>
      <c r="GB412" s="6"/>
      <c r="GC412" s="6"/>
      <c r="GD412" s="6"/>
      <c r="GE412" s="6"/>
      <c r="GF412" s="6"/>
      <c r="GG412" s="6"/>
      <c r="GH412" s="6"/>
      <c r="GI412" s="6"/>
      <c r="GJ412" s="6"/>
      <c r="GK412" s="6"/>
      <c r="GL412" s="6"/>
      <c r="GM412" s="6"/>
      <c r="GN412" s="6"/>
      <c r="GO412" s="6"/>
      <c r="GP412" s="6"/>
      <c r="GQ412" s="6"/>
      <c r="GR412" s="6"/>
      <c r="GS412" s="6"/>
      <c r="GT412" s="6"/>
      <c r="GU412" s="6"/>
      <c r="GV412" s="6"/>
      <c r="GW412" s="6"/>
      <c r="GX412" s="6"/>
      <c r="GY412" s="6"/>
      <c r="GZ412" s="6"/>
      <c r="HA412" s="6"/>
      <c r="HB412" s="6"/>
      <c r="HC412" s="6"/>
      <c r="HD412" s="6"/>
      <c r="HE412" s="6"/>
      <c r="HF412" s="6"/>
      <c r="HG412" s="6"/>
      <c r="HH412" s="6"/>
    </row>
    <row r="413" spans="1:216" x14ac:dyDescent="0.3">
      <c r="A413" s="8" t="str">
        <f>HYPERLINK("https://hpr-rps.hres.ca/reg-content/summary-basis-decision-detailTwo.php?lang=en&amp;linkID=SBD00425", "Vyzulta")</f>
        <v>Vyzulta</v>
      </c>
      <c r="B413" s="6" t="s">
        <v>1079</v>
      </c>
      <c r="C413" s="6" t="s">
        <v>129</v>
      </c>
      <c r="D413" s="6" t="s">
        <v>1080</v>
      </c>
      <c r="E413" s="6">
        <v>43145</v>
      </c>
      <c r="F413" s="6"/>
      <c r="G413" s="6"/>
      <c r="H413" s="6"/>
      <c r="I413" s="6"/>
      <c r="J413" s="6"/>
      <c r="K413" s="6"/>
      <c r="L413" s="6"/>
      <c r="M413" s="6"/>
      <c r="N413" s="6">
        <v>43119</v>
      </c>
      <c r="O413" s="6"/>
      <c r="P413" s="6"/>
      <c r="Q413" s="6"/>
      <c r="R413" s="6"/>
      <c r="S413" s="6">
        <v>43152</v>
      </c>
      <c r="T413" s="6"/>
      <c r="U413" s="6"/>
      <c r="V413" s="6">
        <v>43166</v>
      </c>
      <c r="W413" s="6"/>
      <c r="X413" s="6"/>
      <c r="Y413" s="6"/>
      <c r="Z413" s="6"/>
      <c r="AA413" s="6"/>
      <c r="AB413" s="6"/>
      <c r="AC413" s="6"/>
      <c r="AD413" s="6"/>
      <c r="AE413" s="6"/>
      <c r="AF413" s="6">
        <v>43196</v>
      </c>
      <c r="AG413" s="6"/>
      <c r="AH413" s="6"/>
      <c r="AI413" s="6"/>
      <c r="AJ413" s="6"/>
      <c r="AK413" s="6"/>
      <c r="AL413" s="6"/>
      <c r="AM413" s="6"/>
      <c r="AN413" s="6"/>
      <c r="AO413" s="6"/>
      <c r="AP413" s="6"/>
      <c r="AQ413" s="6">
        <v>43364</v>
      </c>
      <c r="AR413" s="6">
        <v>43375</v>
      </c>
      <c r="AS413" s="6"/>
      <c r="AT413" s="6"/>
      <c r="AU413" s="6"/>
      <c r="AV413" s="6">
        <v>43375</v>
      </c>
      <c r="AW413" s="6"/>
      <c r="AX413" s="6">
        <v>43376</v>
      </c>
      <c r="AY413" s="6"/>
      <c r="AZ413" s="6">
        <v>43375</v>
      </c>
      <c r="BA413" s="6"/>
      <c r="BB413" s="6"/>
      <c r="BC413" s="6"/>
      <c r="BD413" s="6"/>
      <c r="BE413" s="6"/>
      <c r="BF413" s="6"/>
      <c r="BG413" s="6"/>
      <c r="BH413" s="6"/>
      <c r="BI413" s="6"/>
      <c r="BJ413" s="6"/>
      <c r="BK413" s="6"/>
      <c r="BL413" s="6"/>
      <c r="BM413" s="6">
        <v>43376</v>
      </c>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c r="FZ413" s="6"/>
      <c r="GA413" s="6"/>
      <c r="GB413" s="6"/>
      <c r="GC413" s="6"/>
      <c r="GD413" s="6"/>
      <c r="GE413" s="6"/>
      <c r="GF413" s="6"/>
      <c r="GG413" s="6"/>
      <c r="GH413" s="6"/>
      <c r="GI413" s="6"/>
      <c r="GJ413" s="6"/>
      <c r="GK413" s="6"/>
      <c r="GL413" s="6"/>
      <c r="GM413" s="6"/>
      <c r="GN413" s="6"/>
      <c r="GO413" s="6"/>
      <c r="GP413" s="6"/>
      <c r="GQ413" s="6"/>
      <c r="GR413" s="6"/>
      <c r="GS413" s="6"/>
      <c r="GT413" s="6"/>
      <c r="GU413" s="6"/>
      <c r="GV413" s="6"/>
      <c r="GW413" s="6"/>
      <c r="GX413" s="6"/>
      <c r="GY413" s="6"/>
      <c r="GZ413" s="6"/>
      <c r="HA413" s="6"/>
      <c r="HB413" s="6"/>
      <c r="HC413" s="6"/>
      <c r="HD413" s="6"/>
      <c r="HE413" s="6"/>
      <c r="HF413" s="6"/>
      <c r="HG413" s="6"/>
      <c r="HH413" s="6"/>
    </row>
    <row r="414" spans="1:216" x14ac:dyDescent="0.3">
      <c r="A414" s="8" t="str">
        <f>HYPERLINK("https://hpr-rps.hres.ca/reg-content/summary-basis-decision-detailTwo.php?lang=en&amp;linkID=SBD00435", "BioThrax")</f>
        <v>BioThrax</v>
      </c>
      <c r="B414" s="6" t="s">
        <v>1081</v>
      </c>
      <c r="C414" s="6" t="s">
        <v>1082</v>
      </c>
      <c r="D414" s="6" t="s">
        <v>1083</v>
      </c>
      <c r="E414" s="6">
        <v>42766</v>
      </c>
      <c r="F414" s="6"/>
      <c r="G414" s="6"/>
      <c r="H414" s="6">
        <v>42934</v>
      </c>
      <c r="I414" s="6"/>
      <c r="J414" s="6"/>
      <c r="K414" s="6"/>
      <c r="L414" s="6"/>
      <c r="M414" s="6"/>
      <c r="N414" s="6"/>
      <c r="O414" s="6"/>
      <c r="P414" s="6"/>
      <c r="Q414" s="6"/>
      <c r="R414" s="6"/>
      <c r="S414" s="6"/>
      <c r="T414" s="6"/>
      <c r="U414" s="6"/>
      <c r="V414" s="6"/>
      <c r="W414" s="6"/>
      <c r="X414" s="6"/>
      <c r="Y414" s="6"/>
      <c r="Z414" s="6">
        <v>42978</v>
      </c>
      <c r="AA414" s="6"/>
      <c r="AB414" s="6"/>
      <c r="AC414" s="6">
        <v>43013</v>
      </c>
      <c r="AD414" s="6"/>
      <c r="AE414" s="6"/>
      <c r="AF414" s="6">
        <v>43054</v>
      </c>
      <c r="AG414" s="6"/>
      <c r="AH414" s="6"/>
      <c r="AI414" s="6"/>
      <c r="AJ414" s="6"/>
      <c r="AK414" s="6"/>
      <c r="AL414" s="6"/>
      <c r="AM414" s="6"/>
      <c r="AN414" s="6"/>
      <c r="AO414" s="6"/>
      <c r="AP414" s="6"/>
      <c r="AQ414" s="6">
        <v>43258</v>
      </c>
      <c r="AR414" s="6">
        <v>43353</v>
      </c>
      <c r="AS414" s="6"/>
      <c r="AT414" s="6"/>
      <c r="AU414" s="6"/>
      <c r="AV414" s="6">
        <v>43350</v>
      </c>
      <c r="AW414" s="6"/>
      <c r="AX414" s="6"/>
      <c r="AY414" s="6"/>
      <c r="AZ414" s="6"/>
      <c r="BA414" s="6"/>
      <c r="BB414" s="6"/>
      <c r="BC414" s="6"/>
      <c r="BD414" s="6"/>
      <c r="BE414" s="6"/>
      <c r="BF414" s="6"/>
      <c r="BG414" s="6"/>
      <c r="BH414" s="6"/>
      <c r="BI414" s="6"/>
      <c r="BJ414" s="6"/>
      <c r="BK414" s="6">
        <v>43353</v>
      </c>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v>43391</v>
      </c>
      <c r="CV414" s="6"/>
      <c r="CW414" s="6"/>
      <c r="CX414" s="6"/>
      <c r="CY414" s="6"/>
      <c r="CZ414" s="6"/>
      <c r="DA414" s="6"/>
      <c r="DB414" s="6"/>
      <c r="DC414" s="6"/>
      <c r="DD414" s="6"/>
      <c r="DE414" s="6"/>
      <c r="DF414" s="6"/>
      <c r="DG414" s="6">
        <v>43399</v>
      </c>
      <c r="DH414" s="6"/>
      <c r="DI414" s="6"/>
      <c r="DJ414" s="6"/>
      <c r="DK414" s="6"/>
      <c r="DL414" s="6"/>
      <c r="DM414" s="6"/>
      <c r="DN414" s="6"/>
      <c r="DO414" s="6"/>
      <c r="DP414" s="6"/>
      <c r="DQ414" s="6"/>
      <c r="DR414" s="6"/>
      <c r="DS414" s="6"/>
      <c r="DT414" s="6">
        <v>43371</v>
      </c>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c r="FZ414" s="6"/>
      <c r="GA414" s="6"/>
      <c r="GB414" s="6"/>
      <c r="GC414" s="6"/>
      <c r="GD414" s="6"/>
      <c r="GE414" s="6"/>
      <c r="GF414" s="6"/>
      <c r="GG414" s="6"/>
      <c r="GH414" s="6"/>
      <c r="GI414" s="6"/>
      <c r="GJ414" s="6"/>
      <c r="GK414" s="6"/>
      <c r="GL414" s="6"/>
      <c r="GM414" s="6"/>
      <c r="GN414" s="6"/>
      <c r="GO414" s="6"/>
      <c r="GP414" s="6"/>
      <c r="GQ414" s="6"/>
      <c r="GR414" s="6"/>
      <c r="GS414" s="6"/>
      <c r="GT414" s="6"/>
      <c r="GU414" s="6"/>
      <c r="GV414" s="6"/>
      <c r="GW414" s="6"/>
      <c r="GX414" s="6"/>
      <c r="GY414" s="6"/>
      <c r="GZ414" s="6"/>
      <c r="HA414" s="6"/>
      <c r="HB414" s="6"/>
      <c r="HC414" s="6"/>
      <c r="HD414" s="6"/>
      <c r="HE414" s="6"/>
      <c r="HF414" s="6"/>
      <c r="HG414" s="6"/>
      <c r="HH414" s="6"/>
    </row>
    <row r="415" spans="1:216" x14ac:dyDescent="0.3">
      <c r="A415" s="8" t="str">
        <f>HYPERLINK("https://hpr-rps.hres.ca/reg-content/summary-basis-decision-detailTwo.php?lang=en&amp;linkID=SBD00426", "Orilissa")</f>
        <v>Orilissa</v>
      </c>
      <c r="B415" s="6" t="s">
        <v>1084</v>
      </c>
      <c r="C415" s="6" t="s">
        <v>692</v>
      </c>
      <c r="D415" s="6" t="s">
        <v>1085</v>
      </c>
      <c r="E415" s="6">
        <v>42851</v>
      </c>
      <c r="F415" s="6"/>
      <c r="G415" s="6"/>
      <c r="H415" s="6">
        <v>43000</v>
      </c>
      <c r="I415" s="6"/>
      <c r="J415" s="6"/>
      <c r="K415" s="6"/>
      <c r="L415" s="6"/>
      <c r="M415" s="6"/>
      <c r="N415" s="6"/>
      <c r="O415" s="6"/>
      <c r="P415" s="6"/>
      <c r="Q415" s="6"/>
      <c r="R415" s="6"/>
      <c r="S415" s="6"/>
      <c r="T415" s="6"/>
      <c r="U415" s="6"/>
      <c r="V415" s="6"/>
      <c r="W415" s="6"/>
      <c r="X415" s="6"/>
      <c r="Y415" s="6"/>
      <c r="Z415" s="6">
        <v>43049</v>
      </c>
      <c r="AA415" s="6"/>
      <c r="AB415" s="6"/>
      <c r="AC415" s="6">
        <v>43061</v>
      </c>
      <c r="AD415" s="6"/>
      <c r="AE415" s="6"/>
      <c r="AF415" s="6">
        <v>43061</v>
      </c>
      <c r="AG415" s="6"/>
      <c r="AH415" s="6"/>
      <c r="AI415" s="6"/>
      <c r="AJ415" s="6"/>
      <c r="AK415" s="6"/>
      <c r="AL415" s="6"/>
      <c r="AM415" s="6"/>
      <c r="AN415" s="6"/>
      <c r="AO415" s="6"/>
      <c r="AP415" s="6"/>
      <c r="AQ415" s="6">
        <v>43367</v>
      </c>
      <c r="AR415" s="6">
        <v>43376</v>
      </c>
      <c r="AS415" s="6">
        <v>43287</v>
      </c>
      <c r="AT415" s="6"/>
      <c r="AU415" s="6">
        <v>43378</v>
      </c>
      <c r="AV415" s="6">
        <v>43378</v>
      </c>
      <c r="AW415" s="6"/>
      <c r="AX415" s="6">
        <v>43369</v>
      </c>
      <c r="AY415" s="6"/>
      <c r="AZ415" s="6">
        <v>43377</v>
      </c>
      <c r="BA415" s="6"/>
      <c r="BB415" s="6"/>
      <c r="BC415" s="6"/>
      <c r="BD415" s="6"/>
      <c r="BE415" s="6"/>
      <c r="BF415" s="6"/>
      <c r="BG415" s="6"/>
      <c r="BH415" s="6"/>
      <c r="BI415" s="6"/>
      <c r="BJ415" s="6"/>
      <c r="BK415" s="6"/>
      <c r="BL415" s="6"/>
      <c r="BM415" s="6">
        <v>43378</v>
      </c>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c r="FZ415" s="6"/>
      <c r="GA415" s="6"/>
      <c r="GB415" s="6"/>
      <c r="GC415" s="6"/>
      <c r="GD415" s="6"/>
      <c r="GE415" s="6"/>
      <c r="GF415" s="6"/>
      <c r="GG415" s="6"/>
      <c r="GH415" s="6"/>
      <c r="GI415" s="6"/>
      <c r="GJ415" s="6"/>
      <c r="GK415" s="6"/>
      <c r="GL415" s="6"/>
      <c r="GM415" s="6"/>
      <c r="GN415" s="6"/>
      <c r="GO415" s="6"/>
      <c r="GP415" s="6"/>
      <c r="GQ415" s="6"/>
      <c r="GR415" s="6"/>
      <c r="GS415" s="6"/>
      <c r="GT415" s="6"/>
      <c r="GU415" s="6"/>
      <c r="GV415" s="6"/>
      <c r="GW415" s="6"/>
      <c r="GX415" s="6"/>
      <c r="GY415" s="6"/>
      <c r="GZ415" s="6"/>
      <c r="HA415" s="6"/>
      <c r="HB415" s="6"/>
      <c r="HC415" s="6"/>
      <c r="HD415" s="6"/>
      <c r="HE415" s="6"/>
      <c r="HF415" s="6"/>
      <c r="HG415" s="6"/>
      <c r="HH415" s="6"/>
    </row>
    <row r="416" spans="1:216" x14ac:dyDescent="0.3">
      <c r="A416" s="8" t="str">
        <f>HYPERLINK("https://hpr-rps.hres.ca/reg-content/summary-basis-decision-detailTwo.php?lang=en&amp;linkID=SBD00427", "Folotyn")</f>
        <v>Folotyn</v>
      </c>
      <c r="B416" s="6" t="s">
        <v>1086</v>
      </c>
      <c r="C416" s="6" t="s">
        <v>177</v>
      </c>
      <c r="D416" s="6" t="s">
        <v>1087</v>
      </c>
      <c r="E416" s="6">
        <v>42766</v>
      </c>
      <c r="F416" s="6"/>
      <c r="G416" s="6"/>
      <c r="H416" s="6">
        <v>42934</v>
      </c>
      <c r="I416" s="6"/>
      <c r="J416" s="6"/>
      <c r="K416" s="6"/>
      <c r="L416" s="6"/>
      <c r="M416" s="6"/>
      <c r="N416" s="6"/>
      <c r="O416" s="6"/>
      <c r="P416" s="6"/>
      <c r="Q416" s="6"/>
      <c r="R416" s="6"/>
      <c r="S416" s="6"/>
      <c r="T416" s="6"/>
      <c r="U416" s="6"/>
      <c r="V416" s="6"/>
      <c r="W416" s="6"/>
      <c r="X416" s="6"/>
      <c r="Y416" s="6"/>
      <c r="Z416" s="6">
        <v>42978</v>
      </c>
      <c r="AA416" s="6"/>
      <c r="AB416" s="6"/>
      <c r="AC416" s="6">
        <v>43013</v>
      </c>
      <c r="AD416" s="6"/>
      <c r="AE416" s="6"/>
      <c r="AF416" s="6">
        <v>43054</v>
      </c>
      <c r="AG416" s="6"/>
      <c r="AH416" s="6"/>
      <c r="AI416" s="6"/>
      <c r="AJ416" s="6"/>
      <c r="AK416" s="6"/>
      <c r="AL416" s="6"/>
      <c r="AM416" s="6"/>
      <c r="AN416" s="6"/>
      <c r="AO416" s="6"/>
      <c r="AP416" s="6"/>
      <c r="AQ416" s="6">
        <v>43258</v>
      </c>
      <c r="AR416" s="6">
        <v>43353</v>
      </c>
      <c r="AS416" s="6"/>
      <c r="AT416" s="6"/>
      <c r="AU416" s="6"/>
      <c r="AV416" s="6">
        <v>43350</v>
      </c>
      <c r="AW416" s="6"/>
      <c r="AX416" s="6"/>
      <c r="AY416" s="6"/>
      <c r="AZ416" s="6"/>
      <c r="BA416" s="6"/>
      <c r="BB416" s="6"/>
      <c r="BC416" s="6"/>
      <c r="BD416" s="6"/>
      <c r="BE416" s="6"/>
      <c r="BF416" s="6"/>
      <c r="BG416" s="6"/>
      <c r="BH416" s="6"/>
      <c r="BI416" s="6"/>
      <c r="BJ416" s="6"/>
      <c r="BK416" s="6">
        <v>43353</v>
      </c>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v>43391</v>
      </c>
      <c r="CV416" s="6"/>
      <c r="CW416" s="6"/>
      <c r="CX416" s="6"/>
      <c r="CY416" s="6"/>
      <c r="CZ416" s="6"/>
      <c r="DA416" s="6"/>
      <c r="DB416" s="6"/>
      <c r="DC416" s="6"/>
      <c r="DD416" s="6"/>
      <c r="DE416" s="6"/>
      <c r="DF416" s="6"/>
      <c r="DG416" s="6">
        <v>43399</v>
      </c>
      <c r="DH416" s="6"/>
      <c r="DI416" s="6"/>
      <c r="DJ416" s="6"/>
      <c r="DK416" s="6"/>
      <c r="DL416" s="6"/>
      <c r="DM416" s="6"/>
      <c r="DN416" s="6"/>
      <c r="DO416" s="6"/>
      <c r="DP416" s="6"/>
      <c r="DQ416" s="6"/>
      <c r="DR416" s="6"/>
      <c r="DS416" s="6"/>
      <c r="DT416" s="6">
        <v>43371</v>
      </c>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c r="FZ416" s="6"/>
      <c r="GA416" s="6"/>
      <c r="GB416" s="6"/>
      <c r="GC416" s="6"/>
      <c r="GD416" s="6"/>
      <c r="GE416" s="6"/>
      <c r="GF416" s="6"/>
      <c r="GG416" s="6"/>
      <c r="GH416" s="6"/>
      <c r="GI416" s="6"/>
      <c r="GJ416" s="6"/>
      <c r="GK416" s="6"/>
      <c r="GL416" s="6"/>
      <c r="GM416" s="6"/>
      <c r="GN416" s="6"/>
      <c r="GO416" s="6"/>
      <c r="GP416" s="6"/>
      <c r="GQ416" s="6"/>
      <c r="GR416" s="6"/>
      <c r="GS416" s="6"/>
      <c r="GT416" s="6"/>
      <c r="GU416" s="6"/>
      <c r="GV416" s="6"/>
      <c r="GW416" s="6"/>
      <c r="GX416" s="6"/>
      <c r="GY416" s="6"/>
      <c r="GZ416" s="6"/>
      <c r="HA416" s="6"/>
      <c r="HB416" s="6"/>
      <c r="HC416" s="6"/>
      <c r="HD416" s="6"/>
      <c r="HE416" s="6"/>
      <c r="HF416" s="6"/>
      <c r="HG416" s="6"/>
      <c r="HH416" s="6"/>
    </row>
    <row r="417" spans="1:216" x14ac:dyDescent="0.3">
      <c r="A417" s="8" t="str">
        <f>HYPERLINK("https://hpr-rps.hres.ca/reg-content/summary-basis-decision-detailTwo.php?lang=en&amp;linkID=SBD00438", "Lorbrena")</f>
        <v>Lorbrena</v>
      </c>
      <c r="B417" s="6" t="s">
        <v>1088</v>
      </c>
      <c r="C417" s="6" t="s">
        <v>1089</v>
      </c>
      <c r="D417" s="6" t="s">
        <v>1090</v>
      </c>
      <c r="E417" s="6">
        <v>43137</v>
      </c>
      <c r="F417" s="6"/>
      <c r="G417" s="6">
        <v>43194</v>
      </c>
      <c r="H417" s="6">
        <v>43216</v>
      </c>
      <c r="I417" s="6"/>
      <c r="J417" s="6"/>
      <c r="K417" s="6"/>
      <c r="L417" s="6"/>
      <c r="M417" s="6"/>
      <c r="N417" s="6"/>
      <c r="O417" s="6"/>
      <c r="P417" s="6"/>
      <c r="Q417" s="6"/>
      <c r="R417" s="6"/>
      <c r="S417" s="6"/>
      <c r="T417" s="6"/>
      <c r="U417" s="6"/>
      <c r="V417" s="6"/>
      <c r="W417" s="6"/>
      <c r="X417" s="6"/>
      <c r="Y417" s="6"/>
      <c r="Z417" s="6">
        <v>43244</v>
      </c>
      <c r="AA417" s="6"/>
      <c r="AB417" s="6"/>
      <c r="AC417" s="6">
        <v>43258</v>
      </c>
      <c r="AD417" s="6"/>
      <c r="AE417" s="6"/>
      <c r="AF417" s="6">
        <v>43269</v>
      </c>
      <c r="AG417" s="6"/>
      <c r="AH417" s="6"/>
      <c r="AI417" s="6"/>
      <c r="AJ417" s="6"/>
      <c r="AK417" s="6"/>
      <c r="AL417" s="6"/>
      <c r="AM417" s="6"/>
      <c r="AN417" s="6"/>
      <c r="AO417" s="6"/>
      <c r="AP417" s="6"/>
      <c r="AQ417" s="6">
        <v>43453</v>
      </c>
      <c r="AR417" s="6">
        <v>43454</v>
      </c>
      <c r="AS417" s="6">
        <v>43413</v>
      </c>
      <c r="AT417" s="6"/>
      <c r="AU417" s="6">
        <v>43465</v>
      </c>
      <c r="AV417" s="6">
        <v>43465</v>
      </c>
      <c r="AW417" s="6"/>
      <c r="AX417" s="6"/>
      <c r="AY417" s="6"/>
      <c r="AZ417" s="6"/>
      <c r="BA417" s="6"/>
      <c r="BB417" s="6"/>
      <c r="BC417" s="6"/>
      <c r="BD417" s="6"/>
      <c r="BE417" s="6"/>
      <c r="BF417" s="6"/>
      <c r="BG417" s="6"/>
      <c r="BH417" s="6"/>
      <c r="BI417" s="6"/>
      <c r="BJ417" s="6"/>
      <c r="BK417" s="6">
        <v>43467</v>
      </c>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v>43516</v>
      </c>
      <c r="CQ417" s="6"/>
      <c r="CR417" s="6"/>
      <c r="CS417" s="6"/>
      <c r="CT417" s="6"/>
      <c r="CU417" s="6"/>
      <c r="CV417" s="6"/>
      <c r="CW417" s="6"/>
      <c r="CX417" s="6"/>
      <c r="CY417" s="6"/>
      <c r="CZ417" s="6"/>
      <c r="DA417" s="6"/>
      <c r="DB417" s="6"/>
      <c r="DC417" s="6"/>
      <c r="DD417" s="6"/>
      <c r="DE417" s="6"/>
      <c r="DF417" s="6"/>
      <c r="DG417" s="6">
        <v>43518</v>
      </c>
      <c r="DH417" s="6"/>
      <c r="DI417" s="6"/>
      <c r="DJ417" s="6"/>
      <c r="DK417" s="6"/>
      <c r="DL417" s="6"/>
      <c r="DM417" s="6"/>
      <c r="DN417" s="6"/>
      <c r="DO417" s="6"/>
      <c r="DP417" s="6"/>
      <c r="DQ417" s="6"/>
      <c r="DR417" s="6"/>
      <c r="DS417" s="6"/>
      <c r="DT417" s="6">
        <v>43488</v>
      </c>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c r="FZ417" s="6"/>
      <c r="GA417" s="6"/>
      <c r="GB417" s="6"/>
      <c r="GC417" s="6"/>
      <c r="GD417" s="6"/>
      <c r="GE417" s="6"/>
      <c r="GF417" s="6"/>
      <c r="GG417" s="6"/>
      <c r="GH417" s="6"/>
      <c r="GI417" s="6"/>
      <c r="GJ417" s="6"/>
      <c r="GK417" s="6"/>
      <c r="GL417" s="6"/>
      <c r="GM417" s="6"/>
      <c r="GN417" s="6"/>
      <c r="GO417" s="6"/>
      <c r="GP417" s="6"/>
      <c r="GQ417" s="6"/>
      <c r="GR417" s="6"/>
      <c r="GS417" s="6"/>
      <c r="GT417" s="6"/>
      <c r="GU417" s="6"/>
      <c r="GV417" s="6"/>
      <c r="GW417" s="6"/>
      <c r="GX417" s="6"/>
      <c r="GY417" s="6"/>
      <c r="GZ417" s="6"/>
      <c r="HA417" s="6"/>
      <c r="HB417" s="6"/>
      <c r="HC417" s="6"/>
      <c r="HD417" s="6"/>
      <c r="HE417" s="6"/>
      <c r="HF417" s="6"/>
      <c r="HG417" s="6"/>
      <c r="HH417" s="6"/>
    </row>
    <row r="418" spans="1:216" x14ac:dyDescent="0.3">
      <c r="A418" s="8" t="str">
        <f>HYPERLINK("https://hpr-rps.hres.ca/reg-content/summary-basis-decision-detailTwo.php?lang=en&amp;linkID=SBD00428", "Unituxin")</f>
        <v>Unituxin</v>
      </c>
      <c r="B418" s="6" t="s">
        <v>1091</v>
      </c>
      <c r="C418" s="6" t="s">
        <v>1092</v>
      </c>
      <c r="D418" s="6" t="s">
        <v>1093</v>
      </c>
      <c r="E418" s="6">
        <v>43137</v>
      </c>
      <c r="F418" s="6"/>
      <c r="G418" s="6">
        <v>43194</v>
      </c>
      <c r="H418" s="6">
        <v>43216</v>
      </c>
      <c r="I418" s="6"/>
      <c r="J418" s="6"/>
      <c r="K418" s="6"/>
      <c r="L418" s="6"/>
      <c r="M418" s="6"/>
      <c r="N418" s="6"/>
      <c r="O418" s="6"/>
      <c r="P418" s="6"/>
      <c r="Q418" s="6"/>
      <c r="R418" s="6"/>
      <c r="S418" s="6"/>
      <c r="T418" s="6"/>
      <c r="U418" s="6"/>
      <c r="V418" s="6"/>
      <c r="W418" s="6"/>
      <c r="X418" s="6"/>
      <c r="Y418" s="6"/>
      <c r="Z418" s="6">
        <v>43244</v>
      </c>
      <c r="AA418" s="6"/>
      <c r="AB418" s="6"/>
      <c r="AC418" s="6">
        <v>43258</v>
      </c>
      <c r="AD418" s="6"/>
      <c r="AE418" s="6"/>
      <c r="AF418" s="6">
        <v>43269</v>
      </c>
      <c r="AG418" s="6"/>
      <c r="AH418" s="6"/>
      <c r="AI418" s="6"/>
      <c r="AJ418" s="6"/>
      <c r="AK418" s="6"/>
      <c r="AL418" s="6"/>
      <c r="AM418" s="6"/>
      <c r="AN418" s="6"/>
      <c r="AO418" s="6"/>
      <c r="AP418" s="6"/>
      <c r="AQ418" s="6">
        <v>43453</v>
      </c>
      <c r="AR418" s="6">
        <v>43454</v>
      </c>
      <c r="AS418" s="6">
        <v>43413</v>
      </c>
      <c r="AT418" s="6"/>
      <c r="AU418" s="6">
        <v>43465</v>
      </c>
      <c r="AV418" s="6">
        <v>43465</v>
      </c>
      <c r="AW418" s="6"/>
      <c r="AX418" s="6"/>
      <c r="AY418" s="6"/>
      <c r="AZ418" s="6"/>
      <c r="BA418" s="6"/>
      <c r="BB418" s="6"/>
      <c r="BC418" s="6"/>
      <c r="BD418" s="6"/>
      <c r="BE418" s="6"/>
      <c r="BF418" s="6"/>
      <c r="BG418" s="6"/>
      <c r="BH418" s="6"/>
      <c r="BI418" s="6"/>
      <c r="BJ418" s="6"/>
      <c r="BK418" s="6">
        <v>43467</v>
      </c>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v>43516</v>
      </c>
      <c r="CQ418" s="6"/>
      <c r="CR418" s="6"/>
      <c r="CS418" s="6"/>
      <c r="CT418" s="6"/>
      <c r="CU418" s="6"/>
      <c r="CV418" s="6"/>
      <c r="CW418" s="6"/>
      <c r="CX418" s="6"/>
      <c r="CY418" s="6"/>
      <c r="CZ418" s="6"/>
      <c r="DA418" s="6"/>
      <c r="DB418" s="6"/>
      <c r="DC418" s="6"/>
      <c r="DD418" s="6"/>
      <c r="DE418" s="6"/>
      <c r="DF418" s="6"/>
      <c r="DG418" s="6">
        <v>43518</v>
      </c>
      <c r="DH418" s="6"/>
      <c r="DI418" s="6"/>
      <c r="DJ418" s="6"/>
      <c r="DK418" s="6"/>
      <c r="DL418" s="6"/>
      <c r="DM418" s="6"/>
      <c r="DN418" s="6"/>
      <c r="DO418" s="6"/>
      <c r="DP418" s="6"/>
      <c r="DQ418" s="6"/>
      <c r="DR418" s="6"/>
      <c r="DS418" s="6"/>
      <c r="DT418" s="6">
        <v>43488</v>
      </c>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c r="FZ418" s="6"/>
      <c r="GA418" s="6"/>
      <c r="GB418" s="6"/>
      <c r="GC418" s="6"/>
      <c r="GD418" s="6"/>
      <c r="GE418" s="6"/>
      <c r="GF418" s="6"/>
      <c r="GG418" s="6"/>
      <c r="GH418" s="6"/>
      <c r="GI418" s="6"/>
      <c r="GJ418" s="6"/>
      <c r="GK418" s="6"/>
      <c r="GL418" s="6"/>
      <c r="GM418" s="6"/>
      <c r="GN418" s="6"/>
      <c r="GO418" s="6"/>
      <c r="GP418" s="6"/>
      <c r="GQ418" s="6"/>
      <c r="GR418" s="6"/>
      <c r="GS418" s="6"/>
      <c r="GT418" s="6"/>
      <c r="GU418" s="6"/>
      <c r="GV418" s="6"/>
      <c r="GW418" s="6"/>
      <c r="GX418" s="6"/>
      <c r="GY418" s="6"/>
      <c r="GZ418" s="6"/>
      <c r="HA418" s="6"/>
      <c r="HB418" s="6"/>
      <c r="HC418" s="6"/>
      <c r="HD418" s="6"/>
      <c r="HE418" s="6"/>
      <c r="HF418" s="6"/>
      <c r="HG418" s="6"/>
      <c r="HH418" s="6"/>
    </row>
    <row r="419" spans="1:216" x14ac:dyDescent="0.3">
      <c r="A419" s="8" t="str">
        <f>HYPERLINK("https://hpr-rps.hres.ca/reg-content/summary-basis-decision-detailTwo.php?lang=en&amp;linkID=SBD00429", "Crysvita")</f>
        <v>Crysvita</v>
      </c>
      <c r="B419" s="6" t="s">
        <v>1094</v>
      </c>
      <c r="C419" s="6" t="s">
        <v>1095</v>
      </c>
      <c r="D419" s="6" t="s">
        <v>1096</v>
      </c>
      <c r="E419" s="6">
        <v>43137</v>
      </c>
      <c r="F419" s="6"/>
      <c r="G419" s="6">
        <v>43194</v>
      </c>
      <c r="H419" s="6">
        <v>43216</v>
      </c>
      <c r="I419" s="6"/>
      <c r="J419" s="6"/>
      <c r="K419" s="6"/>
      <c r="L419" s="6"/>
      <c r="M419" s="6"/>
      <c r="N419" s="6"/>
      <c r="O419" s="6"/>
      <c r="P419" s="6"/>
      <c r="Q419" s="6"/>
      <c r="R419" s="6"/>
      <c r="S419" s="6"/>
      <c r="T419" s="6"/>
      <c r="U419" s="6"/>
      <c r="V419" s="6"/>
      <c r="W419" s="6"/>
      <c r="X419" s="6"/>
      <c r="Y419" s="6"/>
      <c r="Z419" s="6">
        <v>43244</v>
      </c>
      <c r="AA419" s="6"/>
      <c r="AB419" s="6"/>
      <c r="AC419" s="6">
        <v>43258</v>
      </c>
      <c r="AD419" s="6"/>
      <c r="AE419" s="6"/>
      <c r="AF419" s="6">
        <v>43269</v>
      </c>
      <c r="AG419" s="6"/>
      <c r="AH419" s="6"/>
      <c r="AI419" s="6"/>
      <c r="AJ419" s="6"/>
      <c r="AK419" s="6"/>
      <c r="AL419" s="6"/>
      <c r="AM419" s="6"/>
      <c r="AN419" s="6"/>
      <c r="AO419" s="6"/>
      <c r="AP419" s="6"/>
      <c r="AQ419" s="6">
        <v>43453</v>
      </c>
      <c r="AR419" s="6">
        <v>43454</v>
      </c>
      <c r="AS419" s="6">
        <v>43413</v>
      </c>
      <c r="AT419" s="6"/>
      <c r="AU419" s="6">
        <v>43465</v>
      </c>
      <c r="AV419" s="6">
        <v>43465</v>
      </c>
      <c r="AW419" s="6"/>
      <c r="AX419" s="6"/>
      <c r="AY419" s="6"/>
      <c r="AZ419" s="6"/>
      <c r="BA419" s="6"/>
      <c r="BB419" s="6"/>
      <c r="BC419" s="6"/>
      <c r="BD419" s="6"/>
      <c r="BE419" s="6"/>
      <c r="BF419" s="6"/>
      <c r="BG419" s="6"/>
      <c r="BH419" s="6"/>
      <c r="BI419" s="6"/>
      <c r="BJ419" s="6"/>
      <c r="BK419" s="6">
        <v>43467</v>
      </c>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v>43516</v>
      </c>
      <c r="CQ419" s="6"/>
      <c r="CR419" s="6"/>
      <c r="CS419" s="6"/>
      <c r="CT419" s="6"/>
      <c r="CU419" s="6"/>
      <c r="CV419" s="6"/>
      <c r="CW419" s="6"/>
      <c r="CX419" s="6"/>
      <c r="CY419" s="6"/>
      <c r="CZ419" s="6"/>
      <c r="DA419" s="6"/>
      <c r="DB419" s="6"/>
      <c r="DC419" s="6"/>
      <c r="DD419" s="6"/>
      <c r="DE419" s="6"/>
      <c r="DF419" s="6"/>
      <c r="DG419" s="6">
        <v>43518</v>
      </c>
      <c r="DH419" s="6"/>
      <c r="DI419" s="6"/>
      <c r="DJ419" s="6"/>
      <c r="DK419" s="6"/>
      <c r="DL419" s="6"/>
      <c r="DM419" s="6"/>
      <c r="DN419" s="6"/>
      <c r="DO419" s="6"/>
      <c r="DP419" s="6"/>
      <c r="DQ419" s="6"/>
      <c r="DR419" s="6"/>
      <c r="DS419" s="6"/>
      <c r="DT419" s="6">
        <v>43488</v>
      </c>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c r="FZ419" s="6"/>
      <c r="GA419" s="6"/>
      <c r="GB419" s="6"/>
      <c r="GC419" s="6"/>
      <c r="GD419" s="6"/>
      <c r="GE419" s="6"/>
      <c r="GF419" s="6"/>
      <c r="GG419" s="6"/>
      <c r="GH419" s="6"/>
      <c r="GI419" s="6"/>
      <c r="GJ419" s="6"/>
      <c r="GK419" s="6"/>
      <c r="GL419" s="6"/>
      <c r="GM419" s="6"/>
      <c r="GN419" s="6"/>
      <c r="GO419" s="6"/>
      <c r="GP419" s="6"/>
      <c r="GQ419" s="6"/>
      <c r="GR419" s="6"/>
      <c r="GS419" s="6"/>
      <c r="GT419" s="6"/>
      <c r="GU419" s="6"/>
      <c r="GV419" s="6"/>
      <c r="GW419" s="6"/>
      <c r="GX419" s="6"/>
      <c r="GY419" s="6"/>
      <c r="GZ419" s="6"/>
      <c r="HA419" s="6"/>
      <c r="HB419" s="6"/>
      <c r="HC419" s="6"/>
      <c r="HD419" s="6"/>
      <c r="HE419" s="6"/>
      <c r="HF419" s="6"/>
      <c r="HG419" s="6"/>
      <c r="HH419" s="6"/>
    </row>
    <row r="420" spans="1:216" x14ac:dyDescent="0.3">
      <c r="A420" s="8" t="str">
        <f>HYPERLINK("https://hpr-rps.hres.ca/reg-content/summary-basis-decision-detailTwo.php?lang=en&amp;linkID=SBD00470", "Osnuvo")</f>
        <v>Osnuvo</v>
      </c>
      <c r="B420" s="6" t="s">
        <v>1097</v>
      </c>
      <c r="C420" s="6" t="s">
        <v>1077</v>
      </c>
      <c r="D420" s="6" t="s">
        <v>1098</v>
      </c>
      <c r="E420" s="6">
        <v>42423</v>
      </c>
      <c r="F420" s="6"/>
      <c r="G420" s="6"/>
      <c r="H420" s="6">
        <v>43206</v>
      </c>
      <c r="I420" s="6"/>
      <c r="J420" s="6"/>
      <c r="K420" s="6"/>
      <c r="L420" s="6"/>
      <c r="M420" s="6"/>
      <c r="N420" s="6"/>
      <c r="O420" s="6"/>
      <c r="P420" s="6"/>
      <c r="Q420" s="6"/>
      <c r="R420" s="6"/>
      <c r="S420" s="6"/>
      <c r="T420" s="6"/>
      <c r="U420" s="6"/>
      <c r="V420" s="6"/>
      <c r="W420" s="6"/>
      <c r="X420" s="6"/>
      <c r="Y420" s="6"/>
      <c r="Z420" s="6"/>
      <c r="AA420" s="6"/>
      <c r="AB420" s="6"/>
      <c r="AC420" s="6"/>
      <c r="AD420" s="6"/>
      <c r="AE420" s="6"/>
      <c r="AF420" s="6">
        <v>43252</v>
      </c>
      <c r="AG420" s="6"/>
      <c r="AH420" s="6"/>
      <c r="AI420" s="6"/>
      <c r="AJ420" s="6"/>
      <c r="AK420" s="6"/>
      <c r="AL420" s="6"/>
      <c r="AM420" s="6"/>
      <c r="AN420" s="6"/>
      <c r="AO420" s="6"/>
      <c r="AP420" s="6"/>
      <c r="AQ420" s="6">
        <v>43468</v>
      </c>
      <c r="AR420" s="6"/>
      <c r="AS420" s="6"/>
      <c r="AT420" s="6"/>
      <c r="AU420" s="6"/>
      <c r="AV420" s="6">
        <v>43476</v>
      </c>
      <c r="AW420" s="6"/>
      <c r="AX420" s="6"/>
      <c r="AY420" s="6"/>
      <c r="AZ420" s="6">
        <v>43479</v>
      </c>
      <c r="BA420" s="6"/>
      <c r="BB420" s="6"/>
      <c r="BC420" s="6"/>
      <c r="BD420" s="6"/>
      <c r="BE420" s="6"/>
      <c r="BF420" s="6"/>
      <c r="BG420" s="6"/>
      <c r="BH420" s="6"/>
      <c r="BI420" s="6"/>
      <c r="BJ420" s="6"/>
      <c r="BK420" s="6"/>
      <c r="BL420" s="6"/>
      <c r="BM420" s="6"/>
      <c r="BN420" s="6"/>
      <c r="BO420" s="6"/>
      <c r="BP420" s="6">
        <v>43489</v>
      </c>
      <c r="BQ420" s="6"/>
      <c r="BR420" s="6"/>
      <c r="BS420" s="6"/>
      <c r="BT420" s="6"/>
      <c r="BU420" s="6"/>
      <c r="BV420" s="6"/>
      <c r="BW420" s="6"/>
      <c r="BX420" s="6"/>
      <c r="BY420" s="6">
        <v>43529</v>
      </c>
      <c r="BZ420" s="6"/>
      <c r="CA420" s="6"/>
      <c r="CB420" s="6"/>
      <c r="CC420" s="6"/>
      <c r="CD420" s="6"/>
      <c r="CE420" s="6"/>
      <c r="CF420" s="6"/>
      <c r="CG420" s="6"/>
      <c r="CH420" s="6"/>
      <c r="CI420" s="6"/>
      <c r="CJ420" s="6"/>
      <c r="CK420" s="6"/>
      <c r="CL420" s="6"/>
      <c r="CM420" s="6"/>
      <c r="CN420" s="6"/>
      <c r="CO420" s="6"/>
      <c r="CP420" s="6"/>
      <c r="CQ420" s="6"/>
      <c r="CR420" s="6">
        <v>43543</v>
      </c>
      <c r="CS420" s="6"/>
      <c r="CT420" s="6"/>
      <c r="CU420" s="6"/>
      <c r="CV420" s="6"/>
      <c r="CW420" s="6"/>
      <c r="CX420" s="6"/>
      <c r="CY420" s="6"/>
      <c r="CZ420" s="6"/>
      <c r="DA420" s="6">
        <v>43633</v>
      </c>
      <c r="DB420" s="6"/>
      <c r="DC420" s="6"/>
      <c r="DD420" s="6">
        <v>43840</v>
      </c>
      <c r="DE420" s="6"/>
      <c r="DF420" s="6"/>
      <c r="DG420" s="6"/>
      <c r="DH420" s="6">
        <v>43840</v>
      </c>
      <c r="DI420" s="6"/>
      <c r="DJ420" s="6"/>
      <c r="DK420" s="6"/>
      <c r="DL420" s="6">
        <v>43838</v>
      </c>
      <c r="DM420" s="6"/>
      <c r="DN420" s="6"/>
      <c r="DO420" s="6"/>
      <c r="DP420" s="6"/>
      <c r="DQ420" s="6"/>
      <c r="DR420" s="6"/>
      <c r="DS420" s="6"/>
      <c r="DT420" s="6"/>
      <c r="DU420" s="6"/>
      <c r="DV420" s="6"/>
      <c r="DW420" s="6"/>
      <c r="DX420" s="6"/>
      <c r="DY420" s="6">
        <v>43843</v>
      </c>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c r="FZ420" s="6"/>
      <c r="GA420" s="6"/>
      <c r="GB420" s="6"/>
      <c r="GC420" s="6"/>
      <c r="GD420" s="6"/>
      <c r="GE420" s="6"/>
      <c r="GF420" s="6"/>
      <c r="GG420" s="6"/>
      <c r="GH420" s="6"/>
      <c r="GI420" s="6"/>
      <c r="GJ420" s="6"/>
      <c r="GK420" s="6"/>
      <c r="GL420" s="6"/>
      <c r="GM420" s="6"/>
      <c r="GN420" s="6"/>
      <c r="GO420" s="6"/>
      <c r="GP420" s="6"/>
      <c r="GQ420" s="6"/>
      <c r="GR420" s="6"/>
      <c r="GS420" s="6"/>
      <c r="GT420" s="6"/>
      <c r="GU420" s="6"/>
      <c r="GV420" s="6"/>
      <c r="GW420" s="6"/>
      <c r="GX420" s="6"/>
      <c r="GY420" s="6"/>
      <c r="GZ420" s="6"/>
      <c r="HA420" s="6"/>
      <c r="HB420" s="6"/>
      <c r="HC420" s="6"/>
      <c r="HD420" s="6"/>
      <c r="HE420" s="6"/>
      <c r="HF420" s="6"/>
      <c r="HG420" s="6"/>
      <c r="HH420" s="6"/>
    </row>
    <row r="421" spans="1:216" x14ac:dyDescent="0.3">
      <c r="A421" s="8" t="str">
        <f>HYPERLINK("https://hpr-rps.hres.ca/reg-content/summary-basis-decision-detailTwo.php?lang=en&amp;linkID=SBD00430", "Brineura")</f>
        <v>Brineura</v>
      </c>
      <c r="B421" s="6" t="s">
        <v>1099</v>
      </c>
      <c r="C421" s="6" t="s">
        <v>576</v>
      </c>
      <c r="D421" s="6" t="s">
        <v>1100</v>
      </c>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c r="FZ421" s="6"/>
      <c r="GA421" s="6"/>
      <c r="GB421" s="6"/>
      <c r="GC421" s="6"/>
      <c r="GD421" s="6"/>
      <c r="GE421" s="6"/>
      <c r="GF421" s="6"/>
      <c r="GG421" s="6"/>
      <c r="GH421" s="6"/>
      <c r="GI421" s="6"/>
      <c r="GJ421" s="6"/>
      <c r="GK421" s="6"/>
      <c r="GL421" s="6"/>
      <c r="GM421" s="6"/>
      <c r="GN421" s="6"/>
      <c r="GO421" s="6"/>
      <c r="GP421" s="6"/>
      <c r="GQ421" s="6"/>
      <c r="GR421" s="6"/>
      <c r="GS421" s="6"/>
      <c r="GT421" s="6"/>
      <c r="GU421" s="6"/>
      <c r="GV421" s="6"/>
      <c r="GW421" s="6"/>
      <c r="GX421" s="6"/>
      <c r="GY421" s="6"/>
      <c r="GZ421" s="6"/>
      <c r="HA421" s="6"/>
      <c r="HB421" s="6"/>
      <c r="HC421" s="6"/>
      <c r="HD421" s="6"/>
      <c r="HE421" s="6"/>
      <c r="HF421" s="6"/>
      <c r="HG421" s="6"/>
      <c r="HH421" s="6"/>
    </row>
    <row r="422" spans="1:216" x14ac:dyDescent="0.3">
      <c r="A422" s="8" t="str">
        <f>HYPERLINK("https://hpr-rps.hres.ca/reg-content/summary-basis-decision-detailTwo.php?lang=en&amp;linkID=SBD00431", "Belsomra")</f>
        <v>Belsomra</v>
      </c>
      <c r="B422" s="6" t="s">
        <v>1101</v>
      </c>
      <c r="C422" s="6" t="s">
        <v>418</v>
      </c>
      <c r="D422" s="6" t="s">
        <v>1102</v>
      </c>
      <c r="E422" s="6">
        <v>42423</v>
      </c>
      <c r="F422" s="6"/>
      <c r="G422" s="6"/>
      <c r="H422" s="6">
        <v>43206</v>
      </c>
      <c r="I422" s="6"/>
      <c r="J422" s="6"/>
      <c r="K422" s="6"/>
      <c r="L422" s="6"/>
      <c r="M422" s="6"/>
      <c r="N422" s="6"/>
      <c r="O422" s="6"/>
      <c r="P422" s="6"/>
      <c r="Q422" s="6"/>
      <c r="R422" s="6"/>
      <c r="S422" s="6"/>
      <c r="T422" s="6"/>
      <c r="U422" s="6"/>
      <c r="V422" s="6"/>
      <c r="W422" s="6"/>
      <c r="X422" s="6"/>
      <c r="Y422" s="6"/>
      <c r="Z422" s="6"/>
      <c r="AA422" s="6"/>
      <c r="AB422" s="6"/>
      <c r="AC422" s="6"/>
      <c r="AD422" s="6"/>
      <c r="AE422" s="6"/>
      <c r="AF422" s="6">
        <v>43252</v>
      </c>
      <c r="AG422" s="6"/>
      <c r="AH422" s="6"/>
      <c r="AI422" s="6"/>
      <c r="AJ422" s="6"/>
      <c r="AK422" s="6"/>
      <c r="AL422" s="6"/>
      <c r="AM422" s="6"/>
      <c r="AN422" s="6"/>
      <c r="AO422" s="6"/>
      <c r="AP422" s="6"/>
      <c r="AQ422" s="6">
        <v>43468</v>
      </c>
      <c r="AR422" s="6"/>
      <c r="AS422" s="6"/>
      <c r="AT422" s="6"/>
      <c r="AU422" s="6"/>
      <c r="AV422" s="6">
        <v>43476</v>
      </c>
      <c r="AW422" s="6"/>
      <c r="AX422" s="6"/>
      <c r="AY422" s="6"/>
      <c r="AZ422" s="6">
        <v>43479</v>
      </c>
      <c r="BA422" s="6"/>
      <c r="BB422" s="6"/>
      <c r="BC422" s="6"/>
      <c r="BD422" s="6"/>
      <c r="BE422" s="6"/>
      <c r="BF422" s="6"/>
      <c r="BG422" s="6"/>
      <c r="BH422" s="6"/>
      <c r="BI422" s="6"/>
      <c r="BJ422" s="6"/>
      <c r="BK422" s="6"/>
      <c r="BL422" s="6"/>
      <c r="BM422" s="6"/>
      <c r="BN422" s="6"/>
      <c r="BO422" s="6"/>
      <c r="BP422" s="6">
        <v>43489</v>
      </c>
      <c r="BQ422" s="6"/>
      <c r="BR422" s="6"/>
      <c r="BS422" s="6"/>
      <c r="BT422" s="6"/>
      <c r="BU422" s="6"/>
      <c r="BV422" s="6"/>
      <c r="BW422" s="6"/>
      <c r="BX422" s="6"/>
      <c r="BY422" s="6">
        <v>43529</v>
      </c>
      <c r="BZ422" s="6"/>
      <c r="CA422" s="6"/>
      <c r="CB422" s="6"/>
      <c r="CC422" s="6"/>
      <c r="CD422" s="6"/>
      <c r="CE422" s="6"/>
      <c r="CF422" s="6"/>
      <c r="CG422" s="6"/>
      <c r="CH422" s="6"/>
      <c r="CI422" s="6"/>
      <c r="CJ422" s="6"/>
      <c r="CK422" s="6"/>
      <c r="CL422" s="6"/>
      <c r="CM422" s="6"/>
      <c r="CN422" s="6"/>
      <c r="CO422" s="6"/>
      <c r="CP422" s="6"/>
      <c r="CQ422" s="6"/>
      <c r="CR422" s="6">
        <v>43543</v>
      </c>
      <c r="CS422" s="6"/>
      <c r="CT422" s="6"/>
      <c r="CU422" s="6"/>
      <c r="CV422" s="6"/>
      <c r="CW422" s="6"/>
      <c r="CX422" s="6"/>
      <c r="CY422" s="6"/>
      <c r="CZ422" s="6"/>
      <c r="DA422" s="6">
        <v>43633</v>
      </c>
      <c r="DB422" s="6"/>
      <c r="DC422" s="6"/>
      <c r="DD422" s="6">
        <v>43840</v>
      </c>
      <c r="DE422" s="6"/>
      <c r="DF422" s="6"/>
      <c r="DG422" s="6"/>
      <c r="DH422" s="6">
        <v>43840</v>
      </c>
      <c r="DI422" s="6"/>
      <c r="DJ422" s="6"/>
      <c r="DK422" s="6"/>
      <c r="DL422" s="6">
        <v>43838</v>
      </c>
      <c r="DM422" s="6"/>
      <c r="DN422" s="6"/>
      <c r="DO422" s="6"/>
      <c r="DP422" s="6"/>
      <c r="DQ422" s="6"/>
      <c r="DR422" s="6"/>
      <c r="DS422" s="6"/>
      <c r="DT422" s="6"/>
      <c r="DU422" s="6"/>
      <c r="DV422" s="6"/>
      <c r="DW422" s="6"/>
      <c r="DX422" s="6"/>
      <c r="DY422" s="6">
        <v>43843</v>
      </c>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c r="FZ422" s="6"/>
      <c r="GA422" s="6"/>
      <c r="GB422" s="6"/>
      <c r="GC422" s="6"/>
      <c r="GD422" s="6"/>
      <c r="GE422" s="6"/>
      <c r="GF422" s="6"/>
      <c r="GG422" s="6"/>
      <c r="GH422" s="6"/>
      <c r="GI422" s="6"/>
      <c r="GJ422" s="6"/>
      <c r="GK422" s="6"/>
      <c r="GL422" s="6"/>
      <c r="GM422" s="6"/>
      <c r="GN422" s="6"/>
      <c r="GO422" s="6"/>
      <c r="GP422" s="6"/>
      <c r="GQ422" s="6"/>
      <c r="GR422" s="6"/>
      <c r="GS422" s="6"/>
      <c r="GT422" s="6"/>
      <c r="GU422" s="6"/>
      <c r="GV422" s="6"/>
      <c r="GW422" s="6"/>
      <c r="GX422" s="6"/>
      <c r="GY422" s="6"/>
      <c r="GZ422" s="6"/>
      <c r="HA422" s="6"/>
      <c r="HB422" s="6"/>
      <c r="HC422" s="6"/>
      <c r="HD422" s="6"/>
      <c r="HE422" s="6"/>
      <c r="HF422" s="6"/>
      <c r="HG422" s="6"/>
      <c r="HH422" s="6"/>
    </row>
    <row r="423" spans="1:216" x14ac:dyDescent="0.3">
      <c r="A423" s="8" t="str">
        <f>HYPERLINK("https://hpr-rps.hres.ca/reg-content/summary-basis-decision-detailTwo.php?lang=en&amp;linkID=SBD00432", "Fulphila")</f>
        <v>Fulphila</v>
      </c>
      <c r="B423" s="6" t="s">
        <v>1015</v>
      </c>
      <c r="C423" s="6" t="s">
        <v>1103</v>
      </c>
      <c r="D423" s="6" t="s">
        <v>1104</v>
      </c>
      <c r="E423" s="6">
        <v>42451</v>
      </c>
      <c r="F423" s="6"/>
      <c r="G423" s="6"/>
      <c r="H423" s="6">
        <v>42704</v>
      </c>
      <c r="I423" s="6"/>
      <c r="J423" s="6"/>
      <c r="K423" s="6"/>
      <c r="L423" s="6"/>
      <c r="M423" s="6"/>
      <c r="N423" s="6"/>
      <c r="O423" s="6"/>
      <c r="P423" s="6"/>
      <c r="Q423" s="6"/>
      <c r="R423" s="6"/>
      <c r="S423" s="6"/>
      <c r="T423" s="6"/>
      <c r="U423" s="6"/>
      <c r="V423" s="6"/>
      <c r="W423" s="6"/>
      <c r="X423" s="6"/>
      <c r="Y423" s="6"/>
      <c r="Z423" s="6"/>
      <c r="AA423" s="6"/>
      <c r="AB423" s="6"/>
      <c r="AC423" s="6"/>
      <c r="AD423" s="6"/>
      <c r="AE423" s="6"/>
      <c r="AF423" s="6">
        <v>42762</v>
      </c>
      <c r="AG423" s="6"/>
      <c r="AH423" s="6"/>
      <c r="AI423" s="6"/>
      <c r="AJ423" s="6"/>
      <c r="AK423" s="6"/>
      <c r="AL423" s="6"/>
      <c r="AM423" s="6"/>
      <c r="AN423" s="6"/>
      <c r="AO423" s="6"/>
      <c r="AP423" s="6"/>
      <c r="AQ423" s="6">
        <v>42979</v>
      </c>
      <c r="AR423" s="6"/>
      <c r="AS423" s="6"/>
      <c r="AT423" s="6"/>
      <c r="AU423" s="6"/>
      <c r="AV423" s="6">
        <v>43025</v>
      </c>
      <c r="AW423" s="6"/>
      <c r="AX423" s="6"/>
      <c r="AY423" s="6"/>
      <c r="AZ423" s="6">
        <v>43026</v>
      </c>
      <c r="BA423" s="6"/>
      <c r="BB423" s="6"/>
      <c r="BC423" s="6"/>
      <c r="BD423" s="6"/>
      <c r="BE423" s="6"/>
      <c r="BF423" s="6"/>
      <c r="BG423" s="6"/>
      <c r="BH423" s="6"/>
      <c r="BI423" s="6"/>
      <c r="BJ423" s="6"/>
      <c r="BK423" s="6"/>
      <c r="BL423" s="6"/>
      <c r="BM423" s="6"/>
      <c r="BN423" s="6"/>
      <c r="BO423" s="6"/>
      <c r="BP423" s="6">
        <v>43028</v>
      </c>
      <c r="BQ423" s="6"/>
      <c r="BR423" s="6"/>
      <c r="BS423" s="6"/>
      <c r="BT423" s="6"/>
      <c r="BU423" s="6"/>
      <c r="BV423" s="6"/>
      <c r="BW423" s="6"/>
      <c r="BX423" s="6"/>
      <c r="BY423" s="6">
        <v>43118</v>
      </c>
      <c r="BZ423" s="6"/>
      <c r="CA423" s="6"/>
      <c r="CB423" s="6"/>
      <c r="CC423" s="6"/>
      <c r="CD423" s="6"/>
      <c r="CE423" s="6"/>
      <c r="CF423" s="6"/>
      <c r="CG423" s="6"/>
      <c r="CH423" s="6"/>
      <c r="CI423" s="6"/>
      <c r="CJ423" s="6"/>
      <c r="CK423" s="6"/>
      <c r="CL423" s="6"/>
      <c r="CM423" s="6"/>
      <c r="CN423" s="6"/>
      <c r="CO423" s="6"/>
      <c r="CP423" s="6"/>
      <c r="CQ423" s="6"/>
      <c r="CR423" s="6">
        <v>43164</v>
      </c>
      <c r="CS423" s="6"/>
      <c r="CT423" s="6"/>
      <c r="CU423" s="6"/>
      <c r="CV423" s="6"/>
      <c r="CW423" s="6"/>
      <c r="CX423" s="6"/>
      <c r="CY423" s="6"/>
      <c r="CZ423" s="6"/>
      <c r="DA423" s="6">
        <v>43269</v>
      </c>
      <c r="DB423" s="6"/>
      <c r="DC423" s="6"/>
      <c r="DD423" s="6">
        <v>43455</v>
      </c>
      <c r="DE423" s="6"/>
      <c r="DF423" s="6"/>
      <c r="DG423" s="6"/>
      <c r="DH423" s="6">
        <v>43453</v>
      </c>
      <c r="DI423" s="6"/>
      <c r="DJ423" s="6">
        <v>43455</v>
      </c>
      <c r="DK423" s="6"/>
      <c r="DL423" s="6">
        <v>43454</v>
      </c>
      <c r="DM423" s="6"/>
      <c r="DN423" s="6"/>
      <c r="DO423" s="6"/>
      <c r="DP423" s="6"/>
      <c r="DQ423" s="6"/>
      <c r="DR423" s="6"/>
      <c r="DS423" s="6"/>
      <c r="DT423" s="6"/>
      <c r="DU423" s="6"/>
      <c r="DV423" s="6"/>
      <c r="DW423" s="6"/>
      <c r="DX423" s="6"/>
      <c r="DY423" s="6">
        <v>43458</v>
      </c>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c r="FZ423" s="6"/>
      <c r="GA423" s="6"/>
      <c r="GB423" s="6"/>
      <c r="GC423" s="6"/>
      <c r="GD423" s="6"/>
      <c r="GE423" s="6"/>
      <c r="GF423" s="6"/>
      <c r="GG423" s="6"/>
      <c r="GH423" s="6"/>
      <c r="GI423" s="6"/>
      <c r="GJ423" s="6"/>
      <c r="GK423" s="6"/>
      <c r="GL423" s="6"/>
      <c r="GM423" s="6"/>
      <c r="GN423" s="6"/>
      <c r="GO423" s="6"/>
      <c r="GP423" s="6"/>
      <c r="GQ423" s="6"/>
      <c r="GR423" s="6"/>
      <c r="GS423" s="6"/>
      <c r="GT423" s="6"/>
      <c r="GU423" s="6"/>
      <c r="GV423" s="6"/>
      <c r="GW423" s="6"/>
      <c r="GX423" s="6"/>
      <c r="GY423" s="6"/>
      <c r="GZ423" s="6"/>
      <c r="HA423" s="6"/>
      <c r="HB423" s="6"/>
      <c r="HC423" s="6"/>
      <c r="HD423" s="6"/>
      <c r="HE423" s="6"/>
      <c r="HF423" s="6"/>
      <c r="HG423" s="6"/>
      <c r="HH423" s="6"/>
    </row>
    <row r="424" spans="1:216" x14ac:dyDescent="0.3">
      <c r="A424" s="8" t="str">
        <f>HYPERLINK("https://hpr-rps.hres.ca/reg-content/summary-basis-decision-detailTwo.php?lang=en&amp;linkID=SBD00433", "Lutathera")</f>
        <v>Lutathera</v>
      </c>
      <c r="B424" s="6" t="s">
        <v>1105</v>
      </c>
      <c r="C424" s="6" t="s">
        <v>1106</v>
      </c>
      <c r="D424" s="6" t="s">
        <v>1107</v>
      </c>
      <c r="E424" s="6">
        <v>43068</v>
      </c>
      <c r="F424" s="6"/>
      <c r="G424" s="6"/>
      <c r="H424" s="6"/>
      <c r="I424" s="6"/>
      <c r="J424" s="6"/>
      <c r="K424" s="6"/>
      <c r="L424" s="6"/>
      <c r="M424" s="6"/>
      <c r="N424" s="6">
        <v>43124</v>
      </c>
      <c r="O424" s="6"/>
      <c r="P424" s="6"/>
      <c r="Q424" s="6"/>
      <c r="R424" s="6"/>
      <c r="S424" s="6">
        <v>43150</v>
      </c>
      <c r="T424" s="6"/>
      <c r="U424" s="6"/>
      <c r="V424" s="6">
        <v>43269</v>
      </c>
      <c r="W424" s="6"/>
      <c r="X424" s="6"/>
      <c r="Y424" s="6"/>
      <c r="Z424" s="6"/>
      <c r="AA424" s="6"/>
      <c r="AB424" s="6"/>
      <c r="AC424" s="6"/>
      <c r="AD424" s="6"/>
      <c r="AE424" s="6"/>
      <c r="AF424" s="6">
        <v>43294</v>
      </c>
      <c r="AG424" s="6"/>
      <c r="AH424" s="6"/>
      <c r="AI424" s="6"/>
      <c r="AJ424" s="6"/>
      <c r="AK424" s="6"/>
      <c r="AL424" s="6"/>
      <c r="AM424" s="6"/>
      <c r="AN424" s="6"/>
      <c r="AO424" s="6"/>
      <c r="AP424" s="6"/>
      <c r="AQ424" s="6">
        <v>43410</v>
      </c>
      <c r="AR424" s="6">
        <v>43473</v>
      </c>
      <c r="AS424" s="6"/>
      <c r="AT424" s="6"/>
      <c r="AU424" s="6">
        <v>43473</v>
      </c>
      <c r="AV424" s="6">
        <v>43469</v>
      </c>
      <c r="AW424" s="6"/>
      <c r="AX424" s="6"/>
      <c r="AY424" s="6"/>
      <c r="AZ424" s="6"/>
      <c r="BA424" s="6"/>
      <c r="BB424" s="6"/>
      <c r="BC424" s="6"/>
      <c r="BD424" s="6"/>
      <c r="BE424" s="6"/>
      <c r="BF424" s="6"/>
      <c r="BG424" s="6"/>
      <c r="BH424" s="6"/>
      <c r="BI424" s="6"/>
      <c r="BJ424" s="6"/>
      <c r="BK424" s="6"/>
      <c r="BL424" s="6"/>
      <c r="BM424" s="6">
        <v>43474</v>
      </c>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c r="FZ424" s="6"/>
      <c r="GA424" s="6"/>
      <c r="GB424" s="6"/>
      <c r="GC424" s="6"/>
      <c r="GD424" s="6"/>
      <c r="GE424" s="6"/>
      <c r="GF424" s="6"/>
      <c r="GG424" s="6"/>
      <c r="GH424" s="6"/>
      <c r="GI424" s="6"/>
      <c r="GJ424" s="6"/>
      <c r="GK424" s="6"/>
      <c r="GL424" s="6"/>
      <c r="GM424" s="6"/>
      <c r="GN424" s="6"/>
      <c r="GO424" s="6"/>
      <c r="GP424" s="6"/>
      <c r="GQ424" s="6"/>
      <c r="GR424" s="6"/>
      <c r="GS424" s="6"/>
      <c r="GT424" s="6"/>
      <c r="GU424" s="6"/>
      <c r="GV424" s="6"/>
      <c r="GW424" s="6"/>
      <c r="GX424" s="6"/>
      <c r="GY424" s="6"/>
      <c r="GZ424" s="6"/>
      <c r="HA424" s="6"/>
      <c r="HB424" s="6"/>
      <c r="HC424" s="6"/>
      <c r="HD424" s="6"/>
      <c r="HE424" s="6"/>
      <c r="HF424" s="6"/>
      <c r="HG424" s="6"/>
      <c r="HH424" s="6"/>
    </row>
    <row r="425" spans="1:216" x14ac:dyDescent="0.3">
      <c r="A425" s="8" t="str">
        <f>HYPERLINK("https://hpr-rps.hres.ca/reg-content/summary-basis-decision-detailTwo.php?lang=en&amp;linkID=SBD00434", "Vonvendi")</f>
        <v>Vonvendi</v>
      </c>
      <c r="B425" s="6" t="s">
        <v>1108</v>
      </c>
      <c r="C425" s="6" t="s">
        <v>986</v>
      </c>
      <c r="D425" s="6" t="s">
        <v>1109</v>
      </c>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c r="FZ425" s="6"/>
      <c r="GA425" s="6"/>
      <c r="GB425" s="6"/>
      <c r="GC425" s="6"/>
      <c r="GD425" s="6"/>
      <c r="GE425" s="6"/>
      <c r="GF425" s="6"/>
      <c r="GG425" s="6"/>
      <c r="GH425" s="6"/>
      <c r="GI425" s="6"/>
      <c r="GJ425" s="6"/>
      <c r="GK425" s="6"/>
      <c r="GL425" s="6"/>
      <c r="GM425" s="6"/>
      <c r="GN425" s="6"/>
      <c r="GO425" s="6"/>
      <c r="GP425" s="6"/>
      <c r="GQ425" s="6"/>
      <c r="GR425" s="6"/>
      <c r="GS425" s="6"/>
      <c r="GT425" s="6"/>
      <c r="GU425" s="6"/>
      <c r="GV425" s="6"/>
      <c r="GW425" s="6"/>
      <c r="GX425" s="6"/>
      <c r="GY425" s="6"/>
      <c r="GZ425" s="6"/>
      <c r="HA425" s="6"/>
      <c r="HB425" s="6"/>
      <c r="HC425" s="6"/>
      <c r="HD425" s="6"/>
      <c r="HE425" s="6"/>
      <c r="HF425" s="6"/>
      <c r="HG425" s="6"/>
      <c r="HH425" s="6"/>
    </row>
    <row r="426" spans="1:216" x14ac:dyDescent="0.3">
      <c r="A426" s="8" t="str">
        <f>HYPERLINK("https://hpr-rps.hres.ca/reg-content/summary-basis-decision-detailTwo.php?lang=en&amp;linkID=SBD00436", "Demylocan")</f>
        <v>Demylocan</v>
      </c>
      <c r="B426" s="6" t="s">
        <v>1110</v>
      </c>
      <c r="C426" s="6" t="s">
        <v>1111</v>
      </c>
      <c r="D426" s="6" t="s">
        <v>1112</v>
      </c>
      <c r="E426" s="6"/>
      <c r="F426" s="6"/>
      <c r="G426" s="6"/>
      <c r="H426" s="6">
        <v>43090</v>
      </c>
      <c r="I426" s="6"/>
      <c r="J426" s="6"/>
      <c r="K426" s="6"/>
      <c r="L426" s="6"/>
      <c r="M426" s="6"/>
      <c r="N426" s="6"/>
      <c r="O426" s="6"/>
      <c r="P426" s="6"/>
      <c r="Q426" s="6"/>
      <c r="R426" s="6"/>
      <c r="S426" s="6"/>
      <c r="T426" s="6"/>
      <c r="U426" s="6"/>
      <c r="V426" s="6"/>
      <c r="W426" s="6"/>
      <c r="X426" s="6"/>
      <c r="Y426" s="6"/>
      <c r="Z426" s="6">
        <v>43140</v>
      </c>
      <c r="AA426" s="6"/>
      <c r="AB426" s="6"/>
      <c r="AC426" s="6">
        <v>43146</v>
      </c>
      <c r="AD426" s="6"/>
      <c r="AE426" s="6"/>
      <c r="AF426" s="6">
        <v>43186</v>
      </c>
      <c r="AG426" s="6"/>
      <c r="AH426" s="6"/>
      <c r="AI426" s="6"/>
      <c r="AJ426" s="6"/>
      <c r="AK426" s="6"/>
      <c r="AL426" s="6"/>
      <c r="AM426" s="6"/>
      <c r="AN426" s="6"/>
      <c r="AO426" s="6"/>
      <c r="AP426" s="6"/>
      <c r="AQ426" s="6">
        <v>43439</v>
      </c>
      <c r="AR426" s="6">
        <v>43455</v>
      </c>
      <c r="AS426" s="6"/>
      <c r="AT426" s="6"/>
      <c r="AU426" s="6">
        <v>43482</v>
      </c>
      <c r="AV426" s="6">
        <v>43480</v>
      </c>
      <c r="AW426" s="6"/>
      <c r="AX426" s="6"/>
      <c r="AY426" s="6"/>
      <c r="AZ426" s="6"/>
      <c r="BA426" s="6"/>
      <c r="BB426" s="6"/>
      <c r="BC426" s="6"/>
      <c r="BD426" s="6"/>
      <c r="BE426" s="6"/>
      <c r="BF426" s="6"/>
      <c r="BG426" s="6"/>
      <c r="BH426" s="6"/>
      <c r="BI426" s="6"/>
      <c r="BJ426" s="6"/>
      <c r="BK426" s="6"/>
      <c r="BL426" s="6"/>
      <c r="BM426" s="6">
        <v>43486</v>
      </c>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c r="FZ426" s="6"/>
      <c r="GA426" s="6"/>
      <c r="GB426" s="6"/>
      <c r="GC426" s="6"/>
      <c r="GD426" s="6"/>
      <c r="GE426" s="6"/>
      <c r="GF426" s="6"/>
      <c r="GG426" s="6"/>
      <c r="GH426" s="6"/>
      <c r="GI426" s="6"/>
      <c r="GJ426" s="6"/>
      <c r="GK426" s="6"/>
      <c r="GL426" s="6"/>
      <c r="GM426" s="6"/>
      <c r="GN426" s="6"/>
      <c r="GO426" s="6"/>
      <c r="GP426" s="6"/>
      <c r="GQ426" s="6"/>
      <c r="GR426" s="6"/>
      <c r="GS426" s="6"/>
      <c r="GT426" s="6"/>
      <c r="GU426" s="6"/>
      <c r="GV426" s="6"/>
      <c r="GW426" s="6"/>
      <c r="GX426" s="6"/>
      <c r="GY426" s="6"/>
      <c r="GZ426" s="6"/>
      <c r="HA426" s="6"/>
      <c r="HB426" s="6"/>
      <c r="HC426" s="6"/>
      <c r="HD426" s="6"/>
      <c r="HE426" s="6"/>
      <c r="HF426" s="6"/>
      <c r="HG426" s="6"/>
      <c r="HH426" s="6"/>
    </row>
    <row r="427" spans="1:216" x14ac:dyDescent="0.3">
      <c r="A427" s="8" t="str">
        <f>HYPERLINK("https://hpr-rps.hres.ca/reg-content/summary-basis-decision-detailTwo.php?lang=en&amp;linkID=SBD00437", "Onstryv")</f>
        <v>Onstryv</v>
      </c>
      <c r="B427" s="6" t="s">
        <v>1113</v>
      </c>
      <c r="C427" s="6" t="s">
        <v>1114</v>
      </c>
      <c r="D427" s="6" t="s">
        <v>1115</v>
      </c>
      <c r="E427" s="6">
        <v>42451</v>
      </c>
      <c r="F427" s="6"/>
      <c r="G427" s="6"/>
      <c r="H427" s="6">
        <v>42704</v>
      </c>
      <c r="I427" s="6"/>
      <c r="J427" s="6"/>
      <c r="K427" s="6"/>
      <c r="L427" s="6"/>
      <c r="M427" s="6"/>
      <c r="N427" s="6"/>
      <c r="O427" s="6"/>
      <c r="P427" s="6"/>
      <c r="Q427" s="6"/>
      <c r="R427" s="6"/>
      <c r="S427" s="6"/>
      <c r="T427" s="6"/>
      <c r="U427" s="6"/>
      <c r="V427" s="6"/>
      <c r="W427" s="6"/>
      <c r="X427" s="6"/>
      <c r="Y427" s="6"/>
      <c r="Z427" s="6"/>
      <c r="AA427" s="6"/>
      <c r="AB427" s="6"/>
      <c r="AC427" s="6"/>
      <c r="AD427" s="6"/>
      <c r="AE427" s="6"/>
      <c r="AF427" s="6">
        <v>42762</v>
      </c>
      <c r="AG427" s="6"/>
      <c r="AH427" s="6"/>
      <c r="AI427" s="6"/>
      <c r="AJ427" s="6"/>
      <c r="AK427" s="6"/>
      <c r="AL427" s="6"/>
      <c r="AM427" s="6"/>
      <c r="AN427" s="6"/>
      <c r="AO427" s="6"/>
      <c r="AP427" s="6"/>
      <c r="AQ427" s="6">
        <v>42979</v>
      </c>
      <c r="AR427" s="6"/>
      <c r="AS427" s="6"/>
      <c r="AT427" s="6"/>
      <c r="AU427" s="6"/>
      <c r="AV427" s="6">
        <v>43025</v>
      </c>
      <c r="AW427" s="6"/>
      <c r="AX427" s="6"/>
      <c r="AY427" s="6"/>
      <c r="AZ427" s="6">
        <v>43026</v>
      </c>
      <c r="BA427" s="6"/>
      <c r="BB427" s="6"/>
      <c r="BC427" s="6"/>
      <c r="BD427" s="6"/>
      <c r="BE427" s="6"/>
      <c r="BF427" s="6"/>
      <c r="BG427" s="6"/>
      <c r="BH427" s="6"/>
      <c r="BI427" s="6"/>
      <c r="BJ427" s="6"/>
      <c r="BK427" s="6"/>
      <c r="BL427" s="6"/>
      <c r="BM427" s="6"/>
      <c r="BN427" s="6"/>
      <c r="BO427" s="6"/>
      <c r="BP427" s="6">
        <v>43028</v>
      </c>
      <c r="BQ427" s="6"/>
      <c r="BR427" s="6"/>
      <c r="BS427" s="6"/>
      <c r="BT427" s="6"/>
      <c r="BU427" s="6"/>
      <c r="BV427" s="6"/>
      <c r="BW427" s="6"/>
      <c r="BX427" s="6"/>
      <c r="BY427" s="6">
        <v>43118</v>
      </c>
      <c r="BZ427" s="6"/>
      <c r="CA427" s="6"/>
      <c r="CB427" s="6"/>
      <c r="CC427" s="6"/>
      <c r="CD427" s="6"/>
      <c r="CE427" s="6"/>
      <c r="CF427" s="6"/>
      <c r="CG427" s="6"/>
      <c r="CH427" s="6"/>
      <c r="CI427" s="6"/>
      <c r="CJ427" s="6"/>
      <c r="CK427" s="6"/>
      <c r="CL427" s="6"/>
      <c r="CM427" s="6"/>
      <c r="CN427" s="6"/>
      <c r="CO427" s="6"/>
      <c r="CP427" s="6"/>
      <c r="CQ427" s="6"/>
      <c r="CR427" s="6">
        <v>43164</v>
      </c>
      <c r="CS427" s="6"/>
      <c r="CT427" s="6"/>
      <c r="CU427" s="6"/>
      <c r="CV427" s="6"/>
      <c r="CW427" s="6"/>
      <c r="CX427" s="6"/>
      <c r="CY427" s="6"/>
      <c r="CZ427" s="6"/>
      <c r="DA427" s="6">
        <v>43269</v>
      </c>
      <c r="DB427" s="6"/>
      <c r="DC427" s="6"/>
      <c r="DD427" s="6">
        <v>43455</v>
      </c>
      <c r="DE427" s="6"/>
      <c r="DF427" s="6"/>
      <c r="DG427" s="6"/>
      <c r="DH427" s="6">
        <v>43453</v>
      </c>
      <c r="DI427" s="6"/>
      <c r="DJ427" s="6">
        <v>43455</v>
      </c>
      <c r="DK427" s="6"/>
      <c r="DL427" s="6">
        <v>43454</v>
      </c>
      <c r="DM427" s="6"/>
      <c r="DN427" s="6"/>
      <c r="DO427" s="6"/>
      <c r="DP427" s="6"/>
      <c r="DQ427" s="6"/>
      <c r="DR427" s="6"/>
      <c r="DS427" s="6"/>
      <c r="DT427" s="6"/>
      <c r="DU427" s="6"/>
      <c r="DV427" s="6"/>
      <c r="DW427" s="6"/>
      <c r="DX427" s="6"/>
      <c r="DY427" s="6">
        <v>43458</v>
      </c>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c r="FZ427" s="6"/>
      <c r="GA427" s="6"/>
      <c r="GB427" s="6"/>
      <c r="GC427" s="6"/>
      <c r="GD427" s="6"/>
      <c r="GE427" s="6"/>
      <c r="GF427" s="6"/>
      <c r="GG427" s="6"/>
      <c r="GH427" s="6"/>
      <c r="GI427" s="6"/>
      <c r="GJ427" s="6"/>
      <c r="GK427" s="6"/>
      <c r="GL427" s="6"/>
      <c r="GM427" s="6"/>
      <c r="GN427" s="6"/>
      <c r="GO427" s="6"/>
      <c r="GP427" s="6"/>
      <c r="GQ427" s="6"/>
      <c r="GR427" s="6"/>
      <c r="GS427" s="6"/>
      <c r="GT427" s="6"/>
      <c r="GU427" s="6"/>
      <c r="GV427" s="6"/>
      <c r="GW427" s="6"/>
      <c r="GX427" s="6"/>
      <c r="GY427" s="6"/>
      <c r="GZ427" s="6"/>
      <c r="HA427" s="6"/>
      <c r="HB427" s="6"/>
      <c r="HC427" s="6"/>
      <c r="HD427" s="6"/>
      <c r="HE427" s="6"/>
      <c r="HF427" s="6"/>
      <c r="HG427" s="6"/>
      <c r="HH427" s="6"/>
    </row>
    <row r="428" spans="1:216" x14ac:dyDescent="0.3">
      <c r="A428" s="8" t="str">
        <f>HYPERLINK("https://hpr-rps.hres.ca/reg-content/summary-basis-decision-detailTwo.php?lang=en&amp;linkID=SBD00439", "Oxervate")</f>
        <v>Oxervate</v>
      </c>
      <c r="B428" s="6" t="s">
        <v>1116</v>
      </c>
      <c r="C428" s="6" t="s">
        <v>1117</v>
      </c>
      <c r="D428" s="6" t="s">
        <v>1118</v>
      </c>
      <c r="E428" s="6">
        <v>43126</v>
      </c>
      <c r="F428" s="6"/>
      <c r="G428" s="6"/>
      <c r="H428" s="6"/>
      <c r="I428" s="6"/>
      <c r="J428" s="6"/>
      <c r="K428" s="6"/>
      <c r="L428" s="6"/>
      <c r="M428" s="6"/>
      <c r="N428" s="6">
        <v>43228</v>
      </c>
      <c r="O428" s="6"/>
      <c r="P428" s="6"/>
      <c r="Q428" s="6"/>
      <c r="R428" s="6"/>
      <c r="S428" s="6">
        <v>43235</v>
      </c>
      <c r="T428" s="6"/>
      <c r="U428" s="6"/>
      <c r="V428" s="6">
        <v>43297</v>
      </c>
      <c r="W428" s="6"/>
      <c r="X428" s="6"/>
      <c r="Y428" s="6"/>
      <c r="Z428" s="6"/>
      <c r="AA428" s="6"/>
      <c r="AB428" s="6"/>
      <c r="AC428" s="6"/>
      <c r="AD428" s="6"/>
      <c r="AE428" s="6"/>
      <c r="AF428" s="6">
        <v>43326</v>
      </c>
      <c r="AG428" s="6"/>
      <c r="AH428" s="6"/>
      <c r="AI428" s="6"/>
      <c r="AJ428" s="6"/>
      <c r="AK428" s="6"/>
      <c r="AL428" s="6"/>
      <c r="AM428" s="6"/>
      <c r="AN428" s="6"/>
      <c r="AO428" s="6"/>
      <c r="AP428" s="6"/>
      <c r="AQ428" s="6">
        <v>43458</v>
      </c>
      <c r="AR428" s="6">
        <v>43504</v>
      </c>
      <c r="AS428" s="6"/>
      <c r="AT428" s="6"/>
      <c r="AU428" s="6">
        <v>43502</v>
      </c>
      <c r="AV428" s="6">
        <v>43489</v>
      </c>
      <c r="AW428" s="6"/>
      <c r="AX428" s="6"/>
      <c r="AY428" s="6"/>
      <c r="AZ428" s="6"/>
      <c r="BA428" s="6"/>
      <c r="BB428" s="6"/>
      <c r="BC428" s="6"/>
      <c r="BD428" s="6"/>
      <c r="BE428" s="6"/>
      <c r="BF428" s="6"/>
      <c r="BG428" s="6"/>
      <c r="BH428" s="6"/>
      <c r="BI428" s="6"/>
      <c r="BJ428" s="6"/>
      <c r="BK428" s="6"/>
      <c r="BL428" s="6"/>
      <c r="BM428" s="6">
        <v>43504</v>
      </c>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row>
    <row r="429" spans="1:216" x14ac:dyDescent="0.3">
      <c r="A429" s="8" t="str">
        <f>HYPERLINK("https://hpr-rps.hres.ca/reg-content/summary-basis-decision-detailTwo.php?lang=en&amp;linkID=SBD00440", "Truxima")</f>
        <v>Truxima</v>
      </c>
      <c r="B429" s="6" t="s">
        <v>1119</v>
      </c>
      <c r="C429" s="6" t="s">
        <v>702</v>
      </c>
      <c r="D429" s="6" t="s">
        <v>1120</v>
      </c>
      <c r="E429" s="6">
        <v>43147</v>
      </c>
      <c r="F429" s="6"/>
      <c r="G429" s="6"/>
      <c r="H429" s="6"/>
      <c r="I429" s="6"/>
      <c r="J429" s="6"/>
      <c r="K429" s="6"/>
      <c r="L429" s="6"/>
      <c r="M429" s="6"/>
      <c r="N429" s="6">
        <v>43171</v>
      </c>
      <c r="O429" s="6"/>
      <c r="P429" s="6"/>
      <c r="Q429" s="6"/>
      <c r="R429" s="6"/>
      <c r="S429" s="6">
        <v>43196</v>
      </c>
      <c r="T429" s="6"/>
      <c r="U429" s="6"/>
      <c r="V429" s="6">
        <v>43266</v>
      </c>
      <c r="W429" s="6"/>
      <c r="X429" s="6"/>
      <c r="Y429" s="6"/>
      <c r="Z429" s="6"/>
      <c r="AA429" s="6"/>
      <c r="AB429" s="6"/>
      <c r="AC429" s="6"/>
      <c r="AD429" s="6"/>
      <c r="AE429" s="6"/>
      <c r="AF429" s="6">
        <v>43294</v>
      </c>
      <c r="AG429" s="6"/>
      <c r="AH429" s="6"/>
      <c r="AI429" s="6"/>
      <c r="AJ429" s="6"/>
      <c r="AK429" s="6"/>
      <c r="AL429" s="6"/>
      <c r="AM429" s="6"/>
      <c r="AN429" s="6"/>
      <c r="AO429" s="6"/>
      <c r="AP429" s="6"/>
      <c r="AQ429" s="6">
        <v>43452</v>
      </c>
      <c r="AR429" s="6">
        <v>43467</v>
      </c>
      <c r="AS429" s="6">
        <v>43417</v>
      </c>
      <c r="AT429" s="6"/>
      <c r="AU429" s="6"/>
      <c r="AV429" s="6">
        <v>43465</v>
      </c>
      <c r="AW429" s="6"/>
      <c r="AX429" s="6">
        <v>43398</v>
      </c>
      <c r="AY429" s="6"/>
      <c r="AZ429" s="6"/>
      <c r="BA429" s="6"/>
      <c r="BB429" s="6"/>
      <c r="BC429" s="6"/>
      <c r="BD429" s="6"/>
      <c r="BE429" s="6"/>
      <c r="BF429" s="6"/>
      <c r="BG429" s="6"/>
      <c r="BH429" s="6"/>
      <c r="BI429" s="6"/>
      <c r="BJ429" s="6"/>
      <c r="BK429" s="6">
        <v>43473</v>
      </c>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v>43501</v>
      </c>
      <c r="CQ429" s="6"/>
      <c r="CR429" s="6"/>
      <c r="CS429" s="6"/>
      <c r="CT429" s="6"/>
      <c r="CU429" s="6"/>
      <c r="CV429" s="6"/>
      <c r="CW429" s="6"/>
      <c r="CX429" s="6"/>
      <c r="CY429" s="6"/>
      <c r="CZ429" s="6"/>
      <c r="DA429" s="6"/>
      <c r="DB429" s="6"/>
      <c r="DC429" s="6"/>
      <c r="DD429" s="6"/>
      <c r="DE429" s="6"/>
      <c r="DF429" s="6"/>
      <c r="DG429" s="6">
        <v>43502</v>
      </c>
      <c r="DH429" s="6"/>
      <c r="DI429" s="6"/>
      <c r="DJ429" s="6"/>
      <c r="DK429" s="6"/>
      <c r="DL429" s="6"/>
      <c r="DM429" s="6"/>
      <c r="DN429" s="6"/>
      <c r="DO429" s="6"/>
      <c r="DP429" s="6"/>
      <c r="DQ429" s="6"/>
      <c r="DR429" s="6"/>
      <c r="DS429" s="6"/>
      <c r="DT429" s="6">
        <v>43475</v>
      </c>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row>
    <row r="430" spans="1:216" x14ac:dyDescent="0.3">
      <c r="A430" s="8" t="str">
        <f>HYPERLINK("https://hpr-rps.hres.ca/reg-content/summary-basis-decision-detailTwo.php?lang=en&amp;linkID=SBD00441", "Idhifa")</f>
        <v>Idhifa</v>
      </c>
      <c r="B430" s="6" t="s">
        <v>1121</v>
      </c>
      <c r="C430" s="6" t="s">
        <v>668</v>
      </c>
      <c r="D430" s="6" t="s">
        <v>1122</v>
      </c>
      <c r="E430" s="6">
        <v>43147</v>
      </c>
      <c r="F430" s="6"/>
      <c r="G430" s="6"/>
      <c r="H430" s="6"/>
      <c r="I430" s="6"/>
      <c r="J430" s="6"/>
      <c r="K430" s="6"/>
      <c r="L430" s="6"/>
      <c r="M430" s="6"/>
      <c r="N430" s="6">
        <v>43171</v>
      </c>
      <c r="O430" s="6"/>
      <c r="P430" s="6"/>
      <c r="Q430" s="6"/>
      <c r="R430" s="6"/>
      <c r="S430" s="6">
        <v>43196</v>
      </c>
      <c r="T430" s="6"/>
      <c r="U430" s="6"/>
      <c r="V430" s="6">
        <v>43266</v>
      </c>
      <c r="W430" s="6"/>
      <c r="X430" s="6"/>
      <c r="Y430" s="6"/>
      <c r="Z430" s="6"/>
      <c r="AA430" s="6"/>
      <c r="AB430" s="6"/>
      <c r="AC430" s="6"/>
      <c r="AD430" s="6"/>
      <c r="AE430" s="6"/>
      <c r="AF430" s="6">
        <v>43294</v>
      </c>
      <c r="AG430" s="6"/>
      <c r="AH430" s="6"/>
      <c r="AI430" s="6"/>
      <c r="AJ430" s="6"/>
      <c r="AK430" s="6"/>
      <c r="AL430" s="6"/>
      <c r="AM430" s="6"/>
      <c r="AN430" s="6"/>
      <c r="AO430" s="6"/>
      <c r="AP430" s="6"/>
      <c r="AQ430" s="6">
        <v>43452</v>
      </c>
      <c r="AR430" s="6">
        <v>43467</v>
      </c>
      <c r="AS430" s="6">
        <v>43417</v>
      </c>
      <c r="AT430" s="6"/>
      <c r="AU430" s="6"/>
      <c r="AV430" s="6">
        <v>43465</v>
      </c>
      <c r="AW430" s="6"/>
      <c r="AX430" s="6">
        <v>43398</v>
      </c>
      <c r="AY430" s="6"/>
      <c r="AZ430" s="6"/>
      <c r="BA430" s="6"/>
      <c r="BB430" s="6"/>
      <c r="BC430" s="6"/>
      <c r="BD430" s="6"/>
      <c r="BE430" s="6"/>
      <c r="BF430" s="6"/>
      <c r="BG430" s="6"/>
      <c r="BH430" s="6"/>
      <c r="BI430" s="6"/>
      <c r="BJ430" s="6"/>
      <c r="BK430" s="6">
        <v>43473</v>
      </c>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v>43501</v>
      </c>
      <c r="CQ430" s="6"/>
      <c r="CR430" s="6"/>
      <c r="CS430" s="6"/>
      <c r="CT430" s="6"/>
      <c r="CU430" s="6"/>
      <c r="CV430" s="6"/>
      <c r="CW430" s="6"/>
      <c r="CX430" s="6"/>
      <c r="CY430" s="6"/>
      <c r="CZ430" s="6"/>
      <c r="DA430" s="6"/>
      <c r="DB430" s="6"/>
      <c r="DC430" s="6"/>
      <c r="DD430" s="6"/>
      <c r="DE430" s="6"/>
      <c r="DF430" s="6"/>
      <c r="DG430" s="6">
        <v>43502</v>
      </c>
      <c r="DH430" s="6"/>
      <c r="DI430" s="6"/>
      <c r="DJ430" s="6"/>
      <c r="DK430" s="6"/>
      <c r="DL430" s="6"/>
      <c r="DM430" s="6"/>
      <c r="DN430" s="6"/>
      <c r="DO430" s="6"/>
      <c r="DP430" s="6"/>
      <c r="DQ430" s="6"/>
      <c r="DR430" s="6"/>
      <c r="DS430" s="6"/>
      <c r="DT430" s="6">
        <v>43475</v>
      </c>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row>
    <row r="431" spans="1:216" x14ac:dyDescent="0.3">
      <c r="A431" s="8" t="str">
        <f>HYPERLINK("https://hpr-rps.hres.ca/reg-content/summary-basis-decision-detailTwo.php?lang=en&amp;linkID=SBD00442", "Yescarta")</f>
        <v>Yescarta</v>
      </c>
      <c r="B431" s="6" t="s">
        <v>1123</v>
      </c>
      <c r="C431" s="6" t="s">
        <v>134</v>
      </c>
      <c r="D431" s="6" t="s">
        <v>1124</v>
      </c>
      <c r="E431" s="6">
        <v>43147</v>
      </c>
      <c r="F431" s="6"/>
      <c r="G431" s="6"/>
      <c r="H431" s="6"/>
      <c r="I431" s="6"/>
      <c r="J431" s="6"/>
      <c r="K431" s="6"/>
      <c r="L431" s="6"/>
      <c r="M431" s="6"/>
      <c r="N431" s="6">
        <v>43171</v>
      </c>
      <c r="O431" s="6"/>
      <c r="P431" s="6"/>
      <c r="Q431" s="6"/>
      <c r="R431" s="6"/>
      <c r="S431" s="6">
        <v>43196</v>
      </c>
      <c r="T431" s="6"/>
      <c r="U431" s="6"/>
      <c r="V431" s="6">
        <v>43266</v>
      </c>
      <c r="W431" s="6"/>
      <c r="X431" s="6"/>
      <c r="Y431" s="6"/>
      <c r="Z431" s="6"/>
      <c r="AA431" s="6"/>
      <c r="AB431" s="6"/>
      <c r="AC431" s="6"/>
      <c r="AD431" s="6"/>
      <c r="AE431" s="6"/>
      <c r="AF431" s="6">
        <v>43294</v>
      </c>
      <c r="AG431" s="6"/>
      <c r="AH431" s="6"/>
      <c r="AI431" s="6"/>
      <c r="AJ431" s="6"/>
      <c r="AK431" s="6"/>
      <c r="AL431" s="6"/>
      <c r="AM431" s="6"/>
      <c r="AN431" s="6"/>
      <c r="AO431" s="6"/>
      <c r="AP431" s="6"/>
      <c r="AQ431" s="6">
        <v>43452</v>
      </c>
      <c r="AR431" s="6">
        <v>43467</v>
      </c>
      <c r="AS431" s="6">
        <v>43417</v>
      </c>
      <c r="AT431" s="6"/>
      <c r="AU431" s="6"/>
      <c r="AV431" s="6">
        <v>43465</v>
      </c>
      <c r="AW431" s="6"/>
      <c r="AX431" s="6">
        <v>43398</v>
      </c>
      <c r="AY431" s="6"/>
      <c r="AZ431" s="6"/>
      <c r="BA431" s="6"/>
      <c r="BB431" s="6"/>
      <c r="BC431" s="6"/>
      <c r="BD431" s="6"/>
      <c r="BE431" s="6"/>
      <c r="BF431" s="6"/>
      <c r="BG431" s="6"/>
      <c r="BH431" s="6"/>
      <c r="BI431" s="6"/>
      <c r="BJ431" s="6"/>
      <c r="BK431" s="6">
        <v>43473</v>
      </c>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v>43501</v>
      </c>
      <c r="CQ431" s="6"/>
      <c r="CR431" s="6"/>
      <c r="CS431" s="6"/>
      <c r="CT431" s="6"/>
      <c r="CU431" s="6"/>
      <c r="CV431" s="6"/>
      <c r="CW431" s="6"/>
      <c r="CX431" s="6"/>
      <c r="CY431" s="6"/>
      <c r="CZ431" s="6"/>
      <c r="DA431" s="6"/>
      <c r="DB431" s="6"/>
      <c r="DC431" s="6"/>
      <c r="DD431" s="6"/>
      <c r="DE431" s="6"/>
      <c r="DF431" s="6"/>
      <c r="DG431" s="6">
        <v>43502</v>
      </c>
      <c r="DH431" s="6"/>
      <c r="DI431" s="6"/>
      <c r="DJ431" s="6"/>
      <c r="DK431" s="6"/>
      <c r="DL431" s="6"/>
      <c r="DM431" s="6"/>
      <c r="DN431" s="6"/>
      <c r="DO431" s="6"/>
      <c r="DP431" s="6"/>
      <c r="DQ431" s="6"/>
      <c r="DR431" s="6"/>
      <c r="DS431" s="6"/>
      <c r="DT431" s="6">
        <v>43475</v>
      </c>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c r="FZ431" s="6"/>
      <c r="GA431" s="6"/>
      <c r="GB431" s="6"/>
      <c r="GC431" s="6"/>
      <c r="GD431" s="6"/>
      <c r="GE431" s="6"/>
      <c r="GF431" s="6"/>
      <c r="GG431" s="6"/>
      <c r="GH431" s="6"/>
      <c r="GI431" s="6"/>
      <c r="GJ431" s="6"/>
      <c r="GK431" s="6"/>
      <c r="GL431" s="6"/>
      <c r="GM431" s="6"/>
      <c r="GN431" s="6"/>
      <c r="GO431" s="6"/>
      <c r="GP431" s="6"/>
      <c r="GQ431" s="6"/>
      <c r="GR431" s="6"/>
      <c r="GS431" s="6"/>
      <c r="GT431" s="6"/>
      <c r="GU431" s="6"/>
      <c r="GV431" s="6"/>
      <c r="GW431" s="6"/>
      <c r="GX431" s="6"/>
      <c r="GY431" s="6"/>
      <c r="GZ431" s="6"/>
      <c r="HA431" s="6"/>
      <c r="HB431" s="6"/>
      <c r="HC431" s="6"/>
      <c r="HD431" s="6"/>
      <c r="HE431" s="6"/>
      <c r="HF431" s="6"/>
      <c r="HG431" s="6"/>
      <c r="HH431" s="6"/>
    </row>
    <row r="432" spans="1:216" x14ac:dyDescent="0.3">
      <c r="A432" s="8" t="str">
        <f>HYPERLINK("https://hpr-rps.hres.ca/reg-content/summary-basis-decision-detailTwo.php?lang=en&amp;linkID=SBD00443", "Libtayo")</f>
        <v>Libtayo</v>
      </c>
      <c r="B432" s="6" t="s">
        <v>1125</v>
      </c>
      <c r="C432" s="6" t="s">
        <v>940</v>
      </c>
      <c r="D432" s="6" t="s">
        <v>1126</v>
      </c>
      <c r="E432" s="6">
        <v>43147</v>
      </c>
      <c r="F432" s="6"/>
      <c r="G432" s="6"/>
      <c r="H432" s="6"/>
      <c r="I432" s="6"/>
      <c r="J432" s="6"/>
      <c r="K432" s="6"/>
      <c r="L432" s="6"/>
      <c r="M432" s="6"/>
      <c r="N432" s="6">
        <v>43171</v>
      </c>
      <c r="O432" s="6"/>
      <c r="P432" s="6"/>
      <c r="Q432" s="6"/>
      <c r="R432" s="6"/>
      <c r="S432" s="6">
        <v>43196</v>
      </c>
      <c r="T432" s="6"/>
      <c r="U432" s="6"/>
      <c r="V432" s="6">
        <v>43266</v>
      </c>
      <c r="W432" s="6"/>
      <c r="X432" s="6"/>
      <c r="Y432" s="6"/>
      <c r="Z432" s="6"/>
      <c r="AA432" s="6"/>
      <c r="AB432" s="6"/>
      <c r="AC432" s="6"/>
      <c r="AD432" s="6"/>
      <c r="AE432" s="6"/>
      <c r="AF432" s="6">
        <v>43294</v>
      </c>
      <c r="AG432" s="6"/>
      <c r="AH432" s="6"/>
      <c r="AI432" s="6"/>
      <c r="AJ432" s="6"/>
      <c r="AK432" s="6"/>
      <c r="AL432" s="6"/>
      <c r="AM432" s="6"/>
      <c r="AN432" s="6"/>
      <c r="AO432" s="6"/>
      <c r="AP432" s="6"/>
      <c r="AQ432" s="6">
        <v>43452</v>
      </c>
      <c r="AR432" s="6">
        <v>43467</v>
      </c>
      <c r="AS432" s="6">
        <v>43417</v>
      </c>
      <c r="AT432" s="6"/>
      <c r="AU432" s="6"/>
      <c r="AV432" s="6">
        <v>43465</v>
      </c>
      <c r="AW432" s="6"/>
      <c r="AX432" s="6">
        <v>43398</v>
      </c>
      <c r="AY432" s="6"/>
      <c r="AZ432" s="6"/>
      <c r="BA432" s="6"/>
      <c r="BB432" s="6"/>
      <c r="BC432" s="6"/>
      <c r="BD432" s="6"/>
      <c r="BE432" s="6"/>
      <c r="BF432" s="6"/>
      <c r="BG432" s="6"/>
      <c r="BH432" s="6"/>
      <c r="BI432" s="6"/>
      <c r="BJ432" s="6"/>
      <c r="BK432" s="6">
        <v>43473</v>
      </c>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v>43501</v>
      </c>
      <c r="CQ432" s="6"/>
      <c r="CR432" s="6"/>
      <c r="CS432" s="6"/>
      <c r="CT432" s="6"/>
      <c r="CU432" s="6"/>
      <c r="CV432" s="6"/>
      <c r="CW432" s="6"/>
      <c r="CX432" s="6"/>
      <c r="CY432" s="6"/>
      <c r="CZ432" s="6"/>
      <c r="DA432" s="6"/>
      <c r="DB432" s="6"/>
      <c r="DC432" s="6"/>
      <c r="DD432" s="6"/>
      <c r="DE432" s="6"/>
      <c r="DF432" s="6"/>
      <c r="DG432" s="6">
        <v>43502</v>
      </c>
      <c r="DH432" s="6"/>
      <c r="DI432" s="6"/>
      <c r="DJ432" s="6"/>
      <c r="DK432" s="6"/>
      <c r="DL432" s="6"/>
      <c r="DM432" s="6"/>
      <c r="DN432" s="6"/>
      <c r="DO432" s="6"/>
      <c r="DP432" s="6"/>
      <c r="DQ432" s="6"/>
      <c r="DR432" s="6"/>
      <c r="DS432" s="6"/>
      <c r="DT432" s="6">
        <v>43475</v>
      </c>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c r="FZ432" s="6"/>
      <c r="GA432" s="6"/>
      <c r="GB432" s="6"/>
      <c r="GC432" s="6"/>
      <c r="GD432" s="6"/>
      <c r="GE432" s="6"/>
      <c r="GF432" s="6"/>
      <c r="GG432" s="6"/>
      <c r="GH432" s="6"/>
      <c r="GI432" s="6"/>
      <c r="GJ432" s="6"/>
      <c r="GK432" s="6"/>
      <c r="GL432" s="6"/>
      <c r="GM432" s="6"/>
      <c r="GN432" s="6"/>
      <c r="GO432" s="6"/>
      <c r="GP432" s="6"/>
      <c r="GQ432" s="6"/>
      <c r="GR432" s="6"/>
      <c r="GS432" s="6"/>
      <c r="GT432" s="6"/>
      <c r="GU432" s="6"/>
      <c r="GV432" s="6"/>
      <c r="GW432" s="6"/>
      <c r="GX432" s="6"/>
      <c r="GY432" s="6"/>
      <c r="GZ432" s="6"/>
      <c r="HA432" s="6"/>
      <c r="HB432" s="6"/>
      <c r="HC432" s="6"/>
      <c r="HD432" s="6"/>
      <c r="HE432" s="6"/>
      <c r="HF432" s="6"/>
      <c r="HG432" s="6"/>
      <c r="HH432" s="6"/>
    </row>
    <row r="433" spans="1:216" x14ac:dyDescent="0.3">
      <c r="A433" s="8" t="str">
        <f>HYPERLINK("https://hpr-rps.hres.ca/reg-content/summary-basis-decision-detailTwo.php?lang=en&amp;linkID=SBD00444", "Skyrizi")</f>
        <v>Skyrizi</v>
      </c>
      <c r="B433" s="6" t="s">
        <v>1127</v>
      </c>
      <c r="C433" s="6" t="s">
        <v>692</v>
      </c>
      <c r="D433" s="6" t="s">
        <v>1128</v>
      </c>
      <c r="E433" s="6">
        <v>43124</v>
      </c>
      <c r="F433" s="6"/>
      <c r="G433" s="6"/>
      <c r="H433" s="6">
        <v>43221</v>
      </c>
      <c r="I433" s="6"/>
      <c r="J433" s="6"/>
      <c r="K433" s="6"/>
      <c r="L433" s="6"/>
      <c r="M433" s="6"/>
      <c r="N433" s="6"/>
      <c r="O433" s="6"/>
      <c r="P433" s="6"/>
      <c r="Q433" s="6"/>
      <c r="R433" s="6"/>
      <c r="S433" s="6"/>
      <c r="T433" s="6"/>
      <c r="U433" s="6"/>
      <c r="V433" s="6"/>
      <c r="W433" s="6"/>
      <c r="X433" s="6"/>
      <c r="Y433" s="6"/>
      <c r="Z433" s="6"/>
      <c r="AA433" s="6"/>
      <c r="AB433" s="6"/>
      <c r="AC433" s="6"/>
      <c r="AD433" s="6"/>
      <c r="AE433" s="6"/>
      <c r="AF433" s="6">
        <v>43272</v>
      </c>
      <c r="AG433" s="6"/>
      <c r="AH433" s="6"/>
      <c r="AI433" s="6"/>
      <c r="AJ433" s="6"/>
      <c r="AK433" s="6"/>
      <c r="AL433" s="6"/>
      <c r="AM433" s="6"/>
      <c r="AN433" s="6"/>
      <c r="AO433" s="6">
        <v>43479</v>
      </c>
      <c r="AP433" s="6"/>
      <c r="AQ433" s="6">
        <v>43508</v>
      </c>
      <c r="AR433" s="6">
        <v>43570</v>
      </c>
      <c r="AS433" s="6"/>
      <c r="AT433" s="6"/>
      <c r="AU433" s="6">
        <v>43564</v>
      </c>
      <c r="AV433" s="6">
        <v>43567</v>
      </c>
      <c r="AW433" s="6"/>
      <c r="AX433" s="6">
        <v>43571</v>
      </c>
      <c r="AY433" s="6"/>
      <c r="AZ433" s="6"/>
      <c r="BA433" s="6"/>
      <c r="BB433" s="6"/>
      <c r="BC433" s="6"/>
      <c r="BD433" s="6"/>
      <c r="BE433" s="6"/>
      <c r="BF433" s="6"/>
      <c r="BG433" s="6"/>
      <c r="BH433" s="6"/>
      <c r="BI433" s="6"/>
      <c r="BJ433" s="6"/>
      <c r="BK433" s="6"/>
      <c r="BL433" s="6"/>
      <c r="BM433" s="6">
        <v>43572</v>
      </c>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c r="FZ433" s="6"/>
      <c r="GA433" s="6"/>
      <c r="GB433" s="6"/>
      <c r="GC433" s="6"/>
      <c r="GD433" s="6"/>
      <c r="GE433" s="6"/>
      <c r="GF433" s="6"/>
      <c r="GG433" s="6"/>
      <c r="GH433" s="6"/>
      <c r="GI433" s="6"/>
      <c r="GJ433" s="6"/>
      <c r="GK433" s="6"/>
      <c r="GL433" s="6"/>
      <c r="GM433" s="6"/>
      <c r="GN433" s="6"/>
      <c r="GO433" s="6"/>
      <c r="GP433" s="6"/>
      <c r="GQ433" s="6"/>
      <c r="GR433" s="6"/>
      <c r="GS433" s="6"/>
      <c r="GT433" s="6"/>
      <c r="GU433" s="6"/>
      <c r="GV433" s="6"/>
      <c r="GW433" s="6"/>
      <c r="GX433" s="6"/>
      <c r="GY433" s="6"/>
      <c r="GZ433" s="6"/>
      <c r="HA433" s="6"/>
      <c r="HB433" s="6"/>
      <c r="HC433" s="6"/>
      <c r="HD433" s="6"/>
      <c r="HE433" s="6"/>
      <c r="HF433" s="6"/>
      <c r="HG433" s="6"/>
      <c r="HH433" s="6"/>
    </row>
    <row r="434" spans="1:216" x14ac:dyDescent="0.3">
      <c r="A434" s="8" t="str">
        <f>HYPERLINK("https://hpr-rps.hres.ca/reg-content/summary-basis-decision-detailTwo.php?lang=en&amp;linkID=SBD00445", "Verzenio")</f>
        <v>Verzenio</v>
      </c>
      <c r="B434" s="6" t="s">
        <v>1129</v>
      </c>
      <c r="C434" s="6" t="s">
        <v>140</v>
      </c>
      <c r="D434" s="6" t="s">
        <v>1130</v>
      </c>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c r="FZ434" s="6"/>
      <c r="GA434" s="6"/>
      <c r="GB434" s="6"/>
      <c r="GC434" s="6"/>
      <c r="GD434" s="6"/>
      <c r="GE434" s="6"/>
      <c r="GF434" s="6"/>
      <c r="GG434" s="6"/>
      <c r="GH434" s="6"/>
      <c r="GI434" s="6"/>
      <c r="GJ434" s="6"/>
      <c r="GK434" s="6"/>
      <c r="GL434" s="6"/>
      <c r="GM434" s="6"/>
      <c r="GN434" s="6"/>
      <c r="GO434" s="6"/>
      <c r="GP434" s="6"/>
      <c r="GQ434" s="6"/>
      <c r="GR434" s="6"/>
      <c r="GS434" s="6"/>
      <c r="GT434" s="6"/>
      <c r="GU434" s="6"/>
      <c r="GV434" s="6"/>
      <c r="GW434" s="6"/>
      <c r="GX434" s="6"/>
      <c r="GY434" s="6"/>
      <c r="GZ434" s="6"/>
      <c r="HA434" s="6"/>
      <c r="HB434" s="6"/>
      <c r="HC434" s="6"/>
      <c r="HD434" s="6"/>
      <c r="HE434" s="6"/>
      <c r="HF434" s="6"/>
      <c r="HG434" s="6"/>
      <c r="HH434" s="6"/>
    </row>
    <row r="435" spans="1:216" x14ac:dyDescent="0.3">
      <c r="A435" s="8" t="str">
        <f>HYPERLINK("https://hpr-rps.hres.ca/reg-content/summary-basis-decision-detailTwo.php?lang=en&amp;linkID=SBD00446", "Onpattro")</f>
        <v>Onpattro</v>
      </c>
      <c r="B435" s="6" t="s">
        <v>1131</v>
      </c>
      <c r="C435" s="6" t="s">
        <v>1132</v>
      </c>
      <c r="D435" s="6" t="s">
        <v>1133</v>
      </c>
      <c r="E435" s="6"/>
      <c r="F435" s="6"/>
      <c r="G435" s="6"/>
      <c r="H435" s="6">
        <v>43356</v>
      </c>
      <c r="I435" s="6"/>
      <c r="J435" s="6"/>
      <c r="K435" s="6"/>
      <c r="L435" s="6"/>
      <c r="M435" s="6"/>
      <c r="N435" s="6"/>
      <c r="O435" s="6"/>
      <c r="P435" s="6"/>
      <c r="Q435" s="6"/>
      <c r="R435" s="6"/>
      <c r="S435" s="6"/>
      <c r="T435" s="6"/>
      <c r="U435" s="6"/>
      <c r="V435" s="6"/>
      <c r="W435" s="6"/>
      <c r="X435" s="6"/>
      <c r="Y435" s="6"/>
      <c r="Z435" s="6"/>
      <c r="AA435" s="6"/>
      <c r="AB435" s="6"/>
      <c r="AC435" s="6"/>
      <c r="AD435" s="6"/>
      <c r="AE435" s="6"/>
      <c r="AF435" s="6">
        <v>43406</v>
      </c>
      <c r="AG435" s="6"/>
      <c r="AH435" s="6"/>
      <c r="AI435" s="6"/>
      <c r="AJ435" s="6"/>
      <c r="AK435" s="6"/>
      <c r="AL435" s="6"/>
      <c r="AM435" s="6"/>
      <c r="AN435" s="6"/>
      <c r="AO435" s="6">
        <v>43640</v>
      </c>
      <c r="AP435" s="6"/>
      <c r="AQ435" s="6">
        <v>43629</v>
      </c>
      <c r="AR435" s="6">
        <v>43690</v>
      </c>
      <c r="AS435" s="6"/>
      <c r="AT435" s="6"/>
      <c r="AU435" s="6">
        <v>43686</v>
      </c>
      <c r="AV435" s="6">
        <v>43700</v>
      </c>
      <c r="AW435" s="6"/>
      <c r="AX435" s="6"/>
      <c r="AY435" s="6"/>
      <c r="AZ435" s="6"/>
      <c r="BA435" s="6"/>
      <c r="BB435" s="6"/>
      <c r="BC435" s="6"/>
      <c r="BD435" s="6"/>
      <c r="BE435" s="6"/>
      <c r="BF435" s="6"/>
      <c r="BG435" s="6"/>
      <c r="BH435" s="6"/>
      <c r="BI435" s="6"/>
      <c r="BJ435" s="6"/>
      <c r="BK435" s="6"/>
      <c r="BL435" s="6"/>
      <c r="BM435" s="6">
        <v>43705</v>
      </c>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c r="FZ435" s="6"/>
      <c r="GA435" s="6"/>
      <c r="GB435" s="6"/>
      <c r="GC435" s="6"/>
      <c r="GD435" s="6"/>
      <c r="GE435" s="6"/>
      <c r="GF435" s="6"/>
      <c r="GG435" s="6"/>
      <c r="GH435" s="6"/>
      <c r="GI435" s="6"/>
      <c r="GJ435" s="6"/>
      <c r="GK435" s="6"/>
      <c r="GL435" s="6"/>
      <c r="GM435" s="6"/>
      <c r="GN435" s="6"/>
      <c r="GO435" s="6"/>
      <c r="GP435" s="6"/>
      <c r="GQ435" s="6"/>
      <c r="GR435" s="6"/>
      <c r="GS435" s="6"/>
      <c r="GT435" s="6"/>
      <c r="GU435" s="6"/>
      <c r="GV435" s="6"/>
      <c r="GW435" s="6"/>
      <c r="GX435" s="6"/>
      <c r="GY435" s="6"/>
      <c r="GZ435" s="6"/>
      <c r="HA435" s="6"/>
      <c r="HB435" s="6"/>
      <c r="HC435" s="6"/>
      <c r="HD435" s="6"/>
      <c r="HE435" s="6"/>
      <c r="HF435" s="6"/>
      <c r="HG435" s="6"/>
      <c r="HH435" s="6"/>
    </row>
    <row r="436" spans="1:216" x14ac:dyDescent="0.3">
      <c r="A436" s="8" t="str">
        <f>HYPERLINK("https://hpr-rps.hres.ca/reg-content/summary-basis-decision-detailTwo.php?lang=en&amp;linkID=SBD00447", "Vizimpro")</f>
        <v>Vizimpro</v>
      </c>
      <c r="B436" s="6" t="s">
        <v>1134</v>
      </c>
      <c r="C436" s="6" t="s">
        <v>1089</v>
      </c>
      <c r="D436" s="6" t="s">
        <v>1135</v>
      </c>
      <c r="E436" s="6">
        <v>42886</v>
      </c>
      <c r="F436" s="6"/>
      <c r="G436" s="6"/>
      <c r="H436" s="6">
        <v>43294</v>
      </c>
      <c r="I436" s="6"/>
      <c r="J436" s="6"/>
      <c r="K436" s="6"/>
      <c r="L436" s="6"/>
      <c r="M436" s="6"/>
      <c r="N436" s="6"/>
      <c r="O436" s="6"/>
      <c r="P436" s="6"/>
      <c r="Q436" s="6"/>
      <c r="R436" s="6"/>
      <c r="S436" s="6"/>
      <c r="T436" s="6"/>
      <c r="U436" s="6"/>
      <c r="V436" s="6"/>
      <c r="W436" s="6"/>
      <c r="X436" s="6"/>
      <c r="Y436" s="6"/>
      <c r="Z436" s="6"/>
      <c r="AA436" s="6"/>
      <c r="AB436" s="6"/>
      <c r="AC436" s="6"/>
      <c r="AD436" s="6"/>
      <c r="AE436" s="6"/>
      <c r="AF436" s="6">
        <v>43329</v>
      </c>
      <c r="AG436" s="6"/>
      <c r="AH436" s="6"/>
      <c r="AI436" s="6"/>
      <c r="AJ436" s="6"/>
      <c r="AK436" s="6"/>
      <c r="AL436" s="6"/>
      <c r="AM436" s="6"/>
      <c r="AN436" s="6"/>
      <c r="AO436" s="6">
        <v>43486</v>
      </c>
      <c r="AP436" s="6"/>
      <c r="AQ436" s="6">
        <v>43578</v>
      </c>
      <c r="AR436" s="6">
        <v>43628</v>
      </c>
      <c r="AS436" s="6"/>
      <c r="AT436" s="6"/>
      <c r="AU436" s="6">
        <v>43626</v>
      </c>
      <c r="AV436" s="6">
        <v>43626</v>
      </c>
      <c r="AW436" s="6"/>
      <c r="AX436" s="6"/>
      <c r="AY436" s="6"/>
      <c r="AZ436" s="6"/>
      <c r="BA436" s="6"/>
      <c r="BB436" s="6"/>
      <c r="BC436" s="6"/>
      <c r="BD436" s="6"/>
      <c r="BE436" s="6"/>
      <c r="BF436" s="6"/>
      <c r="BG436" s="6"/>
      <c r="BH436" s="6"/>
      <c r="BI436" s="6"/>
      <c r="BJ436" s="6"/>
      <c r="BK436" s="6"/>
      <c r="BL436" s="6"/>
      <c r="BM436" s="6">
        <v>43630</v>
      </c>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c r="FZ436" s="6"/>
      <c r="GA436" s="6"/>
      <c r="GB436" s="6"/>
      <c r="GC436" s="6"/>
      <c r="GD436" s="6"/>
      <c r="GE436" s="6"/>
      <c r="GF436" s="6"/>
      <c r="GG436" s="6"/>
      <c r="GH436" s="6"/>
      <c r="GI436" s="6"/>
      <c r="GJ436" s="6"/>
      <c r="GK436" s="6"/>
      <c r="GL436" s="6"/>
      <c r="GM436" s="6"/>
      <c r="GN436" s="6"/>
      <c r="GO436" s="6"/>
      <c r="GP436" s="6"/>
      <c r="GQ436" s="6"/>
      <c r="GR436" s="6"/>
      <c r="GS436" s="6"/>
      <c r="GT436" s="6"/>
      <c r="GU436" s="6"/>
      <c r="GV436" s="6"/>
      <c r="GW436" s="6"/>
      <c r="GX436" s="6"/>
      <c r="GY436" s="6"/>
      <c r="GZ436" s="6"/>
      <c r="HA436" s="6"/>
      <c r="HB436" s="6"/>
      <c r="HC436" s="6"/>
      <c r="HD436" s="6"/>
      <c r="HE436" s="6"/>
      <c r="HF436" s="6"/>
      <c r="HG436" s="6"/>
      <c r="HH436" s="6"/>
    </row>
    <row r="437" spans="1:216" x14ac:dyDescent="0.3">
      <c r="A437" s="8" t="str">
        <f>HYPERLINK("https://hpr-rps.hres.ca/reg-content/summary-basis-decision-detailTwo.php?lang=en&amp;linkID=SBD00448", "Ogivri")</f>
        <v>Ogivri</v>
      </c>
      <c r="B437" s="6" t="s">
        <v>1136</v>
      </c>
      <c r="C437" s="6" t="s">
        <v>1103</v>
      </c>
      <c r="D437" s="6" t="s">
        <v>1137</v>
      </c>
      <c r="E437" s="6">
        <v>42542</v>
      </c>
      <c r="F437" s="6"/>
      <c r="G437" s="6"/>
      <c r="H437" s="6">
        <v>42600</v>
      </c>
      <c r="I437" s="6"/>
      <c r="J437" s="6"/>
      <c r="K437" s="6"/>
      <c r="L437" s="6"/>
      <c r="M437" s="6"/>
      <c r="N437" s="6"/>
      <c r="O437" s="6"/>
      <c r="P437" s="6"/>
      <c r="Q437" s="6"/>
      <c r="R437" s="6"/>
      <c r="S437" s="6"/>
      <c r="T437" s="6"/>
      <c r="U437" s="6"/>
      <c r="V437" s="6"/>
      <c r="W437" s="6"/>
      <c r="X437" s="6"/>
      <c r="Y437" s="6"/>
      <c r="Z437" s="6"/>
      <c r="AA437" s="6"/>
      <c r="AB437" s="6"/>
      <c r="AC437" s="6"/>
      <c r="AD437" s="6"/>
      <c r="AE437" s="6"/>
      <c r="AF437" s="6">
        <v>42650</v>
      </c>
      <c r="AG437" s="6"/>
      <c r="AH437" s="6"/>
      <c r="AI437" s="6"/>
      <c r="AJ437" s="6"/>
      <c r="AK437" s="6"/>
      <c r="AL437" s="6"/>
      <c r="AM437" s="6"/>
      <c r="AN437" s="6"/>
      <c r="AO437" s="6">
        <v>42802</v>
      </c>
      <c r="AP437" s="6"/>
      <c r="AQ437" s="6">
        <v>42886</v>
      </c>
      <c r="AR437" s="6">
        <v>42920</v>
      </c>
      <c r="AS437" s="6"/>
      <c r="AT437" s="6"/>
      <c r="AU437" s="6">
        <v>42923</v>
      </c>
      <c r="AV437" s="6">
        <v>42922</v>
      </c>
      <c r="AW437" s="6"/>
      <c r="AX437" s="6"/>
      <c r="AY437" s="6"/>
      <c r="AZ437" s="6"/>
      <c r="BA437" s="6"/>
      <c r="BB437" s="6"/>
      <c r="BC437" s="6"/>
      <c r="BD437" s="6"/>
      <c r="BE437" s="6"/>
      <c r="BF437" s="6"/>
      <c r="BG437" s="6"/>
      <c r="BH437" s="6"/>
      <c r="BI437" s="6"/>
      <c r="BJ437" s="6"/>
      <c r="BK437" s="6"/>
      <c r="BL437" s="6"/>
      <c r="BM437" s="6"/>
      <c r="BN437" s="6"/>
      <c r="BO437" s="6"/>
      <c r="BP437" s="6">
        <v>42936</v>
      </c>
      <c r="BQ437" s="6"/>
      <c r="BR437" s="6"/>
      <c r="BS437" s="6"/>
      <c r="BT437" s="6"/>
      <c r="BU437" s="6"/>
      <c r="BV437" s="6"/>
      <c r="BW437" s="6"/>
      <c r="BX437" s="6"/>
      <c r="BY437" s="6">
        <v>43320</v>
      </c>
      <c r="BZ437" s="6"/>
      <c r="CA437" s="6"/>
      <c r="CB437" s="6"/>
      <c r="CC437" s="6"/>
      <c r="CD437" s="6"/>
      <c r="CE437" s="6"/>
      <c r="CF437" s="6"/>
      <c r="CG437" s="6"/>
      <c r="CH437" s="6"/>
      <c r="CI437" s="6"/>
      <c r="CJ437" s="6"/>
      <c r="CK437" s="6"/>
      <c r="CL437" s="6"/>
      <c r="CM437" s="6"/>
      <c r="CN437" s="6"/>
      <c r="CO437" s="6"/>
      <c r="CP437" s="6"/>
      <c r="CQ437" s="6"/>
      <c r="CR437" s="6">
        <v>43333</v>
      </c>
      <c r="CS437" s="6"/>
      <c r="CT437" s="6"/>
      <c r="CU437" s="6"/>
      <c r="CV437" s="6"/>
      <c r="CW437" s="6"/>
      <c r="CX437" s="6"/>
      <c r="CY437" s="6"/>
      <c r="CZ437" s="6"/>
      <c r="DA437" s="6"/>
      <c r="DB437" s="6"/>
      <c r="DC437" s="6">
        <v>43487</v>
      </c>
      <c r="DD437" s="6">
        <v>43633</v>
      </c>
      <c r="DE437" s="6"/>
      <c r="DF437" s="6"/>
      <c r="DG437" s="6">
        <v>43633</v>
      </c>
      <c r="DH437" s="6">
        <v>43515</v>
      </c>
      <c r="DI437" s="6"/>
      <c r="DJ437" s="6"/>
      <c r="DK437" s="6"/>
      <c r="DL437" s="6"/>
      <c r="DM437" s="6"/>
      <c r="DN437" s="6"/>
      <c r="DO437" s="6"/>
      <c r="DP437" s="6"/>
      <c r="DQ437" s="6"/>
      <c r="DR437" s="6"/>
      <c r="DS437" s="6"/>
      <c r="DT437" s="6"/>
      <c r="DU437" s="6"/>
      <c r="DV437" s="6"/>
      <c r="DW437" s="6"/>
      <c r="DX437" s="6"/>
      <c r="DY437" s="6">
        <v>43633</v>
      </c>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c r="FZ437" s="6"/>
      <c r="GA437" s="6"/>
      <c r="GB437" s="6"/>
      <c r="GC437" s="6"/>
      <c r="GD437" s="6"/>
      <c r="GE437" s="6"/>
      <c r="GF437" s="6"/>
      <c r="GG437" s="6"/>
      <c r="GH437" s="6"/>
      <c r="GI437" s="6"/>
      <c r="GJ437" s="6"/>
      <c r="GK437" s="6"/>
      <c r="GL437" s="6"/>
      <c r="GM437" s="6"/>
      <c r="GN437" s="6"/>
      <c r="GO437" s="6"/>
      <c r="GP437" s="6"/>
      <c r="GQ437" s="6"/>
      <c r="GR437" s="6"/>
      <c r="GS437" s="6"/>
      <c r="GT437" s="6"/>
      <c r="GU437" s="6"/>
      <c r="GV437" s="6"/>
      <c r="GW437" s="6"/>
      <c r="GX437" s="6"/>
      <c r="GY437" s="6"/>
      <c r="GZ437" s="6"/>
      <c r="HA437" s="6"/>
      <c r="HB437" s="6"/>
      <c r="HC437" s="6"/>
      <c r="HD437" s="6"/>
      <c r="HE437" s="6"/>
      <c r="HF437" s="6"/>
      <c r="HG437" s="6"/>
      <c r="HH437" s="6"/>
    </row>
    <row r="438" spans="1:216" x14ac:dyDescent="0.3">
      <c r="A438" s="8" t="str">
        <f>HYPERLINK("https://hpr-rps.hres.ca/reg-content/summary-basis-decision-detailTwo.php?lang=en&amp;linkID=SBD00449", "Zirabev")</f>
        <v>Zirabev</v>
      </c>
      <c r="B438" s="6" t="s">
        <v>114</v>
      </c>
      <c r="C438" s="6" t="s">
        <v>1089</v>
      </c>
      <c r="D438" s="6" t="s">
        <v>1138</v>
      </c>
      <c r="E438" s="6">
        <v>42542</v>
      </c>
      <c r="F438" s="6"/>
      <c r="G438" s="6"/>
      <c r="H438" s="6">
        <v>42600</v>
      </c>
      <c r="I438" s="6"/>
      <c r="J438" s="6"/>
      <c r="K438" s="6"/>
      <c r="L438" s="6"/>
      <c r="M438" s="6"/>
      <c r="N438" s="6"/>
      <c r="O438" s="6"/>
      <c r="P438" s="6"/>
      <c r="Q438" s="6"/>
      <c r="R438" s="6"/>
      <c r="S438" s="6"/>
      <c r="T438" s="6"/>
      <c r="U438" s="6"/>
      <c r="V438" s="6"/>
      <c r="W438" s="6"/>
      <c r="X438" s="6"/>
      <c r="Y438" s="6"/>
      <c r="Z438" s="6"/>
      <c r="AA438" s="6"/>
      <c r="AB438" s="6"/>
      <c r="AC438" s="6"/>
      <c r="AD438" s="6"/>
      <c r="AE438" s="6"/>
      <c r="AF438" s="6">
        <v>42650</v>
      </c>
      <c r="AG438" s="6"/>
      <c r="AH438" s="6"/>
      <c r="AI438" s="6"/>
      <c r="AJ438" s="6"/>
      <c r="AK438" s="6"/>
      <c r="AL438" s="6"/>
      <c r="AM438" s="6"/>
      <c r="AN438" s="6"/>
      <c r="AO438" s="6">
        <v>42802</v>
      </c>
      <c r="AP438" s="6"/>
      <c r="AQ438" s="6">
        <v>42886</v>
      </c>
      <c r="AR438" s="6">
        <v>42920</v>
      </c>
      <c r="AS438" s="6"/>
      <c r="AT438" s="6"/>
      <c r="AU438" s="6">
        <v>42923</v>
      </c>
      <c r="AV438" s="6">
        <v>42922</v>
      </c>
      <c r="AW438" s="6"/>
      <c r="AX438" s="6"/>
      <c r="AY438" s="6"/>
      <c r="AZ438" s="6"/>
      <c r="BA438" s="6"/>
      <c r="BB438" s="6"/>
      <c r="BC438" s="6"/>
      <c r="BD438" s="6"/>
      <c r="BE438" s="6"/>
      <c r="BF438" s="6"/>
      <c r="BG438" s="6"/>
      <c r="BH438" s="6"/>
      <c r="BI438" s="6"/>
      <c r="BJ438" s="6"/>
      <c r="BK438" s="6"/>
      <c r="BL438" s="6"/>
      <c r="BM438" s="6"/>
      <c r="BN438" s="6"/>
      <c r="BO438" s="6"/>
      <c r="BP438" s="6">
        <v>42936</v>
      </c>
      <c r="BQ438" s="6"/>
      <c r="BR438" s="6"/>
      <c r="BS438" s="6"/>
      <c r="BT438" s="6"/>
      <c r="BU438" s="6"/>
      <c r="BV438" s="6"/>
      <c r="BW438" s="6"/>
      <c r="BX438" s="6"/>
      <c r="BY438" s="6">
        <v>43320</v>
      </c>
      <c r="BZ438" s="6"/>
      <c r="CA438" s="6"/>
      <c r="CB438" s="6"/>
      <c r="CC438" s="6"/>
      <c r="CD438" s="6"/>
      <c r="CE438" s="6"/>
      <c r="CF438" s="6"/>
      <c r="CG438" s="6"/>
      <c r="CH438" s="6"/>
      <c r="CI438" s="6"/>
      <c r="CJ438" s="6"/>
      <c r="CK438" s="6"/>
      <c r="CL438" s="6"/>
      <c r="CM438" s="6"/>
      <c r="CN438" s="6"/>
      <c r="CO438" s="6"/>
      <c r="CP438" s="6"/>
      <c r="CQ438" s="6"/>
      <c r="CR438" s="6">
        <v>43333</v>
      </c>
      <c r="CS438" s="6"/>
      <c r="CT438" s="6"/>
      <c r="CU438" s="6"/>
      <c r="CV438" s="6"/>
      <c r="CW438" s="6"/>
      <c r="CX438" s="6"/>
      <c r="CY438" s="6"/>
      <c r="CZ438" s="6"/>
      <c r="DA438" s="6"/>
      <c r="DB438" s="6"/>
      <c r="DC438" s="6">
        <v>43487</v>
      </c>
      <c r="DD438" s="6">
        <v>43633</v>
      </c>
      <c r="DE438" s="6"/>
      <c r="DF438" s="6"/>
      <c r="DG438" s="6">
        <v>43633</v>
      </c>
      <c r="DH438" s="6">
        <v>43515</v>
      </c>
      <c r="DI438" s="6"/>
      <c r="DJ438" s="6"/>
      <c r="DK438" s="6"/>
      <c r="DL438" s="6"/>
      <c r="DM438" s="6"/>
      <c r="DN438" s="6"/>
      <c r="DO438" s="6"/>
      <c r="DP438" s="6"/>
      <c r="DQ438" s="6"/>
      <c r="DR438" s="6"/>
      <c r="DS438" s="6"/>
      <c r="DT438" s="6"/>
      <c r="DU438" s="6"/>
      <c r="DV438" s="6"/>
      <c r="DW438" s="6"/>
      <c r="DX438" s="6"/>
      <c r="DY438" s="6">
        <v>43633</v>
      </c>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c r="FZ438" s="6"/>
      <c r="GA438" s="6"/>
      <c r="GB438" s="6"/>
      <c r="GC438" s="6"/>
      <c r="GD438" s="6"/>
      <c r="GE438" s="6"/>
      <c r="GF438" s="6"/>
      <c r="GG438" s="6"/>
      <c r="GH438" s="6"/>
      <c r="GI438" s="6"/>
      <c r="GJ438" s="6"/>
      <c r="GK438" s="6"/>
      <c r="GL438" s="6"/>
      <c r="GM438" s="6"/>
      <c r="GN438" s="6"/>
      <c r="GO438" s="6"/>
      <c r="GP438" s="6"/>
      <c r="GQ438" s="6"/>
      <c r="GR438" s="6"/>
      <c r="GS438" s="6"/>
      <c r="GT438" s="6"/>
      <c r="GU438" s="6"/>
      <c r="GV438" s="6"/>
      <c r="GW438" s="6"/>
      <c r="GX438" s="6"/>
      <c r="GY438" s="6"/>
      <c r="GZ438" s="6"/>
      <c r="HA438" s="6"/>
      <c r="HB438" s="6"/>
      <c r="HC438" s="6"/>
      <c r="HD438" s="6"/>
      <c r="HE438" s="6"/>
      <c r="HF438" s="6"/>
      <c r="HG438" s="6"/>
      <c r="HH438" s="6"/>
    </row>
    <row r="439" spans="1:216" x14ac:dyDescent="0.3">
      <c r="A439" s="8" t="str">
        <f>HYPERLINK("https://hpr-rps.hres.ca/reg-content/summary-basis-decision-detailTwo.php?lang=en&amp;linkID=SBD00450", "Zejula")</f>
        <v>Zejula</v>
      </c>
      <c r="B439" s="6" t="s">
        <v>1139</v>
      </c>
      <c r="C439" s="6" t="s">
        <v>1140</v>
      </c>
      <c r="D439" s="6" t="s">
        <v>1141</v>
      </c>
      <c r="E439" s="6">
        <v>43124</v>
      </c>
      <c r="F439" s="6"/>
      <c r="G439" s="6"/>
      <c r="H439" s="6">
        <v>43251</v>
      </c>
      <c r="I439" s="6"/>
      <c r="J439" s="6"/>
      <c r="K439" s="6"/>
      <c r="L439" s="6"/>
      <c r="M439" s="6"/>
      <c r="N439" s="6"/>
      <c r="O439" s="6"/>
      <c r="P439" s="6"/>
      <c r="Q439" s="6"/>
      <c r="R439" s="6"/>
      <c r="S439" s="6"/>
      <c r="T439" s="6"/>
      <c r="U439" s="6"/>
      <c r="V439" s="6"/>
      <c r="W439" s="6"/>
      <c r="X439" s="6"/>
      <c r="Y439" s="6"/>
      <c r="Z439" s="6">
        <v>43300</v>
      </c>
      <c r="AA439" s="6"/>
      <c r="AB439" s="6"/>
      <c r="AC439" s="6">
        <v>43342</v>
      </c>
      <c r="AD439" s="6"/>
      <c r="AE439" s="6"/>
      <c r="AF439" s="6">
        <v>43370</v>
      </c>
      <c r="AG439" s="6"/>
      <c r="AH439" s="6"/>
      <c r="AI439" s="6"/>
      <c r="AJ439" s="6"/>
      <c r="AK439" s="6"/>
      <c r="AL439" s="6"/>
      <c r="AM439" s="6"/>
      <c r="AN439" s="6"/>
      <c r="AO439" s="6"/>
      <c r="AP439" s="6"/>
      <c r="AQ439" s="6">
        <v>43573</v>
      </c>
      <c r="AR439" s="6">
        <v>43606</v>
      </c>
      <c r="AS439" s="6"/>
      <c r="AT439" s="6"/>
      <c r="AU439" s="6">
        <v>43642</v>
      </c>
      <c r="AV439" s="6">
        <v>43594</v>
      </c>
      <c r="AW439" s="6"/>
      <c r="AX439" s="6">
        <v>43473</v>
      </c>
      <c r="AY439" s="6"/>
      <c r="AZ439" s="6"/>
      <c r="BA439" s="6"/>
      <c r="BB439" s="6"/>
      <c r="BC439" s="6"/>
      <c r="BD439" s="6"/>
      <c r="BE439" s="6"/>
      <c r="BF439" s="6"/>
      <c r="BG439" s="6"/>
      <c r="BH439" s="6"/>
      <c r="BI439" s="6"/>
      <c r="BJ439" s="6"/>
      <c r="BK439" s="6"/>
      <c r="BL439" s="6"/>
      <c r="BM439" s="6">
        <v>43643</v>
      </c>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c r="FZ439" s="6"/>
      <c r="GA439" s="6"/>
      <c r="GB439" s="6"/>
      <c r="GC439" s="6"/>
      <c r="GD439" s="6"/>
      <c r="GE439" s="6"/>
      <c r="GF439" s="6"/>
      <c r="GG439" s="6"/>
      <c r="GH439" s="6"/>
      <c r="GI439" s="6"/>
      <c r="GJ439" s="6"/>
      <c r="GK439" s="6"/>
      <c r="GL439" s="6"/>
      <c r="GM439" s="6"/>
      <c r="GN439" s="6"/>
      <c r="GO439" s="6"/>
      <c r="GP439" s="6"/>
      <c r="GQ439" s="6"/>
      <c r="GR439" s="6"/>
      <c r="GS439" s="6"/>
      <c r="GT439" s="6"/>
      <c r="GU439" s="6"/>
      <c r="GV439" s="6"/>
      <c r="GW439" s="6"/>
      <c r="GX439" s="6"/>
      <c r="GY439" s="6"/>
      <c r="GZ439" s="6"/>
      <c r="HA439" s="6"/>
      <c r="HB439" s="6"/>
      <c r="HC439" s="6"/>
      <c r="HD439" s="6"/>
      <c r="HE439" s="6"/>
      <c r="HF439" s="6"/>
      <c r="HG439" s="6"/>
      <c r="HH439" s="6"/>
    </row>
    <row r="440" spans="1:216" x14ac:dyDescent="0.3">
      <c r="A440" s="8" t="str">
        <f>HYPERLINK("https://hpr-rps.hres.ca/reg-content/summary-basis-decision-detailTwo.php?lang=en&amp;linkID=SBD00451", "Evenity")</f>
        <v>Evenity</v>
      </c>
      <c r="B440" s="6" t="s">
        <v>1142</v>
      </c>
      <c r="C440" s="6" t="s">
        <v>1143</v>
      </c>
      <c r="D440" s="6" t="s">
        <v>1144</v>
      </c>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c r="FZ440" s="6"/>
      <c r="GA440" s="6"/>
      <c r="GB440" s="6"/>
      <c r="GC440" s="6"/>
      <c r="GD440" s="6"/>
      <c r="GE440" s="6"/>
      <c r="GF440" s="6"/>
      <c r="GG440" s="6"/>
      <c r="GH440" s="6"/>
      <c r="GI440" s="6"/>
      <c r="GJ440" s="6"/>
      <c r="GK440" s="6"/>
      <c r="GL440" s="6"/>
      <c r="GM440" s="6"/>
      <c r="GN440" s="6"/>
      <c r="GO440" s="6"/>
      <c r="GP440" s="6"/>
      <c r="GQ440" s="6"/>
      <c r="GR440" s="6"/>
      <c r="GS440" s="6"/>
      <c r="GT440" s="6"/>
      <c r="GU440" s="6"/>
      <c r="GV440" s="6"/>
      <c r="GW440" s="6"/>
      <c r="GX440" s="6"/>
      <c r="GY440" s="6"/>
      <c r="GZ440" s="6"/>
      <c r="HA440" s="6"/>
      <c r="HB440" s="6"/>
      <c r="HC440" s="6"/>
      <c r="HD440" s="6"/>
      <c r="HE440" s="6"/>
      <c r="HF440" s="6"/>
      <c r="HG440" s="6"/>
      <c r="HH440" s="6"/>
    </row>
    <row r="441" spans="1:216" x14ac:dyDescent="0.3">
      <c r="A441" s="8" t="str">
        <f>HYPERLINK("https://hpr-rps.hres.ca/reg-content/summary-basis-decision-detailTwo.php?lang=en&amp;linkID=SBD00452", "Dacogen")</f>
        <v>Dacogen</v>
      </c>
      <c r="B441" s="6" t="s">
        <v>1110</v>
      </c>
      <c r="C441" s="6" t="s">
        <v>914</v>
      </c>
      <c r="D441" s="6" t="s">
        <v>1145</v>
      </c>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c r="FZ441" s="6"/>
      <c r="GA441" s="6"/>
      <c r="GB441" s="6"/>
      <c r="GC441" s="6"/>
      <c r="GD441" s="6"/>
      <c r="GE441" s="6"/>
      <c r="GF441" s="6"/>
      <c r="GG441" s="6"/>
      <c r="GH441" s="6"/>
      <c r="GI441" s="6"/>
      <c r="GJ441" s="6"/>
      <c r="GK441" s="6"/>
      <c r="GL441" s="6"/>
      <c r="GM441" s="6"/>
      <c r="GN441" s="6"/>
      <c r="GO441" s="6"/>
      <c r="GP441" s="6"/>
      <c r="GQ441" s="6"/>
      <c r="GR441" s="6"/>
      <c r="GS441" s="6"/>
      <c r="GT441" s="6"/>
      <c r="GU441" s="6"/>
      <c r="GV441" s="6"/>
      <c r="GW441" s="6"/>
      <c r="GX441" s="6"/>
      <c r="GY441" s="6"/>
      <c r="GZ441" s="6"/>
      <c r="HA441" s="6"/>
      <c r="HB441" s="6"/>
      <c r="HC441" s="6"/>
      <c r="HD441" s="6"/>
      <c r="HE441" s="6"/>
      <c r="HF441" s="6"/>
      <c r="HG441" s="6"/>
      <c r="HH441" s="6"/>
    </row>
    <row r="442" spans="1:216" x14ac:dyDescent="0.3">
      <c r="A442" s="8" t="str">
        <f>HYPERLINK("https://hpr-rps.hres.ca/reg-content/summary-basis-decision-detailTwo.php?lang=en&amp;linkID=SBD00453", "Esperoct")</f>
        <v>Esperoct</v>
      </c>
      <c r="B442" s="6" t="s">
        <v>1146</v>
      </c>
      <c r="C442" s="6" t="s">
        <v>301</v>
      </c>
      <c r="D442" s="6" t="s">
        <v>1147</v>
      </c>
      <c r="E442" s="6">
        <v>43223</v>
      </c>
      <c r="F442" s="6"/>
      <c r="G442" s="6"/>
      <c r="H442" s="6">
        <v>43304</v>
      </c>
      <c r="I442" s="6"/>
      <c r="J442" s="6"/>
      <c r="K442" s="6"/>
      <c r="L442" s="6"/>
      <c r="M442" s="6"/>
      <c r="N442" s="6"/>
      <c r="O442" s="6"/>
      <c r="P442" s="6"/>
      <c r="Q442" s="6"/>
      <c r="R442" s="6"/>
      <c r="S442" s="6"/>
      <c r="T442" s="6"/>
      <c r="U442" s="6"/>
      <c r="V442" s="6"/>
      <c r="W442" s="6"/>
      <c r="X442" s="6"/>
      <c r="Y442" s="6"/>
      <c r="Z442" s="6"/>
      <c r="AA442" s="6"/>
      <c r="AB442" s="6"/>
      <c r="AC442" s="6"/>
      <c r="AD442" s="6"/>
      <c r="AE442" s="6"/>
      <c r="AF442" s="6">
        <v>43350</v>
      </c>
      <c r="AG442" s="6"/>
      <c r="AH442" s="6"/>
      <c r="AI442" s="6"/>
      <c r="AJ442" s="6"/>
      <c r="AK442" s="6"/>
      <c r="AL442" s="6"/>
      <c r="AM442" s="6"/>
      <c r="AN442" s="6"/>
      <c r="AO442" s="6">
        <v>43542</v>
      </c>
      <c r="AP442" s="6"/>
      <c r="AQ442" s="6">
        <v>43579</v>
      </c>
      <c r="AR442" s="6">
        <v>43649</v>
      </c>
      <c r="AS442" s="6"/>
      <c r="AT442" s="6"/>
      <c r="AU442" s="6">
        <v>43641</v>
      </c>
      <c r="AV442" s="6">
        <v>43644</v>
      </c>
      <c r="AW442" s="6"/>
      <c r="AX442" s="6"/>
      <c r="AY442" s="6"/>
      <c r="AZ442" s="6"/>
      <c r="BA442" s="6"/>
      <c r="BB442" s="6"/>
      <c r="BC442" s="6"/>
      <c r="BD442" s="6"/>
      <c r="BE442" s="6"/>
      <c r="BF442" s="6"/>
      <c r="BG442" s="6"/>
      <c r="BH442" s="6"/>
      <c r="BI442" s="6"/>
      <c r="BJ442" s="6"/>
      <c r="BK442" s="6"/>
      <c r="BL442" s="6"/>
      <c r="BM442" s="6">
        <v>43650</v>
      </c>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c r="FZ442" s="6"/>
      <c r="GA442" s="6"/>
      <c r="GB442" s="6"/>
      <c r="GC442" s="6"/>
      <c r="GD442" s="6"/>
      <c r="GE442" s="6"/>
      <c r="GF442" s="6"/>
      <c r="GG442" s="6"/>
      <c r="GH442" s="6"/>
      <c r="GI442" s="6"/>
      <c r="GJ442" s="6"/>
      <c r="GK442" s="6"/>
      <c r="GL442" s="6"/>
      <c r="GM442" s="6"/>
      <c r="GN442" s="6"/>
      <c r="GO442" s="6"/>
      <c r="GP442" s="6"/>
      <c r="GQ442" s="6"/>
      <c r="GR442" s="6"/>
      <c r="GS442" s="6"/>
      <c r="GT442" s="6"/>
      <c r="GU442" s="6"/>
      <c r="GV442" s="6"/>
      <c r="GW442" s="6"/>
      <c r="GX442" s="6"/>
      <c r="GY442" s="6"/>
      <c r="GZ442" s="6"/>
      <c r="HA442" s="6"/>
      <c r="HB442" s="6"/>
      <c r="HC442" s="6"/>
      <c r="HD442" s="6"/>
      <c r="HE442" s="6"/>
      <c r="HF442" s="6"/>
      <c r="HG442" s="6"/>
      <c r="HH442" s="6"/>
    </row>
    <row r="443" spans="1:216" x14ac:dyDescent="0.3">
      <c r="A443" s="8" t="str">
        <f>HYPERLINK("https://hpr-rps.hres.ca/reg-content/summary-basis-decision-detailTwo.php?lang=en&amp;linkID=SBD00454", "Emgality")</f>
        <v>Emgality</v>
      </c>
      <c r="B443" s="6" t="s">
        <v>1148</v>
      </c>
      <c r="C443" s="6" t="s">
        <v>140</v>
      </c>
      <c r="D443" s="6" t="s">
        <v>1149</v>
      </c>
      <c r="E443" s="6">
        <v>43257</v>
      </c>
      <c r="F443" s="6"/>
      <c r="G443" s="6"/>
      <c r="H443" s="6"/>
      <c r="I443" s="6"/>
      <c r="J443" s="6"/>
      <c r="K443" s="6"/>
      <c r="L443" s="6"/>
      <c r="M443" s="6"/>
      <c r="N443" s="6">
        <v>43257</v>
      </c>
      <c r="O443" s="6">
        <v>43322</v>
      </c>
      <c r="P443" s="6"/>
      <c r="Q443" s="6"/>
      <c r="R443" s="6"/>
      <c r="S443" s="6"/>
      <c r="T443" s="6"/>
      <c r="U443" s="6"/>
      <c r="V443" s="6">
        <v>43361</v>
      </c>
      <c r="W443" s="6"/>
      <c r="X443" s="6"/>
      <c r="Y443" s="6"/>
      <c r="Z443" s="6">
        <v>43385</v>
      </c>
      <c r="AA443" s="6"/>
      <c r="AB443" s="6"/>
      <c r="AC443" s="6">
        <v>43397</v>
      </c>
      <c r="AD443" s="6"/>
      <c r="AE443" s="6"/>
      <c r="AF443" s="6">
        <v>43409</v>
      </c>
      <c r="AG443" s="6"/>
      <c r="AH443" s="6"/>
      <c r="AI443" s="6"/>
      <c r="AJ443" s="6"/>
      <c r="AK443" s="6"/>
      <c r="AL443" s="6"/>
      <c r="AM443" s="6"/>
      <c r="AN443" s="6"/>
      <c r="AO443" s="6"/>
      <c r="AP443" s="6"/>
      <c r="AQ443" s="6">
        <v>43630</v>
      </c>
      <c r="AR443" s="6">
        <v>43619</v>
      </c>
      <c r="AS443" s="6"/>
      <c r="AT443" s="6"/>
      <c r="AU443" s="6">
        <v>43629</v>
      </c>
      <c r="AV443" s="6">
        <v>43609</v>
      </c>
      <c r="AW443" s="6"/>
      <c r="AX443" s="6">
        <v>43580</v>
      </c>
      <c r="AY443" s="6"/>
      <c r="AZ443" s="6"/>
      <c r="BA443" s="6"/>
      <c r="BB443" s="6"/>
      <c r="BC443" s="6"/>
      <c r="BD443" s="6"/>
      <c r="BE443" s="6"/>
      <c r="BF443" s="6"/>
      <c r="BG443" s="6"/>
      <c r="BH443" s="6"/>
      <c r="BI443" s="6"/>
      <c r="BJ443" s="6"/>
      <c r="BK443" s="6">
        <v>43630</v>
      </c>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v>43649</v>
      </c>
      <c r="CQ443" s="6"/>
      <c r="CR443" s="6"/>
      <c r="CS443" s="6"/>
      <c r="CT443" s="6"/>
      <c r="CU443" s="6"/>
      <c r="CV443" s="6"/>
      <c r="CW443" s="6"/>
      <c r="CX443" s="6"/>
      <c r="CY443" s="6"/>
      <c r="CZ443" s="6"/>
      <c r="DA443" s="6"/>
      <c r="DB443" s="6"/>
      <c r="DC443" s="6"/>
      <c r="DD443" s="6"/>
      <c r="DE443" s="6"/>
      <c r="DF443" s="6"/>
      <c r="DG443" s="6">
        <v>43656</v>
      </c>
      <c r="DH443" s="6"/>
      <c r="DI443" s="6"/>
      <c r="DJ443" s="6"/>
      <c r="DK443" s="6"/>
      <c r="DL443" s="6"/>
      <c r="DM443" s="6"/>
      <c r="DN443" s="6"/>
      <c r="DO443" s="6"/>
      <c r="DP443" s="6"/>
      <c r="DQ443" s="6"/>
      <c r="DR443" s="6"/>
      <c r="DS443" s="6"/>
      <c r="DT443" s="6">
        <v>43633</v>
      </c>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c r="FZ443" s="6"/>
      <c r="GA443" s="6"/>
      <c r="GB443" s="6"/>
      <c r="GC443" s="6"/>
      <c r="GD443" s="6"/>
      <c r="GE443" s="6"/>
      <c r="GF443" s="6"/>
      <c r="GG443" s="6"/>
      <c r="GH443" s="6"/>
      <c r="GI443" s="6"/>
      <c r="GJ443" s="6"/>
      <c r="GK443" s="6"/>
      <c r="GL443" s="6"/>
      <c r="GM443" s="6"/>
      <c r="GN443" s="6"/>
      <c r="GO443" s="6"/>
      <c r="GP443" s="6"/>
      <c r="GQ443" s="6"/>
      <c r="GR443" s="6"/>
      <c r="GS443" s="6"/>
      <c r="GT443" s="6"/>
      <c r="GU443" s="6"/>
      <c r="GV443" s="6"/>
      <c r="GW443" s="6"/>
      <c r="GX443" s="6"/>
      <c r="GY443" s="6"/>
      <c r="GZ443" s="6"/>
      <c r="HA443" s="6"/>
      <c r="HB443" s="6"/>
      <c r="HC443" s="6"/>
      <c r="HD443" s="6"/>
      <c r="HE443" s="6"/>
      <c r="HF443" s="6"/>
      <c r="HG443" s="6"/>
      <c r="HH443" s="6"/>
    </row>
    <row r="444" spans="1:216" x14ac:dyDescent="0.3">
      <c r="A444" s="8" t="str">
        <f>HYPERLINK("https://hpr-rps.hres.ca/reg-content/summary-basis-decision-detailTwo.php?lang=en&amp;linkID=SBD00455", "Vitrakvi")</f>
        <v>Vitrakvi</v>
      </c>
      <c r="B444" s="6" t="s">
        <v>1150</v>
      </c>
      <c r="C444" s="6" t="s">
        <v>341</v>
      </c>
      <c r="D444" s="6" t="s">
        <v>1151</v>
      </c>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c r="FZ444" s="6"/>
      <c r="GA444" s="6"/>
      <c r="GB444" s="6"/>
      <c r="GC444" s="6"/>
      <c r="GD444" s="6"/>
      <c r="GE444" s="6"/>
      <c r="GF444" s="6"/>
      <c r="GG444" s="6"/>
      <c r="GH444" s="6"/>
      <c r="GI444" s="6"/>
      <c r="GJ444" s="6"/>
      <c r="GK444" s="6"/>
      <c r="GL444" s="6"/>
      <c r="GM444" s="6"/>
      <c r="GN444" s="6"/>
      <c r="GO444" s="6"/>
      <c r="GP444" s="6"/>
      <c r="GQ444" s="6"/>
      <c r="GR444" s="6"/>
      <c r="GS444" s="6"/>
      <c r="GT444" s="6"/>
      <c r="GU444" s="6"/>
      <c r="GV444" s="6"/>
      <c r="GW444" s="6"/>
      <c r="GX444" s="6"/>
      <c r="GY444" s="6"/>
      <c r="GZ444" s="6"/>
      <c r="HA444" s="6"/>
      <c r="HB444" s="6"/>
      <c r="HC444" s="6"/>
      <c r="HD444" s="6"/>
      <c r="HE444" s="6"/>
      <c r="HF444" s="6"/>
      <c r="HG444" s="6"/>
      <c r="HH444" s="6"/>
    </row>
    <row r="445" spans="1:216" x14ac:dyDescent="0.3">
      <c r="A445" s="8" t="str">
        <f>HYPERLINK("https://hpr-rps.hres.ca/reg-content/summary-basis-decision-detailTwo.php?lang=en&amp;linkID=SBD00456", "Tibella")</f>
        <v>Tibella</v>
      </c>
      <c r="B445" s="6" t="s">
        <v>1152</v>
      </c>
      <c r="C445" s="6" t="s">
        <v>1153</v>
      </c>
      <c r="D445" s="6" t="s">
        <v>1154</v>
      </c>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c r="FZ445" s="6"/>
      <c r="GA445" s="6"/>
      <c r="GB445" s="6"/>
      <c r="GC445" s="6"/>
      <c r="GD445" s="6"/>
      <c r="GE445" s="6"/>
      <c r="GF445" s="6"/>
      <c r="GG445" s="6"/>
      <c r="GH445" s="6"/>
      <c r="GI445" s="6"/>
      <c r="GJ445" s="6"/>
      <c r="GK445" s="6"/>
      <c r="GL445" s="6"/>
      <c r="GM445" s="6"/>
      <c r="GN445" s="6"/>
      <c r="GO445" s="6"/>
      <c r="GP445" s="6"/>
      <c r="GQ445" s="6"/>
      <c r="GR445" s="6"/>
      <c r="GS445" s="6"/>
      <c r="GT445" s="6"/>
      <c r="GU445" s="6"/>
      <c r="GV445" s="6"/>
      <c r="GW445" s="6"/>
      <c r="GX445" s="6"/>
      <c r="GY445" s="6"/>
      <c r="GZ445" s="6"/>
      <c r="HA445" s="6"/>
      <c r="HB445" s="6"/>
      <c r="HC445" s="6"/>
      <c r="HD445" s="6"/>
      <c r="HE445" s="6"/>
      <c r="HF445" s="6"/>
      <c r="HG445" s="6"/>
      <c r="HH445" s="6"/>
    </row>
    <row r="446" spans="1:216" x14ac:dyDescent="0.3">
      <c r="A446" s="8" t="str">
        <f>HYPERLINK("https://hpr-rps.hres.ca/reg-content/summary-basis-decision-detailTwo.php?lang=en&amp;linkID=SBD00457", "Calquence")</f>
        <v>Calquence</v>
      </c>
      <c r="B446" s="6" t="s">
        <v>1155</v>
      </c>
      <c r="C446" s="6" t="s">
        <v>137</v>
      </c>
      <c r="D446" s="6" t="s">
        <v>1156</v>
      </c>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c r="FZ446" s="6"/>
      <c r="GA446" s="6"/>
      <c r="GB446" s="6"/>
      <c r="GC446" s="6"/>
      <c r="GD446" s="6"/>
      <c r="GE446" s="6"/>
      <c r="GF446" s="6"/>
      <c r="GG446" s="6"/>
      <c r="GH446" s="6"/>
      <c r="GI446" s="6"/>
      <c r="GJ446" s="6"/>
      <c r="GK446" s="6"/>
      <c r="GL446" s="6"/>
      <c r="GM446" s="6"/>
      <c r="GN446" s="6"/>
      <c r="GO446" s="6"/>
      <c r="GP446" s="6"/>
      <c r="GQ446" s="6"/>
      <c r="GR446" s="6"/>
      <c r="GS446" s="6"/>
      <c r="GT446" s="6"/>
      <c r="GU446" s="6"/>
      <c r="GV446" s="6"/>
      <c r="GW446" s="6"/>
      <c r="GX446" s="6"/>
      <c r="GY446" s="6"/>
      <c r="GZ446" s="6"/>
      <c r="HA446" s="6"/>
      <c r="HB446" s="6"/>
      <c r="HC446" s="6"/>
      <c r="HD446" s="6"/>
      <c r="HE446" s="6"/>
      <c r="HF446" s="6"/>
      <c r="HG446" s="6"/>
      <c r="HH446" s="6"/>
    </row>
    <row r="447" spans="1:216" x14ac:dyDescent="0.3">
      <c r="A447" s="8" t="str">
        <f>HYPERLINK("https://hpr-rps.hres.ca/reg-content/summary-basis-decision-detailTwo.php?lang=en&amp;linkID=SBD00458", "Talzenna")</f>
        <v>Talzenna</v>
      </c>
      <c r="B447" s="6" t="s">
        <v>1157</v>
      </c>
      <c r="C447" s="6" t="s">
        <v>1089</v>
      </c>
      <c r="D447" s="6" t="s">
        <v>1158</v>
      </c>
      <c r="E447" s="6">
        <v>43291</v>
      </c>
      <c r="F447" s="6"/>
      <c r="G447" s="6"/>
      <c r="H447" s="6">
        <v>43371</v>
      </c>
      <c r="I447" s="6"/>
      <c r="J447" s="6"/>
      <c r="K447" s="6"/>
      <c r="L447" s="6"/>
      <c r="M447" s="6"/>
      <c r="N447" s="6"/>
      <c r="O447" s="6"/>
      <c r="P447" s="6"/>
      <c r="Q447" s="6"/>
      <c r="R447" s="6"/>
      <c r="S447" s="6"/>
      <c r="T447" s="6"/>
      <c r="U447" s="6"/>
      <c r="V447" s="6"/>
      <c r="W447" s="6"/>
      <c r="X447" s="6"/>
      <c r="Y447" s="6"/>
      <c r="Z447" s="6"/>
      <c r="AA447" s="6"/>
      <c r="AB447" s="6"/>
      <c r="AC447" s="6"/>
      <c r="AD447" s="6"/>
      <c r="AE447" s="6"/>
      <c r="AF447" s="6">
        <v>43419</v>
      </c>
      <c r="AG447" s="6"/>
      <c r="AH447" s="6"/>
      <c r="AI447" s="6"/>
      <c r="AJ447" s="6"/>
      <c r="AK447" s="6"/>
      <c r="AL447" s="6"/>
      <c r="AM447" s="6"/>
      <c r="AN447" s="6"/>
      <c r="AO447" s="6"/>
      <c r="AP447" s="6"/>
      <c r="AQ447" s="6">
        <v>43665</v>
      </c>
      <c r="AR447" s="6">
        <v>43713</v>
      </c>
      <c r="AS447" s="6">
        <v>43658</v>
      </c>
      <c r="AT447" s="6"/>
      <c r="AU447" s="6">
        <v>43714</v>
      </c>
      <c r="AV447" s="6">
        <v>43703</v>
      </c>
      <c r="AW447" s="6"/>
      <c r="AX447" s="6">
        <v>43633</v>
      </c>
      <c r="AY447" s="6"/>
      <c r="AZ447" s="6"/>
      <c r="BA447" s="6"/>
      <c r="BB447" s="6"/>
      <c r="BC447" s="6"/>
      <c r="BD447" s="6"/>
      <c r="BE447" s="6"/>
      <c r="BF447" s="6"/>
      <c r="BG447" s="6"/>
      <c r="BH447" s="6"/>
      <c r="BI447" s="6"/>
      <c r="BJ447" s="6"/>
      <c r="BK447" s="6"/>
      <c r="BL447" s="6"/>
      <c r="BM447" s="6">
        <v>43714</v>
      </c>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c r="FZ447" s="6"/>
      <c r="GA447" s="6"/>
      <c r="GB447" s="6"/>
      <c r="GC447" s="6"/>
      <c r="GD447" s="6"/>
      <c r="GE447" s="6"/>
      <c r="GF447" s="6"/>
      <c r="GG447" s="6"/>
      <c r="GH447" s="6"/>
      <c r="GI447" s="6"/>
      <c r="GJ447" s="6"/>
      <c r="GK447" s="6"/>
      <c r="GL447" s="6"/>
      <c r="GM447" s="6"/>
      <c r="GN447" s="6"/>
      <c r="GO447" s="6"/>
      <c r="GP447" s="6"/>
      <c r="GQ447" s="6"/>
      <c r="GR447" s="6"/>
      <c r="GS447" s="6"/>
      <c r="GT447" s="6"/>
      <c r="GU447" s="6"/>
      <c r="GV447" s="6"/>
      <c r="GW447" s="6"/>
      <c r="GX447" s="6"/>
      <c r="GY447" s="6"/>
      <c r="GZ447" s="6"/>
      <c r="HA447" s="6"/>
      <c r="HB447" s="6"/>
      <c r="HC447" s="6"/>
      <c r="HD447" s="6"/>
      <c r="HE447" s="6"/>
      <c r="HF447" s="6"/>
      <c r="HG447" s="6"/>
      <c r="HH447" s="6"/>
    </row>
    <row r="448" spans="1:216" x14ac:dyDescent="0.3">
      <c r="A448" s="8" t="str">
        <f>HYPERLINK("https://hpr-rps.hres.ca/reg-content/summary-basis-decision-detailTwo.php?lang=en&amp;linkID=SBD00459", "Balversa")</f>
        <v>Balversa</v>
      </c>
      <c r="B448" s="6" t="s">
        <v>1159</v>
      </c>
      <c r="C448" s="6" t="s">
        <v>201</v>
      </c>
      <c r="D448" s="6" t="s">
        <v>1160</v>
      </c>
      <c r="E448" s="6">
        <v>43257</v>
      </c>
      <c r="F448" s="6"/>
      <c r="G448" s="6"/>
      <c r="H448" s="6"/>
      <c r="I448" s="6"/>
      <c r="J448" s="6"/>
      <c r="K448" s="6"/>
      <c r="L448" s="6"/>
      <c r="M448" s="6"/>
      <c r="N448" s="6">
        <v>43257</v>
      </c>
      <c r="O448" s="6">
        <v>43322</v>
      </c>
      <c r="P448" s="6"/>
      <c r="Q448" s="6"/>
      <c r="R448" s="6"/>
      <c r="S448" s="6"/>
      <c r="T448" s="6"/>
      <c r="U448" s="6"/>
      <c r="V448" s="6">
        <v>43361</v>
      </c>
      <c r="W448" s="6"/>
      <c r="X448" s="6"/>
      <c r="Y448" s="6"/>
      <c r="Z448" s="6">
        <v>43385</v>
      </c>
      <c r="AA448" s="6"/>
      <c r="AB448" s="6"/>
      <c r="AC448" s="6">
        <v>43397</v>
      </c>
      <c r="AD448" s="6"/>
      <c r="AE448" s="6"/>
      <c r="AF448" s="6">
        <v>43409</v>
      </c>
      <c r="AG448" s="6"/>
      <c r="AH448" s="6"/>
      <c r="AI448" s="6"/>
      <c r="AJ448" s="6"/>
      <c r="AK448" s="6"/>
      <c r="AL448" s="6"/>
      <c r="AM448" s="6"/>
      <c r="AN448" s="6"/>
      <c r="AO448" s="6"/>
      <c r="AP448" s="6"/>
      <c r="AQ448" s="6">
        <v>43630</v>
      </c>
      <c r="AR448" s="6">
        <v>43619</v>
      </c>
      <c r="AS448" s="6"/>
      <c r="AT448" s="6"/>
      <c r="AU448" s="6">
        <v>43629</v>
      </c>
      <c r="AV448" s="6">
        <v>43609</v>
      </c>
      <c r="AW448" s="6"/>
      <c r="AX448" s="6">
        <v>43580</v>
      </c>
      <c r="AY448" s="6"/>
      <c r="AZ448" s="6"/>
      <c r="BA448" s="6"/>
      <c r="BB448" s="6"/>
      <c r="BC448" s="6"/>
      <c r="BD448" s="6"/>
      <c r="BE448" s="6"/>
      <c r="BF448" s="6"/>
      <c r="BG448" s="6"/>
      <c r="BH448" s="6"/>
      <c r="BI448" s="6"/>
      <c r="BJ448" s="6"/>
      <c r="BK448" s="6">
        <v>43630</v>
      </c>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v>43649</v>
      </c>
      <c r="CQ448" s="6"/>
      <c r="CR448" s="6"/>
      <c r="CS448" s="6"/>
      <c r="CT448" s="6"/>
      <c r="CU448" s="6"/>
      <c r="CV448" s="6"/>
      <c r="CW448" s="6"/>
      <c r="CX448" s="6"/>
      <c r="CY448" s="6"/>
      <c r="CZ448" s="6"/>
      <c r="DA448" s="6"/>
      <c r="DB448" s="6"/>
      <c r="DC448" s="6"/>
      <c r="DD448" s="6"/>
      <c r="DE448" s="6"/>
      <c r="DF448" s="6"/>
      <c r="DG448" s="6">
        <v>43656</v>
      </c>
      <c r="DH448" s="6"/>
      <c r="DI448" s="6"/>
      <c r="DJ448" s="6"/>
      <c r="DK448" s="6"/>
      <c r="DL448" s="6"/>
      <c r="DM448" s="6"/>
      <c r="DN448" s="6"/>
      <c r="DO448" s="6"/>
      <c r="DP448" s="6"/>
      <c r="DQ448" s="6"/>
      <c r="DR448" s="6"/>
      <c r="DS448" s="6"/>
      <c r="DT448" s="6">
        <v>43633</v>
      </c>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c r="FZ448" s="6"/>
      <c r="GA448" s="6"/>
      <c r="GB448" s="6"/>
      <c r="GC448" s="6"/>
      <c r="GD448" s="6"/>
      <c r="GE448" s="6"/>
      <c r="GF448" s="6"/>
      <c r="GG448" s="6"/>
      <c r="GH448" s="6"/>
      <c r="GI448" s="6"/>
      <c r="GJ448" s="6"/>
      <c r="GK448" s="6"/>
      <c r="GL448" s="6"/>
      <c r="GM448" s="6"/>
      <c r="GN448" s="6"/>
      <c r="GO448" s="6"/>
      <c r="GP448" s="6"/>
      <c r="GQ448" s="6"/>
      <c r="GR448" s="6"/>
      <c r="GS448" s="6"/>
      <c r="GT448" s="6"/>
      <c r="GU448" s="6"/>
      <c r="GV448" s="6"/>
      <c r="GW448" s="6"/>
      <c r="GX448" s="6"/>
      <c r="GY448" s="6"/>
      <c r="GZ448" s="6"/>
      <c r="HA448" s="6"/>
      <c r="HB448" s="6"/>
      <c r="HC448" s="6"/>
      <c r="HD448" s="6"/>
      <c r="HE448" s="6"/>
      <c r="HF448" s="6"/>
      <c r="HG448" s="6"/>
      <c r="HH448" s="6"/>
    </row>
    <row r="449" spans="1:216" x14ac:dyDescent="0.3">
      <c r="A449" s="8" t="str">
        <f>HYPERLINK("https://hpr-rps.hres.ca/reg-content/summary-basis-decision-detailTwo.php?lang=en&amp;linkID=SBD00460", "Trulance")</f>
        <v>Trulance</v>
      </c>
      <c r="B449" s="6" t="s">
        <v>1161</v>
      </c>
      <c r="C449" s="6" t="s">
        <v>1051</v>
      </c>
      <c r="D449" s="6" t="s">
        <v>1162</v>
      </c>
      <c r="E449" s="6"/>
      <c r="F449" s="6"/>
      <c r="G449" s="6"/>
      <c r="H449" s="6">
        <v>43363</v>
      </c>
      <c r="I449" s="6"/>
      <c r="J449" s="6"/>
      <c r="K449" s="6"/>
      <c r="L449" s="6"/>
      <c r="M449" s="6"/>
      <c r="N449" s="6"/>
      <c r="O449" s="6"/>
      <c r="P449" s="6"/>
      <c r="Q449" s="6"/>
      <c r="R449" s="6"/>
      <c r="S449" s="6"/>
      <c r="T449" s="6"/>
      <c r="U449" s="6"/>
      <c r="V449" s="6"/>
      <c r="W449" s="6"/>
      <c r="X449" s="6"/>
      <c r="Y449" s="6"/>
      <c r="Z449" s="6">
        <v>43412</v>
      </c>
      <c r="AA449" s="6"/>
      <c r="AB449" s="6"/>
      <c r="AC449" s="6">
        <v>43425</v>
      </c>
      <c r="AD449" s="6"/>
      <c r="AE449" s="6"/>
      <c r="AF449" s="6">
        <v>43448</v>
      </c>
      <c r="AG449" s="6"/>
      <c r="AH449" s="6"/>
      <c r="AI449" s="6"/>
      <c r="AJ449" s="6"/>
      <c r="AK449" s="6"/>
      <c r="AL449" s="6"/>
      <c r="AM449" s="6"/>
      <c r="AN449" s="6"/>
      <c r="AO449" s="6"/>
      <c r="AP449" s="6"/>
      <c r="AQ449" s="6">
        <v>43657</v>
      </c>
      <c r="AR449" s="6">
        <v>43745</v>
      </c>
      <c r="AS449" s="6"/>
      <c r="AT449" s="6"/>
      <c r="AU449" s="6">
        <v>43745</v>
      </c>
      <c r="AV449" s="6">
        <v>43741</v>
      </c>
      <c r="AW449" s="6"/>
      <c r="AX449" s="6"/>
      <c r="AY449" s="6"/>
      <c r="AZ449" s="6"/>
      <c r="BA449" s="6"/>
      <c r="BB449" s="6"/>
      <c r="BC449" s="6"/>
      <c r="BD449" s="6"/>
      <c r="BE449" s="6"/>
      <c r="BF449" s="6"/>
      <c r="BG449" s="6"/>
      <c r="BH449" s="6"/>
      <c r="BI449" s="6"/>
      <c r="BJ449" s="6"/>
      <c r="BK449" s="6"/>
      <c r="BL449" s="6"/>
      <c r="BM449" s="6">
        <v>43748</v>
      </c>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c r="FZ449" s="6"/>
      <c r="GA449" s="6"/>
      <c r="GB449" s="6"/>
      <c r="GC449" s="6"/>
      <c r="GD449" s="6"/>
      <c r="GE449" s="6"/>
      <c r="GF449" s="6"/>
      <c r="GG449" s="6"/>
      <c r="GH449" s="6"/>
      <c r="GI449" s="6"/>
      <c r="GJ449" s="6"/>
      <c r="GK449" s="6"/>
      <c r="GL449" s="6"/>
      <c r="GM449" s="6"/>
      <c r="GN449" s="6"/>
      <c r="GO449" s="6"/>
      <c r="GP449" s="6"/>
      <c r="GQ449" s="6"/>
      <c r="GR449" s="6"/>
      <c r="GS449" s="6"/>
      <c r="GT449" s="6"/>
      <c r="GU449" s="6"/>
      <c r="GV449" s="6"/>
      <c r="GW449" s="6"/>
      <c r="GX449" s="6"/>
      <c r="GY449" s="6"/>
      <c r="GZ449" s="6"/>
      <c r="HA449" s="6"/>
      <c r="HB449" s="6"/>
      <c r="HC449" s="6"/>
      <c r="HD449" s="6"/>
      <c r="HE449" s="6"/>
      <c r="HF449" s="6"/>
      <c r="HG449" s="6"/>
      <c r="HH449" s="6"/>
    </row>
    <row r="450" spans="1:216" x14ac:dyDescent="0.3">
      <c r="A450" s="8" t="str">
        <f>HYPERLINK("https://hpr-rps.hres.ca/reg-content/summary-basis-decision-detailTwo.php?lang=en&amp;linkID=SBD00461", "Nerlynx")</f>
        <v>Nerlynx</v>
      </c>
      <c r="B450" s="6" t="s">
        <v>1163</v>
      </c>
      <c r="C450" s="6" t="s">
        <v>1164</v>
      </c>
      <c r="D450" s="6" t="s">
        <v>1165</v>
      </c>
      <c r="E450" s="6">
        <v>43215</v>
      </c>
      <c r="F450" s="6"/>
      <c r="G450" s="6"/>
      <c r="H450" s="6">
        <v>43272</v>
      </c>
      <c r="I450" s="6"/>
      <c r="J450" s="6"/>
      <c r="K450" s="6"/>
      <c r="L450" s="6"/>
      <c r="M450" s="6"/>
      <c r="N450" s="6"/>
      <c r="O450" s="6"/>
      <c r="P450" s="6"/>
      <c r="Q450" s="6"/>
      <c r="R450" s="6"/>
      <c r="S450" s="6"/>
      <c r="T450" s="6"/>
      <c r="U450" s="6"/>
      <c r="V450" s="6"/>
      <c r="W450" s="6"/>
      <c r="X450" s="6"/>
      <c r="Y450" s="6"/>
      <c r="Z450" s="6">
        <v>43350</v>
      </c>
      <c r="AA450" s="6"/>
      <c r="AB450" s="6"/>
      <c r="AC450" s="6">
        <v>43355</v>
      </c>
      <c r="AD450" s="6"/>
      <c r="AE450" s="6"/>
      <c r="AF450" s="6">
        <v>43362</v>
      </c>
      <c r="AG450" s="6"/>
      <c r="AH450" s="6"/>
      <c r="AI450" s="6"/>
      <c r="AJ450" s="6"/>
      <c r="AK450" s="6"/>
      <c r="AL450" s="6"/>
      <c r="AM450" s="6"/>
      <c r="AN450" s="6"/>
      <c r="AO450" s="6"/>
      <c r="AP450" s="6"/>
      <c r="AQ450" s="6">
        <v>43662</v>
      </c>
      <c r="AR450" s="6">
        <v>43629</v>
      </c>
      <c r="AS450" s="6"/>
      <c r="AT450" s="6"/>
      <c r="AU450" s="6">
        <v>43661</v>
      </c>
      <c r="AV450" s="6">
        <v>43637</v>
      </c>
      <c r="AW450" s="6"/>
      <c r="AX450" s="6">
        <v>43633</v>
      </c>
      <c r="AY450" s="6"/>
      <c r="AZ450" s="6"/>
      <c r="BA450" s="6"/>
      <c r="BB450" s="6"/>
      <c r="BC450" s="6"/>
      <c r="BD450" s="6"/>
      <c r="BE450" s="6"/>
      <c r="BF450" s="6"/>
      <c r="BG450" s="6"/>
      <c r="BH450" s="6"/>
      <c r="BI450" s="6"/>
      <c r="BJ450" s="6"/>
      <c r="BK450" s="6"/>
      <c r="BL450" s="6"/>
      <c r="BM450" s="6">
        <v>43662</v>
      </c>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c r="FZ450" s="6"/>
      <c r="GA450" s="6"/>
      <c r="GB450" s="6"/>
      <c r="GC450" s="6"/>
      <c r="GD450" s="6"/>
      <c r="GE450" s="6"/>
      <c r="GF450" s="6"/>
      <c r="GG450" s="6"/>
      <c r="GH450" s="6"/>
      <c r="GI450" s="6"/>
      <c r="GJ450" s="6"/>
      <c r="GK450" s="6"/>
      <c r="GL450" s="6"/>
      <c r="GM450" s="6"/>
      <c r="GN450" s="6"/>
      <c r="GO450" s="6"/>
      <c r="GP450" s="6"/>
      <c r="GQ450" s="6"/>
      <c r="GR450" s="6"/>
      <c r="GS450" s="6"/>
      <c r="GT450" s="6"/>
      <c r="GU450" s="6"/>
      <c r="GV450" s="6"/>
      <c r="GW450" s="6"/>
      <c r="GX450" s="6"/>
      <c r="GY450" s="6"/>
      <c r="GZ450" s="6"/>
      <c r="HA450" s="6"/>
      <c r="HB450" s="6"/>
      <c r="HC450" s="6"/>
      <c r="HD450" s="6"/>
      <c r="HE450" s="6"/>
      <c r="HF450" s="6"/>
      <c r="HG450" s="6"/>
      <c r="HH450" s="6"/>
    </row>
    <row r="451" spans="1:216" x14ac:dyDescent="0.3">
      <c r="A451" s="8" t="str">
        <f>HYPERLINK("https://hpr-rps.hres.ca/reg-content/summary-basis-decision-detailTwo.php?lang=en&amp;linkID=SBD00462", "Trazimera")</f>
        <v>Trazimera</v>
      </c>
      <c r="B451" s="6" t="s">
        <v>1136</v>
      </c>
      <c r="C451" s="6" t="s">
        <v>1089</v>
      </c>
      <c r="D451" s="6" t="s">
        <v>1166</v>
      </c>
      <c r="E451" s="6"/>
      <c r="F451" s="6"/>
      <c r="G451" s="6"/>
      <c r="H451" s="6">
        <v>43416</v>
      </c>
      <c r="I451" s="6"/>
      <c r="J451" s="6"/>
      <c r="K451" s="6"/>
      <c r="L451" s="6"/>
      <c r="M451" s="6"/>
      <c r="N451" s="6"/>
      <c r="O451" s="6"/>
      <c r="P451" s="6"/>
      <c r="Q451" s="6"/>
      <c r="R451" s="6"/>
      <c r="S451" s="6"/>
      <c r="T451" s="6"/>
      <c r="U451" s="6"/>
      <c r="V451" s="6"/>
      <c r="W451" s="6"/>
      <c r="X451" s="6"/>
      <c r="Y451" s="6"/>
      <c r="Z451" s="6">
        <v>43503</v>
      </c>
      <c r="AA451" s="6"/>
      <c r="AB451" s="6"/>
      <c r="AC451" s="6">
        <v>43543</v>
      </c>
      <c r="AD451" s="6"/>
      <c r="AE451" s="6"/>
      <c r="AF451" s="6">
        <v>43570</v>
      </c>
      <c r="AG451" s="6"/>
      <c r="AH451" s="6"/>
      <c r="AI451" s="6"/>
      <c r="AJ451" s="6"/>
      <c r="AK451" s="6"/>
      <c r="AL451" s="6"/>
      <c r="AM451" s="6"/>
      <c r="AN451" s="6"/>
      <c r="AO451" s="6"/>
      <c r="AP451" s="6"/>
      <c r="AQ451" s="6"/>
      <c r="AR451" s="6">
        <v>43724</v>
      </c>
      <c r="AS451" s="6"/>
      <c r="AT451" s="6"/>
      <c r="AU451" s="6">
        <v>43745</v>
      </c>
      <c r="AV451" s="6">
        <v>43727</v>
      </c>
      <c r="AW451" s="6"/>
      <c r="AX451" s="6"/>
      <c r="AY451" s="6"/>
      <c r="AZ451" s="6"/>
      <c r="BA451" s="6"/>
      <c r="BB451" s="6"/>
      <c r="BC451" s="6"/>
      <c r="BD451" s="6"/>
      <c r="BE451" s="6"/>
      <c r="BF451" s="6"/>
      <c r="BG451" s="6"/>
      <c r="BH451" s="6"/>
      <c r="BI451" s="6"/>
      <c r="BJ451" s="6"/>
      <c r="BK451" s="6"/>
      <c r="BL451" s="6"/>
      <c r="BM451" s="6">
        <v>43782</v>
      </c>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c r="FZ451" s="6"/>
      <c r="GA451" s="6"/>
      <c r="GB451" s="6"/>
      <c r="GC451" s="6"/>
      <c r="GD451" s="6"/>
      <c r="GE451" s="6"/>
      <c r="GF451" s="6"/>
      <c r="GG451" s="6"/>
      <c r="GH451" s="6"/>
      <c r="GI451" s="6"/>
      <c r="GJ451" s="6"/>
      <c r="GK451" s="6"/>
      <c r="GL451" s="6"/>
      <c r="GM451" s="6"/>
      <c r="GN451" s="6"/>
      <c r="GO451" s="6"/>
      <c r="GP451" s="6"/>
      <c r="GQ451" s="6"/>
      <c r="GR451" s="6"/>
      <c r="GS451" s="6"/>
      <c r="GT451" s="6"/>
      <c r="GU451" s="6"/>
      <c r="GV451" s="6"/>
      <c r="GW451" s="6"/>
      <c r="GX451" s="6"/>
      <c r="GY451" s="6"/>
      <c r="GZ451" s="6"/>
      <c r="HA451" s="6"/>
      <c r="HB451" s="6"/>
      <c r="HC451" s="6"/>
      <c r="HD451" s="6"/>
      <c r="HE451" s="6"/>
      <c r="HF451" s="6"/>
      <c r="HG451" s="6"/>
      <c r="HH451" s="6"/>
    </row>
    <row r="452" spans="1:216" x14ac:dyDescent="0.3">
      <c r="A452" s="8" t="str">
        <f>HYPERLINK("https://hpr-rps.hres.ca/reg-content/summary-basis-decision-detailTwo.php?lang=en&amp;linkID=SBD00463", "Ultomiris")</f>
        <v>Ultomiris</v>
      </c>
      <c r="B452" s="6" t="s">
        <v>1167</v>
      </c>
      <c r="C452" s="6" t="s">
        <v>1168</v>
      </c>
      <c r="D452" s="6" t="s">
        <v>1169</v>
      </c>
      <c r="E452" s="6"/>
      <c r="F452" s="6"/>
      <c r="G452" s="6"/>
      <c r="H452" s="6">
        <v>43434</v>
      </c>
      <c r="I452" s="6"/>
      <c r="J452" s="6"/>
      <c r="K452" s="6"/>
      <c r="L452" s="6"/>
      <c r="M452" s="6"/>
      <c r="N452" s="6"/>
      <c r="O452" s="6"/>
      <c r="P452" s="6"/>
      <c r="Q452" s="6"/>
      <c r="R452" s="6"/>
      <c r="S452" s="6"/>
      <c r="T452" s="6"/>
      <c r="U452" s="6"/>
      <c r="V452" s="6"/>
      <c r="W452" s="6"/>
      <c r="X452" s="6"/>
      <c r="Y452" s="6"/>
      <c r="Z452" s="6"/>
      <c r="AA452" s="6"/>
      <c r="AB452" s="6"/>
      <c r="AC452" s="6"/>
      <c r="AD452" s="6"/>
      <c r="AE452" s="6"/>
      <c r="AF452" s="6">
        <v>43496</v>
      </c>
      <c r="AG452" s="6"/>
      <c r="AH452" s="6"/>
      <c r="AI452" s="6"/>
      <c r="AJ452" s="6"/>
      <c r="AK452" s="6"/>
      <c r="AL452" s="6"/>
      <c r="AM452" s="6"/>
      <c r="AN452" s="6"/>
      <c r="AO452" s="6"/>
      <c r="AP452" s="6"/>
      <c r="AQ452" s="6">
        <v>43725</v>
      </c>
      <c r="AR452" s="6">
        <v>43788</v>
      </c>
      <c r="AS452" s="6"/>
      <c r="AT452" s="6"/>
      <c r="AU452" s="6">
        <v>43789</v>
      </c>
      <c r="AV452" s="6">
        <v>43782</v>
      </c>
      <c r="AW452" s="6"/>
      <c r="AX452" s="6">
        <v>43745</v>
      </c>
      <c r="AY452" s="6"/>
      <c r="AZ452" s="6"/>
      <c r="BA452" s="6"/>
      <c r="BB452" s="6"/>
      <c r="BC452" s="6"/>
      <c r="BD452" s="6"/>
      <c r="BE452" s="6"/>
      <c r="BF452" s="6"/>
      <c r="BG452" s="6"/>
      <c r="BH452" s="6"/>
      <c r="BI452" s="6"/>
      <c r="BJ452" s="6"/>
      <c r="BK452" s="6"/>
      <c r="BL452" s="6"/>
      <c r="BM452" s="6">
        <v>43794</v>
      </c>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c r="FZ452" s="6"/>
      <c r="GA452" s="6"/>
      <c r="GB452" s="6"/>
      <c r="GC452" s="6"/>
      <c r="GD452" s="6"/>
      <c r="GE452" s="6"/>
      <c r="GF452" s="6"/>
      <c r="GG452" s="6"/>
      <c r="GH452" s="6"/>
      <c r="GI452" s="6"/>
      <c r="GJ452" s="6"/>
      <c r="GK452" s="6"/>
      <c r="GL452" s="6"/>
      <c r="GM452" s="6"/>
      <c r="GN452" s="6"/>
      <c r="GO452" s="6"/>
      <c r="GP452" s="6"/>
      <c r="GQ452" s="6"/>
      <c r="GR452" s="6"/>
      <c r="GS452" s="6"/>
      <c r="GT452" s="6"/>
      <c r="GU452" s="6"/>
      <c r="GV452" s="6"/>
      <c r="GW452" s="6"/>
      <c r="GX452" s="6"/>
      <c r="GY452" s="6"/>
      <c r="GZ452" s="6"/>
      <c r="HA452" s="6"/>
      <c r="HB452" s="6"/>
      <c r="HC452" s="6"/>
      <c r="HD452" s="6"/>
      <c r="HE452" s="6"/>
      <c r="HF452" s="6"/>
      <c r="HG452" s="6"/>
      <c r="HH452" s="6"/>
    </row>
    <row r="453" spans="1:216" x14ac:dyDescent="0.3">
      <c r="A453" s="8" t="str">
        <f>HYPERLINK("https://hpr-rps.hres.ca/reg-content/summary-basis-decision-detailTwo.php?lang=en&amp;linkID=SBD00483", "Daurismo")</f>
        <v>Daurismo</v>
      </c>
      <c r="B453" s="6" t="s">
        <v>1170</v>
      </c>
      <c r="C453" s="6" t="s">
        <v>1089</v>
      </c>
      <c r="D453" s="6" t="s">
        <v>1171</v>
      </c>
      <c r="E453" s="6"/>
      <c r="F453" s="6"/>
      <c r="G453" s="6"/>
      <c r="H453" s="6">
        <v>43416</v>
      </c>
      <c r="I453" s="6"/>
      <c r="J453" s="6"/>
      <c r="K453" s="6"/>
      <c r="L453" s="6"/>
      <c r="M453" s="6"/>
      <c r="N453" s="6"/>
      <c r="O453" s="6"/>
      <c r="P453" s="6"/>
      <c r="Q453" s="6"/>
      <c r="R453" s="6"/>
      <c r="S453" s="6"/>
      <c r="T453" s="6"/>
      <c r="U453" s="6"/>
      <c r="V453" s="6"/>
      <c r="W453" s="6"/>
      <c r="X453" s="6"/>
      <c r="Y453" s="6"/>
      <c r="Z453" s="6">
        <v>43503</v>
      </c>
      <c r="AA453" s="6"/>
      <c r="AB453" s="6"/>
      <c r="AC453" s="6">
        <v>43543</v>
      </c>
      <c r="AD453" s="6"/>
      <c r="AE453" s="6"/>
      <c r="AF453" s="6">
        <v>43570</v>
      </c>
      <c r="AG453" s="6"/>
      <c r="AH453" s="6"/>
      <c r="AI453" s="6"/>
      <c r="AJ453" s="6"/>
      <c r="AK453" s="6"/>
      <c r="AL453" s="6"/>
      <c r="AM453" s="6"/>
      <c r="AN453" s="6"/>
      <c r="AO453" s="6"/>
      <c r="AP453" s="6"/>
      <c r="AQ453" s="6"/>
      <c r="AR453" s="6">
        <v>43724</v>
      </c>
      <c r="AS453" s="6"/>
      <c r="AT453" s="6"/>
      <c r="AU453" s="6">
        <v>43745</v>
      </c>
      <c r="AV453" s="6">
        <v>43727</v>
      </c>
      <c r="AW453" s="6"/>
      <c r="AX453" s="6"/>
      <c r="AY453" s="6"/>
      <c r="AZ453" s="6"/>
      <c r="BA453" s="6"/>
      <c r="BB453" s="6"/>
      <c r="BC453" s="6"/>
      <c r="BD453" s="6"/>
      <c r="BE453" s="6"/>
      <c r="BF453" s="6"/>
      <c r="BG453" s="6"/>
      <c r="BH453" s="6"/>
      <c r="BI453" s="6"/>
      <c r="BJ453" s="6"/>
      <c r="BK453" s="6"/>
      <c r="BL453" s="6"/>
      <c r="BM453" s="6">
        <v>43782</v>
      </c>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c r="FZ453" s="6"/>
      <c r="GA453" s="6"/>
      <c r="GB453" s="6"/>
      <c r="GC453" s="6"/>
      <c r="GD453" s="6"/>
      <c r="GE453" s="6"/>
      <c r="GF453" s="6"/>
      <c r="GG453" s="6"/>
      <c r="GH453" s="6"/>
      <c r="GI453" s="6"/>
      <c r="GJ453" s="6"/>
      <c r="GK453" s="6"/>
      <c r="GL453" s="6"/>
      <c r="GM453" s="6"/>
      <c r="GN453" s="6"/>
      <c r="GO453" s="6"/>
      <c r="GP453" s="6"/>
      <c r="GQ453" s="6"/>
      <c r="GR453" s="6"/>
      <c r="GS453" s="6"/>
      <c r="GT453" s="6"/>
      <c r="GU453" s="6"/>
      <c r="GV453" s="6"/>
      <c r="GW453" s="6"/>
      <c r="GX453" s="6"/>
      <c r="GY453" s="6"/>
      <c r="GZ453" s="6"/>
      <c r="HA453" s="6"/>
      <c r="HB453" s="6"/>
      <c r="HC453" s="6"/>
      <c r="HD453" s="6"/>
      <c r="HE453" s="6"/>
      <c r="HF453" s="6"/>
      <c r="HG453" s="6"/>
      <c r="HH453" s="6"/>
    </row>
    <row r="454" spans="1:216" x14ac:dyDescent="0.3">
      <c r="A454" s="8" t="str">
        <f>HYPERLINK("https://hpr-rps.hres.ca/reg-content/summary-basis-decision-detailTwo.php?lang=en&amp;linkID=SBD00464", "Aklief")</f>
        <v>Aklief</v>
      </c>
      <c r="B454" s="6" t="s">
        <v>1172</v>
      </c>
      <c r="C454" s="6" t="s">
        <v>204</v>
      </c>
      <c r="D454" s="6" t="s">
        <v>1173</v>
      </c>
      <c r="E454" s="6"/>
      <c r="F454" s="6"/>
      <c r="G454" s="6"/>
      <c r="H454" s="6">
        <v>43416</v>
      </c>
      <c r="I454" s="6"/>
      <c r="J454" s="6"/>
      <c r="K454" s="6"/>
      <c r="L454" s="6"/>
      <c r="M454" s="6"/>
      <c r="N454" s="6"/>
      <c r="O454" s="6"/>
      <c r="P454" s="6"/>
      <c r="Q454" s="6"/>
      <c r="R454" s="6"/>
      <c r="S454" s="6"/>
      <c r="T454" s="6"/>
      <c r="U454" s="6"/>
      <c r="V454" s="6"/>
      <c r="W454" s="6"/>
      <c r="X454" s="6"/>
      <c r="Y454" s="6"/>
      <c r="Z454" s="6">
        <v>43503</v>
      </c>
      <c r="AA454" s="6"/>
      <c r="AB454" s="6"/>
      <c r="AC454" s="6">
        <v>43543</v>
      </c>
      <c r="AD454" s="6"/>
      <c r="AE454" s="6"/>
      <c r="AF454" s="6">
        <v>43570</v>
      </c>
      <c r="AG454" s="6"/>
      <c r="AH454" s="6"/>
      <c r="AI454" s="6"/>
      <c r="AJ454" s="6"/>
      <c r="AK454" s="6"/>
      <c r="AL454" s="6"/>
      <c r="AM454" s="6"/>
      <c r="AN454" s="6"/>
      <c r="AO454" s="6"/>
      <c r="AP454" s="6"/>
      <c r="AQ454" s="6"/>
      <c r="AR454" s="6">
        <v>43724</v>
      </c>
      <c r="AS454" s="6"/>
      <c r="AT454" s="6"/>
      <c r="AU454" s="6">
        <v>43745</v>
      </c>
      <c r="AV454" s="6">
        <v>43727</v>
      </c>
      <c r="AW454" s="6"/>
      <c r="AX454" s="6"/>
      <c r="AY454" s="6"/>
      <c r="AZ454" s="6"/>
      <c r="BA454" s="6"/>
      <c r="BB454" s="6"/>
      <c r="BC454" s="6"/>
      <c r="BD454" s="6"/>
      <c r="BE454" s="6"/>
      <c r="BF454" s="6"/>
      <c r="BG454" s="6"/>
      <c r="BH454" s="6"/>
      <c r="BI454" s="6"/>
      <c r="BJ454" s="6"/>
      <c r="BK454" s="6"/>
      <c r="BL454" s="6"/>
      <c r="BM454" s="6">
        <v>43782</v>
      </c>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row>
    <row r="455" spans="1:216" x14ac:dyDescent="0.3">
      <c r="A455" s="8" t="str">
        <f>HYPERLINK("https://hpr-rps.hres.ca/reg-content/summary-basis-decision-detailTwo.php?lang=en&amp;linkID=SBD00465", "Galli Eo")</f>
        <v>Galli Eo</v>
      </c>
      <c r="B455" s="6" t="s">
        <v>1174</v>
      </c>
      <c r="C455" s="6" t="s">
        <v>1175</v>
      </c>
      <c r="D455" s="6" t="s">
        <v>1176</v>
      </c>
      <c r="E455" s="6"/>
      <c r="F455" s="6"/>
      <c r="G455" s="6"/>
      <c r="H455" s="6">
        <v>43416</v>
      </c>
      <c r="I455" s="6"/>
      <c r="J455" s="6"/>
      <c r="K455" s="6"/>
      <c r="L455" s="6"/>
      <c r="M455" s="6"/>
      <c r="N455" s="6"/>
      <c r="O455" s="6"/>
      <c r="P455" s="6"/>
      <c r="Q455" s="6"/>
      <c r="R455" s="6"/>
      <c r="S455" s="6"/>
      <c r="T455" s="6"/>
      <c r="U455" s="6"/>
      <c r="V455" s="6"/>
      <c r="W455" s="6"/>
      <c r="X455" s="6"/>
      <c r="Y455" s="6"/>
      <c r="Z455" s="6">
        <v>43503</v>
      </c>
      <c r="AA455" s="6"/>
      <c r="AB455" s="6"/>
      <c r="AC455" s="6">
        <v>43543</v>
      </c>
      <c r="AD455" s="6"/>
      <c r="AE455" s="6"/>
      <c r="AF455" s="6">
        <v>43570</v>
      </c>
      <c r="AG455" s="6"/>
      <c r="AH455" s="6"/>
      <c r="AI455" s="6"/>
      <c r="AJ455" s="6"/>
      <c r="AK455" s="6"/>
      <c r="AL455" s="6"/>
      <c r="AM455" s="6"/>
      <c r="AN455" s="6"/>
      <c r="AO455" s="6"/>
      <c r="AP455" s="6"/>
      <c r="AQ455" s="6"/>
      <c r="AR455" s="6">
        <v>43724</v>
      </c>
      <c r="AS455" s="6"/>
      <c r="AT455" s="6"/>
      <c r="AU455" s="6">
        <v>43745</v>
      </c>
      <c r="AV455" s="6">
        <v>43727</v>
      </c>
      <c r="AW455" s="6"/>
      <c r="AX455" s="6"/>
      <c r="AY455" s="6"/>
      <c r="AZ455" s="6"/>
      <c r="BA455" s="6"/>
      <c r="BB455" s="6"/>
      <c r="BC455" s="6"/>
      <c r="BD455" s="6"/>
      <c r="BE455" s="6"/>
      <c r="BF455" s="6"/>
      <c r="BG455" s="6"/>
      <c r="BH455" s="6"/>
      <c r="BI455" s="6"/>
      <c r="BJ455" s="6"/>
      <c r="BK455" s="6"/>
      <c r="BL455" s="6"/>
      <c r="BM455" s="6">
        <v>43782</v>
      </c>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row>
    <row r="456" spans="1:216" x14ac:dyDescent="0.3">
      <c r="A456" s="8" t="str">
        <f>HYPERLINK("https://hpr-rps.hres.ca/reg-content/summary-basis-decision-detailTwo.php?lang=en&amp;linkID=SBD00466", "Intrarosa")</f>
        <v>Intrarosa</v>
      </c>
      <c r="B456" s="6" t="s">
        <v>1177</v>
      </c>
      <c r="C456" s="6" t="s">
        <v>1178</v>
      </c>
      <c r="D456" s="6" t="s">
        <v>1179</v>
      </c>
      <c r="E456" s="6"/>
      <c r="F456" s="6"/>
      <c r="G456" s="6"/>
      <c r="H456" s="6">
        <v>42648</v>
      </c>
      <c r="I456" s="6"/>
      <c r="J456" s="6"/>
      <c r="K456" s="6"/>
      <c r="L456" s="6"/>
      <c r="M456" s="6"/>
      <c r="N456" s="6"/>
      <c r="O456" s="6"/>
      <c r="P456" s="6"/>
      <c r="Q456" s="6"/>
      <c r="R456" s="6"/>
      <c r="S456" s="6"/>
      <c r="T456" s="6"/>
      <c r="U456" s="6"/>
      <c r="V456" s="6"/>
      <c r="W456" s="6"/>
      <c r="X456" s="6"/>
      <c r="Y456" s="6"/>
      <c r="Z456" s="6">
        <v>42688</v>
      </c>
      <c r="AA456" s="6"/>
      <c r="AB456" s="6"/>
      <c r="AC456" s="6">
        <v>42689</v>
      </c>
      <c r="AD456" s="6"/>
      <c r="AE456" s="6"/>
      <c r="AF456" s="6">
        <v>42709</v>
      </c>
      <c r="AG456" s="6"/>
      <c r="AH456" s="6"/>
      <c r="AI456" s="6"/>
      <c r="AJ456" s="6"/>
      <c r="AK456" s="6"/>
      <c r="AL456" s="6"/>
      <c r="AM456" s="6"/>
      <c r="AN456" s="6"/>
      <c r="AO456" s="6"/>
      <c r="AP456" s="6"/>
      <c r="AQ456" s="6">
        <v>42992</v>
      </c>
      <c r="AR456" s="6">
        <v>42979</v>
      </c>
      <c r="AS456" s="6"/>
      <c r="AT456" s="6"/>
      <c r="AU456" s="6"/>
      <c r="AV456" s="6">
        <v>42983</v>
      </c>
      <c r="AW456" s="6"/>
      <c r="AX456" s="6"/>
      <c r="AY456" s="6"/>
      <c r="AZ456" s="6"/>
      <c r="BA456" s="6"/>
      <c r="BB456" s="6"/>
      <c r="BC456" s="6"/>
      <c r="BD456" s="6"/>
      <c r="BE456" s="6"/>
      <c r="BF456" s="6"/>
      <c r="BG456" s="6"/>
      <c r="BH456" s="6"/>
      <c r="BI456" s="6"/>
      <c r="BJ456" s="6"/>
      <c r="BK456" s="6"/>
      <c r="BL456" s="6"/>
      <c r="BM456" s="6"/>
      <c r="BN456" s="6"/>
      <c r="BO456" s="6"/>
      <c r="BP456" s="6">
        <v>43006</v>
      </c>
      <c r="BQ456" s="6"/>
      <c r="BR456" s="6"/>
      <c r="BS456" s="6"/>
      <c r="BT456" s="6"/>
      <c r="BU456" s="6">
        <v>43159</v>
      </c>
      <c r="BV456" s="6"/>
      <c r="BW456" s="6"/>
      <c r="BX456" s="6"/>
      <c r="BY456" s="6"/>
      <c r="BZ456" s="6"/>
      <c r="CA456" s="6"/>
      <c r="CB456" s="6"/>
      <c r="CC456" s="6"/>
      <c r="CD456" s="6"/>
      <c r="CE456" s="6"/>
      <c r="CF456" s="6"/>
      <c r="CG456" s="6"/>
      <c r="CH456" s="6"/>
      <c r="CI456" s="6"/>
      <c r="CJ456" s="6"/>
      <c r="CK456" s="6"/>
      <c r="CL456" s="6"/>
      <c r="CM456" s="6"/>
      <c r="CN456" s="6"/>
      <c r="CO456" s="6"/>
      <c r="CP456" s="6"/>
      <c r="CQ456" s="6"/>
      <c r="CR456" s="6">
        <v>43207</v>
      </c>
      <c r="CS456" s="6"/>
      <c r="CT456" s="6"/>
      <c r="CU456" s="6"/>
      <c r="CV456" s="6"/>
      <c r="CW456" s="6"/>
      <c r="CX456" s="6"/>
      <c r="CY456" s="6"/>
      <c r="CZ456" s="6"/>
      <c r="DA456" s="6"/>
      <c r="DB456" s="6"/>
      <c r="DC456" s="6"/>
      <c r="DD456" s="6"/>
      <c r="DE456" s="6"/>
      <c r="DF456" s="6"/>
      <c r="DG456" s="6"/>
      <c r="DH456" s="6">
        <v>43501</v>
      </c>
      <c r="DI456" s="6"/>
      <c r="DJ456" s="6"/>
      <c r="DK456" s="6"/>
      <c r="DL456" s="6"/>
      <c r="DM456" s="6"/>
      <c r="DN456" s="6"/>
      <c r="DO456" s="6"/>
      <c r="DP456" s="6"/>
      <c r="DQ456" s="6"/>
      <c r="DR456" s="6"/>
      <c r="DS456" s="6"/>
      <c r="DT456" s="6"/>
      <c r="DU456" s="6"/>
      <c r="DV456" s="6"/>
      <c r="DW456" s="6"/>
      <c r="DX456" s="6"/>
      <c r="DY456" s="6"/>
      <c r="DZ456" s="6"/>
      <c r="EA456" s="6"/>
      <c r="EB456" s="6"/>
      <c r="EC456" s="6"/>
      <c r="ED456" s="6">
        <v>43594</v>
      </c>
      <c r="EE456" s="6"/>
      <c r="EF456" s="6">
        <v>43504</v>
      </c>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v>43622</v>
      </c>
      <c r="FE456" s="6"/>
      <c r="FF456" s="6"/>
      <c r="FG456" s="6"/>
      <c r="FH456" s="6"/>
      <c r="FI456" s="6"/>
      <c r="FJ456" s="6"/>
      <c r="FK456" s="6"/>
      <c r="FL456" s="6"/>
      <c r="FM456" s="6"/>
      <c r="FN456" s="6"/>
      <c r="FO456" s="6"/>
      <c r="FP456" s="6">
        <v>43767</v>
      </c>
      <c r="FQ456" s="6"/>
      <c r="FR456" s="6"/>
      <c r="FS456" s="6">
        <v>43768</v>
      </c>
      <c r="FT456" s="6">
        <v>43766</v>
      </c>
      <c r="FU456" s="6"/>
      <c r="FV456" s="6"/>
      <c r="FW456" s="6"/>
      <c r="FX456" s="6"/>
      <c r="FY456" s="6"/>
      <c r="FZ456" s="6"/>
      <c r="GA456" s="6"/>
      <c r="GB456" s="6"/>
      <c r="GC456" s="6"/>
      <c r="GD456" s="6"/>
      <c r="GE456" s="6"/>
      <c r="GF456" s="6"/>
      <c r="GG456" s="6"/>
      <c r="GH456" s="6"/>
      <c r="GI456" s="6"/>
      <c r="GJ456" s="6"/>
      <c r="GK456" s="6">
        <v>43770</v>
      </c>
      <c r="GL456" s="6"/>
      <c r="GM456" s="6"/>
      <c r="GN456" s="6"/>
      <c r="GO456" s="6"/>
      <c r="GP456" s="6"/>
      <c r="GQ456" s="6"/>
      <c r="GR456" s="6"/>
      <c r="GS456" s="6"/>
      <c r="GT456" s="6"/>
      <c r="GU456" s="6"/>
      <c r="GV456" s="6"/>
      <c r="GW456" s="6"/>
      <c r="GX456" s="6"/>
      <c r="GY456" s="6"/>
      <c r="GZ456" s="6"/>
      <c r="HA456" s="6"/>
      <c r="HB456" s="6"/>
      <c r="HC456" s="6"/>
      <c r="HD456" s="6"/>
      <c r="HE456" s="6"/>
      <c r="HF456" s="6"/>
      <c r="HG456" s="6"/>
      <c r="HH456" s="6"/>
    </row>
    <row r="457" spans="1:216" x14ac:dyDescent="0.3">
      <c r="A457" s="8" t="str">
        <f>HYPERLINK("https://hpr-rps.hres.ca/reg-content/summary-basis-decision-detailTwo.php?lang=en&amp;linkID=SBD00467", "Netspot")</f>
        <v>Netspot</v>
      </c>
      <c r="B457" s="6" t="s">
        <v>1180</v>
      </c>
      <c r="C457" s="6" t="s">
        <v>1106</v>
      </c>
      <c r="D457" s="6" t="s">
        <v>1181</v>
      </c>
      <c r="E457" s="6"/>
      <c r="F457" s="6"/>
      <c r="G457" s="6"/>
      <c r="H457" s="6">
        <v>43301</v>
      </c>
      <c r="I457" s="6"/>
      <c r="J457" s="6"/>
      <c r="K457" s="6"/>
      <c r="L457" s="6"/>
      <c r="M457" s="6"/>
      <c r="N457" s="6"/>
      <c r="O457" s="6"/>
      <c r="P457" s="6"/>
      <c r="Q457" s="6"/>
      <c r="R457" s="6"/>
      <c r="S457" s="6"/>
      <c r="T457" s="6"/>
      <c r="U457" s="6"/>
      <c r="V457" s="6"/>
      <c r="W457" s="6"/>
      <c r="X457" s="6"/>
      <c r="Y457" s="6"/>
      <c r="Z457" s="6"/>
      <c r="AA457" s="6"/>
      <c r="AB457" s="6"/>
      <c r="AC457" s="6"/>
      <c r="AD457" s="6"/>
      <c r="AE457" s="6"/>
      <c r="AF457" s="6">
        <v>43349</v>
      </c>
      <c r="AG457" s="6"/>
      <c r="AH457" s="6"/>
      <c r="AI457" s="6"/>
      <c r="AJ457" s="6"/>
      <c r="AK457" s="6"/>
      <c r="AL457" s="6"/>
      <c r="AM457" s="6"/>
      <c r="AN457" s="6"/>
      <c r="AO457" s="6"/>
      <c r="AP457" s="6"/>
      <c r="AQ457" s="6">
        <v>43539</v>
      </c>
      <c r="AR457" s="6">
        <v>43644</v>
      </c>
      <c r="AS457" s="6"/>
      <c r="AT457" s="6"/>
      <c r="AU457" s="6">
        <v>43648</v>
      </c>
      <c r="AV457" s="6">
        <v>43648</v>
      </c>
      <c r="AW457" s="6"/>
      <c r="AX457" s="6">
        <v>43647</v>
      </c>
      <c r="AY457" s="6"/>
      <c r="AZ457" s="6"/>
      <c r="BA457" s="6"/>
      <c r="BB457" s="6"/>
      <c r="BC457" s="6"/>
      <c r="BD457" s="6"/>
      <c r="BE457" s="6"/>
      <c r="BF457" s="6"/>
      <c r="BG457" s="6"/>
      <c r="BH457" s="6"/>
      <c r="BI457" s="6"/>
      <c r="BJ457" s="6"/>
      <c r="BK457" s="6"/>
      <c r="BL457" s="6"/>
      <c r="BM457" s="6">
        <v>43649</v>
      </c>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c r="FZ457" s="6"/>
      <c r="GA457" s="6"/>
      <c r="GB457" s="6"/>
      <c r="GC457" s="6"/>
      <c r="GD457" s="6"/>
      <c r="GE457" s="6"/>
      <c r="GF457" s="6"/>
      <c r="GG457" s="6"/>
      <c r="GH457" s="6"/>
      <c r="GI457" s="6"/>
      <c r="GJ457" s="6"/>
      <c r="GK457" s="6"/>
      <c r="GL457" s="6"/>
      <c r="GM457" s="6"/>
      <c r="GN457" s="6"/>
      <c r="GO457" s="6"/>
      <c r="GP457" s="6"/>
      <c r="GQ457" s="6"/>
      <c r="GR457" s="6"/>
      <c r="GS457" s="6"/>
      <c r="GT457" s="6"/>
      <c r="GU457" s="6"/>
      <c r="GV457" s="6"/>
      <c r="GW457" s="6"/>
      <c r="GX457" s="6"/>
      <c r="GY457" s="6"/>
      <c r="GZ457" s="6"/>
      <c r="HA457" s="6"/>
      <c r="HB457" s="6"/>
      <c r="HC457" s="6"/>
      <c r="HD457" s="6"/>
      <c r="HE457" s="6"/>
      <c r="HF457" s="6"/>
      <c r="HG457" s="6"/>
      <c r="HH457" s="6"/>
    </row>
    <row r="458" spans="1:216" x14ac:dyDescent="0.3">
      <c r="A458" s="8" t="str">
        <f>HYPERLINK("https://hpr-rps.hres.ca/reg-content/summary-basis-decision-detailTwo.php?lang=en&amp;linkID=SBD00468", "Lokelma")</f>
        <v>Lokelma</v>
      </c>
      <c r="B458" s="6" t="s">
        <v>1182</v>
      </c>
      <c r="C458" s="6" t="s">
        <v>137</v>
      </c>
      <c r="D458" s="6" t="s">
        <v>1183</v>
      </c>
      <c r="E458" s="6">
        <v>42913</v>
      </c>
      <c r="F458" s="6"/>
      <c r="G458" s="6"/>
      <c r="H458" s="6">
        <v>43455</v>
      </c>
      <c r="I458" s="6"/>
      <c r="J458" s="6"/>
      <c r="K458" s="6"/>
      <c r="L458" s="6"/>
      <c r="M458" s="6"/>
      <c r="N458" s="6"/>
      <c r="O458" s="6"/>
      <c r="P458" s="6"/>
      <c r="Q458" s="6"/>
      <c r="R458" s="6"/>
      <c r="S458" s="6"/>
      <c r="T458" s="6"/>
      <c r="U458" s="6"/>
      <c r="V458" s="6"/>
      <c r="W458" s="6"/>
      <c r="X458" s="6"/>
      <c r="Y458" s="6"/>
      <c r="Z458" s="6"/>
      <c r="AA458" s="6"/>
      <c r="AB458" s="6"/>
      <c r="AC458" s="6"/>
      <c r="AD458" s="6"/>
      <c r="AE458" s="6"/>
      <c r="AF458" s="6">
        <v>43503</v>
      </c>
      <c r="AG458" s="6"/>
      <c r="AH458" s="6"/>
      <c r="AI458" s="6"/>
      <c r="AJ458" s="6"/>
      <c r="AK458" s="6"/>
      <c r="AL458" s="6"/>
      <c r="AM458" s="6"/>
      <c r="AN458" s="6"/>
      <c r="AO458" s="6"/>
      <c r="AP458" s="6"/>
      <c r="AQ458" s="6">
        <v>43865</v>
      </c>
      <c r="AR458" s="6">
        <v>43880</v>
      </c>
      <c r="AS458" s="6">
        <v>43768</v>
      </c>
      <c r="AT458" s="6"/>
      <c r="AU458" s="6">
        <v>43881</v>
      </c>
      <c r="AV458" s="6">
        <v>43873</v>
      </c>
      <c r="AW458" s="6"/>
      <c r="AX458" s="6"/>
      <c r="AY458" s="6"/>
      <c r="AZ458" s="6"/>
      <c r="BA458" s="6"/>
      <c r="BB458" s="6"/>
      <c r="BC458" s="6"/>
      <c r="BD458" s="6"/>
      <c r="BE458" s="6"/>
      <c r="BF458" s="6"/>
      <c r="BG458" s="6"/>
      <c r="BH458" s="6"/>
      <c r="BI458" s="6"/>
      <c r="BJ458" s="6"/>
      <c r="BK458" s="6"/>
      <c r="BL458" s="6"/>
      <c r="BM458" s="6">
        <v>43881</v>
      </c>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c r="FZ458" s="6"/>
      <c r="GA458" s="6"/>
      <c r="GB458" s="6"/>
      <c r="GC458" s="6"/>
      <c r="GD458" s="6"/>
      <c r="GE458" s="6"/>
      <c r="GF458" s="6"/>
      <c r="GG458" s="6"/>
      <c r="GH458" s="6"/>
      <c r="GI458" s="6"/>
      <c r="GJ458" s="6"/>
      <c r="GK458" s="6"/>
      <c r="GL458" s="6"/>
      <c r="GM458" s="6"/>
      <c r="GN458" s="6"/>
      <c r="GO458" s="6"/>
      <c r="GP458" s="6"/>
      <c r="GQ458" s="6"/>
      <c r="GR458" s="6"/>
      <c r="GS458" s="6"/>
      <c r="GT458" s="6"/>
      <c r="GU458" s="6"/>
      <c r="GV458" s="6"/>
      <c r="GW458" s="6"/>
      <c r="GX458" s="6"/>
      <c r="GY458" s="6"/>
      <c r="GZ458" s="6"/>
      <c r="HA458" s="6"/>
      <c r="HB458" s="6"/>
      <c r="HC458" s="6"/>
      <c r="HD458" s="6"/>
      <c r="HE458" s="6"/>
      <c r="HF458" s="6"/>
      <c r="HG458" s="6"/>
      <c r="HH458" s="6"/>
    </row>
    <row r="459" spans="1:216" x14ac:dyDescent="0.3">
      <c r="A459" s="8" t="str">
        <f>HYPERLINK("https://hpr-rps.hres.ca/reg-content/summary-basis-decision-detailTwo.php?lang=en&amp;linkID=SBD00469", "Xospata")</f>
        <v>Xospata</v>
      </c>
      <c r="B459" s="6" t="s">
        <v>1184</v>
      </c>
      <c r="C459" s="6" t="s">
        <v>713</v>
      </c>
      <c r="D459" s="6" t="s">
        <v>1185</v>
      </c>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c r="FZ459" s="6"/>
      <c r="GA459" s="6"/>
      <c r="GB459" s="6"/>
      <c r="GC459" s="6"/>
      <c r="GD459" s="6"/>
      <c r="GE459" s="6"/>
      <c r="GF459" s="6"/>
      <c r="GG459" s="6"/>
      <c r="GH459" s="6"/>
      <c r="GI459" s="6"/>
      <c r="GJ459" s="6"/>
      <c r="GK459" s="6"/>
      <c r="GL459" s="6"/>
      <c r="GM459" s="6"/>
      <c r="GN459" s="6"/>
      <c r="GO459" s="6"/>
      <c r="GP459" s="6"/>
      <c r="GQ459" s="6"/>
      <c r="GR459" s="6"/>
      <c r="GS459" s="6"/>
      <c r="GT459" s="6"/>
      <c r="GU459" s="6"/>
      <c r="GV459" s="6"/>
      <c r="GW459" s="6"/>
      <c r="GX459" s="6"/>
      <c r="GY459" s="6"/>
      <c r="GZ459" s="6"/>
      <c r="HA459" s="6"/>
      <c r="HB459" s="6"/>
      <c r="HC459" s="6"/>
      <c r="HD459" s="6"/>
      <c r="HE459" s="6"/>
      <c r="HF459" s="6"/>
      <c r="HG459" s="6"/>
      <c r="HH459" s="6"/>
    </row>
    <row r="460" spans="1:216" x14ac:dyDescent="0.3">
      <c r="A460" s="8" t="str">
        <f>HYPERLINK("https://hpr-rps.hres.ca/reg-content/summary-basis-decision-detailTwo.php?lang=en&amp;linkID=SBD00471", "Mayzent")</f>
        <v>Mayzent</v>
      </c>
      <c r="B460" s="6" t="s">
        <v>1186</v>
      </c>
      <c r="C460" s="6" t="s">
        <v>87</v>
      </c>
      <c r="D460" s="6" t="s">
        <v>1187</v>
      </c>
      <c r="E460" s="6">
        <v>43544</v>
      </c>
      <c r="F460" s="6"/>
      <c r="G460" s="6"/>
      <c r="H460" s="6"/>
      <c r="I460" s="6"/>
      <c r="J460" s="6"/>
      <c r="K460" s="6"/>
      <c r="L460" s="6"/>
      <c r="M460" s="6"/>
      <c r="N460" s="6">
        <v>43553</v>
      </c>
      <c r="O460" s="6"/>
      <c r="P460" s="6"/>
      <c r="Q460" s="6"/>
      <c r="R460" s="6"/>
      <c r="S460" s="6">
        <v>43594</v>
      </c>
      <c r="T460" s="6"/>
      <c r="U460" s="6"/>
      <c r="V460" s="6">
        <v>43600</v>
      </c>
      <c r="W460" s="6"/>
      <c r="X460" s="6"/>
      <c r="Y460" s="6"/>
      <c r="Z460" s="6">
        <v>43630</v>
      </c>
      <c r="AA460" s="6"/>
      <c r="AB460" s="6"/>
      <c r="AC460" s="6">
        <v>43637</v>
      </c>
      <c r="AD460" s="6"/>
      <c r="AE460" s="6"/>
      <c r="AF460" s="6">
        <v>43643</v>
      </c>
      <c r="AG460" s="6"/>
      <c r="AH460" s="6"/>
      <c r="AI460" s="6"/>
      <c r="AJ460" s="6"/>
      <c r="AK460" s="6"/>
      <c r="AL460" s="6"/>
      <c r="AM460" s="6"/>
      <c r="AN460" s="6"/>
      <c r="AO460" s="6"/>
      <c r="AP460" s="6"/>
      <c r="AQ460" s="6">
        <v>43809</v>
      </c>
      <c r="AR460" s="6">
        <v>43810</v>
      </c>
      <c r="AS460" s="6"/>
      <c r="AT460" s="6"/>
      <c r="AU460" s="6">
        <v>43819</v>
      </c>
      <c r="AV460" s="6">
        <v>43815</v>
      </c>
      <c r="AW460" s="6"/>
      <c r="AX460" s="6">
        <v>43791</v>
      </c>
      <c r="AY460" s="6"/>
      <c r="AZ460" s="6"/>
      <c r="BA460" s="6"/>
      <c r="BB460" s="6"/>
      <c r="BC460" s="6"/>
      <c r="BD460" s="6"/>
      <c r="BE460" s="6"/>
      <c r="BF460" s="6"/>
      <c r="BG460" s="6"/>
      <c r="BH460" s="6"/>
      <c r="BI460" s="6"/>
      <c r="BJ460" s="6"/>
      <c r="BK460" s="6"/>
      <c r="BL460" s="6"/>
      <c r="BM460" s="6">
        <v>43822</v>
      </c>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c r="FZ460" s="6"/>
      <c r="GA460" s="6"/>
      <c r="GB460" s="6"/>
      <c r="GC460" s="6"/>
      <c r="GD460" s="6"/>
      <c r="GE460" s="6"/>
      <c r="GF460" s="6"/>
      <c r="GG460" s="6"/>
      <c r="GH460" s="6"/>
      <c r="GI460" s="6"/>
      <c r="GJ460" s="6"/>
      <c r="GK460" s="6"/>
      <c r="GL460" s="6"/>
      <c r="GM460" s="6"/>
      <c r="GN460" s="6"/>
      <c r="GO460" s="6"/>
      <c r="GP460" s="6"/>
      <c r="GQ460" s="6"/>
      <c r="GR460" s="6"/>
      <c r="GS460" s="6"/>
      <c r="GT460" s="6"/>
      <c r="GU460" s="6"/>
      <c r="GV460" s="6"/>
      <c r="GW460" s="6"/>
      <c r="GX460" s="6"/>
      <c r="GY460" s="6"/>
      <c r="GZ460" s="6"/>
      <c r="HA460" s="6"/>
      <c r="HB460" s="6"/>
      <c r="HC460" s="6"/>
      <c r="HD460" s="6"/>
      <c r="HE460" s="6"/>
      <c r="HF460" s="6"/>
      <c r="HG460" s="6"/>
      <c r="HH460" s="6"/>
    </row>
    <row r="461" spans="1:216" x14ac:dyDescent="0.3">
      <c r="A461" s="8" t="str">
        <f>HYPERLINK("https://hpr-rps.hres.ca/reg-content/summary-basis-decision-detailTwo.php?lang=en&amp;linkID=SBD00472", "Vascepa")</f>
        <v>Vascepa</v>
      </c>
      <c r="B461" s="6" t="s">
        <v>1188</v>
      </c>
      <c r="C461" s="6" t="s">
        <v>1189</v>
      </c>
      <c r="D461" s="6" t="s">
        <v>1190</v>
      </c>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c r="FZ461" s="6"/>
      <c r="GA461" s="6"/>
      <c r="GB461" s="6"/>
      <c r="GC461" s="6"/>
      <c r="GD461" s="6"/>
      <c r="GE461" s="6"/>
      <c r="GF461" s="6"/>
      <c r="GG461" s="6"/>
      <c r="GH461" s="6"/>
      <c r="GI461" s="6"/>
      <c r="GJ461" s="6"/>
      <c r="GK461" s="6"/>
      <c r="GL461" s="6"/>
      <c r="GM461" s="6"/>
      <c r="GN461" s="6"/>
      <c r="GO461" s="6"/>
      <c r="GP461" s="6"/>
      <c r="GQ461" s="6"/>
      <c r="GR461" s="6"/>
      <c r="GS461" s="6"/>
      <c r="GT461" s="6"/>
      <c r="GU461" s="6"/>
      <c r="GV461" s="6"/>
      <c r="GW461" s="6"/>
      <c r="GX461" s="6"/>
      <c r="GY461" s="6"/>
      <c r="GZ461" s="6"/>
      <c r="HA461" s="6"/>
      <c r="HB461" s="6"/>
      <c r="HC461" s="6"/>
      <c r="HD461" s="6"/>
      <c r="HE461" s="6"/>
      <c r="HF461" s="6"/>
      <c r="HG461" s="6"/>
      <c r="HH461" s="6"/>
    </row>
    <row r="462" spans="1:216" x14ac:dyDescent="0.3">
      <c r="A462" s="8" t="str">
        <f>HYPERLINK("https://hpr-rps.hres.ca/reg-content/summary-basis-decision-detailTwo.php?lang=en&amp;linkID=SBD00473", "Herzuma")</f>
        <v>Herzuma</v>
      </c>
      <c r="B462" s="6" t="s">
        <v>1136</v>
      </c>
      <c r="C462" s="6" t="s">
        <v>1191</v>
      </c>
      <c r="D462" s="6" t="s">
        <v>1192</v>
      </c>
      <c r="E462" s="6">
        <v>42796</v>
      </c>
      <c r="F462" s="6"/>
      <c r="G462" s="6"/>
      <c r="H462" s="6">
        <v>43032</v>
      </c>
      <c r="I462" s="6"/>
      <c r="J462" s="6"/>
      <c r="K462" s="6"/>
      <c r="L462" s="6"/>
      <c r="M462" s="6"/>
      <c r="N462" s="6"/>
      <c r="O462" s="6"/>
      <c r="P462" s="6"/>
      <c r="Q462" s="6"/>
      <c r="R462" s="6"/>
      <c r="S462" s="6"/>
      <c r="T462" s="6"/>
      <c r="U462" s="6"/>
      <c r="V462" s="6"/>
      <c r="W462" s="6"/>
      <c r="X462" s="6"/>
      <c r="Y462" s="6"/>
      <c r="Z462" s="6"/>
      <c r="AA462" s="6"/>
      <c r="AB462" s="6"/>
      <c r="AC462" s="6"/>
      <c r="AD462" s="6"/>
      <c r="AE462" s="6"/>
      <c r="AF462" s="6">
        <v>43056</v>
      </c>
      <c r="AG462" s="6"/>
      <c r="AH462" s="6"/>
      <c r="AI462" s="6"/>
      <c r="AJ462" s="6"/>
      <c r="AK462" s="6"/>
      <c r="AL462" s="6"/>
      <c r="AM462" s="6"/>
      <c r="AN462" s="6"/>
      <c r="AO462" s="6"/>
      <c r="AP462" s="6"/>
      <c r="AQ462" s="6">
        <v>43265</v>
      </c>
      <c r="AR462" s="6">
        <v>43356</v>
      </c>
      <c r="AS462" s="6"/>
      <c r="AT462" s="6"/>
      <c r="AU462" s="6"/>
      <c r="AV462" s="6">
        <v>43348</v>
      </c>
      <c r="AW462" s="6"/>
      <c r="AX462" s="6"/>
      <c r="AY462" s="6"/>
      <c r="AZ462" s="6">
        <v>43356</v>
      </c>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c r="FZ462" s="6"/>
      <c r="GA462" s="6"/>
      <c r="GB462" s="6"/>
      <c r="GC462" s="6"/>
      <c r="GD462" s="6"/>
      <c r="GE462" s="6"/>
      <c r="GF462" s="6"/>
      <c r="GG462" s="6"/>
      <c r="GH462" s="6"/>
      <c r="GI462" s="6"/>
      <c r="GJ462" s="6"/>
      <c r="GK462" s="6"/>
      <c r="GL462" s="6"/>
      <c r="GM462" s="6"/>
      <c r="GN462" s="6"/>
      <c r="GO462" s="6"/>
      <c r="GP462" s="6"/>
      <c r="GQ462" s="6"/>
      <c r="GR462" s="6"/>
      <c r="GS462" s="6"/>
      <c r="GT462" s="6"/>
      <c r="GU462" s="6"/>
      <c r="GV462" s="6"/>
      <c r="GW462" s="6"/>
      <c r="GX462" s="6"/>
      <c r="GY462" s="6"/>
      <c r="GZ462" s="6"/>
      <c r="HA462" s="6"/>
      <c r="HB462" s="6"/>
      <c r="HC462" s="6"/>
      <c r="HD462" s="6"/>
      <c r="HE462" s="6"/>
      <c r="HF462" s="6"/>
      <c r="HG462" s="6"/>
      <c r="HH462" s="6"/>
    </row>
    <row r="463" spans="1:216" x14ac:dyDescent="0.3">
      <c r="A463" s="8" t="str">
        <f>HYPERLINK("https://hpr-rps.hres.ca/reg-content/summary-basis-decision-detailTwo.php?lang=en&amp;linkID=SBD00474", "Rinvoq")</f>
        <v>Rinvoq</v>
      </c>
      <c r="B463" s="6" t="s">
        <v>1193</v>
      </c>
      <c r="C463" s="6" t="s">
        <v>692</v>
      </c>
      <c r="D463" s="6" t="s">
        <v>1194</v>
      </c>
      <c r="E463" s="6">
        <v>43252</v>
      </c>
      <c r="F463" s="6"/>
      <c r="G463" s="6"/>
      <c r="H463" s="6">
        <v>43481</v>
      </c>
      <c r="I463" s="6"/>
      <c r="J463" s="6"/>
      <c r="K463" s="6"/>
      <c r="L463" s="6"/>
      <c r="M463" s="6"/>
      <c r="N463" s="6"/>
      <c r="O463" s="6"/>
      <c r="P463" s="6"/>
      <c r="Q463" s="6"/>
      <c r="R463" s="6"/>
      <c r="S463" s="6"/>
      <c r="T463" s="6"/>
      <c r="U463" s="6"/>
      <c r="V463" s="6"/>
      <c r="W463" s="6"/>
      <c r="X463" s="6"/>
      <c r="Y463" s="6"/>
      <c r="Z463" s="6"/>
      <c r="AA463" s="6"/>
      <c r="AB463" s="6"/>
      <c r="AC463" s="6"/>
      <c r="AD463" s="6"/>
      <c r="AE463" s="6"/>
      <c r="AF463" s="6">
        <v>43525</v>
      </c>
      <c r="AG463" s="6"/>
      <c r="AH463" s="6"/>
      <c r="AI463" s="6"/>
      <c r="AJ463" s="6"/>
      <c r="AK463" s="6"/>
      <c r="AL463" s="6"/>
      <c r="AM463" s="6"/>
      <c r="AN463" s="6"/>
      <c r="AO463" s="6"/>
      <c r="AP463" s="6"/>
      <c r="AQ463" s="6">
        <v>43790</v>
      </c>
      <c r="AR463" s="6">
        <v>43818</v>
      </c>
      <c r="AS463" s="6"/>
      <c r="AT463" s="6"/>
      <c r="AU463" s="6">
        <v>43822</v>
      </c>
      <c r="AV463" s="6">
        <v>43817</v>
      </c>
      <c r="AW463" s="6"/>
      <c r="AX463" s="6">
        <v>43801</v>
      </c>
      <c r="AY463" s="6"/>
      <c r="AZ463" s="6"/>
      <c r="BA463" s="6"/>
      <c r="BB463" s="6"/>
      <c r="BC463" s="6"/>
      <c r="BD463" s="6"/>
      <c r="BE463" s="6"/>
      <c r="BF463" s="6"/>
      <c r="BG463" s="6"/>
      <c r="BH463" s="6"/>
      <c r="BI463" s="6"/>
      <c r="BJ463" s="6"/>
      <c r="BK463" s="6"/>
      <c r="BL463" s="6"/>
      <c r="BM463" s="6">
        <v>43822</v>
      </c>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c r="FZ463" s="6"/>
      <c r="GA463" s="6"/>
      <c r="GB463" s="6"/>
      <c r="GC463" s="6"/>
      <c r="GD463" s="6"/>
      <c r="GE463" s="6"/>
      <c r="GF463" s="6"/>
      <c r="GG463" s="6"/>
      <c r="GH463" s="6"/>
      <c r="GI463" s="6"/>
      <c r="GJ463" s="6"/>
      <c r="GK463" s="6"/>
      <c r="GL463" s="6"/>
      <c r="GM463" s="6"/>
      <c r="GN463" s="6"/>
      <c r="GO463" s="6"/>
      <c r="GP463" s="6"/>
      <c r="GQ463" s="6"/>
      <c r="GR463" s="6"/>
      <c r="GS463" s="6"/>
      <c r="GT463" s="6"/>
      <c r="GU463" s="6"/>
      <c r="GV463" s="6"/>
      <c r="GW463" s="6"/>
      <c r="GX463" s="6"/>
      <c r="GY463" s="6"/>
      <c r="GZ463" s="6"/>
      <c r="HA463" s="6"/>
      <c r="HB463" s="6"/>
      <c r="HC463" s="6"/>
      <c r="HD463" s="6"/>
      <c r="HE463" s="6"/>
      <c r="HF463" s="6"/>
      <c r="HG463" s="6"/>
      <c r="HH463" s="6"/>
    </row>
    <row r="464" spans="1:216" x14ac:dyDescent="0.3">
      <c r="A464" s="8" t="str">
        <f>HYPERLINK("https://hpr-rps.hres.ca/reg-content/summary-basis-decision-detailTwo.php?lang=en&amp;linkID=SBD00475", "Xofluza")</f>
        <v>Xofluza</v>
      </c>
      <c r="B464" s="6" t="s">
        <v>1195</v>
      </c>
      <c r="C464" s="6" t="s">
        <v>864</v>
      </c>
      <c r="D464" s="6" t="s">
        <v>1196</v>
      </c>
      <c r="E464" s="6">
        <v>42796</v>
      </c>
      <c r="F464" s="6"/>
      <c r="G464" s="6"/>
      <c r="H464" s="6">
        <v>43032</v>
      </c>
      <c r="I464" s="6"/>
      <c r="J464" s="6"/>
      <c r="K464" s="6"/>
      <c r="L464" s="6"/>
      <c r="M464" s="6"/>
      <c r="N464" s="6"/>
      <c r="O464" s="6"/>
      <c r="P464" s="6"/>
      <c r="Q464" s="6"/>
      <c r="R464" s="6"/>
      <c r="S464" s="6"/>
      <c r="T464" s="6"/>
      <c r="U464" s="6"/>
      <c r="V464" s="6"/>
      <c r="W464" s="6"/>
      <c r="X464" s="6"/>
      <c r="Y464" s="6"/>
      <c r="Z464" s="6"/>
      <c r="AA464" s="6"/>
      <c r="AB464" s="6"/>
      <c r="AC464" s="6"/>
      <c r="AD464" s="6"/>
      <c r="AE464" s="6"/>
      <c r="AF464" s="6">
        <v>43056</v>
      </c>
      <c r="AG464" s="6"/>
      <c r="AH464" s="6"/>
      <c r="AI464" s="6"/>
      <c r="AJ464" s="6"/>
      <c r="AK464" s="6"/>
      <c r="AL464" s="6"/>
      <c r="AM464" s="6"/>
      <c r="AN464" s="6"/>
      <c r="AO464" s="6"/>
      <c r="AP464" s="6"/>
      <c r="AQ464" s="6">
        <v>43265</v>
      </c>
      <c r="AR464" s="6">
        <v>43356</v>
      </c>
      <c r="AS464" s="6"/>
      <c r="AT464" s="6"/>
      <c r="AU464" s="6"/>
      <c r="AV464" s="6">
        <v>43348</v>
      </c>
      <c r="AW464" s="6"/>
      <c r="AX464" s="6"/>
      <c r="AY464" s="6"/>
      <c r="AZ464" s="6">
        <v>43356</v>
      </c>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c r="FZ464" s="6"/>
      <c r="GA464" s="6"/>
      <c r="GB464" s="6"/>
      <c r="GC464" s="6"/>
      <c r="GD464" s="6"/>
      <c r="GE464" s="6"/>
      <c r="GF464" s="6"/>
      <c r="GG464" s="6"/>
      <c r="GH464" s="6"/>
      <c r="GI464" s="6"/>
      <c r="GJ464" s="6"/>
      <c r="GK464" s="6"/>
      <c r="GL464" s="6"/>
      <c r="GM464" s="6"/>
      <c r="GN464" s="6"/>
      <c r="GO464" s="6"/>
      <c r="GP464" s="6"/>
      <c r="GQ464" s="6"/>
      <c r="GR464" s="6"/>
      <c r="GS464" s="6"/>
      <c r="GT464" s="6"/>
      <c r="GU464" s="6"/>
      <c r="GV464" s="6"/>
      <c r="GW464" s="6"/>
      <c r="GX464" s="6"/>
      <c r="GY464" s="6"/>
      <c r="GZ464" s="6"/>
      <c r="HA464" s="6"/>
      <c r="HB464" s="6"/>
      <c r="HC464" s="6"/>
      <c r="HD464" s="6"/>
      <c r="HE464" s="6"/>
      <c r="HF464" s="6"/>
      <c r="HG464" s="6"/>
      <c r="HH464" s="6"/>
    </row>
    <row r="465" spans="1:216" x14ac:dyDescent="0.3">
      <c r="A465" s="8" t="str">
        <f>HYPERLINK("https://hpr-rps.hres.ca/reg-content/summary-basis-decision-detailTwo.php?lang=en&amp;linkID=SBD00476", "Vyndaqel")</f>
        <v>Vyndaqel</v>
      </c>
      <c r="B465" s="6" t="s">
        <v>1197</v>
      </c>
      <c r="C465" s="6" t="s">
        <v>1089</v>
      </c>
      <c r="D465" s="6" t="s">
        <v>1198</v>
      </c>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c r="FZ465" s="6"/>
      <c r="GA465" s="6"/>
      <c r="GB465" s="6"/>
      <c r="GC465" s="6"/>
      <c r="GD465" s="6"/>
      <c r="GE465" s="6"/>
      <c r="GF465" s="6"/>
      <c r="GG465" s="6"/>
      <c r="GH465" s="6"/>
      <c r="GI465" s="6"/>
      <c r="GJ465" s="6"/>
      <c r="GK465" s="6"/>
      <c r="GL465" s="6"/>
      <c r="GM465" s="6"/>
      <c r="GN465" s="6"/>
      <c r="GO465" s="6"/>
      <c r="GP465" s="6"/>
      <c r="GQ465" s="6"/>
      <c r="GR465" s="6"/>
      <c r="GS465" s="6"/>
      <c r="GT465" s="6"/>
      <c r="GU465" s="6"/>
      <c r="GV465" s="6"/>
      <c r="GW465" s="6"/>
      <c r="GX465" s="6"/>
      <c r="GY465" s="6"/>
      <c r="GZ465" s="6"/>
      <c r="HA465" s="6"/>
      <c r="HB465" s="6"/>
      <c r="HC465" s="6"/>
      <c r="HD465" s="6"/>
      <c r="HE465" s="6"/>
      <c r="HF465" s="6"/>
      <c r="HG465" s="6"/>
      <c r="HH465" s="6"/>
    </row>
    <row r="466" spans="1:216" x14ac:dyDescent="0.3">
      <c r="A466" s="8" t="str">
        <f>HYPERLINK("https://hpr-rps.hres.ca/reg-content/summary-basis-decision-detailTwo.php?lang=en&amp;linkID=SBD00477", "Cablivi")</f>
        <v>Cablivi</v>
      </c>
      <c r="B466" s="6" t="s">
        <v>1199</v>
      </c>
      <c r="C466" s="6" t="s">
        <v>759</v>
      </c>
      <c r="D466" s="6" t="s">
        <v>1200</v>
      </c>
      <c r="E466" s="6">
        <v>42913</v>
      </c>
      <c r="F466" s="6"/>
      <c r="G466" s="6"/>
      <c r="H466" s="6">
        <v>43455</v>
      </c>
      <c r="I466" s="6"/>
      <c r="J466" s="6"/>
      <c r="K466" s="6"/>
      <c r="L466" s="6"/>
      <c r="M466" s="6"/>
      <c r="N466" s="6"/>
      <c r="O466" s="6"/>
      <c r="P466" s="6"/>
      <c r="Q466" s="6"/>
      <c r="R466" s="6"/>
      <c r="S466" s="6"/>
      <c r="T466" s="6"/>
      <c r="U466" s="6"/>
      <c r="V466" s="6"/>
      <c r="W466" s="6"/>
      <c r="X466" s="6"/>
      <c r="Y466" s="6"/>
      <c r="Z466" s="6"/>
      <c r="AA466" s="6"/>
      <c r="AB466" s="6"/>
      <c r="AC466" s="6"/>
      <c r="AD466" s="6"/>
      <c r="AE466" s="6"/>
      <c r="AF466" s="6">
        <v>43503</v>
      </c>
      <c r="AG466" s="6"/>
      <c r="AH466" s="6"/>
      <c r="AI466" s="6"/>
      <c r="AJ466" s="6"/>
      <c r="AK466" s="6"/>
      <c r="AL466" s="6"/>
      <c r="AM466" s="6"/>
      <c r="AN466" s="6"/>
      <c r="AO466" s="6"/>
      <c r="AP466" s="6"/>
      <c r="AQ466" s="6">
        <v>43865</v>
      </c>
      <c r="AR466" s="6">
        <v>43880</v>
      </c>
      <c r="AS466" s="6">
        <v>43768</v>
      </c>
      <c r="AT466" s="6"/>
      <c r="AU466" s="6">
        <v>43881</v>
      </c>
      <c r="AV466" s="6">
        <v>43873</v>
      </c>
      <c r="AW466" s="6"/>
      <c r="AX466" s="6"/>
      <c r="AY466" s="6"/>
      <c r="AZ466" s="6"/>
      <c r="BA466" s="6"/>
      <c r="BB466" s="6"/>
      <c r="BC466" s="6"/>
      <c r="BD466" s="6"/>
      <c r="BE466" s="6"/>
      <c r="BF466" s="6"/>
      <c r="BG466" s="6"/>
      <c r="BH466" s="6"/>
      <c r="BI466" s="6"/>
      <c r="BJ466" s="6"/>
      <c r="BK466" s="6"/>
      <c r="BL466" s="6"/>
      <c r="BM466" s="6">
        <v>43881</v>
      </c>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c r="FZ466" s="6"/>
      <c r="GA466" s="6"/>
      <c r="GB466" s="6"/>
      <c r="GC466" s="6"/>
      <c r="GD466" s="6"/>
      <c r="GE466" s="6"/>
      <c r="GF466" s="6"/>
      <c r="GG466" s="6"/>
      <c r="GH466" s="6"/>
      <c r="GI466" s="6"/>
      <c r="GJ466" s="6"/>
      <c r="GK466" s="6"/>
      <c r="GL466" s="6"/>
      <c r="GM466" s="6"/>
      <c r="GN466" s="6"/>
      <c r="GO466" s="6"/>
      <c r="GP466" s="6"/>
      <c r="GQ466" s="6"/>
      <c r="GR466" s="6"/>
      <c r="GS466" s="6"/>
      <c r="GT466" s="6"/>
      <c r="GU466" s="6"/>
      <c r="GV466" s="6"/>
      <c r="GW466" s="6"/>
      <c r="GX466" s="6"/>
      <c r="GY466" s="6"/>
      <c r="GZ466" s="6"/>
      <c r="HA466" s="6"/>
      <c r="HB466" s="6"/>
      <c r="HC466" s="6"/>
      <c r="HD466" s="6"/>
      <c r="HE466" s="6"/>
      <c r="HF466" s="6"/>
      <c r="HG466" s="6"/>
      <c r="HH466" s="6"/>
    </row>
    <row r="467" spans="1:216" x14ac:dyDescent="0.3">
      <c r="A467" s="8" t="str">
        <f>HYPERLINK("https://hpr-rps.hres.ca/reg-content/summary-basis-decision-detailTwo.php?lang=en&amp;linkID=SBD00478", "Avsola")</f>
        <v>Avsola</v>
      </c>
      <c r="B467" s="6" t="s">
        <v>701</v>
      </c>
      <c r="C467" s="6" t="s">
        <v>1143</v>
      </c>
      <c r="D467" s="6" t="s">
        <v>1201</v>
      </c>
      <c r="E467" s="6">
        <v>42796</v>
      </c>
      <c r="F467" s="6"/>
      <c r="G467" s="6"/>
      <c r="H467" s="6">
        <v>43032</v>
      </c>
      <c r="I467" s="6"/>
      <c r="J467" s="6"/>
      <c r="K467" s="6"/>
      <c r="L467" s="6"/>
      <c r="M467" s="6"/>
      <c r="N467" s="6"/>
      <c r="O467" s="6"/>
      <c r="P467" s="6"/>
      <c r="Q467" s="6"/>
      <c r="R467" s="6"/>
      <c r="S467" s="6"/>
      <c r="T467" s="6"/>
      <c r="U467" s="6"/>
      <c r="V467" s="6"/>
      <c r="W467" s="6"/>
      <c r="X467" s="6"/>
      <c r="Y467" s="6"/>
      <c r="Z467" s="6"/>
      <c r="AA467" s="6"/>
      <c r="AB467" s="6"/>
      <c r="AC467" s="6"/>
      <c r="AD467" s="6"/>
      <c r="AE467" s="6"/>
      <c r="AF467" s="6">
        <v>43056</v>
      </c>
      <c r="AG467" s="6"/>
      <c r="AH467" s="6"/>
      <c r="AI467" s="6"/>
      <c r="AJ467" s="6"/>
      <c r="AK467" s="6"/>
      <c r="AL467" s="6"/>
      <c r="AM467" s="6"/>
      <c r="AN467" s="6"/>
      <c r="AO467" s="6"/>
      <c r="AP467" s="6"/>
      <c r="AQ467" s="6">
        <v>43265</v>
      </c>
      <c r="AR467" s="6">
        <v>43356</v>
      </c>
      <c r="AS467" s="6"/>
      <c r="AT467" s="6"/>
      <c r="AU467" s="6"/>
      <c r="AV467" s="6">
        <v>43348</v>
      </c>
      <c r="AW467" s="6"/>
      <c r="AX467" s="6"/>
      <c r="AY467" s="6"/>
      <c r="AZ467" s="6">
        <v>43356</v>
      </c>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c r="FZ467" s="6"/>
      <c r="GA467" s="6"/>
      <c r="GB467" s="6"/>
      <c r="GC467" s="6"/>
      <c r="GD467" s="6"/>
      <c r="GE467" s="6"/>
      <c r="GF467" s="6"/>
      <c r="GG467" s="6"/>
      <c r="GH467" s="6"/>
      <c r="GI467" s="6"/>
      <c r="GJ467" s="6"/>
      <c r="GK467" s="6"/>
      <c r="GL467" s="6"/>
      <c r="GM467" s="6"/>
      <c r="GN467" s="6"/>
      <c r="GO467" s="6"/>
      <c r="GP467" s="6"/>
      <c r="GQ467" s="6"/>
      <c r="GR467" s="6"/>
      <c r="GS467" s="6"/>
      <c r="GT467" s="6"/>
      <c r="GU467" s="6"/>
      <c r="GV467" s="6"/>
      <c r="GW467" s="6"/>
      <c r="GX467" s="6"/>
      <c r="GY467" s="6"/>
      <c r="GZ467" s="6"/>
      <c r="HA467" s="6"/>
      <c r="HB467" s="6"/>
      <c r="HC467" s="6"/>
      <c r="HD467" s="6"/>
      <c r="HE467" s="6"/>
      <c r="HF467" s="6"/>
      <c r="HG467" s="6"/>
      <c r="HH467" s="6"/>
    </row>
    <row r="468" spans="1:216" x14ac:dyDescent="0.3">
      <c r="A468" s="8" t="str">
        <f>HYPERLINK("https://hpr-rps.hres.ca/reg-content/summary-basis-decision-detailTwo.php?lang=en&amp;linkID=SBD00479", "Ajovy")</f>
        <v>Ajovy</v>
      </c>
      <c r="B468" s="6" t="s">
        <v>1202</v>
      </c>
      <c r="C468" s="6" t="s">
        <v>861</v>
      </c>
      <c r="D468" s="6" t="s">
        <v>1203</v>
      </c>
      <c r="E468" s="6">
        <v>43242</v>
      </c>
      <c r="F468" s="6"/>
      <c r="G468" s="6"/>
      <c r="H468" s="6">
        <v>43453</v>
      </c>
      <c r="I468" s="6"/>
      <c r="J468" s="6"/>
      <c r="K468" s="6"/>
      <c r="L468" s="6"/>
      <c r="M468" s="6"/>
      <c r="N468" s="6"/>
      <c r="O468" s="6"/>
      <c r="P468" s="6"/>
      <c r="Q468" s="6"/>
      <c r="R468" s="6"/>
      <c r="S468" s="6"/>
      <c r="T468" s="6"/>
      <c r="U468" s="6"/>
      <c r="V468" s="6"/>
      <c r="W468" s="6"/>
      <c r="X468" s="6"/>
      <c r="Y468" s="6"/>
      <c r="Z468" s="6"/>
      <c r="AA468" s="6"/>
      <c r="AB468" s="6"/>
      <c r="AC468" s="6"/>
      <c r="AD468" s="6"/>
      <c r="AE468" s="6"/>
      <c r="AF468" s="6">
        <v>43497</v>
      </c>
      <c r="AG468" s="6"/>
      <c r="AH468" s="6"/>
      <c r="AI468" s="6"/>
      <c r="AJ468" s="6"/>
      <c r="AK468" s="6"/>
      <c r="AL468" s="6"/>
      <c r="AM468" s="6"/>
      <c r="AN468" s="6"/>
      <c r="AO468" s="6"/>
      <c r="AP468" s="6"/>
      <c r="AQ468" s="6">
        <v>43738</v>
      </c>
      <c r="AR468" s="6">
        <v>43794</v>
      </c>
      <c r="AS468" s="6"/>
      <c r="AT468" s="6"/>
      <c r="AU468" s="6">
        <v>43794</v>
      </c>
      <c r="AV468" s="6">
        <v>43783</v>
      </c>
      <c r="AW468" s="6"/>
      <c r="AX468" s="6"/>
      <c r="AY468" s="6"/>
      <c r="AZ468" s="6"/>
      <c r="BA468" s="6"/>
      <c r="BB468" s="6"/>
      <c r="BC468" s="6"/>
      <c r="BD468" s="6"/>
      <c r="BE468" s="6"/>
      <c r="BF468" s="6"/>
      <c r="BG468" s="6"/>
      <c r="BH468" s="6"/>
      <c r="BI468" s="6"/>
      <c r="BJ468" s="6"/>
      <c r="BK468" s="6"/>
      <c r="BL468" s="6"/>
      <c r="BM468" s="6">
        <v>43797</v>
      </c>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c r="FZ468" s="6"/>
      <c r="GA468" s="6"/>
      <c r="GB468" s="6"/>
      <c r="GC468" s="6"/>
      <c r="GD468" s="6"/>
      <c r="GE468" s="6"/>
      <c r="GF468" s="6"/>
      <c r="GG468" s="6"/>
      <c r="GH468" s="6"/>
      <c r="GI468" s="6"/>
      <c r="GJ468" s="6"/>
      <c r="GK468" s="6"/>
      <c r="GL468" s="6"/>
      <c r="GM468" s="6"/>
      <c r="GN468" s="6"/>
      <c r="GO468" s="6"/>
      <c r="GP468" s="6"/>
      <c r="GQ468" s="6"/>
      <c r="GR468" s="6"/>
      <c r="GS468" s="6"/>
      <c r="GT468" s="6"/>
      <c r="GU468" s="6"/>
      <c r="GV468" s="6"/>
      <c r="GW468" s="6"/>
      <c r="GX468" s="6"/>
      <c r="GY468" s="6"/>
      <c r="GZ468" s="6"/>
      <c r="HA468" s="6"/>
      <c r="HB468" s="6"/>
      <c r="HC468" s="6"/>
      <c r="HD468" s="6"/>
      <c r="HE468" s="6"/>
      <c r="HF468" s="6"/>
      <c r="HG468" s="6"/>
      <c r="HH468" s="6"/>
    </row>
    <row r="469" spans="1:216" x14ac:dyDescent="0.3">
      <c r="A469" s="8" t="str">
        <f>HYPERLINK("https://hpr-rps.hres.ca/reg-content/summary-basis-decision-detailTwo.php?lang=en&amp;linkID=SBD00480", "Kanjinti")</f>
        <v>Kanjinti</v>
      </c>
      <c r="B469" s="6" t="s">
        <v>1136</v>
      </c>
      <c r="C469" s="6" t="s">
        <v>1143</v>
      </c>
      <c r="D469" s="6" t="s">
        <v>1204</v>
      </c>
      <c r="E469" s="6">
        <v>43242</v>
      </c>
      <c r="F469" s="6"/>
      <c r="G469" s="6"/>
      <c r="H469" s="6">
        <v>43453</v>
      </c>
      <c r="I469" s="6"/>
      <c r="J469" s="6"/>
      <c r="K469" s="6"/>
      <c r="L469" s="6"/>
      <c r="M469" s="6"/>
      <c r="N469" s="6"/>
      <c r="O469" s="6"/>
      <c r="P469" s="6"/>
      <c r="Q469" s="6"/>
      <c r="R469" s="6"/>
      <c r="S469" s="6"/>
      <c r="T469" s="6"/>
      <c r="U469" s="6"/>
      <c r="V469" s="6"/>
      <c r="W469" s="6"/>
      <c r="X469" s="6"/>
      <c r="Y469" s="6"/>
      <c r="Z469" s="6"/>
      <c r="AA469" s="6"/>
      <c r="AB469" s="6"/>
      <c r="AC469" s="6"/>
      <c r="AD469" s="6"/>
      <c r="AE469" s="6"/>
      <c r="AF469" s="6">
        <v>43497</v>
      </c>
      <c r="AG469" s="6"/>
      <c r="AH469" s="6"/>
      <c r="AI469" s="6"/>
      <c r="AJ469" s="6"/>
      <c r="AK469" s="6"/>
      <c r="AL469" s="6"/>
      <c r="AM469" s="6"/>
      <c r="AN469" s="6"/>
      <c r="AO469" s="6"/>
      <c r="AP469" s="6"/>
      <c r="AQ469" s="6">
        <v>43738</v>
      </c>
      <c r="AR469" s="6">
        <v>43794</v>
      </c>
      <c r="AS469" s="6"/>
      <c r="AT469" s="6"/>
      <c r="AU469" s="6">
        <v>43794</v>
      </c>
      <c r="AV469" s="6">
        <v>43783</v>
      </c>
      <c r="AW469" s="6"/>
      <c r="AX469" s="6"/>
      <c r="AY469" s="6"/>
      <c r="AZ469" s="6"/>
      <c r="BA469" s="6"/>
      <c r="BB469" s="6"/>
      <c r="BC469" s="6"/>
      <c r="BD469" s="6"/>
      <c r="BE469" s="6"/>
      <c r="BF469" s="6"/>
      <c r="BG469" s="6"/>
      <c r="BH469" s="6"/>
      <c r="BI469" s="6"/>
      <c r="BJ469" s="6"/>
      <c r="BK469" s="6"/>
      <c r="BL469" s="6"/>
      <c r="BM469" s="6">
        <v>43797</v>
      </c>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c r="FZ469" s="6"/>
      <c r="GA469" s="6"/>
      <c r="GB469" s="6"/>
      <c r="GC469" s="6"/>
      <c r="GD469" s="6"/>
      <c r="GE469" s="6"/>
      <c r="GF469" s="6"/>
      <c r="GG469" s="6"/>
      <c r="GH469" s="6"/>
      <c r="GI469" s="6"/>
      <c r="GJ469" s="6"/>
      <c r="GK469" s="6"/>
      <c r="GL469" s="6"/>
      <c r="GM469" s="6"/>
      <c r="GN469" s="6"/>
      <c r="GO469" s="6"/>
      <c r="GP469" s="6"/>
      <c r="GQ469" s="6"/>
      <c r="GR469" s="6"/>
      <c r="GS469" s="6"/>
      <c r="GT469" s="6"/>
      <c r="GU469" s="6"/>
      <c r="GV469" s="6"/>
      <c r="GW469" s="6"/>
      <c r="GX469" s="6"/>
      <c r="GY469" s="6"/>
      <c r="GZ469" s="6"/>
      <c r="HA469" s="6"/>
      <c r="HB469" s="6"/>
      <c r="HC469" s="6"/>
      <c r="HD469" s="6"/>
      <c r="HE469" s="6"/>
      <c r="HF469" s="6"/>
      <c r="HG469" s="6"/>
      <c r="HH469" s="6"/>
    </row>
    <row r="470" spans="1:216" x14ac:dyDescent="0.3">
      <c r="A470" s="8" t="str">
        <f>HYPERLINK("https://hpr-rps.hres.ca/reg-content/summary-basis-decision-detailTwo.php?lang=en&amp;linkID=SBD00481", "Vocabria/Cabenuva")</f>
        <v>Vocabria/Cabenuva</v>
      </c>
      <c r="B470" s="6" t="s">
        <v>1205</v>
      </c>
      <c r="C470" s="6" t="s">
        <v>1206</v>
      </c>
      <c r="D470" s="6" t="s">
        <v>1207</v>
      </c>
      <c r="E470" s="6">
        <v>43523</v>
      </c>
      <c r="F470" s="6"/>
      <c r="G470" s="6">
        <v>43585</v>
      </c>
      <c r="H470" s="6">
        <v>43592</v>
      </c>
      <c r="I470" s="6"/>
      <c r="J470" s="6"/>
      <c r="K470" s="6"/>
      <c r="L470" s="6"/>
      <c r="M470" s="6"/>
      <c r="N470" s="6"/>
      <c r="O470" s="6"/>
      <c r="P470" s="6"/>
      <c r="Q470" s="6"/>
      <c r="R470" s="6"/>
      <c r="S470" s="6"/>
      <c r="T470" s="6"/>
      <c r="U470" s="6"/>
      <c r="V470" s="6"/>
      <c r="W470" s="6"/>
      <c r="X470" s="6"/>
      <c r="Y470" s="6"/>
      <c r="Z470" s="6"/>
      <c r="AA470" s="6"/>
      <c r="AB470" s="6"/>
      <c r="AC470" s="6"/>
      <c r="AD470" s="6"/>
      <c r="AE470" s="6"/>
      <c r="AF470" s="6">
        <v>43619</v>
      </c>
      <c r="AG470" s="6"/>
      <c r="AH470" s="6"/>
      <c r="AI470" s="6"/>
      <c r="AJ470" s="6"/>
      <c r="AK470" s="6"/>
      <c r="AL470" s="6"/>
      <c r="AM470" s="6"/>
      <c r="AN470" s="6"/>
      <c r="AO470" s="6"/>
      <c r="AP470" s="6"/>
      <c r="AQ470" s="6">
        <v>43768</v>
      </c>
      <c r="AR470" s="6">
        <v>43817</v>
      </c>
      <c r="AS470" s="6">
        <v>43726</v>
      </c>
      <c r="AT470" s="6"/>
      <c r="AU470" s="6">
        <v>43816</v>
      </c>
      <c r="AV470" s="6">
        <v>43816</v>
      </c>
      <c r="AW470" s="6"/>
      <c r="AX470" s="6">
        <v>43798</v>
      </c>
      <c r="AY470" s="6"/>
      <c r="AZ470" s="6"/>
      <c r="BA470" s="6"/>
      <c r="BB470" s="6"/>
      <c r="BC470" s="6"/>
      <c r="BD470" s="6"/>
      <c r="BE470" s="6"/>
      <c r="BF470" s="6"/>
      <c r="BG470" s="6"/>
      <c r="BH470" s="6"/>
      <c r="BI470" s="6"/>
      <c r="BJ470" s="6"/>
      <c r="BK470" s="6">
        <v>43819</v>
      </c>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v>43868</v>
      </c>
      <c r="CQ470" s="6"/>
      <c r="CR470" s="6"/>
      <c r="CS470" s="6"/>
      <c r="CT470" s="6"/>
      <c r="CU470" s="6"/>
      <c r="CV470" s="6"/>
      <c r="CW470" s="6"/>
      <c r="CX470" s="6"/>
      <c r="CY470" s="6"/>
      <c r="CZ470" s="6"/>
      <c r="DA470" s="6"/>
      <c r="DB470" s="6"/>
      <c r="DC470" s="6"/>
      <c r="DD470" s="6"/>
      <c r="DE470" s="6"/>
      <c r="DF470" s="6"/>
      <c r="DG470" s="6">
        <v>43871</v>
      </c>
      <c r="DH470" s="6"/>
      <c r="DI470" s="6"/>
      <c r="DJ470" s="6"/>
      <c r="DK470" s="6"/>
      <c r="DL470" s="6"/>
      <c r="DM470" s="6"/>
      <c r="DN470" s="6"/>
      <c r="DO470" s="6"/>
      <c r="DP470" s="6"/>
      <c r="DQ470" s="6"/>
      <c r="DR470" s="6"/>
      <c r="DS470" s="6"/>
      <c r="DT470" s="6">
        <v>43840</v>
      </c>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c r="FZ470" s="6"/>
      <c r="GA470" s="6"/>
      <c r="GB470" s="6"/>
      <c r="GC470" s="6"/>
      <c r="GD470" s="6"/>
      <c r="GE470" s="6"/>
      <c r="GF470" s="6"/>
      <c r="GG470" s="6"/>
      <c r="GH470" s="6"/>
      <c r="GI470" s="6"/>
      <c r="GJ470" s="6"/>
      <c r="GK470" s="6"/>
      <c r="GL470" s="6"/>
      <c r="GM470" s="6"/>
      <c r="GN470" s="6"/>
      <c r="GO470" s="6"/>
      <c r="GP470" s="6"/>
      <c r="GQ470" s="6"/>
      <c r="GR470" s="6"/>
      <c r="GS470" s="6"/>
      <c r="GT470" s="6"/>
      <c r="GU470" s="6"/>
      <c r="GV470" s="6"/>
      <c r="GW470" s="6"/>
      <c r="GX470" s="6"/>
      <c r="GY470" s="6"/>
      <c r="GZ470" s="6"/>
      <c r="HA470" s="6"/>
      <c r="HB470" s="6"/>
      <c r="HC470" s="6"/>
      <c r="HD470" s="6"/>
      <c r="HE470" s="6"/>
      <c r="HF470" s="6"/>
      <c r="HG470" s="6"/>
      <c r="HH470" s="6"/>
    </row>
    <row r="471" spans="1:216" x14ac:dyDescent="0.3">
      <c r="A471" s="8" t="str">
        <f>HYPERLINK("https://hpr-rps.hres.ca/reg-content/summary-basis-decision-detailTwo.php?lang=en&amp;linkID=SBD00482", "Nubeqa")</f>
        <v>Nubeqa</v>
      </c>
      <c r="B471" s="6" t="s">
        <v>1208</v>
      </c>
      <c r="C471" s="6" t="s">
        <v>341</v>
      </c>
      <c r="D471" s="6" t="s">
        <v>1209</v>
      </c>
      <c r="E471" s="6">
        <v>43242</v>
      </c>
      <c r="F471" s="6"/>
      <c r="G471" s="6"/>
      <c r="H471" s="6">
        <v>43453</v>
      </c>
      <c r="I471" s="6"/>
      <c r="J471" s="6"/>
      <c r="K471" s="6"/>
      <c r="L471" s="6"/>
      <c r="M471" s="6"/>
      <c r="N471" s="6"/>
      <c r="O471" s="6"/>
      <c r="P471" s="6"/>
      <c r="Q471" s="6"/>
      <c r="R471" s="6"/>
      <c r="S471" s="6"/>
      <c r="T471" s="6"/>
      <c r="U471" s="6"/>
      <c r="V471" s="6"/>
      <c r="W471" s="6"/>
      <c r="X471" s="6"/>
      <c r="Y471" s="6"/>
      <c r="Z471" s="6"/>
      <c r="AA471" s="6"/>
      <c r="AB471" s="6"/>
      <c r="AC471" s="6"/>
      <c r="AD471" s="6"/>
      <c r="AE471" s="6"/>
      <c r="AF471" s="6">
        <v>43497</v>
      </c>
      <c r="AG471" s="6"/>
      <c r="AH471" s="6"/>
      <c r="AI471" s="6"/>
      <c r="AJ471" s="6"/>
      <c r="AK471" s="6"/>
      <c r="AL471" s="6"/>
      <c r="AM471" s="6"/>
      <c r="AN471" s="6"/>
      <c r="AO471" s="6"/>
      <c r="AP471" s="6"/>
      <c r="AQ471" s="6">
        <v>43738</v>
      </c>
      <c r="AR471" s="6">
        <v>43794</v>
      </c>
      <c r="AS471" s="6"/>
      <c r="AT471" s="6"/>
      <c r="AU471" s="6">
        <v>43794</v>
      </c>
      <c r="AV471" s="6">
        <v>43783</v>
      </c>
      <c r="AW471" s="6"/>
      <c r="AX471" s="6"/>
      <c r="AY471" s="6"/>
      <c r="AZ471" s="6"/>
      <c r="BA471" s="6"/>
      <c r="BB471" s="6"/>
      <c r="BC471" s="6"/>
      <c r="BD471" s="6"/>
      <c r="BE471" s="6"/>
      <c r="BF471" s="6"/>
      <c r="BG471" s="6"/>
      <c r="BH471" s="6"/>
      <c r="BI471" s="6"/>
      <c r="BJ471" s="6"/>
      <c r="BK471" s="6"/>
      <c r="BL471" s="6"/>
      <c r="BM471" s="6">
        <v>43797</v>
      </c>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c r="FZ471" s="6"/>
      <c r="GA471" s="6"/>
      <c r="GB471" s="6"/>
      <c r="GC471" s="6"/>
      <c r="GD471" s="6"/>
      <c r="GE471" s="6"/>
      <c r="GF471" s="6"/>
      <c r="GG471" s="6"/>
      <c r="GH471" s="6"/>
      <c r="GI471" s="6"/>
      <c r="GJ471" s="6"/>
      <c r="GK471" s="6"/>
      <c r="GL471" s="6"/>
      <c r="GM471" s="6"/>
      <c r="GN471" s="6"/>
      <c r="GO471" s="6"/>
      <c r="GP471" s="6"/>
      <c r="GQ471" s="6"/>
      <c r="GR471" s="6"/>
      <c r="GS471" s="6"/>
      <c r="GT471" s="6"/>
      <c r="GU471" s="6"/>
      <c r="GV471" s="6"/>
      <c r="GW471" s="6"/>
      <c r="GX471" s="6"/>
      <c r="GY471" s="6"/>
      <c r="GZ471" s="6"/>
      <c r="HA471" s="6"/>
      <c r="HB471" s="6"/>
      <c r="HC471" s="6"/>
      <c r="HD471" s="6"/>
      <c r="HE471" s="6"/>
      <c r="HF471" s="6"/>
      <c r="HG471" s="6"/>
      <c r="HH471" s="6"/>
    </row>
    <row r="472" spans="1:216" x14ac:dyDescent="0.3">
      <c r="A472" s="8" t="str">
        <f>HYPERLINK("https://hpr-rps.hres.ca/reg-content/summary-basis-decision-detailTwo.php?lang=en&amp;linkID=SBD00484", "Mylotarg")</f>
        <v>Mylotarg</v>
      </c>
      <c r="B472" s="6" t="s">
        <v>1210</v>
      </c>
      <c r="C472" s="6" t="s">
        <v>1089</v>
      </c>
      <c r="D472" s="6" t="s">
        <v>1211</v>
      </c>
      <c r="E472" s="6">
        <v>43242</v>
      </c>
      <c r="F472" s="6"/>
      <c r="G472" s="6"/>
      <c r="H472" s="6">
        <v>43453</v>
      </c>
      <c r="I472" s="6"/>
      <c r="J472" s="6"/>
      <c r="K472" s="6"/>
      <c r="L472" s="6"/>
      <c r="M472" s="6"/>
      <c r="N472" s="6"/>
      <c r="O472" s="6"/>
      <c r="P472" s="6"/>
      <c r="Q472" s="6"/>
      <c r="R472" s="6"/>
      <c r="S472" s="6"/>
      <c r="T472" s="6"/>
      <c r="U472" s="6"/>
      <c r="V472" s="6"/>
      <c r="W472" s="6"/>
      <c r="X472" s="6"/>
      <c r="Y472" s="6"/>
      <c r="Z472" s="6"/>
      <c r="AA472" s="6"/>
      <c r="AB472" s="6"/>
      <c r="AC472" s="6"/>
      <c r="AD472" s="6"/>
      <c r="AE472" s="6"/>
      <c r="AF472" s="6">
        <v>43497</v>
      </c>
      <c r="AG472" s="6"/>
      <c r="AH472" s="6"/>
      <c r="AI472" s="6"/>
      <c r="AJ472" s="6"/>
      <c r="AK472" s="6"/>
      <c r="AL472" s="6"/>
      <c r="AM472" s="6"/>
      <c r="AN472" s="6"/>
      <c r="AO472" s="6"/>
      <c r="AP472" s="6"/>
      <c r="AQ472" s="6">
        <v>43738</v>
      </c>
      <c r="AR472" s="6">
        <v>43794</v>
      </c>
      <c r="AS472" s="6"/>
      <c r="AT472" s="6"/>
      <c r="AU472" s="6">
        <v>43794</v>
      </c>
      <c r="AV472" s="6">
        <v>43783</v>
      </c>
      <c r="AW472" s="6"/>
      <c r="AX472" s="6"/>
      <c r="AY472" s="6"/>
      <c r="AZ472" s="6"/>
      <c r="BA472" s="6"/>
      <c r="BB472" s="6"/>
      <c r="BC472" s="6"/>
      <c r="BD472" s="6"/>
      <c r="BE472" s="6"/>
      <c r="BF472" s="6"/>
      <c r="BG472" s="6"/>
      <c r="BH472" s="6"/>
      <c r="BI472" s="6"/>
      <c r="BJ472" s="6"/>
      <c r="BK472" s="6"/>
      <c r="BL472" s="6"/>
      <c r="BM472" s="6">
        <v>43797</v>
      </c>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c r="FZ472" s="6"/>
      <c r="GA472" s="6"/>
      <c r="GB472" s="6"/>
      <c r="GC472" s="6"/>
      <c r="GD472" s="6"/>
      <c r="GE472" s="6"/>
      <c r="GF472" s="6"/>
      <c r="GG472" s="6"/>
      <c r="GH472" s="6"/>
      <c r="GI472" s="6"/>
      <c r="GJ472" s="6"/>
      <c r="GK472" s="6"/>
      <c r="GL472" s="6"/>
      <c r="GM472" s="6"/>
      <c r="GN472" s="6"/>
      <c r="GO472" s="6"/>
      <c r="GP472" s="6"/>
      <c r="GQ472" s="6"/>
      <c r="GR472" s="6"/>
      <c r="GS472" s="6"/>
      <c r="GT472" s="6"/>
      <c r="GU472" s="6"/>
      <c r="GV472" s="6"/>
      <c r="GW472" s="6"/>
      <c r="GX472" s="6"/>
      <c r="GY472" s="6"/>
      <c r="GZ472" s="6"/>
      <c r="HA472" s="6"/>
      <c r="HB472" s="6"/>
      <c r="HC472" s="6"/>
      <c r="HD472" s="6"/>
      <c r="HE472" s="6"/>
      <c r="HF472" s="6"/>
      <c r="HG472" s="6"/>
      <c r="HH472" s="6"/>
    </row>
    <row r="473" spans="1:216" x14ac:dyDescent="0.3">
      <c r="A473" s="8" t="str">
        <f>HYPERLINK("https://hpr-rps.hres.ca/reg-content/summary-basis-decision-detailTwo.php?lang=en&amp;linkID=SBD00485", "Rozlytrek")</f>
        <v>Rozlytrek</v>
      </c>
      <c r="B473" s="6" t="s">
        <v>1212</v>
      </c>
      <c r="C473" s="6" t="s">
        <v>84</v>
      </c>
      <c r="D473" s="6" t="s">
        <v>1213</v>
      </c>
      <c r="E473" s="6">
        <v>43242</v>
      </c>
      <c r="F473" s="6"/>
      <c r="G473" s="6"/>
      <c r="H473" s="6">
        <v>43453</v>
      </c>
      <c r="I473" s="6"/>
      <c r="J473" s="6"/>
      <c r="K473" s="6"/>
      <c r="L473" s="6"/>
      <c r="M473" s="6"/>
      <c r="N473" s="6"/>
      <c r="O473" s="6"/>
      <c r="P473" s="6"/>
      <c r="Q473" s="6"/>
      <c r="R473" s="6"/>
      <c r="S473" s="6"/>
      <c r="T473" s="6"/>
      <c r="U473" s="6"/>
      <c r="V473" s="6"/>
      <c r="W473" s="6"/>
      <c r="X473" s="6"/>
      <c r="Y473" s="6"/>
      <c r="Z473" s="6"/>
      <c r="AA473" s="6"/>
      <c r="AB473" s="6"/>
      <c r="AC473" s="6"/>
      <c r="AD473" s="6"/>
      <c r="AE473" s="6"/>
      <c r="AF473" s="6">
        <v>43497</v>
      </c>
      <c r="AG473" s="6"/>
      <c r="AH473" s="6"/>
      <c r="AI473" s="6"/>
      <c r="AJ473" s="6"/>
      <c r="AK473" s="6"/>
      <c r="AL473" s="6"/>
      <c r="AM473" s="6"/>
      <c r="AN473" s="6"/>
      <c r="AO473" s="6"/>
      <c r="AP473" s="6"/>
      <c r="AQ473" s="6">
        <v>43738</v>
      </c>
      <c r="AR473" s="6">
        <v>43794</v>
      </c>
      <c r="AS473" s="6"/>
      <c r="AT473" s="6"/>
      <c r="AU473" s="6">
        <v>43794</v>
      </c>
      <c r="AV473" s="6">
        <v>43783</v>
      </c>
      <c r="AW473" s="6"/>
      <c r="AX473" s="6"/>
      <c r="AY473" s="6"/>
      <c r="AZ473" s="6"/>
      <c r="BA473" s="6"/>
      <c r="BB473" s="6"/>
      <c r="BC473" s="6"/>
      <c r="BD473" s="6"/>
      <c r="BE473" s="6"/>
      <c r="BF473" s="6"/>
      <c r="BG473" s="6"/>
      <c r="BH473" s="6"/>
      <c r="BI473" s="6"/>
      <c r="BJ473" s="6"/>
      <c r="BK473" s="6"/>
      <c r="BL473" s="6"/>
      <c r="BM473" s="6">
        <v>43797</v>
      </c>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c r="FZ473" s="6"/>
      <c r="GA473" s="6"/>
      <c r="GB473" s="6"/>
      <c r="GC473" s="6"/>
      <c r="GD473" s="6"/>
      <c r="GE473" s="6"/>
      <c r="GF473" s="6"/>
      <c r="GG473" s="6"/>
      <c r="GH473" s="6"/>
      <c r="GI473" s="6"/>
      <c r="GJ473" s="6"/>
      <c r="GK473" s="6"/>
      <c r="GL473" s="6"/>
      <c r="GM473" s="6"/>
      <c r="GN473" s="6"/>
      <c r="GO473" s="6"/>
      <c r="GP473" s="6"/>
      <c r="GQ473" s="6"/>
      <c r="GR473" s="6"/>
      <c r="GS473" s="6"/>
      <c r="GT473" s="6"/>
      <c r="GU473" s="6"/>
      <c r="GV473" s="6"/>
      <c r="GW473" s="6"/>
      <c r="GX473" s="6"/>
      <c r="GY473" s="6"/>
      <c r="GZ473" s="6"/>
      <c r="HA473" s="6"/>
      <c r="HB473" s="6"/>
      <c r="HC473" s="6"/>
      <c r="HD473" s="6"/>
      <c r="HE473" s="6"/>
      <c r="HF473" s="6"/>
      <c r="HG473" s="6"/>
      <c r="HH473" s="6"/>
    </row>
    <row r="474" spans="1:216" x14ac:dyDescent="0.3">
      <c r="A474" s="8" t="str">
        <f>HYPERLINK("https://hpr-rps.hres.ca/reg-content/summary-basis-decision-detailTwo.php?lang=en&amp;linkID=SBD00486", "Nivestym")</f>
        <v>Nivestym</v>
      </c>
      <c r="B474" s="6" t="s">
        <v>755</v>
      </c>
      <c r="C474" s="6" t="s">
        <v>1089</v>
      </c>
      <c r="D474" s="6" t="s">
        <v>1214</v>
      </c>
      <c r="E474" s="6">
        <v>42809</v>
      </c>
      <c r="F474" s="6"/>
      <c r="G474" s="6"/>
      <c r="H474" s="6">
        <v>43159</v>
      </c>
      <c r="I474" s="6"/>
      <c r="J474" s="6"/>
      <c r="K474" s="6"/>
      <c r="L474" s="6"/>
      <c r="M474" s="6"/>
      <c r="N474" s="6"/>
      <c r="O474" s="6"/>
      <c r="P474" s="6"/>
      <c r="Q474" s="6"/>
      <c r="R474" s="6"/>
      <c r="S474" s="6"/>
      <c r="T474" s="6"/>
      <c r="U474" s="6"/>
      <c r="V474" s="6"/>
      <c r="W474" s="6"/>
      <c r="X474" s="6"/>
      <c r="Y474" s="6"/>
      <c r="Z474" s="6"/>
      <c r="AA474" s="6"/>
      <c r="AB474" s="6"/>
      <c r="AC474" s="6"/>
      <c r="AD474" s="6"/>
      <c r="AE474" s="6"/>
      <c r="AF474" s="6">
        <v>43206</v>
      </c>
      <c r="AG474" s="6"/>
      <c r="AH474" s="6"/>
      <c r="AI474" s="6"/>
      <c r="AJ474" s="6"/>
      <c r="AK474" s="6"/>
      <c r="AL474" s="6"/>
      <c r="AM474" s="6"/>
      <c r="AN474" s="6"/>
      <c r="AO474" s="6"/>
      <c r="AP474" s="6"/>
      <c r="AQ474" s="6">
        <v>43389</v>
      </c>
      <c r="AR474" s="6">
        <v>43502</v>
      </c>
      <c r="AS474" s="6"/>
      <c r="AT474" s="6"/>
      <c r="AU474" s="6"/>
      <c r="AV474" s="6">
        <v>43503</v>
      </c>
      <c r="AW474" s="6"/>
      <c r="AX474" s="6"/>
      <c r="AY474" s="6"/>
      <c r="AZ474" s="6">
        <v>43504</v>
      </c>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c r="FZ474" s="6"/>
      <c r="GA474" s="6"/>
      <c r="GB474" s="6"/>
      <c r="GC474" s="6"/>
      <c r="GD474" s="6"/>
      <c r="GE474" s="6"/>
      <c r="GF474" s="6"/>
      <c r="GG474" s="6"/>
      <c r="GH474" s="6"/>
      <c r="GI474" s="6"/>
      <c r="GJ474" s="6"/>
      <c r="GK474" s="6"/>
      <c r="GL474" s="6"/>
      <c r="GM474" s="6"/>
      <c r="GN474" s="6"/>
      <c r="GO474" s="6"/>
      <c r="GP474" s="6"/>
      <c r="GQ474" s="6"/>
      <c r="GR474" s="6"/>
      <c r="GS474" s="6"/>
      <c r="GT474" s="6"/>
      <c r="GU474" s="6"/>
      <c r="GV474" s="6"/>
      <c r="GW474" s="6"/>
      <c r="GX474" s="6"/>
      <c r="GY474" s="6"/>
      <c r="GZ474" s="6"/>
      <c r="HA474" s="6"/>
      <c r="HB474" s="6"/>
      <c r="HC474" s="6"/>
      <c r="HD474" s="6"/>
      <c r="HE474" s="6"/>
      <c r="HF474" s="6"/>
      <c r="HG474" s="6"/>
      <c r="HH474" s="6"/>
    </row>
    <row r="475" spans="1:216" x14ac:dyDescent="0.3">
      <c r="A475" s="8" t="str">
        <f>HYPERLINK("https://hpr-rps.hres.ca/reg-content/summary-basis-decision-detailTwo.php?lang=en&amp;linkID=SBD00487", "Ruxience")</f>
        <v>Ruxience</v>
      </c>
      <c r="B475" s="6" t="s">
        <v>1215</v>
      </c>
      <c r="C475" s="6" t="s">
        <v>1089</v>
      </c>
      <c r="D475" s="6" t="s">
        <v>1216</v>
      </c>
      <c r="E475" s="6">
        <v>43320</v>
      </c>
      <c r="F475" s="6"/>
      <c r="G475" s="6"/>
      <c r="H475" s="6">
        <v>43502</v>
      </c>
      <c r="I475" s="6"/>
      <c r="J475" s="6"/>
      <c r="K475" s="6"/>
      <c r="L475" s="6"/>
      <c r="M475" s="6"/>
      <c r="N475" s="6"/>
      <c r="O475" s="6"/>
      <c r="P475" s="6"/>
      <c r="Q475" s="6"/>
      <c r="R475" s="6"/>
      <c r="S475" s="6"/>
      <c r="T475" s="6"/>
      <c r="U475" s="6"/>
      <c r="V475" s="6"/>
      <c r="W475" s="6"/>
      <c r="X475" s="6"/>
      <c r="Y475" s="6"/>
      <c r="Z475" s="6"/>
      <c r="AA475" s="6"/>
      <c r="AB475" s="6"/>
      <c r="AC475" s="6"/>
      <c r="AD475" s="6"/>
      <c r="AE475" s="6"/>
      <c r="AF475" s="6">
        <v>43549</v>
      </c>
      <c r="AG475" s="6"/>
      <c r="AH475" s="6"/>
      <c r="AI475" s="6"/>
      <c r="AJ475" s="6"/>
      <c r="AK475" s="6"/>
      <c r="AL475" s="6"/>
      <c r="AM475" s="6"/>
      <c r="AN475" s="6"/>
      <c r="AO475" s="6"/>
      <c r="AP475" s="6"/>
      <c r="AQ475" s="6">
        <v>43776</v>
      </c>
      <c r="AR475" s="6">
        <v>43844</v>
      </c>
      <c r="AS475" s="6"/>
      <c r="AT475" s="6"/>
      <c r="AU475" s="6"/>
      <c r="AV475" s="6">
        <v>43839</v>
      </c>
      <c r="AW475" s="6"/>
      <c r="AX475" s="6"/>
      <c r="AY475" s="6"/>
      <c r="AZ475" s="6">
        <v>43822</v>
      </c>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c r="FZ475" s="6"/>
      <c r="GA475" s="6"/>
      <c r="GB475" s="6"/>
      <c r="GC475" s="6"/>
      <c r="GD475" s="6"/>
      <c r="GE475" s="6"/>
      <c r="GF475" s="6"/>
      <c r="GG475" s="6"/>
      <c r="GH475" s="6"/>
      <c r="GI475" s="6"/>
      <c r="GJ475" s="6"/>
      <c r="GK475" s="6"/>
      <c r="GL475" s="6"/>
      <c r="GM475" s="6"/>
      <c r="GN475" s="6"/>
      <c r="GO475" s="6"/>
      <c r="GP475" s="6"/>
      <c r="GQ475" s="6"/>
      <c r="GR475" s="6"/>
      <c r="GS475" s="6"/>
      <c r="GT475" s="6"/>
      <c r="GU475" s="6"/>
      <c r="GV475" s="6"/>
      <c r="GW475" s="6"/>
      <c r="GX475" s="6"/>
      <c r="GY475" s="6"/>
      <c r="GZ475" s="6"/>
      <c r="HA475" s="6"/>
      <c r="HB475" s="6"/>
      <c r="HC475" s="6"/>
      <c r="HD475" s="6"/>
      <c r="HE475" s="6"/>
      <c r="HF475" s="6"/>
      <c r="HG475" s="6"/>
      <c r="HH475" s="6"/>
    </row>
    <row r="476" spans="1:216" x14ac:dyDescent="0.3">
      <c r="A476" s="8" t="str">
        <f>HYPERLINK("https://hpr-rps.hres.ca/reg-content/summary-basis-decision-detailTwo.php?lang=en&amp;linkID=SBD00499", "Polivy")</f>
        <v>Polivy</v>
      </c>
      <c r="B476" s="6" t="s">
        <v>1217</v>
      </c>
      <c r="C476" s="6" t="s">
        <v>1218</v>
      </c>
      <c r="D476" s="6" t="s">
        <v>1219</v>
      </c>
      <c r="E476" s="6">
        <v>43488</v>
      </c>
      <c r="F476" s="6"/>
      <c r="G476" s="6"/>
      <c r="H476" s="6"/>
      <c r="I476" s="6"/>
      <c r="J476" s="6"/>
      <c r="K476" s="6"/>
      <c r="L476" s="6"/>
      <c r="M476" s="6"/>
      <c r="N476" s="6">
        <v>43532</v>
      </c>
      <c r="O476" s="6">
        <v>43740</v>
      </c>
      <c r="P476" s="6"/>
      <c r="Q476" s="6"/>
      <c r="R476" s="6"/>
      <c r="S476" s="6"/>
      <c r="T476" s="6">
        <v>43560</v>
      </c>
      <c r="U476" s="6"/>
      <c r="V476" s="6">
        <v>43742</v>
      </c>
      <c r="W476" s="6"/>
      <c r="X476" s="6"/>
      <c r="Y476" s="6"/>
      <c r="Z476" s="6"/>
      <c r="AA476" s="6"/>
      <c r="AB476" s="6"/>
      <c r="AC476" s="6"/>
      <c r="AD476" s="6"/>
      <c r="AE476" s="6"/>
      <c r="AF476" s="6">
        <v>43777</v>
      </c>
      <c r="AG476" s="6"/>
      <c r="AH476" s="6"/>
      <c r="AI476" s="6"/>
      <c r="AJ476" s="6"/>
      <c r="AK476" s="6"/>
      <c r="AL476" s="6"/>
      <c r="AM476" s="6"/>
      <c r="AN476" s="6"/>
      <c r="AO476" s="6"/>
      <c r="AP476" s="6"/>
      <c r="AQ476" s="6">
        <v>43945</v>
      </c>
      <c r="AR476" s="6">
        <v>43976</v>
      </c>
      <c r="AS476" s="6"/>
      <c r="AT476" s="6"/>
      <c r="AU476" s="6">
        <v>43973</v>
      </c>
      <c r="AV476" s="6">
        <v>43965</v>
      </c>
      <c r="AW476" s="6"/>
      <c r="AX476" s="6"/>
      <c r="AY476" s="6"/>
      <c r="AZ476" s="6"/>
      <c r="BA476" s="6"/>
      <c r="BB476" s="6"/>
      <c r="BC476" s="6"/>
      <c r="BD476" s="6"/>
      <c r="BE476" s="6"/>
      <c r="BF476" s="6"/>
      <c r="BG476" s="6"/>
      <c r="BH476" s="6"/>
      <c r="BI476" s="6"/>
      <c r="BJ476" s="6"/>
      <c r="BK476" s="6"/>
      <c r="BL476" s="6">
        <v>43977</v>
      </c>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v>44012</v>
      </c>
      <c r="CQ476" s="6"/>
      <c r="CR476" s="6"/>
      <c r="CS476" s="6"/>
      <c r="CT476" s="6"/>
      <c r="CU476" s="6"/>
      <c r="CV476" s="6"/>
      <c r="CW476" s="6"/>
      <c r="CX476" s="6"/>
      <c r="CY476" s="6"/>
      <c r="CZ476" s="6"/>
      <c r="DA476" s="6"/>
      <c r="DB476" s="6"/>
      <c r="DC476" s="6"/>
      <c r="DD476" s="6"/>
      <c r="DE476" s="6"/>
      <c r="DF476" s="6"/>
      <c r="DG476" s="6">
        <v>44021</v>
      </c>
      <c r="DH476" s="6"/>
      <c r="DI476" s="6"/>
      <c r="DJ476" s="6"/>
      <c r="DK476" s="6"/>
      <c r="DL476" s="6"/>
      <c r="DM476" s="6"/>
      <c r="DN476" s="6"/>
      <c r="DO476" s="6"/>
      <c r="DP476" s="6"/>
      <c r="DQ476" s="6"/>
      <c r="DR476" s="6"/>
      <c r="DS476" s="6"/>
      <c r="DT476" s="6">
        <v>43998</v>
      </c>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c r="FZ476" s="6"/>
      <c r="GA476" s="6"/>
      <c r="GB476" s="6"/>
      <c r="GC476" s="6"/>
      <c r="GD476" s="6"/>
      <c r="GE476" s="6"/>
      <c r="GF476" s="6"/>
      <c r="GG476" s="6"/>
      <c r="GH476" s="6"/>
      <c r="GI476" s="6"/>
      <c r="GJ476" s="6"/>
      <c r="GK476" s="6"/>
      <c r="GL476" s="6"/>
      <c r="GM476" s="6"/>
      <c r="GN476" s="6"/>
      <c r="GO476" s="6"/>
      <c r="GP476" s="6"/>
      <c r="GQ476" s="6"/>
      <c r="GR476" s="6"/>
      <c r="GS476" s="6"/>
      <c r="GT476" s="6"/>
      <c r="GU476" s="6"/>
      <c r="GV476" s="6"/>
      <c r="GW476" s="6"/>
      <c r="GX476" s="6"/>
      <c r="GY476" s="6"/>
      <c r="GZ476" s="6"/>
      <c r="HA476" s="6"/>
      <c r="HB476" s="6"/>
      <c r="HC476" s="6"/>
      <c r="HD476" s="6"/>
      <c r="HE476" s="6"/>
      <c r="HF476" s="6"/>
      <c r="HG476" s="6"/>
      <c r="HH476" s="6"/>
    </row>
    <row r="477" spans="1:216" x14ac:dyDescent="0.3">
      <c r="A477" s="8" t="str">
        <f>HYPERLINK("https://hpr-rps.hres.ca/reg-content/summary-basis-decision-detailTwo.php?lang=en&amp;linkID=SBD00488", "Ziextenzo")</f>
        <v>Ziextenzo</v>
      </c>
      <c r="B477" s="6" t="s">
        <v>1015</v>
      </c>
      <c r="C477" s="6" t="s">
        <v>1220</v>
      </c>
      <c r="D477" s="6" t="s">
        <v>1221</v>
      </c>
      <c r="E477" s="6"/>
      <c r="F477" s="6"/>
      <c r="G477" s="6"/>
      <c r="H477" s="6">
        <v>43563</v>
      </c>
      <c r="I477" s="6"/>
      <c r="J477" s="6"/>
      <c r="K477" s="6"/>
      <c r="L477" s="6"/>
      <c r="M477" s="6"/>
      <c r="N477" s="6"/>
      <c r="O477" s="6"/>
      <c r="P477" s="6"/>
      <c r="Q477" s="6"/>
      <c r="R477" s="6"/>
      <c r="S477" s="6"/>
      <c r="T477" s="6"/>
      <c r="U477" s="6"/>
      <c r="V477" s="6"/>
      <c r="W477" s="6"/>
      <c r="X477" s="6"/>
      <c r="Y477" s="6"/>
      <c r="Z477" s="6"/>
      <c r="AA477" s="6"/>
      <c r="AB477" s="6"/>
      <c r="AC477" s="6"/>
      <c r="AD477" s="6"/>
      <c r="AE477" s="6"/>
      <c r="AF477" s="6">
        <v>43612</v>
      </c>
      <c r="AG477" s="6"/>
      <c r="AH477" s="6"/>
      <c r="AI477" s="6"/>
      <c r="AJ477" s="6"/>
      <c r="AK477" s="6"/>
      <c r="AL477" s="6"/>
      <c r="AM477" s="6"/>
      <c r="AN477" s="6"/>
      <c r="AO477" s="6"/>
      <c r="AP477" s="6"/>
      <c r="AQ477" s="6">
        <v>43851</v>
      </c>
      <c r="AR477" s="6">
        <v>43912</v>
      </c>
      <c r="AS477" s="6"/>
      <c r="AT477" s="6"/>
      <c r="AU477" s="6"/>
      <c r="AV477" s="6">
        <v>43912</v>
      </c>
      <c r="AW477" s="6"/>
      <c r="AX477" s="6"/>
      <c r="AY477" s="6"/>
      <c r="AZ477" s="6">
        <v>43912</v>
      </c>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c r="FZ477" s="6"/>
      <c r="GA477" s="6"/>
      <c r="GB477" s="6"/>
      <c r="GC477" s="6"/>
      <c r="GD477" s="6"/>
      <c r="GE477" s="6"/>
      <c r="GF477" s="6"/>
      <c r="GG477" s="6"/>
      <c r="GH477" s="6"/>
      <c r="GI477" s="6"/>
      <c r="GJ477" s="6"/>
      <c r="GK477" s="6"/>
      <c r="GL477" s="6"/>
      <c r="GM477" s="6"/>
      <c r="GN477" s="6"/>
      <c r="GO477" s="6"/>
      <c r="GP477" s="6"/>
      <c r="GQ477" s="6"/>
      <c r="GR477" s="6"/>
      <c r="GS477" s="6"/>
      <c r="GT477" s="6"/>
      <c r="GU477" s="6"/>
      <c r="GV477" s="6"/>
      <c r="GW477" s="6"/>
      <c r="GX477" s="6"/>
      <c r="GY477" s="6"/>
      <c r="GZ477" s="6"/>
      <c r="HA477" s="6"/>
      <c r="HB477" s="6"/>
      <c r="HC477" s="6"/>
      <c r="HD477" s="6"/>
      <c r="HE477" s="6"/>
      <c r="HF477" s="6"/>
      <c r="HG477" s="6"/>
      <c r="HH477" s="6"/>
    </row>
    <row r="478" spans="1:216" x14ac:dyDescent="0.3">
      <c r="A478" s="8" t="str">
        <f>HYPERLINK("https://hpr-rps.hres.ca/reg-content/summary-basis-decision-detailTwo.php?lang=en&amp;linkID=SBD00489", "Beovu")</f>
        <v>Beovu</v>
      </c>
      <c r="B478" s="6" t="s">
        <v>1222</v>
      </c>
      <c r="C478" s="6" t="s">
        <v>87</v>
      </c>
      <c r="D478" s="6" t="s">
        <v>1223</v>
      </c>
      <c r="E478" s="6">
        <v>41781</v>
      </c>
      <c r="F478" s="6"/>
      <c r="G478" s="6"/>
      <c r="H478" s="6">
        <v>43650</v>
      </c>
      <c r="I478" s="6"/>
      <c r="J478" s="6"/>
      <c r="K478" s="6"/>
      <c r="L478" s="6"/>
      <c r="M478" s="6"/>
      <c r="N478" s="6"/>
      <c r="O478" s="6"/>
      <c r="P478" s="6"/>
      <c r="Q478" s="6"/>
      <c r="R478" s="6"/>
      <c r="S478" s="6"/>
      <c r="T478" s="6"/>
      <c r="U478" s="6"/>
      <c r="V478" s="6"/>
      <c r="W478" s="6"/>
      <c r="X478" s="6"/>
      <c r="Y478" s="6"/>
      <c r="Z478" s="6"/>
      <c r="AA478" s="6"/>
      <c r="AB478" s="6"/>
      <c r="AC478" s="6"/>
      <c r="AD478" s="6"/>
      <c r="AE478" s="6"/>
      <c r="AF478" s="6">
        <v>43697</v>
      </c>
      <c r="AG478" s="6"/>
      <c r="AH478" s="6"/>
      <c r="AI478" s="6"/>
      <c r="AJ478" s="6"/>
      <c r="AK478" s="6"/>
      <c r="AL478" s="6"/>
      <c r="AM478" s="6"/>
      <c r="AN478" s="6"/>
      <c r="AO478" s="6"/>
      <c r="AP478" s="6"/>
      <c r="AQ478" s="6">
        <v>43992</v>
      </c>
      <c r="AR478" s="6">
        <v>43993</v>
      </c>
      <c r="AS478" s="6">
        <v>43990</v>
      </c>
      <c r="AT478" s="6"/>
      <c r="AU478" s="6">
        <v>43993</v>
      </c>
      <c r="AV478" s="6">
        <v>43991</v>
      </c>
      <c r="AW478" s="6"/>
      <c r="AX478" s="6"/>
      <c r="AY478" s="6"/>
      <c r="AZ478" s="6"/>
      <c r="BA478" s="6"/>
      <c r="BB478" s="6"/>
      <c r="BC478" s="6"/>
      <c r="BD478" s="6"/>
      <c r="BE478" s="6"/>
      <c r="BF478" s="6"/>
      <c r="BG478" s="6"/>
      <c r="BH478" s="6"/>
      <c r="BI478" s="6"/>
      <c r="BJ478" s="6"/>
      <c r="BK478" s="6"/>
      <c r="BL478" s="6"/>
      <c r="BM478" s="6">
        <v>43994</v>
      </c>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c r="FZ478" s="6"/>
      <c r="GA478" s="6"/>
      <c r="GB478" s="6"/>
      <c r="GC478" s="6"/>
      <c r="GD478" s="6"/>
      <c r="GE478" s="6"/>
      <c r="GF478" s="6"/>
      <c r="GG478" s="6"/>
      <c r="GH478" s="6"/>
      <c r="GI478" s="6"/>
      <c r="GJ478" s="6"/>
      <c r="GK478" s="6"/>
      <c r="GL478" s="6"/>
      <c r="GM478" s="6"/>
      <c r="GN478" s="6"/>
      <c r="GO478" s="6"/>
      <c r="GP478" s="6"/>
      <c r="GQ478" s="6"/>
      <c r="GR478" s="6"/>
      <c r="GS478" s="6"/>
      <c r="GT478" s="6"/>
      <c r="GU478" s="6"/>
      <c r="GV478" s="6"/>
      <c r="GW478" s="6"/>
      <c r="GX478" s="6"/>
      <c r="GY478" s="6"/>
      <c r="GZ478" s="6"/>
      <c r="HA478" s="6"/>
      <c r="HB478" s="6"/>
      <c r="HC478" s="6"/>
      <c r="HD478" s="6"/>
      <c r="HE478" s="6"/>
      <c r="HF478" s="6"/>
      <c r="HG478" s="6"/>
      <c r="HH478" s="6"/>
    </row>
    <row r="479" spans="1:216" x14ac:dyDescent="0.3">
      <c r="A479" s="8" t="str">
        <f>HYPERLINK("https://hpr-rps.hres.ca/reg-content/summary-basis-decision-detailTwo.php?lang=en&amp;linkID=SBD00490", "Odomzo")</f>
        <v>Odomzo</v>
      </c>
      <c r="B479" s="6" t="s">
        <v>1224</v>
      </c>
      <c r="C479" s="6" t="s">
        <v>1225</v>
      </c>
      <c r="D479" s="6" t="s">
        <v>1226</v>
      </c>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c r="FZ479" s="6"/>
      <c r="GA479" s="6"/>
      <c r="GB479" s="6"/>
      <c r="GC479" s="6"/>
      <c r="GD479" s="6"/>
      <c r="GE479" s="6"/>
      <c r="GF479" s="6"/>
      <c r="GG479" s="6"/>
      <c r="GH479" s="6"/>
      <c r="GI479" s="6"/>
      <c r="GJ479" s="6"/>
      <c r="GK479" s="6"/>
      <c r="GL479" s="6"/>
      <c r="GM479" s="6"/>
      <c r="GN479" s="6"/>
      <c r="GO479" s="6"/>
      <c r="GP479" s="6"/>
      <c r="GQ479" s="6"/>
      <c r="GR479" s="6"/>
      <c r="GS479" s="6"/>
      <c r="GT479" s="6"/>
      <c r="GU479" s="6"/>
      <c r="GV479" s="6"/>
      <c r="GW479" s="6"/>
      <c r="GX479" s="6"/>
      <c r="GY479" s="6"/>
      <c r="GZ479" s="6"/>
      <c r="HA479" s="6"/>
      <c r="HB479" s="6"/>
      <c r="HC479" s="6"/>
      <c r="HD479" s="6"/>
      <c r="HE479" s="6"/>
      <c r="HF479" s="6"/>
      <c r="HG479" s="6"/>
      <c r="HH479" s="6"/>
    </row>
    <row r="480" spans="1:216" x14ac:dyDescent="0.3">
      <c r="A480" s="8" t="str">
        <f>HYPERLINK("https://hpr-rps.hres.ca/reg-content/summary-basis-decision-detailTwo.php?lang=en&amp;linkID=SBD00491", "Veklury")</f>
        <v>Veklury</v>
      </c>
      <c r="B480" s="6" t="s">
        <v>1227</v>
      </c>
      <c r="C480" s="6" t="s">
        <v>134</v>
      </c>
      <c r="D480" s="6" t="s">
        <v>1228</v>
      </c>
      <c r="E480" s="6">
        <v>43994</v>
      </c>
      <c r="F480" s="6"/>
      <c r="G480" s="6"/>
      <c r="H480" s="6">
        <v>44001</v>
      </c>
      <c r="I480" s="6"/>
      <c r="J480" s="6"/>
      <c r="K480" s="6"/>
      <c r="L480" s="6"/>
      <c r="M480" s="6"/>
      <c r="N480" s="6"/>
      <c r="O480" s="6"/>
      <c r="P480" s="6"/>
      <c r="Q480" s="6"/>
      <c r="R480" s="6"/>
      <c r="S480" s="6"/>
      <c r="T480" s="6"/>
      <c r="U480" s="6"/>
      <c r="V480" s="6"/>
      <c r="W480" s="6"/>
      <c r="X480" s="6"/>
      <c r="Y480" s="6"/>
      <c r="Z480" s="6"/>
      <c r="AA480" s="6"/>
      <c r="AB480" s="6"/>
      <c r="AC480" s="6"/>
      <c r="AD480" s="6"/>
      <c r="AE480" s="6"/>
      <c r="AF480" s="6">
        <v>44033</v>
      </c>
      <c r="AG480" s="6"/>
      <c r="AH480" s="6"/>
      <c r="AI480" s="6"/>
      <c r="AJ480" s="6"/>
      <c r="AK480" s="6"/>
      <c r="AL480" s="6"/>
      <c r="AM480" s="6"/>
      <c r="AN480" s="6"/>
      <c r="AO480" s="6"/>
      <c r="AP480" s="6"/>
      <c r="AQ480" s="6">
        <v>44033</v>
      </c>
      <c r="AR480" s="6">
        <v>44035</v>
      </c>
      <c r="AS480" s="6"/>
      <c r="AT480" s="6"/>
      <c r="AU480" s="6">
        <v>44034</v>
      </c>
      <c r="AV480" s="6">
        <v>44034</v>
      </c>
      <c r="AW480" s="6"/>
      <c r="AX480" s="6"/>
      <c r="AY480" s="6"/>
      <c r="AZ480" s="6"/>
      <c r="BA480" s="6"/>
      <c r="BB480" s="6"/>
      <c r="BC480" s="6"/>
      <c r="BD480" s="6"/>
      <c r="BE480" s="6"/>
      <c r="BF480" s="6"/>
      <c r="BG480" s="6"/>
      <c r="BH480" s="6"/>
      <c r="BI480" s="6"/>
      <c r="BJ480" s="6"/>
      <c r="BK480" s="6">
        <v>44036</v>
      </c>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v>44037</v>
      </c>
      <c r="CQ480" s="6">
        <v>44036</v>
      </c>
      <c r="CR480" s="6"/>
      <c r="CS480" s="6"/>
      <c r="CT480" s="6"/>
      <c r="CU480" s="6"/>
      <c r="CV480" s="6"/>
      <c r="CW480" s="6"/>
      <c r="CX480" s="6"/>
      <c r="CY480" s="6"/>
      <c r="CZ480" s="6"/>
      <c r="DA480" s="6"/>
      <c r="DB480" s="6"/>
      <c r="DC480" s="6"/>
      <c r="DD480" s="6"/>
      <c r="DE480" s="6"/>
      <c r="DF480" s="6"/>
      <c r="DG480" s="6">
        <v>44039</v>
      </c>
      <c r="DH480" s="6"/>
      <c r="DI480" s="6"/>
      <c r="DJ480" s="6"/>
      <c r="DK480" s="6"/>
      <c r="DL480" s="6"/>
      <c r="DM480" s="6"/>
      <c r="DN480" s="6"/>
      <c r="DO480" s="6"/>
      <c r="DP480" s="6"/>
      <c r="DQ480" s="6"/>
      <c r="DR480" s="6"/>
      <c r="DS480" s="6"/>
      <c r="DT480" s="6">
        <v>44036</v>
      </c>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c r="FZ480" s="6"/>
      <c r="GA480" s="6"/>
      <c r="GB480" s="6"/>
      <c r="GC480" s="6"/>
      <c r="GD480" s="6"/>
      <c r="GE480" s="6"/>
      <c r="GF480" s="6"/>
      <c r="GG480" s="6"/>
      <c r="GH480" s="6"/>
      <c r="GI480" s="6"/>
      <c r="GJ480" s="6"/>
      <c r="GK480" s="6"/>
      <c r="GL480" s="6"/>
      <c r="GM480" s="6"/>
      <c r="GN480" s="6"/>
      <c r="GO480" s="6"/>
      <c r="GP480" s="6"/>
      <c r="GQ480" s="6"/>
      <c r="GR480" s="6"/>
      <c r="GS480" s="6"/>
      <c r="GT480" s="6"/>
      <c r="GU480" s="6"/>
      <c r="GV480" s="6"/>
      <c r="GW480" s="6"/>
      <c r="GX480" s="6"/>
      <c r="GY480" s="6"/>
      <c r="GZ480" s="6"/>
      <c r="HA480" s="6"/>
      <c r="HB480" s="6"/>
      <c r="HC480" s="6"/>
      <c r="HD480" s="6"/>
      <c r="HE480" s="6"/>
      <c r="HF480" s="6"/>
      <c r="HG480" s="6"/>
      <c r="HH480" s="6"/>
    </row>
    <row r="481" spans="1:216" x14ac:dyDescent="0.3">
      <c r="A481" s="8" t="str">
        <f>HYPERLINK("https://hpr-rps.hres.ca/reg-content/summary-basis-decision-detailTwo.php?lang=en&amp;linkID=SBD00492", "Ibsrela")</f>
        <v>Ibsrela</v>
      </c>
      <c r="B481" s="6" t="s">
        <v>1229</v>
      </c>
      <c r="C481" s="6" t="s">
        <v>1018</v>
      </c>
      <c r="D481" s="6" t="s">
        <v>1230</v>
      </c>
      <c r="E481" s="6">
        <v>43419</v>
      </c>
      <c r="F481" s="6"/>
      <c r="G481" s="6"/>
      <c r="H481" s="6">
        <v>43522</v>
      </c>
      <c r="I481" s="6"/>
      <c r="J481" s="6"/>
      <c r="K481" s="6"/>
      <c r="L481" s="6"/>
      <c r="M481" s="6"/>
      <c r="N481" s="6"/>
      <c r="O481" s="6"/>
      <c r="P481" s="6"/>
      <c r="Q481" s="6"/>
      <c r="R481" s="6"/>
      <c r="S481" s="6"/>
      <c r="T481" s="6"/>
      <c r="U481" s="6"/>
      <c r="V481" s="6"/>
      <c r="W481" s="6"/>
      <c r="X481" s="6"/>
      <c r="Y481" s="6"/>
      <c r="Z481" s="6">
        <v>43572</v>
      </c>
      <c r="AA481" s="6"/>
      <c r="AB481" s="6"/>
      <c r="AC481" s="6">
        <v>43594</v>
      </c>
      <c r="AD481" s="6"/>
      <c r="AE481" s="6"/>
      <c r="AF481" s="6">
        <v>43636</v>
      </c>
      <c r="AG481" s="6"/>
      <c r="AH481" s="6"/>
      <c r="AI481" s="6"/>
      <c r="AJ481" s="6"/>
      <c r="AK481" s="6"/>
      <c r="AL481" s="6"/>
      <c r="AM481" s="6"/>
      <c r="AN481" s="6"/>
      <c r="AO481" s="6"/>
      <c r="AP481" s="6"/>
      <c r="AQ481" s="6">
        <v>43899</v>
      </c>
      <c r="AR481" s="6">
        <v>43935</v>
      </c>
      <c r="AS481" s="6"/>
      <c r="AT481" s="6"/>
      <c r="AU481" s="6">
        <v>43928</v>
      </c>
      <c r="AV481" s="6">
        <v>43923</v>
      </c>
      <c r="AW481" s="6"/>
      <c r="AX481" s="6"/>
      <c r="AY481" s="6"/>
      <c r="AZ481" s="6"/>
      <c r="BA481" s="6"/>
      <c r="BB481" s="6"/>
      <c r="BC481" s="6"/>
      <c r="BD481" s="6"/>
      <c r="BE481" s="6"/>
      <c r="BF481" s="6"/>
      <c r="BG481" s="6"/>
      <c r="BH481" s="6"/>
      <c r="BI481" s="6"/>
      <c r="BJ481" s="6"/>
      <c r="BK481" s="6"/>
      <c r="BL481" s="6"/>
      <c r="BM481" s="6">
        <v>43936</v>
      </c>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row>
    <row r="482" spans="1:216" x14ac:dyDescent="0.3">
      <c r="A482" s="8" t="str">
        <f>HYPERLINK("https://hpr-rps.hres.ca/reg-content/summary-basis-decision-detailTwo.php?lang=en&amp;linkID=SBD00493", "Piqray")</f>
        <v>Piqray</v>
      </c>
      <c r="B482" s="6" t="s">
        <v>1231</v>
      </c>
      <c r="C482" s="6" t="s">
        <v>87</v>
      </c>
      <c r="D482" s="6" t="s">
        <v>1232</v>
      </c>
      <c r="E482" s="6">
        <v>43487</v>
      </c>
      <c r="F482" s="6"/>
      <c r="G482" s="6"/>
      <c r="H482" s="6">
        <v>43572</v>
      </c>
      <c r="I482" s="6"/>
      <c r="J482" s="6"/>
      <c r="K482" s="6"/>
      <c r="L482" s="6"/>
      <c r="M482" s="6"/>
      <c r="N482" s="6"/>
      <c r="O482" s="6"/>
      <c r="P482" s="6"/>
      <c r="Q482" s="6"/>
      <c r="R482" s="6"/>
      <c r="S482" s="6"/>
      <c r="T482" s="6"/>
      <c r="U482" s="6"/>
      <c r="V482" s="6"/>
      <c r="W482" s="6"/>
      <c r="X482" s="6"/>
      <c r="Y482" s="6"/>
      <c r="Z482" s="6"/>
      <c r="AA482" s="6"/>
      <c r="AB482" s="6"/>
      <c r="AC482" s="6"/>
      <c r="AD482" s="6"/>
      <c r="AE482" s="6"/>
      <c r="AF482" s="6">
        <v>43602</v>
      </c>
      <c r="AG482" s="6"/>
      <c r="AH482" s="6"/>
      <c r="AI482" s="6"/>
      <c r="AJ482" s="6"/>
      <c r="AK482" s="6"/>
      <c r="AL482" s="6"/>
      <c r="AM482" s="6"/>
      <c r="AN482" s="6"/>
      <c r="AO482" s="6"/>
      <c r="AP482" s="6"/>
      <c r="AQ482" s="6">
        <v>43866</v>
      </c>
      <c r="AR482" s="6">
        <v>43901</v>
      </c>
      <c r="AS482" s="6">
        <v>43892</v>
      </c>
      <c r="AT482" s="6"/>
      <c r="AU482" s="6">
        <v>43901</v>
      </c>
      <c r="AV482" s="6">
        <v>43900</v>
      </c>
      <c r="AW482" s="6"/>
      <c r="AX482" s="6"/>
      <c r="AY482" s="6"/>
      <c r="AZ482" s="6"/>
      <c r="BA482" s="6"/>
      <c r="BB482" s="6"/>
      <c r="BC482" s="6"/>
      <c r="BD482" s="6"/>
      <c r="BE482" s="6"/>
      <c r="BF482" s="6"/>
      <c r="BG482" s="6"/>
      <c r="BH482" s="6"/>
      <c r="BI482" s="6"/>
      <c r="BJ482" s="6"/>
      <c r="BK482" s="6"/>
      <c r="BL482" s="6"/>
      <c r="BM482" s="6">
        <v>43901</v>
      </c>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c r="FZ482" s="6"/>
      <c r="GA482" s="6"/>
      <c r="GB482" s="6"/>
      <c r="GC482" s="6"/>
      <c r="GD482" s="6"/>
      <c r="GE482" s="6"/>
      <c r="GF482" s="6"/>
      <c r="GG482" s="6"/>
      <c r="GH482" s="6"/>
      <c r="GI482" s="6"/>
      <c r="GJ482" s="6"/>
      <c r="GK482" s="6"/>
      <c r="GL482" s="6"/>
      <c r="GM482" s="6"/>
      <c r="GN482" s="6"/>
      <c r="GO482" s="6"/>
      <c r="GP482" s="6"/>
      <c r="GQ482" s="6"/>
      <c r="GR482" s="6"/>
      <c r="GS482" s="6"/>
      <c r="GT482" s="6"/>
      <c r="GU482" s="6"/>
      <c r="GV482" s="6"/>
      <c r="GW482" s="6"/>
      <c r="GX482" s="6"/>
      <c r="GY482" s="6"/>
      <c r="GZ482" s="6"/>
      <c r="HA482" s="6"/>
      <c r="HB482" s="6"/>
      <c r="HC482" s="6"/>
      <c r="HD482" s="6"/>
      <c r="HE482" s="6"/>
      <c r="HF482" s="6"/>
      <c r="HG482" s="6"/>
      <c r="HH482" s="6"/>
    </row>
    <row r="483" spans="1:216" x14ac:dyDescent="0.3">
      <c r="A483" s="8" t="str">
        <f>HYPERLINK("https://hpr-rps.hres.ca/reg-content/summary-basis-decision-detailTwo.php?lang=en&amp;linkID=SBD00494", "Riximyo")</f>
        <v>Riximyo</v>
      </c>
      <c r="B483" s="6" t="s">
        <v>1215</v>
      </c>
      <c r="C483" s="6" t="s">
        <v>932</v>
      </c>
      <c r="D483" s="6" t="s">
        <v>1233</v>
      </c>
      <c r="E483" s="6">
        <v>40884</v>
      </c>
      <c r="F483" s="6"/>
      <c r="G483" s="6"/>
      <c r="H483" s="6">
        <v>43154</v>
      </c>
      <c r="I483" s="6"/>
      <c r="J483" s="6"/>
      <c r="K483" s="6"/>
      <c r="L483" s="6"/>
      <c r="M483" s="6"/>
      <c r="N483" s="6"/>
      <c r="O483" s="6"/>
      <c r="P483" s="6"/>
      <c r="Q483" s="6"/>
      <c r="R483" s="6"/>
      <c r="S483" s="6"/>
      <c r="T483" s="6"/>
      <c r="U483" s="6"/>
      <c r="V483" s="6"/>
      <c r="W483" s="6"/>
      <c r="X483" s="6"/>
      <c r="Y483" s="6"/>
      <c r="Z483" s="6"/>
      <c r="AA483" s="6"/>
      <c r="AB483" s="6"/>
      <c r="AC483" s="6"/>
      <c r="AD483" s="6"/>
      <c r="AE483" s="6"/>
      <c r="AF483" s="6">
        <v>43210</v>
      </c>
      <c r="AG483" s="6"/>
      <c r="AH483" s="6"/>
      <c r="AI483" s="6"/>
      <c r="AJ483" s="6"/>
      <c r="AK483" s="6"/>
      <c r="AL483" s="6"/>
      <c r="AM483" s="6"/>
      <c r="AN483" s="6"/>
      <c r="AO483" s="6"/>
      <c r="AP483" s="6"/>
      <c r="AQ483" s="6">
        <v>43423</v>
      </c>
      <c r="AR483" s="6"/>
      <c r="AS483" s="6"/>
      <c r="AT483" s="6"/>
      <c r="AU483" s="6"/>
      <c r="AV483" s="6">
        <v>43458</v>
      </c>
      <c r="AW483" s="6"/>
      <c r="AX483" s="6"/>
      <c r="AY483" s="6"/>
      <c r="AZ483" s="6">
        <v>43451</v>
      </c>
      <c r="BA483" s="6"/>
      <c r="BB483" s="6"/>
      <c r="BC483" s="6"/>
      <c r="BD483" s="6"/>
      <c r="BE483" s="6"/>
      <c r="BF483" s="6"/>
      <c r="BG483" s="6"/>
      <c r="BH483" s="6"/>
      <c r="BI483" s="6"/>
      <c r="BJ483" s="6"/>
      <c r="BK483" s="6"/>
      <c r="BL483" s="6"/>
      <c r="BM483" s="6"/>
      <c r="BN483" s="6"/>
      <c r="BO483" s="6"/>
      <c r="BP483" s="6">
        <v>43462</v>
      </c>
      <c r="BQ483" s="6"/>
      <c r="BR483" s="6"/>
      <c r="BS483" s="6"/>
      <c r="BT483" s="6"/>
      <c r="BU483" s="6"/>
      <c r="BV483" s="6"/>
      <c r="BW483" s="6"/>
      <c r="BX483" s="6"/>
      <c r="BY483" s="6">
        <v>43644</v>
      </c>
      <c r="BZ483" s="6"/>
      <c r="CA483" s="6"/>
      <c r="CB483" s="6"/>
      <c r="CC483" s="6"/>
      <c r="CD483" s="6"/>
      <c r="CE483" s="6"/>
      <c r="CF483" s="6"/>
      <c r="CG483" s="6"/>
      <c r="CH483" s="6"/>
      <c r="CI483" s="6"/>
      <c r="CJ483" s="6"/>
      <c r="CK483" s="6"/>
      <c r="CL483" s="6"/>
      <c r="CM483" s="6"/>
      <c r="CN483" s="6"/>
      <c r="CO483" s="6"/>
      <c r="CP483" s="6"/>
      <c r="CQ483" s="6"/>
      <c r="CR483" s="6">
        <v>43651</v>
      </c>
      <c r="CS483" s="6"/>
      <c r="CT483" s="6"/>
      <c r="CU483" s="6"/>
      <c r="CV483" s="6"/>
      <c r="CW483" s="6"/>
      <c r="CX483" s="6"/>
      <c r="CY483" s="6"/>
      <c r="CZ483" s="6"/>
      <c r="DA483" s="6"/>
      <c r="DB483" s="6"/>
      <c r="DC483" s="6">
        <v>43894</v>
      </c>
      <c r="DD483" s="6"/>
      <c r="DE483" s="6"/>
      <c r="DF483" s="6"/>
      <c r="DG483" s="6"/>
      <c r="DH483" s="6">
        <v>43945</v>
      </c>
      <c r="DI483" s="6"/>
      <c r="DJ483" s="6"/>
      <c r="DK483" s="6"/>
      <c r="DL483" s="6">
        <v>43928</v>
      </c>
      <c r="DM483" s="6"/>
      <c r="DN483" s="6"/>
      <c r="DO483" s="6"/>
      <c r="DP483" s="6"/>
      <c r="DQ483" s="6"/>
      <c r="DR483" s="6"/>
      <c r="DS483" s="6"/>
      <c r="DT483" s="6"/>
      <c r="DU483" s="6"/>
      <c r="DV483" s="6"/>
      <c r="DW483" s="6"/>
      <c r="DX483" s="6"/>
      <c r="DY483" s="6">
        <v>43949</v>
      </c>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c r="FZ483" s="6"/>
      <c r="GA483" s="6"/>
      <c r="GB483" s="6"/>
      <c r="GC483" s="6"/>
      <c r="GD483" s="6"/>
      <c r="GE483" s="6"/>
      <c r="GF483" s="6"/>
      <c r="GG483" s="6"/>
      <c r="GH483" s="6"/>
      <c r="GI483" s="6"/>
      <c r="GJ483" s="6"/>
      <c r="GK483" s="6"/>
      <c r="GL483" s="6"/>
      <c r="GM483" s="6"/>
      <c r="GN483" s="6"/>
      <c r="GO483" s="6"/>
      <c r="GP483" s="6"/>
      <c r="GQ483" s="6"/>
      <c r="GR483" s="6"/>
      <c r="GS483" s="6"/>
      <c r="GT483" s="6"/>
      <c r="GU483" s="6"/>
      <c r="GV483" s="6"/>
      <c r="GW483" s="6"/>
      <c r="GX483" s="6"/>
      <c r="GY483" s="6"/>
      <c r="GZ483" s="6"/>
      <c r="HA483" s="6"/>
      <c r="HB483" s="6"/>
      <c r="HC483" s="6"/>
      <c r="HD483" s="6"/>
      <c r="HE483" s="6"/>
      <c r="HF483" s="6"/>
      <c r="HG483" s="6"/>
      <c r="HH483" s="6"/>
    </row>
    <row r="484" spans="1:216" x14ac:dyDescent="0.3">
      <c r="A484" s="8" t="str">
        <f>HYPERLINK("https://hpr-rps.hres.ca/reg-content/summary-basis-decision-detailTwo.php?lang=en&amp;linkID=SBD00495", "Enspryng")</f>
        <v>Enspryng</v>
      </c>
      <c r="B484" s="6" t="s">
        <v>1234</v>
      </c>
      <c r="C484" s="6" t="s">
        <v>1218</v>
      </c>
      <c r="D484" s="6" t="s">
        <v>1235</v>
      </c>
      <c r="E484" s="6"/>
      <c r="F484" s="6"/>
      <c r="G484" s="6"/>
      <c r="H484" s="6">
        <v>43563</v>
      </c>
      <c r="I484" s="6"/>
      <c r="J484" s="6"/>
      <c r="K484" s="6"/>
      <c r="L484" s="6"/>
      <c r="M484" s="6"/>
      <c r="N484" s="6"/>
      <c r="O484" s="6"/>
      <c r="P484" s="6"/>
      <c r="Q484" s="6"/>
      <c r="R484" s="6"/>
      <c r="S484" s="6"/>
      <c r="T484" s="6"/>
      <c r="U484" s="6"/>
      <c r="V484" s="6"/>
      <c r="W484" s="6"/>
      <c r="X484" s="6"/>
      <c r="Y484" s="6"/>
      <c r="Z484" s="6"/>
      <c r="AA484" s="6"/>
      <c r="AB484" s="6"/>
      <c r="AC484" s="6"/>
      <c r="AD484" s="6"/>
      <c r="AE484" s="6"/>
      <c r="AF484" s="6">
        <v>43612</v>
      </c>
      <c r="AG484" s="6"/>
      <c r="AH484" s="6"/>
      <c r="AI484" s="6"/>
      <c r="AJ484" s="6"/>
      <c r="AK484" s="6"/>
      <c r="AL484" s="6"/>
      <c r="AM484" s="6"/>
      <c r="AN484" s="6"/>
      <c r="AO484" s="6"/>
      <c r="AP484" s="6"/>
      <c r="AQ484" s="6">
        <v>43851</v>
      </c>
      <c r="AR484" s="6">
        <v>43912</v>
      </c>
      <c r="AS484" s="6"/>
      <c r="AT484" s="6"/>
      <c r="AU484" s="6"/>
      <c r="AV484" s="6">
        <v>43912</v>
      </c>
      <c r="AW484" s="6"/>
      <c r="AX484" s="6"/>
      <c r="AY484" s="6"/>
      <c r="AZ484" s="6">
        <v>43912</v>
      </c>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c r="FZ484" s="6"/>
      <c r="GA484" s="6"/>
      <c r="GB484" s="6"/>
      <c r="GC484" s="6"/>
      <c r="GD484" s="6"/>
      <c r="GE484" s="6"/>
      <c r="GF484" s="6"/>
      <c r="GG484" s="6"/>
      <c r="GH484" s="6"/>
      <c r="GI484" s="6"/>
      <c r="GJ484" s="6"/>
      <c r="GK484" s="6"/>
      <c r="GL484" s="6"/>
      <c r="GM484" s="6"/>
      <c r="GN484" s="6"/>
      <c r="GO484" s="6"/>
      <c r="GP484" s="6"/>
      <c r="GQ484" s="6"/>
      <c r="GR484" s="6"/>
      <c r="GS484" s="6"/>
      <c r="GT484" s="6"/>
      <c r="GU484" s="6"/>
      <c r="GV484" s="6"/>
      <c r="GW484" s="6"/>
      <c r="GX484" s="6"/>
      <c r="GY484" s="6"/>
      <c r="GZ484" s="6"/>
      <c r="HA484" s="6"/>
      <c r="HB484" s="6"/>
      <c r="HC484" s="6"/>
      <c r="HD484" s="6"/>
      <c r="HE484" s="6"/>
      <c r="HF484" s="6"/>
      <c r="HG484" s="6"/>
      <c r="HH484" s="6"/>
    </row>
    <row r="485" spans="1:216" x14ac:dyDescent="0.3">
      <c r="A485" s="8" t="str">
        <f>HYPERLINK("https://hpr-rps.hres.ca/reg-content/summary-basis-decision-detailTwo.php?lang=en&amp;linkID=SBD00496", "Inqovi")</f>
        <v>Inqovi</v>
      </c>
      <c r="B485" s="6" t="s">
        <v>1236</v>
      </c>
      <c r="C485" s="6" t="s">
        <v>914</v>
      </c>
      <c r="D485" s="6" t="s">
        <v>1237</v>
      </c>
      <c r="E485" s="6">
        <v>43704</v>
      </c>
      <c r="F485" s="6"/>
      <c r="G485" s="6"/>
      <c r="H485" s="6"/>
      <c r="I485" s="6"/>
      <c r="J485" s="6"/>
      <c r="K485" s="6"/>
      <c r="L485" s="6"/>
      <c r="M485" s="6"/>
      <c r="N485" s="6">
        <v>43714</v>
      </c>
      <c r="O485" s="6"/>
      <c r="P485" s="6"/>
      <c r="Q485" s="6"/>
      <c r="R485" s="6"/>
      <c r="S485" s="6">
        <v>43725</v>
      </c>
      <c r="T485" s="6"/>
      <c r="U485" s="6"/>
      <c r="V485" s="6">
        <v>43784</v>
      </c>
      <c r="W485" s="6"/>
      <c r="X485" s="6"/>
      <c r="Y485" s="6"/>
      <c r="Z485" s="6"/>
      <c r="AA485" s="6"/>
      <c r="AB485" s="6"/>
      <c r="AC485" s="6"/>
      <c r="AD485" s="6"/>
      <c r="AE485" s="6"/>
      <c r="AF485" s="6">
        <v>43803</v>
      </c>
      <c r="AG485" s="6"/>
      <c r="AH485" s="6"/>
      <c r="AI485" s="6"/>
      <c r="AJ485" s="6"/>
      <c r="AK485" s="6"/>
      <c r="AL485" s="6"/>
      <c r="AM485" s="6"/>
      <c r="AN485" s="6"/>
      <c r="AO485" s="6"/>
      <c r="AP485" s="6"/>
      <c r="AQ485" s="6">
        <v>43920</v>
      </c>
      <c r="AR485" s="6">
        <v>43980</v>
      </c>
      <c r="AS485" s="6"/>
      <c r="AT485" s="6"/>
      <c r="AU485" s="6">
        <v>43983</v>
      </c>
      <c r="AV485" s="6">
        <v>43980</v>
      </c>
      <c r="AW485" s="6"/>
      <c r="AX485" s="6"/>
      <c r="AY485" s="6"/>
      <c r="AZ485" s="6"/>
      <c r="BA485" s="6"/>
      <c r="BB485" s="6"/>
      <c r="BC485" s="6"/>
      <c r="BD485" s="6"/>
      <c r="BE485" s="6"/>
      <c r="BF485" s="6"/>
      <c r="BG485" s="6"/>
      <c r="BH485" s="6"/>
      <c r="BI485" s="6"/>
      <c r="BJ485" s="6"/>
      <c r="BK485" s="6"/>
      <c r="BL485" s="6"/>
      <c r="BM485" s="6">
        <v>43983</v>
      </c>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c r="FZ485" s="6"/>
      <c r="GA485" s="6"/>
      <c r="GB485" s="6"/>
      <c r="GC485" s="6"/>
      <c r="GD485" s="6"/>
      <c r="GE485" s="6"/>
      <c r="GF485" s="6"/>
      <c r="GG485" s="6"/>
      <c r="GH485" s="6"/>
      <c r="GI485" s="6"/>
      <c r="GJ485" s="6"/>
      <c r="GK485" s="6"/>
      <c r="GL485" s="6"/>
      <c r="GM485" s="6"/>
      <c r="GN485" s="6"/>
      <c r="GO485" s="6"/>
      <c r="GP485" s="6"/>
      <c r="GQ485" s="6"/>
      <c r="GR485" s="6"/>
      <c r="GS485" s="6"/>
      <c r="GT485" s="6"/>
      <c r="GU485" s="6"/>
      <c r="GV485" s="6"/>
      <c r="GW485" s="6"/>
      <c r="GX485" s="6"/>
      <c r="GY485" s="6"/>
      <c r="GZ485" s="6"/>
      <c r="HA485" s="6"/>
      <c r="HB485" s="6"/>
      <c r="HC485" s="6"/>
      <c r="HD485" s="6"/>
      <c r="HE485" s="6"/>
      <c r="HF485" s="6"/>
      <c r="HG485" s="6"/>
      <c r="HH485" s="6"/>
    </row>
    <row r="486" spans="1:216" x14ac:dyDescent="0.3">
      <c r="A486" s="8" t="str">
        <f>HYPERLINK("https://hpr-rps.hres.ca/reg-content/summary-basis-decision-detailTwo.php?lang=en&amp;linkID=SBD00497", "Qinlock")</f>
        <v>Qinlock</v>
      </c>
      <c r="B486" s="6" t="s">
        <v>1238</v>
      </c>
      <c r="C486" s="6" t="s">
        <v>1239</v>
      </c>
      <c r="D486" s="6" t="s">
        <v>1240</v>
      </c>
      <c r="E486" s="6"/>
      <c r="F486" s="6"/>
      <c r="G486" s="6"/>
      <c r="H486" s="6"/>
      <c r="I486" s="6"/>
      <c r="J486" s="6"/>
      <c r="K486" s="6"/>
      <c r="L486" s="6"/>
      <c r="M486" s="6"/>
      <c r="N486" s="6">
        <v>43803</v>
      </c>
      <c r="O486" s="6"/>
      <c r="P486" s="6"/>
      <c r="Q486" s="6"/>
      <c r="R486" s="6"/>
      <c r="S486" s="6">
        <v>43837</v>
      </c>
      <c r="T486" s="6"/>
      <c r="U486" s="6"/>
      <c r="V486" s="6">
        <v>43822</v>
      </c>
      <c r="W486" s="6"/>
      <c r="X486" s="6"/>
      <c r="Y486" s="6"/>
      <c r="Z486" s="6">
        <v>43843</v>
      </c>
      <c r="AA486" s="6"/>
      <c r="AB486" s="6"/>
      <c r="AC486" s="6">
        <v>43860</v>
      </c>
      <c r="AD486" s="6"/>
      <c r="AE486" s="6"/>
      <c r="AF486" s="6">
        <v>43901</v>
      </c>
      <c r="AG486" s="6"/>
      <c r="AH486" s="6"/>
      <c r="AI486" s="6"/>
      <c r="AJ486" s="6"/>
      <c r="AK486" s="6"/>
      <c r="AL486" s="6"/>
      <c r="AM486" s="6"/>
      <c r="AN486" s="6"/>
      <c r="AO486" s="6"/>
      <c r="AP486" s="6"/>
      <c r="AQ486" s="6">
        <v>43964</v>
      </c>
      <c r="AR486" s="6">
        <v>43966</v>
      </c>
      <c r="AS486" s="6"/>
      <c r="AT486" s="6"/>
      <c r="AU486" s="6">
        <v>44000</v>
      </c>
      <c r="AV486" s="6">
        <v>43991</v>
      </c>
      <c r="AW486" s="6"/>
      <c r="AX486" s="6">
        <v>43943</v>
      </c>
      <c r="AY486" s="6"/>
      <c r="AZ486" s="6"/>
      <c r="BA486" s="6"/>
      <c r="BB486" s="6"/>
      <c r="BC486" s="6"/>
      <c r="BD486" s="6"/>
      <c r="BE486" s="6"/>
      <c r="BF486" s="6"/>
      <c r="BG486" s="6"/>
      <c r="BH486" s="6"/>
      <c r="BI486" s="6"/>
      <c r="BJ486" s="6"/>
      <c r="BK486" s="6"/>
      <c r="BL486" s="6"/>
      <c r="BM486" s="6">
        <v>44001</v>
      </c>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c r="FZ486" s="6"/>
      <c r="GA486" s="6"/>
      <c r="GB486" s="6"/>
      <c r="GC486" s="6"/>
      <c r="GD486" s="6"/>
      <c r="GE486" s="6"/>
      <c r="GF486" s="6"/>
      <c r="GG486" s="6"/>
      <c r="GH486" s="6"/>
      <c r="GI486" s="6"/>
      <c r="GJ486" s="6"/>
      <c r="GK486" s="6"/>
      <c r="GL486" s="6"/>
      <c r="GM486" s="6"/>
      <c r="GN486" s="6"/>
      <c r="GO486" s="6"/>
      <c r="GP486" s="6"/>
      <c r="GQ486" s="6"/>
      <c r="GR486" s="6"/>
      <c r="GS486" s="6"/>
      <c r="GT486" s="6"/>
      <c r="GU486" s="6"/>
      <c r="GV486" s="6"/>
      <c r="GW486" s="6"/>
      <c r="GX486" s="6"/>
      <c r="GY486" s="6"/>
      <c r="GZ486" s="6"/>
      <c r="HA486" s="6"/>
      <c r="HB486" s="6"/>
      <c r="HC486" s="6"/>
      <c r="HD486" s="6"/>
      <c r="HE486" s="6"/>
      <c r="HF486" s="6"/>
      <c r="HG486" s="6"/>
      <c r="HH486" s="6"/>
    </row>
    <row r="487" spans="1:216" x14ac:dyDescent="0.3">
      <c r="A487" s="8" t="str">
        <f>HYPERLINK("https://hpr-rps.hres.ca/reg-content/summary-basis-decision-detailTwo.php?lang=en&amp;linkID=SBD00498", "Tukysa")</f>
        <v>Tukysa</v>
      </c>
      <c r="B487" s="6" t="s">
        <v>1241</v>
      </c>
      <c r="C487" s="6" t="s">
        <v>1242</v>
      </c>
      <c r="D487" s="6" t="s">
        <v>1243</v>
      </c>
      <c r="E487" s="6"/>
      <c r="F487" s="6"/>
      <c r="G487" s="6"/>
      <c r="H487" s="6"/>
      <c r="I487" s="6"/>
      <c r="J487" s="6"/>
      <c r="K487" s="6"/>
      <c r="L487" s="6"/>
      <c r="M487" s="6"/>
      <c r="N487" s="6">
        <v>43774</v>
      </c>
      <c r="O487" s="6"/>
      <c r="P487" s="6"/>
      <c r="Q487" s="6"/>
      <c r="R487" s="6"/>
      <c r="S487" s="6">
        <v>43804</v>
      </c>
      <c r="T487" s="6"/>
      <c r="U487" s="6"/>
      <c r="V487" s="6">
        <v>43819</v>
      </c>
      <c r="W487" s="6"/>
      <c r="X487" s="6"/>
      <c r="Y487" s="6"/>
      <c r="Z487" s="6">
        <v>43851</v>
      </c>
      <c r="AA487" s="6"/>
      <c r="AB487" s="6"/>
      <c r="AC487" s="6">
        <v>43857</v>
      </c>
      <c r="AD487" s="6"/>
      <c r="AE487" s="6"/>
      <c r="AF487" s="6">
        <v>43882</v>
      </c>
      <c r="AG487" s="6"/>
      <c r="AH487" s="6"/>
      <c r="AI487" s="6"/>
      <c r="AJ487" s="6"/>
      <c r="AK487" s="6"/>
      <c r="AL487" s="6"/>
      <c r="AM487" s="6"/>
      <c r="AN487" s="6"/>
      <c r="AO487" s="6"/>
      <c r="AP487" s="6"/>
      <c r="AQ487" s="6">
        <v>44042</v>
      </c>
      <c r="AR487" s="6">
        <v>44042</v>
      </c>
      <c r="AS487" s="6"/>
      <c r="AT487" s="6"/>
      <c r="AU487" s="6">
        <v>44047</v>
      </c>
      <c r="AV487" s="6">
        <v>44034</v>
      </c>
      <c r="AW487" s="6"/>
      <c r="AX487" s="6">
        <v>44026</v>
      </c>
      <c r="AY487" s="6"/>
      <c r="AZ487" s="6"/>
      <c r="BA487" s="6"/>
      <c r="BB487" s="6"/>
      <c r="BC487" s="6"/>
      <c r="BD487" s="6"/>
      <c r="BE487" s="6"/>
      <c r="BF487" s="6"/>
      <c r="BG487" s="6"/>
      <c r="BH487" s="6"/>
      <c r="BI487" s="6"/>
      <c r="BJ487" s="6"/>
      <c r="BK487" s="6"/>
      <c r="BL487" s="6"/>
      <c r="BM487" s="6">
        <v>44053</v>
      </c>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row>
    <row r="488" spans="1:216" x14ac:dyDescent="0.3">
      <c r="A488" s="8" t="str">
        <f>HYPERLINK("https://hpr-rps.hres.ca/reg-content/summary-basis-decision-detailTwo.php?lang=en&amp;linkID=SBD00500", "Tomvi")</f>
        <v>Tomvi</v>
      </c>
      <c r="B488" s="6" t="s">
        <v>1244</v>
      </c>
      <c r="C488" s="6" t="s">
        <v>1245</v>
      </c>
      <c r="D488" s="6" t="s">
        <v>1246</v>
      </c>
      <c r="E488" s="6">
        <v>42997</v>
      </c>
      <c r="F488" s="6"/>
      <c r="G488" s="6"/>
      <c r="H488" s="6"/>
      <c r="I488" s="6"/>
      <c r="J488" s="6"/>
      <c r="K488" s="6"/>
      <c r="L488" s="6"/>
      <c r="M488" s="6"/>
      <c r="N488" s="6">
        <v>43811</v>
      </c>
      <c r="O488" s="6"/>
      <c r="P488" s="6"/>
      <c r="Q488" s="6"/>
      <c r="R488" s="6"/>
      <c r="S488" s="6">
        <v>43851</v>
      </c>
      <c r="T488" s="6"/>
      <c r="U488" s="6"/>
      <c r="V488" s="6">
        <v>43850</v>
      </c>
      <c r="W488" s="6"/>
      <c r="X488" s="6"/>
      <c r="Y488" s="6"/>
      <c r="Z488" s="6">
        <v>43854</v>
      </c>
      <c r="AA488" s="6"/>
      <c r="AB488" s="6"/>
      <c r="AC488" s="6">
        <v>43861</v>
      </c>
      <c r="AD488" s="6"/>
      <c r="AE488" s="6"/>
      <c r="AF488" s="6">
        <v>43868</v>
      </c>
      <c r="AG488" s="6"/>
      <c r="AH488" s="6"/>
      <c r="AI488" s="6"/>
      <c r="AJ488" s="6"/>
      <c r="AK488" s="6"/>
      <c r="AL488" s="6"/>
      <c r="AM488" s="6"/>
      <c r="AN488" s="6"/>
      <c r="AO488" s="6"/>
      <c r="AP488" s="6"/>
      <c r="AQ488" s="6">
        <v>43952</v>
      </c>
      <c r="AR488" s="6">
        <v>43942</v>
      </c>
      <c r="AS488" s="6"/>
      <c r="AT488" s="6"/>
      <c r="AU488" s="6">
        <v>43984</v>
      </c>
      <c r="AV488" s="6">
        <v>43958</v>
      </c>
      <c r="AW488" s="6"/>
      <c r="AX488" s="6">
        <v>43938</v>
      </c>
      <c r="AY488" s="6"/>
      <c r="AZ488" s="6"/>
      <c r="BA488" s="6"/>
      <c r="BB488" s="6"/>
      <c r="BC488" s="6"/>
      <c r="BD488" s="6"/>
      <c r="BE488" s="6"/>
      <c r="BF488" s="6"/>
      <c r="BG488" s="6"/>
      <c r="BH488" s="6"/>
      <c r="BI488" s="6"/>
      <c r="BJ488" s="6"/>
      <c r="BK488" s="6"/>
      <c r="BL488" s="6"/>
      <c r="BM488" s="6">
        <v>43987</v>
      </c>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c r="FZ488" s="6"/>
      <c r="GA488" s="6"/>
      <c r="GB488" s="6"/>
      <c r="GC488" s="6"/>
      <c r="GD488" s="6"/>
      <c r="GE488" s="6"/>
      <c r="GF488" s="6"/>
      <c r="GG488" s="6"/>
      <c r="GH488" s="6"/>
      <c r="GI488" s="6"/>
      <c r="GJ488" s="6"/>
      <c r="GK488" s="6"/>
      <c r="GL488" s="6"/>
      <c r="GM488" s="6"/>
      <c r="GN488" s="6"/>
      <c r="GO488" s="6"/>
      <c r="GP488" s="6"/>
      <c r="GQ488" s="6"/>
      <c r="GR488" s="6"/>
      <c r="GS488" s="6"/>
      <c r="GT488" s="6"/>
      <c r="GU488" s="6"/>
      <c r="GV488" s="6"/>
      <c r="GW488" s="6"/>
      <c r="GX488" s="6"/>
      <c r="GY488" s="6"/>
      <c r="GZ488" s="6"/>
      <c r="HA488" s="6"/>
      <c r="HB488" s="6"/>
      <c r="HC488" s="6"/>
      <c r="HD488" s="6"/>
      <c r="HE488" s="6"/>
      <c r="HF488" s="6"/>
      <c r="HG488" s="6"/>
      <c r="HH488" s="6"/>
    </row>
    <row r="489" spans="1:216" x14ac:dyDescent="0.3">
      <c r="A489" s="8" t="str">
        <f>HYPERLINK("https://hpr-rps.hres.ca/reg-content/summary-basis-decision-detailTwo.php?lang=en&amp;linkID=SBD00501", "Ruzurgi")</f>
        <v>Ruzurgi</v>
      </c>
      <c r="B489" s="6" t="s">
        <v>1247</v>
      </c>
      <c r="C489" s="6" t="s">
        <v>1248</v>
      </c>
      <c r="D489" s="6" t="s">
        <v>1249</v>
      </c>
      <c r="E489" s="6"/>
      <c r="F489" s="6"/>
      <c r="G489" s="6"/>
      <c r="H489" s="6"/>
      <c r="I489" s="6"/>
      <c r="J489" s="6"/>
      <c r="K489" s="6"/>
      <c r="L489" s="6"/>
      <c r="M489" s="6"/>
      <c r="N489" s="6">
        <v>43774</v>
      </c>
      <c r="O489" s="6"/>
      <c r="P489" s="6"/>
      <c r="Q489" s="6"/>
      <c r="R489" s="6"/>
      <c r="S489" s="6">
        <v>43804</v>
      </c>
      <c r="T489" s="6"/>
      <c r="U489" s="6"/>
      <c r="V489" s="6">
        <v>43819</v>
      </c>
      <c r="W489" s="6"/>
      <c r="X489" s="6"/>
      <c r="Y489" s="6"/>
      <c r="Z489" s="6">
        <v>43851</v>
      </c>
      <c r="AA489" s="6"/>
      <c r="AB489" s="6"/>
      <c r="AC489" s="6">
        <v>43857</v>
      </c>
      <c r="AD489" s="6"/>
      <c r="AE489" s="6"/>
      <c r="AF489" s="6">
        <v>43882</v>
      </c>
      <c r="AG489" s="6"/>
      <c r="AH489" s="6"/>
      <c r="AI489" s="6"/>
      <c r="AJ489" s="6"/>
      <c r="AK489" s="6"/>
      <c r="AL489" s="6"/>
      <c r="AM489" s="6"/>
      <c r="AN489" s="6"/>
      <c r="AO489" s="6"/>
      <c r="AP489" s="6"/>
      <c r="AQ489" s="6">
        <v>44042</v>
      </c>
      <c r="AR489" s="6">
        <v>44042</v>
      </c>
      <c r="AS489" s="6"/>
      <c r="AT489" s="6"/>
      <c r="AU489" s="6">
        <v>44047</v>
      </c>
      <c r="AV489" s="6">
        <v>44034</v>
      </c>
      <c r="AW489" s="6"/>
      <c r="AX489" s="6">
        <v>44026</v>
      </c>
      <c r="AY489" s="6"/>
      <c r="AZ489" s="6"/>
      <c r="BA489" s="6"/>
      <c r="BB489" s="6"/>
      <c r="BC489" s="6"/>
      <c r="BD489" s="6"/>
      <c r="BE489" s="6"/>
      <c r="BF489" s="6"/>
      <c r="BG489" s="6"/>
      <c r="BH489" s="6"/>
      <c r="BI489" s="6"/>
      <c r="BJ489" s="6"/>
      <c r="BK489" s="6"/>
      <c r="BL489" s="6"/>
      <c r="BM489" s="6">
        <v>44053</v>
      </c>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c r="FZ489" s="6"/>
      <c r="GA489" s="6"/>
      <c r="GB489" s="6"/>
      <c r="GC489" s="6"/>
      <c r="GD489" s="6"/>
      <c r="GE489" s="6"/>
      <c r="GF489" s="6"/>
      <c r="GG489" s="6"/>
      <c r="GH489" s="6"/>
      <c r="GI489" s="6"/>
      <c r="GJ489" s="6"/>
      <c r="GK489" s="6"/>
      <c r="GL489" s="6"/>
      <c r="GM489" s="6"/>
      <c r="GN489" s="6"/>
      <c r="GO489" s="6"/>
      <c r="GP489" s="6"/>
      <c r="GQ489" s="6"/>
      <c r="GR489" s="6"/>
      <c r="GS489" s="6"/>
      <c r="GT489" s="6"/>
      <c r="GU489" s="6"/>
      <c r="GV489" s="6"/>
      <c r="GW489" s="6"/>
      <c r="GX489" s="6"/>
      <c r="GY489" s="6"/>
      <c r="GZ489" s="6"/>
      <c r="HA489" s="6"/>
      <c r="HB489" s="6"/>
      <c r="HC489" s="6"/>
      <c r="HD489" s="6"/>
      <c r="HE489" s="6"/>
      <c r="HF489" s="6"/>
      <c r="HG489" s="6"/>
      <c r="HH489" s="6"/>
    </row>
    <row r="490" spans="1:216" x14ac:dyDescent="0.3">
      <c r="A490" s="8" t="str">
        <f>HYPERLINK("https://hpr-rps.hres.ca/reg-content/summary-basis-decision-detailTwo.php?lang=en&amp;linkID=SBD00502", "Inrebic")</f>
        <v>Inrebic</v>
      </c>
      <c r="B490" s="6" t="s">
        <v>1250</v>
      </c>
      <c r="C490" s="6" t="s">
        <v>668</v>
      </c>
      <c r="D490" s="6" t="s">
        <v>1251</v>
      </c>
      <c r="E490" s="6">
        <v>43592</v>
      </c>
      <c r="F490" s="6"/>
      <c r="G490" s="6"/>
      <c r="H490" s="6"/>
      <c r="I490" s="6"/>
      <c r="J490" s="6"/>
      <c r="K490" s="6"/>
      <c r="L490" s="6"/>
      <c r="M490" s="6"/>
      <c r="N490" s="6">
        <v>43693</v>
      </c>
      <c r="O490" s="6"/>
      <c r="P490" s="6"/>
      <c r="Q490" s="6"/>
      <c r="R490" s="6"/>
      <c r="S490" s="6">
        <v>43721</v>
      </c>
      <c r="T490" s="6"/>
      <c r="U490" s="6"/>
      <c r="V490" s="6">
        <v>43775</v>
      </c>
      <c r="W490" s="6"/>
      <c r="X490" s="6"/>
      <c r="Y490" s="6"/>
      <c r="Z490" s="6">
        <v>43796</v>
      </c>
      <c r="AA490" s="6"/>
      <c r="AB490" s="6"/>
      <c r="AC490" s="6">
        <v>43840</v>
      </c>
      <c r="AD490" s="6"/>
      <c r="AE490" s="6"/>
      <c r="AF490" s="6">
        <v>43868</v>
      </c>
      <c r="AG490" s="6"/>
      <c r="AH490" s="6"/>
      <c r="AI490" s="6"/>
      <c r="AJ490" s="6"/>
      <c r="AK490" s="6"/>
      <c r="AL490" s="6"/>
      <c r="AM490" s="6"/>
      <c r="AN490" s="6"/>
      <c r="AO490" s="6"/>
      <c r="AP490" s="6"/>
      <c r="AQ490" s="6">
        <v>44007</v>
      </c>
      <c r="AR490" s="6">
        <v>44042</v>
      </c>
      <c r="AS490" s="6">
        <v>43956</v>
      </c>
      <c r="AT490" s="6"/>
      <c r="AU490" s="6">
        <v>44043</v>
      </c>
      <c r="AV490" s="6">
        <v>44034</v>
      </c>
      <c r="AW490" s="6"/>
      <c r="AX490" s="6"/>
      <c r="AY490" s="6"/>
      <c r="AZ490" s="6"/>
      <c r="BA490" s="6"/>
      <c r="BB490" s="6"/>
      <c r="BC490" s="6"/>
      <c r="BD490" s="6"/>
      <c r="BE490" s="6"/>
      <c r="BF490" s="6"/>
      <c r="BG490" s="6"/>
      <c r="BH490" s="6"/>
      <c r="BI490" s="6"/>
      <c r="BJ490" s="6"/>
      <c r="BK490" s="6"/>
      <c r="BL490" s="6"/>
      <c r="BM490" s="6">
        <v>44043</v>
      </c>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c r="FZ490" s="6"/>
      <c r="GA490" s="6"/>
      <c r="GB490" s="6"/>
      <c r="GC490" s="6"/>
      <c r="GD490" s="6"/>
      <c r="GE490" s="6"/>
      <c r="GF490" s="6"/>
      <c r="GG490" s="6"/>
      <c r="GH490" s="6"/>
      <c r="GI490" s="6"/>
      <c r="GJ490" s="6"/>
      <c r="GK490" s="6"/>
      <c r="GL490" s="6"/>
      <c r="GM490" s="6"/>
      <c r="GN490" s="6"/>
      <c r="GO490" s="6"/>
      <c r="GP490" s="6"/>
      <c r="GQ490" s="6"/>
      <c r="GR490" s="6"/>
      <c r="GS490" s="6"/>
      <c r="GT490" s="6"/>
      <c r="GU490" s="6"/>
      <c r="GV490" s="6"/>
      <c r="GW490" s="6"/>
      <c r="GX490" s="6"/>
      <c r="GY490" s="6"/>
      <c r="GZ490" s="6"/>
      <c r="HA490" s="6"/>
      <c r="HB490" s="6"/>
      <c r="HC490" s="6"/>
      <c r="HD490" s="6"/>
      <c r="HE490" s="6"/>
      <c r="HF490" s="6"/>
      <c r="HG490" s="6"/>
      <c r="HH490" s="6"/>
    </row>
    <row r="491" spans="1:216" x14ac:dyDescent="0.3">
      <c r="A491" s="8" t="str">
        <f>HYPERLINK("https://hpr-rps.hres.ca/reg-content/summary-basis-decision-detailTwo.php?lang=en&amp;linkID=SBD00503", "Firdapse")</f>
        <v>Firdapse</v>
      </c>
      <c r="B491" s="6" t="s">
        <v>1252</v>
      </c>
      <c r="C491" s="6" t="s">
        <v>1253</v>
      </c>
      <c r="D491" s="6" t="s">
        <v>1254</v>
      </c>
      <c r="E491" s="6">
        <v>43592</v>
      </c>
      <c r="F491" s="6"/>
      <c r="G491" s="6"/>
      <c r="H491" s="6"/>
      <c r="I491" s="6"/>
      <c r="J491" s="6"/>
      <c r="K491" s="6"/>
      <c r="L491" s="6"/>
      <c r="M491" s="6"/>
      <c r="N491" s="6">
        <v>43693</v>
      </c>
      <c r="O491" s="6"/>
      <c r="P491" s="6"/>
      <c r="Q491" s="6"/>
      <c r="R491" s="6"/>
      <c r="S491" s="6">
        <v>43721</v>
      </c>
      <c r="T491" s="6"/>
      <c r="U491" s="6"/>
      <c r="V491" s="6">
        <v>43775</v>
      </c>
      <c r="W491" s="6"/>
      <c r="X491" s="6"/>
      <c r="Y491" s="6"/>
      <c r="Z491" s="6">
        <v>43796</v>
      </c>
      <c r="AA491" s="6"/>
      <c r="AB491" s="6"/>
      <c r="AC491" s="6">
        <v>43840</v>
      </c>
      <c r="AD491" s="6"/>
      <c r="AE491" s="6"/>
      <c r="AF491" s="6">
        <v>43868</v>
      </c>
      <c r="AG491" s="6"/>
      <c r="AH491" s="6"/>
      <c r="AI491" s="6"/>
      <c r="AJ491" s="6"/>
      <c r="AK491" s="6"/>
      <c r="AL491" s="6"/>
      <c r="AM491" s="6"/>
      <c r="AN491" s="6"/>
      <c r="AO491" s="6"/>
      <c r="AP491" s="6"/>
      <c r="AQ491" s="6">
        <v>44007</v>
      </c>
      <c r="AR491" s="6">
        <v>44042</v>
      </c>
      <c r="AS491" s="6">
        <v>43956</v>
      </c>
      <c r="AT491" s="6"/>
      <c r="AU491" s="6">
        <v>44043</v>
      </c>
      <c r="AV491" s="6">
        <v>44034</v>
      </c>
      <c r="AW491" s="6"/>
      <c r="AX491" s="6"/>
      <c r="AY491" s="6"/>
      <c r="AZ491" s="6"/>
      <c r="BA491" s="6"/>
      <c r="BB491" s="6"/>
      <c r="BC491" s="6"/>
      <c r="BD491" s="6"/>
      <c r="BE491" s="6"/>
      <c r="BF491" s="6"/>
      <c r="BG491" s="6"/>
      <c r="BH491" s="6"/>
      <c r="BI491" s="6"/>
      <c r="BJ491" s="6"/>
      <c r="BK491" s="6"/>
      <c r="BL491" s="6"/>
      <c r="BM491" s="6">
        <v>44043</v>
      </c>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c r="FZ491" s="6"/>
      <c r="GA491" s="6"/>
      <c r="GB491" s="6"/>
      <c r="GC491" s="6"/>
      <c r="GD491" s="6"/>
      <c r="GE491" s="6"/>
      <c r="GF491" s="6"/>
      <c r="GG491" s="6"/>
      <c r="GH491" s="6"/>
      <c r="GI491" s="6"/>
      <c r="GJ491" s="6"/>
      <c r="GK491" s="6"/>
      <c r="GL491" s="6"/>
      <c r="GM491" s="6"/>
      <c r="GN491" s="6"/>
      <c r="GO491" s="6"/>
      <c r="GP491" s="6"/>
      <c r="GQ491" s="6"/>
      <c r="GR491" s="6"/>
      <c r="GS491" s="6"/>
      <c r="GT491" s="6"/>
      <c r="GU491" s="6"/>
      <c r="GV491" s="6"/>
      <c r="GW491" s="6"/>
      <c r="GX491" s="6"/>
      <c r="GY491" s="6"/>
      <c r="GZ491" s="6"/>
      <c r="HA491" s="6"/>
      <c r="HB491" s="6"/>
      <c r="HC491" s="6"/>
      <c r="HD491" s="6"/>
      <c r="HE491" s="6"/>
      <c r="HF491" s="6"/>
      <c r="HG491" s="6"/>
      <c r="HH491" s="6"/>
    </row>
    <row r="492" spans="1:216" x14ac:dyDescent="0.3">
      <c r="A492" s="8" t="str">
        <f>HYPERLINK("https://hpr-rps.hres.ca/reg-content/summary-basis-decision-detailTwo.php?lang=en&amp;linkID=SBD00504", "Xenleta")</f>
        <v>Xenleta</v>
      </c>
      <c r="B492" s="6" t="s">
        <v>1255</v>
      </c>
      <c r="C492" s="6" t="s">
        <v>295</v>
      </c>
      <c r="D492" s="6" t="s">
        <v>1256</v>
      </c>
      <c r="E492" s="6">
        <v>43592</v>
      </c>
      <c r="F492" s="6"/>
      <c r="G492" s="6"/>
      <c r="H492" s="6"/>
      <c r="I492" s="6"/>
      <c r="J492" s="6"/>
      <c r="K492" s="6"/>
      <c r="L492" s="6"/>
      <c r="M492" s="6"/>
      <c r="N492" s="6">
        <v>43693</v>
      </c>
      <c r="O492" s="6"/>
      <c r="P492" s="6"/>
      <c r="Q492" s="6"/>
      <c r="R492" s="6"/>
      <c r="S492" s="6">
        <v>43721</v>
      </c>
      <c r="T492" s="6"/>
      <c r="U492" s="6"/>
      <c r="V492" s="6">
        <v>43775</v>
      </c>
      <c r="W492" s="6"/>
      <c r="X492" s="6"/>
      <c r="Y492" s="6"/>
      <c r="Z492" s="6">
        <v>43796</v>
      </c>
      <c r="AA492" s="6"/>
      <c r="AB492" s="6"/>
      <c r="AC492" s="6">
        <v>43840</v>
      </c>
      <c r="AD492" s="6"/>
      <c r="AE492" s="6"/>
      <c r="AF492" s="6">
        <v>43868</v>
      </c>
      <c r="AG492" s="6"/>
      <c r="AH492" s="6"/>
      <c r="AI492" s="6"/>
      <c r="AJ492" s="6"/>
      <c r="AK492" s="6"/>
      <c r="AL492" s="6"/>
      <c r="AM492" s="6"/>
      <c r="AN492" s="6"/>
      <c r="AO492" s="6"/>
      <c r="AP492" s="6"/>
      <c r="AQ492" s="6">
        <v>44007</v>
      </c>
      <c r="AR492" s="6">
        <v>44042</v>
      </c>
      <c r="AS492" s="6">
        <v>43956</v>
      </c>
      <c r="AT492" s="6"/>
      <c r="AU492" s="6">
        <v>44043</v>
      </c>
      <c r="AV492" s="6">
        <v>44034</v>
      </c>
      <c r="AW492" s="6"/>
      <c r="AX492" s="6"/>
      <c r="AY492" s="6"/>
      <c r="AZ492" s="6"/>
      <c r="BA492" s="6"/>
      <c r="BB492" s="6"/>
      <c r="BC492" s="6"/>
      <c r="BD492" s="6"/>
      <c r="BE492" s="6"/>
      <c r="BF492" s="6"/>
      <c r="BG492" s="6"/>
      <c r="BH492" s="6"/>
      <c r="BI492" s="6"/>
      <c r="BJ492" s="6"/>
      <c r="BK492" s="6"/>
      <c r="BL492" s="6"/>
      <c r="BM492" s="6">
        <v>44043</v>
      </c>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c r="FZ492" s="6"/>
      <c r="GA492" s="6"/>
      <c r="GB492" s="6"/>
      <c r="GC492" s="6"/>
      <c r="GD492" s="6"/>
      <c r="GE492" s="6"/>
      <c r="GF492" s="6"/>
      <c r="GG492" s="6"/>
      <c r="GH492" s="6"/>
      <c r="GI492" s="6"/>
      <c r="GJ492" s="6"/>
      <c r="GK492" s="6"/>
      <c r="GL492" s="6"/>
      <c r="GM492" s="6"/>
      <c r="GN492" s="6"/>
      <c r="GO492" s="6"/>
      <c r="GP492" s="6"/>
      <c r="GQ492" s="6"/>
      <c r="GR492" s="6"/>
      <c r="GS492" s="6"/>
      <c r="GT492" s="6"/>
      <c r="GU492" s="6"/>
      <c r="GV492" s="6"/>
      <c r="GW492" s="6"/>
      <c r="GX492" s="6"/>
      <c r="GY492" s="6"/>
      <c r="GZ492" s="6"/>
      <c r="HA492" s="6"/>
      <c r="HB492" s="6"/>
      <c r="HC492" s="6"/>
      <c r="HD492" s="6"/>
      <c r="HE492" s="6"/>
      <c r="HF492" s="6"/>
      <c r="HG492" s="6"/>
      <c r="HH492" s="6"/>
    </row>
    <row r="493" spans="1:216" x14ac:dyDescent="0.3">
      <c r="A493" s="8" t="str">
        <f>HYPERLINK("https://hpr-rps.hres.ca/reg-content/summary-basis-decision-detailTwo.php?lang=en&amp;linkID=SBD00505", "Mar-Trientine")</f>
        <v>Mar-Trientine</v>
      </c>
      <c r="B493" s="6" t="s">
        <v>1257</v>
      </c>
      <c r="C493" s="6" t="s">
        <v>1258</v>
      </c>
      <c r="D493" s="6" t="s">
        <v>1259</v>
      </c>
      <c r="E493" s="6">
        <v>43592</v>
      </c>
      <c r="F493" s="6"/>
      <c r="G493" s="6"/>
      <c r="H493" s="6"/>
      <c r="I493" s="6"/>
      <c r="J493" s="6"/>
      <c r="K493" s="6"/>
      <c r="L493" s="6"/>
      <c r="M493" s="6"/>
      <c r="N493" s="6">
        <v>43693</v>
      </c>
      <c r="O493" s="6"/>
      <c r="P493" s="6"/>
      <c r="Q493" s="6"/>
      <c r="R493" s="6"/>
      <c r="S493" s="6">
        <v>43721</v>
      </c>
      <c r="T493" s="6"/>
      <c r="U493" s="6"/>
      <c r="V493" s="6">
        <v>43775</v>
      </c>
      <c r="W493" s="6"/>
      <c r="X493" s="6"/>
      <c r="Y493" s="6"/>
      <c r="Z493" s="6">
        <v>43796</v>
      </c>
      <c r="AA493" s="6"/>
      <c r="AB493" s="6"/>
      <c r="AC493" s="6">
        <v>43840</v>
      </c>
      <c r="AD493" s="6"/>
      <c r="AE493" s="6"/>
      <c r="AF493" s="6">
        <v>43868</v>
      </c>
      <c r="AG493" s="6"/>
      <c r="AH493" s="6"/>
      <c r="AI493" s="6"/>
      <c r="AJ493" s="6"/>
      <c r="AK493" s="6"/>
      <c r="AL493" s="6"/>
      <c r="AM493" s="6"/>
      <c r="AN493" s="6"/>
      <c r="AO493" s="6"/>
      <c r="AP493" s="6"/>
      <c r="AQ493" s="6">
        <v>44007</v>
      </c>
      <c r="AR493" s="6">
        <v>44042</v>
      </c>
      <c r="AS493" s="6">
        <v>43956</v>
      </c>
      <c r="AT493" s="6"/>
      <c r="AU493" s="6">
        <v>44043</v>
      </c>
      <c r="AV493" s="6">
        <v>44034</v>
      </c>
      <c r="AW493" s="6"/>
      <c r="AX493" s="6"/>
      <c r="AY493" s="6"/>
      <c r="AZ493" s="6"/>
      <c r="BA493" s="6"/>
      <c r="BB493" s="6"/>
      <c r="BC493" s="6"/>
      <c r="BD493" s="6"/>
      <c r="BE493" s="6"/>
      <c r="BF493" s="6"/>
      <c r="BG493" s="6"/>
      <c r="BH493" s="6"/>
      <c r="BI493" s="6"/>
      <c r="BJ493" s="6"/>
      <c r="BK493" s="6"/>
      <c r="BL493" s="6"/>
      <c r="BM493" s="6">
        <v>44043</v>
      </c>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c r="FZ493" s="6"/>
      <c r="GA493" s="6"/>
      <c r="GB493" s="6"/>
      <c r="GC493" s="6"/>
      <c r="GD493" s="6"/>
      <c r="GE493" s="6"/>
      <c r="GF493" s="6"/>
      <c r="GG493" s="6"/>
      <c r="GH493" s="6"/>
      <c r="GI493" s="6"/>
      <c r="GJ493" s="6"/>
      <c r="GK493" s="6"/>
      <c r="GL493" s="6"/>
      <c r="GM493" s="6"/>
      <c r="GN493" s="6"/>
      <c r="GO493" s="6"/>
      <c r="GP493" s="6"/>
      <c r="GQ493" s="6"/>
      <c r="GR493" s="6"/>
      <c r="GS493" s="6"/>
      <c r="GT493" s="6"/>
      <c r="GU493" s="6"/>
      <c r="GV493" s="6"/>
      <c r="GW493" s="6"/>
      <c r="GX493" s="6"/>
      <c r="GY493" s="6"/>
      <c r="GZ493" s="6"/>
      <c r="HA493" s="6"/>
      <c r="HB493" s="6"/>
      <c r="HC493" s="6"/>
      <c r="HD493" s="6"/>
      <c r="HE493" s="6"/>
      <c r="HF493" s="6"/>
      <c r="HG493" s="6"/>
      <c r="HH493" s="6"/>
    </row>
    <row r="494" spans="1:216" x14ac:dyDescent="0.3">
      <c r="A494" s="8" t="str">
        <f>HYPERLINK("https://hpr-rps.hres.ca/reg-content/summary-basis-decision-detailTwo.php?lang=en&amp;linkID=SBD00506", "GalliaPharm")</f>
        <v>GalliaPharm</v>
      </c>
      <c r="B494" s="6" t="s">
        <v>1260</v>
      </c>
      <c r="C494" s="6" t="s">
        <v>1261</v>
      </c>
      <c r="D494" s="6" t="s">
        <v>1262</v>
      </c>
      <c r="E494" s="6">
        <v>43592</v>
      </c>
      <c r="F494" s="6"/>
      <c r="G494" s="6"/>
      <c r="H494" s="6"/>
      <c r="I494" s="6"/>
      <c r="J494" s="6"/>
      <c r="K494" s="6"/>
      <c r="L494" s="6"/>
      <c r="M494" s="6"/>
      <c r="N494" s="6">
        <v>43693</v>
      </c>
      <c r="O494" s="6"/>
      <c r="P494" s="6"/>
      <c r="Q494" s="6"/>
      <c r="R494" s="6"/>
      <c r="S494" s="6">
        <v>43721</v>
      </c>
      <c r="T494" s="6"/>
      <c r="U494" s="6"/>
      <c r="V494" s="6">
        <v>43775</v>
      </c>
      <c r="W494" s="6"/>
      <c r="X494" s="6"/>
      <c r="Y494" s="6"/>
      <c r="Z494" s="6">
        <v>43796</v>
      </c>
      <c r="AA494" s="6"/>
      <c r="AB494" s="6"/>
      <c r="AC494" s="6">
        <v>43840</v>
      </c>
      <c r="AD494" s="6"/>
      <c r="AE494" s="6"/>
      <c r="AF494" s="6">
        <v>43868</v>
      </c>
      <c r="AG494" s="6"/>
      <c r="AH494" s="6"/>
      <c r="AI494" s="6"/>
      <c r="AJ494" s="6"/>
      <c r="AK494" s="6"/>
      <c r="AL494" s="6"/>
      <c r="AM494" s="6"/>
      <c r="AN494" s="6"/>
      <c r="AO494" s="6"/>
      <c r="AP494" s="6"/>
      <c r="AQ494" s="6">
        <v>44007</v>
      </c>
      <c r="AR494" s="6">
        <v>44042</v>
      </c>
      <c r="AS494" s="6">
        <v>43956</v>
      </c>
      <c r="AT494" s="6"/>
      <c r="AU494" s="6">
        <v>44043</v>
      </c>
      <c r="AV494" s="6">
        <v>44034</v>
      </c>
      <c r="AW494" s="6"/>
      <c r="AX494" s="6"/>
      <c r="AY494" s="6"/>
      <c r="AZ494" s="6"/>
      <c r="BA494" s="6"/>
      <c r="BB494" s="6"/>
      <c r="BC494" s="6"/>
      <c r="BD494" s="6"/>
      <c r="BE494" s="6"/>
      <c r="BF494" s="6"/>
      <c r="BG494" s="6"/>
      <c r="BH494" s="6"/>
      <c r="BI494" s="6"/>
      <c r="BJ494" s="6"/>
      <c r="BK494" s="6"/>
      <c r="BL494" s="6"/>
      <c r="BM494" s="6">
        <v>44043</v>
      </c>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c r="FZ494" s="6"/>
      <c r="GA494" s="6"/>
      <c r="GB494" s="6"/>
      <c r="GC494" s="6"/>
      <c r="GD494" s="6"/>
      <c r="GE494" s="6"/>
      <c r="GF494" s="6"/>
      <c r="GG494" s="6"/>
      <c r="GH494" s="6"/>
      <c r="GI494" s="6"/>
      <c r="GJ494" s="6"/>
      <c r="GK494" s="6"/>
      <c r="GL494" s="6"/>
      <c r="GM494" s="6"/>
      <c r="GN494" s="6"/>
      <c r="GO494" s="6"/>
      <c r="GP494" s="6"/>
      <c r="GQ494" s="6"/>
      <c r="GR494" s="6"/>
      <c r="GS494" s="6"/>
      <c r="GT494" s="6"/>
      <c r="GU494" s="6"/>
      <c r="GV494" s="6"/>
      <c r="GW494" s="6"/>
      <c r="GX494" s="6"/>
      <c r="GY494" s="6"/>
      <c r="GZ494" s="6"/>
      <c r="HA494" s="6"/>
      <c r="HB494" s="6"/>
      <c r="HC494" s="6"/>
      <c r="HD494" s="6"/>
      <c r="HE494" s="6"/>
      <c r="HF494" s="6"/>
      <c r="HG494" s="6"/>
      <c r="HH494" s="6"/>
    </row>
    <row r="495" spans="1:216" x14ac:dyDescent="0.3">
      <c r="A495" s="8" t="str">
        <f>HYPERLINK("https://hpr-rps.hres.ca/reg-content/summary-basis-decision-detailTwo.php?lang=en&amp;linkID=SBD00507", "Reblozyl")</f>
        <v>Reblozyl</v>
      </c>
      <c r="B495" s="6" t="s">
        <v>1263</v>
      </c>
      <c r="C495" s="6" t="s">
        <v>668</v>
      </c>
      <c r="D495" s="6" t="s">
        <v>1264</v>
      </c>
      <c r="E495" s="6">
        <v>43658</v>
      </c>
      <c r="F495" s="6"/>
      <c r="G495" s="6"/>
      <c r="H495" s="6"/>
      <c r="I495" s="6"/>
      <c r="J495" s="6"/>
      <c r="K495" s="6"/>
      <c r="L495" s="6"/>
      <c r="M495" s="6"/>
      <c r="N495" s="6">
        <v>43826</v>
      </c>
      <c r="O495" s="6"/>
      <c r="P495" s="6"/>
      <c r="Q495" s="6"/>
      <c r="R495" s="6"/>
      <c r="S495" s="6">
        <v>43853</v>
      </c>
      <c r="T495" s="6"/>
      <c r="U495" s="6"/>
      <c r="V495" s="6">
        <v>43885</v>
      </c>
      <c r="W495" s="6"/>
      <c r="X495" s="6"/>
      <c r="Y495" s="6"/>
      <c r="Z495" s="6"/>
      <c r="AA495" s="6"/>
      <c r="AB495" s="6"/>
      <c r="AC495" s="6">
        <v>43950</v>
      </c>
      <c r="AD495" s="6"/>
      <c r="AE495" s="6"/>
      <c r="AF495" s="6">
        <v>43920</v>
      </c>
      <c r="AG495" s="6"/>
      <c r="AH495" s="6"/>
      <c r="AI495" s="6"/>
      <c r="AJ495" s="6"/>
      <c r="AK495" s="6"/>
      <c r="AL495" s="6"/>
      <c r="AM495" s="6"/>
      <c r="AN495" s="6"/>
      <c r="AO495" s="6"/>
      <c r="AP495" s="6"/>
      <c r="AQ495" s="6">
        <v>44055</v>
      </c>
      <c r="AR495" s="6">
        <v>44098</v>
      </c>
      <c r="AS495" s="6"/>
      <c r="AT495" s="6"/>
      <c r="AU495" s="6">
        <v>44098</v>
      </c>
      <c r="AV495" s="6">
        <v>44092</v>
      </c>
      <c r="AW495" s="6"/>
      <c r="AX495" s="6"/>
      <c r="AY495" s="6"/>
      <c r="AZ495" s="6"/>
      <c r="BA495" s="6"/>
      <c r="BB495" s="6"/>
      <c r="BC495" s="6"/>
      <c r="BD495" s="6"/>
      <c r="BE495" s="6"/>
      <c r="BF495" s="6"/>
      <c r="BG495" s="6"/>
      <c r="BH495" s="6"/>
      <c r="BI495" s="6"/>
      <c r="BJ495" s="6"/>
      <c r="BK495" s="6"/>
      <c r="BL495" s="6"/>
      <c r="BM495" s="6">
        <v>44099</v>
      </c>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c r="FZ495" s="6"/>
      <c r="GA495" s="6"/>
      <c r="GB495" s="6"/>
      <c r="GC495" s="6"/>
      <c r="GD495" s="6"/>
      <c r="GE495" s="6"/>
      <c r="GF495" s="6"/>
      <c r="GG495" s="6"/>
      <c r="GH495" s="6"/>
      <c r="GI495" s="6"/>
      <c r="GJ495" s="6"/>
      <c r="GK495" s="6"/>
      <c r="GL495" s="6"/>
      <c r="GM495" s="6"/>
      <c r="GN495" s="6"/>
      <c r="GO495" s="6"/>
      <c r="GP495" s="6"/>
      <c r="GQ495" s="6"/>
      <c r="GR495" s="6"/>
      <c r="GS495" s="6"/>
      <c r="GT495" s="6"/>
      <c r="GU495" s="6"/>
      <c r="GV495" s="6"/>
      <c r="GW495" s="6"/>
      <c r="GX495" s="6"/>
      <c r="GY495" s="6"/>
      <c r="GZ495" s="6"/>
      <c r="HA495" s="6"/>
      <c r="HB495" s="6"/>
      <c r="HC495" s="6"/>
      <c r="HD495" s="6"/>
      <c r="HE495" s="6"/>
      <c r="HF495" s="6"/>
      <c r="HG495" s="6"/>
      <c r="HH495" s="6"/>
    </row>
    <row r="496" spans="1:216" x14ac:dyDescent="0.3">
      <c r="A496" s="8" t="str">
        <f>HYPERLINK("https://hpr-rps.hres.ca/reg-content/summary-basis-decision-detailTwo.php?lang=en&amp;linkID=SBD00508", "Zeposia")</f>
        <v>Zeposia</v>
      </c>
      <c r="B496" s="6" t="s">
        <v>1265</v>
      </c>
      <c r="C496" s="6" t="s">
        <v>668</v>
      </c>
      <c r="D496" s="6" t="s">
        <v>1266</v>
      </c>
      <c r="E496" s="6">
        <v>43677</v>
      </c>
      <c r="F496" s="6"/>
      <c r="G496" s="6"/>
      <c r="H496" s="6">
        <v>43763</v>
      </c>
      <c r="I496" s="6"/>
      <c r="J496" s="6"/>
      <c r="K496" s="6"/>
      <c r="L496" s="6"/>
      <c r="M496" s="6"/>
      <c r="N496" s="6"/>
      <c r="O496" s="6"/>
      <c r="P496" s="6"/>
      <c r="Q496" s="6"/>
      <c r="R496" s="6"/>
      <c r="S496" s="6"/>
      <c r="T496" s="6"/>
      <c r="U496" s="6"/>
      <c r="V496" s="6"/>
      <c r="W496" s="6"/>
      <c r="X496" s="6"/>
      <c r="Y496" s="6"/>
      <c r="Z496" s="6"/>
      <c r="AA496" s="6"/>
      <c r="AB496" s="6"/>
      <c r="AC496" s="6"/>
      <c r="AD496" s="6"/>
      <c r="AE496" s="6"/>
      <c r="AF496" s="6">
        <v>43808</v>
      </c>
      <c r="AG496" s="6"/>
      <c r="AH496" s="6"/>
      <c r="AI496" s="6"/>
      <c r="AJ496" s="6"/>
      <c r="AK496" s="6"/>
      <c r="AL496" s="6"/>
      <c r="AM496" s="6"/>
      <c r="AN496" s="6"/>
      <c r="AO496" s="6"/>
      <c r="AP496" s="6"/>
      <c r="AQ496" s="6">
        <v>44106</v>
      </c>
      <c r="AR496" s="6">
        <v>44105</v>
      </c>
      <c r="AS496" s="6">
        <v>44035</v>
      </c>
      <c r="AT496" s="6"/>
      <c r="AU496" s="6">
        <v>44106</v>
      </c>
      <c r="AV496" s="6">
        <v>44103</v>
      </c>
      <c r="AW496" s="6"/>
      <c r="AX496" s="6">
        <v>44084</v>
      </c>
      <c r="AY496" s="6"/>
      <c r="AZ496" s="6"/>
      <c r="BA496" s="6"/>
      <c r="BB496" s="6"/>
      <c r="BC496" s="6"/>
      <c r="BD496" s="6"/>
      <c r="BE496" s="6"/>
      <c r="BF496" s="6"/>
      <c r="BG496" s="6"/>
      <c r="BH496" s="6"/>
      <c r="BI496" s="6"/>
      <c r="BJ496" s="6"/>
      <c r="BK496" s="6"/>
      <c r="BL496" s="6"/>
      <c r="BM496" s="6">
        <v>44106</v>
      </c>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c r="FZ496" s="6"/>
      <c r="GA496" s="6"/>
      <c r="GB496" s="6"/>
      <c r="GC496" s="6"/>
      <c r="GD496" s="6"/>
      <c r="GE496" s="6"/>
      <c r="GF496" s="6"/>
      <c r="GG496" s="6"/>
      <c r="GH496" s="6"/>
      <c r="GI496" s="6"/>
      <c r="GJ496" s="6"/>
      <c r="GK496" s="6"/>
      <c r="GL496" s="6"/>
      <c r="GM496" s="6"/>
      <c r="GN496" s="6"/>
      <c r="GO496" s="6"/>
      <c r="GP496" s="6"/>
      <c r="GQ496" s="6"/>
      <c r="GR496" s="6"/>
      <c r="GS496" s="6"/>
      <c r="GT496" s="6"/>
      <c r="GU496" s="6"/>
      <c r="GV496" s="6"/>
      <c r="GW496" s="6"/>
      <c r="GX496" s="6"/>
      <c r="GY496" s="6"/>
      <c r="GZ496" s="6"/>
      <c r="HA496" s="6"/>
      <c r="HB496" s="6"/>
      <c r="HC496" s="6"/>
      <c r="HD496" s="6"/>
      <c r="HE496" s="6"/>
      <c r="HF496" s="6"/>
      <c r="HG496" s="6"/>
      <c r="HH496" s="6"/>
    </row>
    <row r="497" spans="1:216" x14ac:dyDescent="0.3">
      <c r="A497" s="8" t="str">
        <f>HYPERLINK("https://hpr-rps.hres.ca/reg-content/summary-basis-decision-detailTwo.php?lang=en&amp;linkID=SBD00509", "Sarclisa")</f>
        <v>Sarclisa</v>
      </c>
      <c r="B497" s="6" t="s">
        <v>1267</v>
      </c>
      <c r="C497" s="6" t="s">
        <v>940</v>
      </c>
      <c r="D497" s="6" t="s">
        <v>1268</v>
      </c>
      <c r="E497" s="6">
        <v>43677</v>
      </c>
      <c r="F497" s="6"/>
      <c r="G497" s="6"/>
      <c r="H497" s="6">
        <v>43763</v>
      </c>
      <c r="I497" s="6"/>
      <c r="J497" s="6"/>
      <c r="K497" s="6"/>
      <c r="L497" s="6"/>
      <c r="M497" s="6"/>
      <c r="N497" s="6"/>
      <c r="O497" s="6"/>
      <c r="P497" s="6"/>
      <c r="Q497" s="6"/>
      <c r="R497" s="6"/>
      <c r="S497" s="6"/>
      <c r="T497" s="6"/>
      <c r="U497" s="6"/>
      <c r="V497" s="6"/>
      <c r="W497" s="6"/>
      <c r="X497" s="6"/>
      <c r="Y497" s="6"/>
      <c r="Z497" s="6"/>
      <c r="AA497" s="6"/>
      <c r="AB497" s="6"/>
      <c r="AC497" s="6"/>
      <c r="AD497" s="6"/>
      <c r="AE497" s="6"/>
      <c r="AF497" s="6">
        <v>43808</v>
      </c>
      <c r="AG497" s="6"/>
      <c r="AH497" s="6"/>
      <c r="AI497" s="6"/>
      <c r="AJ497" s="6"/>
      <c r="AK497" s="6"/>
      <c r="AL497" s="6"/>
      <c r="AM497" s="6"/>
      <c r="AN497" s="6"/>
      <c r="AO497" s="6"/>
      <c r="AP497" s="6"/>
      <c r="AQ497" s="6">
        <v>44106</v>
      </c>
      <c r="AR497" s="6">
        <v>44105</v>
      </c>
      <c r="AS497" s="6">
        <v>44035</v>
      </c>
      <c r="AT497" s="6"/>
      <c r="AU497" s="6">
        <v>44106</v>
      </c>
      <c r="AV497" s="6">
        <v>44103</v>
      </c>
      <c r="AW497" s="6"/>
      <c r="AX497" s="6">
        <v>44084</v>
      </c>
      <c r="AY497" s="6"/>
      <c r="AZ497" s="6"/>
      <c r="BA497" s="6"/>
      <c r="BB497" s="6"/>
      <c r="BC497" s="6"/>
      <c r="BD497" s="6"/>
      <c r="BE497" s="6"/>
      <c r="BF497" s="6"/>
      <c r="BG497" s="6"/>
      <c r="BH497" s="6"/>
      <c r="BI497" s="6"/>
      <c r="BJ497" s="6"/>
      <c r="BK497" s="6"/>
      <c r="BL497" s="6"/>
      <c r="BM497" s="6">
        <v>44106</v>
      </c>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c r="FZ497" s="6"/>
      <c r="GA497" s="6"/>
      <c r="GB497" s="6"/>
      <c r="GC497" s="6"/>
      <c r="GD497" s="6"/>
      <c r="GE497" s="6"/>
      <c r="GF497" s="6"/>
      <c r="GG497" s="6"/>
      <c r="GH497" s="6"/>
      <c r="GI497" s="6"/>
      <c r="GJ497" s="6"/>
      <c r="GK497" s="6"/>
      <c r="GL497" s="6"/>
      <c r="GM497" s="6"/>
      <c r="GN497" s="6"/>
      <c r="GO497" s="6"/>
      <c r="GP497" s="6"/>
      <c r="GQ497" s="6"/>
      <c r="GR497" s="6"/>
      <c r="GS497" s="6"/>
      <c r="GT497" s="6"/>
      <c r="GU497" s="6"/>
      <c r="GV497" s="6"/>
      <c r="GW497" s="6"/>
      <c r="GX497" s="6"/>
      <c r="GY497" s="6"/>
      <c r="GZ497" s="6"/>
      <c r="HA497" s="6"/>
      <c r="HB497" s="6"/>
      <c r="HC497" s="6"/>
      <c r="HD497" s="6"/>
      <c r="HE497" s="6"/>
      <c r="HF497" s="6"/>
      <c r="HG497" s="6"/>
      <c r="HH497" s="6"/>
    </row>
    <row r="498" spans="1:216" x14ac:dyDescent="0.3">
      <c r="A498" s="8" t="str">
        <f>HYPERLINK("https://hpr-rps.hres.ca/reg-content/summary-basis-decision-detailOne.php?lang=en&amp;linkID=SBD00510", "Pfizer-BioNTech COVID-19 Vaccine")</f>
        <v>Pfizer-BioNTech COVID-19 Vaccine</v>
      </c>
      <c r="B498" s="6" t="s">
        <v>1269</v>
      </c>
      <c r="C498" s="6" t="s">
        <v>1270</v>
      </c>
      <c r="D498" s="6" t="s">
        <v>1271</v>
      </c>
      <c r="E498" s="6">
        <v>44082</v>
      </c>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c r="FZ498" s="6"/>
      <c r="GA498" s="6"/>
      <c r="GB498" s="6"/>
      <c r="GC498" s="6"/>
      <c r="GD498" s="6"/>
      <c r="GE498" s="6"/>
      <c r="GF498" s="6"/>
      <c r="GG498" s="6"/>
      <c r="GH498" s="6"/>
      <c r="GI498" s="6"/>
      <c r="GJ498" s="6"/>
      <c r="GK498" s="6"/>
      <c r="GL498" s="6"/>
      <c r="GM498" s="6"/>
      <c r="GN498" s="6"/>
      <c r="GO498" s="6"/>
      <c r="GP498" s="6"/>
      <c r="GQ498" s="6"/>
      <c r="GR498" s="6"/>
      <c r="GS498" s="6"/>
      <c r="GT498" s="6"/>
      <c r="GU498" s="6"/>
      <c r="GV498" s="6"/>
      <c r="GW498" s="6"/>
      <c r="GX498" s="6"/>
      <c r="GY498" s="6"/>
      <c r="GZ498" s="6"/>
      <c r="HA498" s="6"/>
      <c r="HB498" s="6"/>
      <c r="HC498" s="6"/>
      <c r="HD498" s="6"/>
      <c r="HE498" s="6"/>
      <c r="HF498" s="6"/>
      <c r="HG498" s="6"/>
      <c r="HH498" s="6"/>
    </row>
    <row r="499" spans="1:216" x14ac:dyDescent="0.3">
      <c r="A499" s="8" t="str">
        <f>HYPERLINK("https://hpr-rps.hres.ca/reg-content/summary-basis-decision-detailOne.php?lang=en&amp;linkID=SBD00511", "Moderna COVID-19 Vaccine")</f>
        <v>Moderna COVID-19 Vaccine</v>
      </c>
      <c r="B499" s="6" t="s">
        <v>1272</v>
      </c>
      <c r="C499" s="6" t="s">
        <v>1273</v>
      </c>
      <c r="D499" s="6" t="s">
        <v>1274</v>
      </c>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c r="FZ499" s="6"/>
      <c r="GA499" s="6"/>
      <c r="GB499" s="6"/>
      <c r="GC499" s="6"/>
      <c r="GD499" s="6"/>
      <c r="GE499" s="6"/>
      <c r="GF499" s="6"/>
      <c r="GG499" s="6"/>
      <c r="GH499" s="6"/>
      <c r="GI499" s="6"/>
      <c r="GJ499" s="6"/>
      <c r="GK499" s="6"/>
      <c r="GL499" s="6"/>
      <c r="GM499" s="6"/>
      <c r="GN499" s="6"/>
      <c r="GO499" s="6"/>
      <c r="GP499" s="6"/>
      <c r="GQ499" s="6"/>
      <c r="GR499" s="6"/>
      <c r="GS499" s="6"/>
      <c r="GT499" s="6"/>
      <c r="GU499" s="6"/>
      <c r="GV499" s="6"/>
      <c r="GW499" s="6"/>
      <c r="GX499" s="6"/>
      <c r="GY499" s="6"/>
      <c r="GZ499" s="6"/>
      <c r="HA499" s="6"/>
      <c r="HB499" s="6"/>
      <c r="HC499" s="6"/>
      <c r="HD499" s="6"/>
      <c r="HE499" s="6"/>
      <c r="HF499" s="6"/>
      <c r="HG499" s="6"/>
      <c r="HH499" s="6"/>
    </row>
    <row r="500" spans="1:216" x14ac:dyDescent="0.3">
      <c r="A500" s="8" t="str">
        <f>HYPERLINK("https://hpr-rps.hres.ca/reg-content/summary-basis-decision-detailOne.php?lang=en&amp;linkID=SBD00512", "Bamlanivimab for Injection")</f>
        <v>Bamlanivimab for Injection</v>
      </c>
      <c r="B500" s="6" t="s">
        <v>1275</v>
      </c>
      <c r="C500" s="6" t="s">
        <v>140</v>
      </c>
      <c r="D500" s="6" t="s">
        <v>1276</v>
      </c>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c r="FZ500" s="6"/>
      <c r="GA500" s="6"/>
      <c r="GB500" s="6"/>
      <c r="GC500" s="6"/>
      <c r="GD500" s="6"/>
      <c r="GE500" s="6"/>
      <c r="GF500" s="6"/>
      <c r="GG500" s="6"/>
      <c r="GH500" s="6"/>
      <c r="GI500" s="6"/>
      <c r="GJ500" s="6"/>
      <c r="GK500" s="6"/>
      <c r="GL500" s="6"/>
      <c r="GM500" s="6"/>
      <c r="GN500" s="6"/>
      <c r="GO500" s="6"/>
      <c r="GP500" s="6"/>
      <c r="GQ500" s="6"/>
      <c r="GR500" s="6"/>
      <c r="GS500" s="6"/>
      <c r="GT500" s="6"/>
      <c r="GU500" s="6"/>
      <c r="GV500" s="6"/>
      <c r="GW500" s="6"/>
      <c r="GX500" s="6"/>
      <c r="GY500" s="6"/>
      <c r="GZ500" s="6"/>
      <c r="HA500" s="6"/>
      <c r="HB500" s="6"/>
      <c r="HC500" s="6"/>
      <c r="HD500" s="6"/>
      <c r="HE500" s="6"/>
      <c r="HF500" s="6"/>
      <c r="HG500" s="6"/>
      <c r="HH500" s="6"/>
    </row>
    <row r="501" spans="1:216" x14ac:dyDescent="0.3">
      <c r="A501" s="8"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1" s="6" t="s">
        <v>1277</v>
      </c>
      <c r="C501" s="6" t="s">
        <v>1278</v>
      </c>
      <c r="D501" s="6" t="s">
        <v>883</v>
      </c>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c r="FZ501" s="6"/>
      <c r="GA501" s="6"/>
      <c r="GB501" s="6"/>
      <c r="GC501" s="6"/>
      <c r="GD501" s="6"/>
      <c r="GE501" s="6"/>
      <c r="GF501" s="6"/>
      <c r="GG501" s="6"/>
      <c r="GH501" s="6"/>
      <c r="GI501" s="6"/>
      <c r="GJ501" s="6"/>
      <c r="GK501" s="6"/>
      <c r="GL501" s="6"/>
      <c r="GM501" s="6"/>
      <c r="GN501" s="6"/>
      <c r="GO501" s="6"/>
      <c r="GP501" s="6"/>
      <c r="GQ501" s="6"/>
      <c r="GR501" s="6"/>
      <c r="GS501" s="6"/>
      <c r="GT501" s="6"/>
      <c r="GU501" s="6"/>
      <c r="GV501" s="6"/>
      <c r="GW501" s="6"/>
      <c r="GX501" s="6"/>
      <c r="GY501" s="6"/>
      <c r="GZ501" s="6"/>
      <c r="HA501" s="6"/>
      <c r="HB501" s="6"/>
      <c r="HC501" s="6"/>
      <c r="HD501" s="6"/>
      <c r="HE501" s="6"/>
      <c r="HF501" s="6"/>
      <c r="HG501" s="6"/>
      <c r="HH501" s="6"/>
    </row>
    <row r="502" spans="1:216" x14ac:dyDescent="0.3">
      <c r="A502" s="8" t="str">
        <f>HYPERLINK("https://hpr-rps.hres.ca/reg-content/summary-basis-decision-medical-device-detailOne.php?lang=en&amp;linkID=SBD00339", "Natrelle TM")</f>
        <v>Natrelle TM</v>
      </c>
      <c r="B502" s="6" t="s">
        <v>1277</v>
      </c>
      <c r="C502" s="6" t="s">
        <v>1278</v>
      </c>
      <c r="D502" s="6" t="s">
        <v>885</v>
      </c>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c r="FZ502" s="6"/>
      <c r="GA502" s="6"/>
      <c r="GB502" s="6"/>
      <c r="GC502" s="6"/>
      <c r="GD502" s="6"/>
      <c r="GE502" s="6"/>
      <c r="GF502" s="6"/>
      <c r="GG502" s="6"/>
      <c r="GH502" s="6"/>
      <c r="GI502" s="6"/>
      <c r="GJ502" s="6"/>
      <c r="GK502" s="6"/>
      <c r="GL502" s="6"/>
      <c r="GM502" s="6"/>
      <c r="GN502" s="6"/>
      <c r="GO502" s="6"/>
      <c r="GP502" s="6"/>
      <c r="GQ502" s="6"/>
      <c r="GR502" s="6"/>
      <c r="GS502" s="6"/>
      <c r="GT502" s="6"/>
      <c r="GU502" s="6"/>
      <c r="GV502" s="6"/>
      <c r="GW502" s="6"/>
      <c r="GX502" s="6"/>
      <c r="GY502" s="6"/>
      <c r="GZ502" s="6"/>
      <c r="HA502" s="6"/>
      <c r="HB502" s="6"/>
      <c r="HC502" s="6"/>
      <c r="HD502" s="6"/>
      <c r="HE502" s="6"/>
      <c r="HF502" s="6"/>
      <c r="HG502" s="6"/>
      <c r="HH502" s="6"/>
    </row>
    <row r="503" spans="1:216" x14ac:dyDescent="0.3">
      <c r="A503" s="8" t="str">
        <f>HYPERLINK("https://hpr-rps.hres.ca/reg-content/summary-basis-decision-medical-device-detailOne.php?lang=en&amp;linkID=SBD00328", "MemoryGel&amp;trade; Silicone Gel-Filled Breast Implants")</f>
        <v>MemoryGel&amp;trade; Silicone Gel-Filled Breast Implants</v>
      </c>
      <c r="B503" s="6" t="s">
        <v>1277</v>
      </c>
      <c r="C503" s="6" t="s">
        <v>1279</v>
      </c>
      <c r="D503" s="6" t="s">
        <v>851</v>
      </c>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c r="FZ503" s="6"/>
      <c r="GA503" s="6"/>
      <c r="GB503" s="6"/>
      <c r="GC503" s="6"/>
      <c r="GD503" s="6"/>
      <c r="GE503" s="6"/>
      <c r="GF503" s="6"/>
      <c r="GG503" s="6"/>
      <c r="GH503" s="6"/>
      <c r="GI503" s="6"/>
      <c r="GJ503" s="6"/>
      <c r="GK503" s="6"/>
      <c r="GL503" s="6"/>
      <c r="GM503" s="6"/>
      <c r="GN503" s="6"/>
      <c r="GO503" s="6"/>
      <c r="GP503" s="6"/>
      <c r="GQ503" s="6"/>
      <c r="GR503" s="6"/>
      <c r="GS503" s="6"/>
      <c r="GT503" s="6"/>
      <c r="GU503" s="6"/>
      <c r="GV503" s="6"/>
      <c r="GW503" s="6"/>
      <c r="GX503" s="6"/>
      <c r="GY503" s="6"/>
      <c r="GZ503" s="6"/>
      <c r="HA503" s="6"/>
      <c r="HB503" s="6"/>
      <c r="HC503" s="6"/>
      <c r="HD503" s="6"/>
      <c r="HE503" s="6"/>
      <c r="HF503" s="6"/>
      <c r="HG503" s="6"/>
      <c r="HH503" s="6"/>
    </row>
    <row r="504" spans="1:216" x14ac:dyDescent="0.3">
      <c r="A504" s="8" t="str">
        <f>HYPERLINK("https://hpr-rps.hres.ca/reg-content/summary-basis-decision-medical-device-detailOne.php?lang=en&amp;linkID=SBD00348", "Mentor Memorygel&amp;trade; CPG Breast Implants Cohesive III")</f>
        <v>Mentor Memorygel&amp;trade; CPG Breast Implants Cohesive III</v>
      </c>
      <c r="B504" s="6" t="s">
        <v>1277</v>
      </c>
      <c r="C504" s="6" t="s">
        <v>1279</v>
      </c>
      <c r="D504" s="6" t="s">
        <v>903</v>
      </c>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c r="FZ504" s="6"/>
      <c r="GA504" s="6"/>
      <c r="GB504" s="6"/>
      <c r="GC504" s="6"/>
      <c r="GD504" s="6"/>
      <c r="GE504" s="6"/>
      <c r="GF504" s="6"/>
      <c r="GG504" s="6"/>
      <c r="GH504" s="6"/>
      <c r="GI504" s="6"/>
      <c r="GJ504" s="6"/>
      <c r="GK504" s="6"/>
      <c r="GL504" s="6"/>
      <c r="GM504" s="6"/>
      <c r="GN504" s="6"/>
      <c r="GO504" s="6"/>
      <c r="GP504" s="6"/>
      <c r="GQ504" s="6"/>
      <c r="GR504" s="6"/>
      <c r="GS504" s="6"/>
      <c r="GT504" s="6"/>
      <c r="GU504" s="6"/>
      <c r="GV504" s="6"/>
      <c r="GW504" s="6"/>
      <c r="GX504" s="6"/>
      <c r="GY504" s="6"/>
      <c r="GZ504" s="6"/>
      <c r="HA504" s="6"/>
      <c r="HB504" s="6"/>
      <c r="HC504" s="6"/>
      <c r="HD504" s="6"/>
      <c r="HE504" s="6"/>
      <c r="HF504" s="6"/>
      <c r="HG504" s="6"/>
      <c r="HH504" s="6"/>
    </row>
    <row r="505" spans="1:216" x14ac:dyDescent="0.3">
      <c r="A505" s="8" t="str">
        <f>HYPERLINK("https://hpr-rps.hres.ca/reg-content/summary-basis-decision-medical-device-detailOne.php?lang=en&amp;linkID=SBD00404", "Mentor Memorygel&amp;trade; CPG Breast Implants Cohesive III")</f>
        <v>Mentor Memorygel&amp;trade; CPG Breast Implants Cohesive III</v>
      </c>
      <c r="B505" s="6" t="s">
        <v>1277</v>
      </c>
      <c r="C505" s="6" t="s">
        <v>1279</v>
      </c>
      <c r="D505" s="6" t="s">
        <v>1031</v>
      </c>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c r="FZ505" s="6"/>
      <c r="GA505" s="6"/>
      <c r="GB505" s="6"/>
      <c r="GC505" s="6"/>
      <c r="GD505" s="6"/>
      <c r="GE505" s="6"/>
      <c r="GF505" s="6"/>
      <c r="GG505" s="6"/>
      <c r="GH505" s="6"/>
      <c r="GI505" s="6"/>
      <c r="GJ505" s="6"/>
      <c r="GK505" s="6"/>
      <c r="GL505" s="6"/>
      <c r="GM505" s="6"/>
      <c r="GN505" s="6"/>
      <c r="GO505" s="6"/>
      <c r="GP505" s="6"/>
      <c r="GQ505" s="6"/>
      <c r="GR505" s="6"/>
      <c r="GS505" s="6"/>
      <c r="GT505" s="6"/>
      <c r="GU505" s="6"/>
      <c r="GV505" s="6"/>
      <c r="GW505" s="6"/>
      <c r="GX505" s="6"/>
      <c r="GY505" s="6"/>
      <c r="GZ505" s="6"/>
      <c r="HA505" s="6"/>
      <c r="HB505" s="6"/>
      <c r="HC505" s="6"/>
      <c r="HD505" s="6"/>
      <c r="HE505" s="6"/>
      <c r="HF505" s="6"/>
      <c r="HG505" s="6"/>
      <c r="HH505" s="6"/>
    </row>
    <row r="506" spans="1:216" x14ac:dyDescent="0.3">
      <c r="A506" s="8" t="str">
        <f>HYPERLINK("https://hpr-rps.hres.ca/reg-content/summary-basis-decision-medical-device-detailOne.php?lang=en&amp;linkID=SBD00405", "Mentor Memorygel&amp;trade; CPG Breast Implants Cohesive III")</f>
        <v>Mentor Memorygel&amp;trade; CPG Breast Implants Cohesive III</v>
      </c>
      <c r="B506" s="6" t="s">
        <v>1277</v>
      </c>
      <c r="C506" s="6" t="s">
        <v>1279</v>
      </c>
      <c r="D506" s="6" t="s">
        <v>1033</v>
      </c>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c r="FZ506" s="6"/>
      <c r="GA506" s="6"/>
      <c r="GB506" s="6"/>
      <c r="GC506" s="6"/>
      <c r="GD506" s="6"/>
      <c r="GE506" s="6"/>
      <c r="GF506" s="6"/>
      <c r="GG506" s="6"/>
      <c r="GH506" s="6"/>
      <c r="GI506" s="6"/>
      <c r="GJ506" s="6"/>
      <c r="GK506" s="6"/>
      <c r="GL506" s="6"/>
      <c r="GM506" s="6"/>
      <c r="GN506" s="6"/>
      <c r="GO506" s="6"/>
      <c r="GP506" s="6"/>
      <c r="GQ506" s="6"/>
      <c r="GR506" s="6"/>
      <c r="GS506" s="6"/>
      <c r="GT506" s="6"/>
      <c r="GU506" s="6"/>
      <c r="GV506" s="6"/>
      <c r="GW506" s="6"/>
      <c r="GX506" s="6"/>
      <c r="GY506" s="6"/>
      <c r="GZ506" s="6"/>
      <c r="HA506" s="6"/>
      <c r="HB506" s="6"/>
      <c r="HC506" s="6"/>
      <c r="HD506" s="6"/>
      <c r="HE506" s="6"/>
      <c r="HF506" s="6"/>
      <c r="HG506" s="6"/>
      <c r="HH506" s="6"/>
    </row>
    <row r="507" spans="1:216" x14ac:dyDescent="0.3">
      <c r="A507" s="8" t="str">
        <f>HYPERLINK("https://hpr-rps.hres.ca/reg-content/summary-basis-decision-medical-device-detailOne.php?lang=en&amp;linkID=SBD00406", "Mentor Memorygel&amp;trade; CPG Breast Implants Cohesive III")</f>
        <v>Mentor Memorygel&amp;trade; CPG Breast Implants Cohesive III</v>
      </c>
      <c r="B507" s="6" t="s">
        <v>1277</v>
      </c>
      <c r="C507" s="6" t="s">
        <v>1279</v>
      </c>
      <c r="D507" s="6" t="s">
        <v>1035</v>
      </c>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row>
    <row r="508" spans="1:216" x14ac:dyDescent="0.3">
      <c r="A508" s="8" t="str">
        <f>HYPERLINK("https://hpr-rps.hres.ca/reg-content/summary-basis-decision-medical-device-detailOne.php?lang=en&amp;linkID=SBD00407", "Mentor Memorygel&amp;trade; CPG Breast Implants Cohesive III")</f>
        <v>Mentor Memorygel&amp;trade; CPG Breast Implants Cohesive III</v>
      </c>
      <c r="B508" s="6" t="s">
        <v>1277</v>
      </c>
      <c r="C508" s="6" t="s">
        <v>1279</v>
      </c>
      <c r="D508" s="6" t="s">
        <v>1038</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row>
    <row r="509" spans="1:216" x14ac:dyDescent="0.3">
      <c r="A509" s="8" t="str">
        <f>HYPERLINK("https://hpr-rps.hres.ca/reg-content/summary-basis-decision-medical-device-detailOne.php?lang=en&amp;linkID=SBD00408", "Mentor Memorygel&amp;trade; CPG Breast Implants Cohesive III")</f>
        <v>Mentor Memorygel&amp;trade; CPG Breast Implants Cohesive III</v>
      </c>
      <c r="B509" s="6" t="s">
        <v>1277</v>
      </c>
      <c r="C509" s="6" t="s">
        <v>1279</v>
      </c>
      <c r="D509" s="6" t="s">
        <v>1041</v>
      </c>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row>
    <row r="510" spans="1:216" x14ac:dyDescent="0.3">
      <c r="A510" s="8" t="str">
        <f>HYPERLINK("https://hpr-rps.hres.ca/reg-content/summary-basis-decision-medical-device-detailOne.php?lang=en&amp;linkID=SBD00409", "Mentor Memorygel&amp;trade; CPG Breast Implants Cohesive III")</f>
        <v>Mentor Memorygel&amp;trade; CPG Breast Implants Cohesive III</v>
      </c>
      <c r="B510" s="6" t="s">
        <v>1277</v>
      </c>
      <c r="C510" s="6" t="s">
        <v>1279</v>
      </c>
      <c r="D510" s="6" t="s">
        <v>1043</v>
      </c>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row>
    <row r="511" spans="1:216" x14ac:dyDescent="0.3">
      <c r="A511" s="8" t="str">
        <f>HYPERLINK("https://hpr-rps.hres.ca/reg-content/summary-basis-decision-medical-device-detailOne.php?lang=en&amp;linkID=SBD00410", "Mentor Memorygel&amp;trade; CPG Breast Implants Cohesive III")</f>
        <v>Mentor Memorygel&amp;trade; CPG Breast Implants Cohesive III</v>
      </c>
      <c r="B511" s="6" t="s">
        <v>1277</v>
      </c>
      <c r="C511" s="6" t="s">
        <v>1279</v>
      </c>
      <c r="D511" s="6" t="s">
        <v>1045</v>
      </c>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row>
    <row r="512" spans="1:216" x14ac:dyDescent="0.3">
      <c r="A512" s="8" t="str">
        <f>HYPERLINK("https://hpr-rps.hres.ca/reg-content/summary-basis-decision-medical-device-detailOne.php?lang=en&amp;linkID=SBD00349", "Mentor MemoryGel&amp;trade; Silicone Gel-Filled Breast Implants")</f>
        <v>Mentor MemoryGel&amp;trade; Silicone Gel-Filled Breast Implants</v>
      </c>
      <c r="B512" s="6" t="s">
        <v>1277</v>
      </c>
      <c r="C512" s="6" t="s">
        <v>1280</v>
      </c>
      <c r="D512" s="6" t="s">
        <v>906</v>
      </c>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row>
    <row r="513" spans="1:216" x14ac:dyDescent="0.3">
      <c r="A513" s="8" t="str">
        <f>HYPERLINK("https://hpr-rps.hres.ca/reg-content/summary-basis-decision-medical-device-detailOne.php?lang=en&amp;linkID=SBD00411", "Mentor MemoryGel&amp;trade; Silicone Gel-Filled Breast Implants")</f>
        <v>Mentor MemoryGel&amp;trade; Silicone Gel-Filled Breast Implants</v>
      </c>
      <c r="B513" s="6" t="s">
        <v>1277</v>
      </c>
      <c r="C513" s="6" t="s">
        <v>1280</v>
      </c>
      <c r="D513" s="6" t="s">
        <v>1047</v>
      </c>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row>
    <row r="514" spans="1:216" x14ac:dyDescent="0.3">
      <c r="A514" s="8" t="str">
        <f>HYPERLINK("https://hpr-rps.hres.ca/reg-content/summary-basis-decision-medical-device-detailOne.php?lang=en&amp;linkID=SBD00412", "Mentor MemoryGel&amp;trade; Silicone Gel-Filled Breast Implants")</f>
        <v>Mentor MemoryGel&amp;trade; Silicone Gel-Filled Breast Implants</v>
      </c>
      <c r="B514" s="6" t="s">
        <v>1277</v>
      </c>
      <c r="C514" s="6" t="s">
        <v>1280</v>
      </c>
      <c r="D514" s="6" t="s">
        <v>1049</v>
      </c>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row>
    <row r="515" spans="1:216" x14ac:dyDescent="0.3">
      <c r="A515" s="8" t="str">
        <f>HYPERLINK("https://hpr-rps.hres.ca/reg-content/summary-basis-decision-medical-device-detailOne.php?lang=en&amp;linkID=SBD00413", "Mentor MemoryGel&amp;trade; Silicone Gel-Filled Breast Implants")</f>
        <v>Mentor MemoryGel&amp;trade; Silicone Gel-Filled Breast Implants</v>
      </c>
      <c r="B515" s="6" t="s">
        <v>1277</v>
      </c>
      <c r="C515" s="6" t="s">
        <v>1280</v>
      </c>
      <c r="D515" s="6" t="s">
        <v>1052</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row>
    <row r="516" spans="1:216" x14ac:dyDescent="0.3">
      <c r="A516" s="8" t="str">
        <f>HYPERLINK("https://hpr-rps.hres.ca/reg-content/summary-basis-decision-medical-device-detailOne.php?lang=en&amp;linkID=SBD00414", "Mentor MemoryGel&amp;trade; Silicone Gel-Filled Breast Implants")</f>
        <v>Mentor MemoryGel&amp;trade; Silicone Gel-Filled Breast Implants</v>
      </c>
      <c r="B516" s="6" t="s">
        <v>1277</v>
      </c>
      <c r="C516" s="6" t="s">
        <v>1280</v>
      </c>
      <c r="D516" s="6" t="s">
        <v>1055</v>
      </c>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row>
    <row r="517" spans="1:216" x14ac:dyDescent="0.3">
      <c r="A517" s="8" t="str">
        <f>HYPERLINK("https://hpr-rps.hres.ca/reg-content/summary-basis-decision-medical-device-detailOne.php?lang=en&amp;linkID=SBD00415", "Mentor MemoryGel&amp;trade; Silicone Gel-Filled Breast Implants")</f>
        <v>Mentor MemoryGel&amp;trade; Silicone Gel-Filled Breast Implants</v>
      </c>
      <c r="B517" s="6" t="s">
        <v>1277</v>
      </c>
      <c r="C517" s="6" t="s">
        <v>1280</v>
      </c>
      <c r="D517" s="6" t="s">
        <v>1057</v>
      </c>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row>
    <row r="518" spans="1:216" x14ac:dyDescent="0.3">
      <c r="A518" s="8" t="str">
        <f>HYPERLINK("https://hpr-rps.hres.ca/reg-content/summary-basis-decision-medical-device-detailOne.php?lang=en&amp;linkID=SBD00416", "Mentor MemoryGel&amp;trade; Silicone Gel-Filled Breast Implants")</f>
        <v>Mentor MemoryGel&amp;trade; Silicone Gel-Filled Breast Implants</v>
      </c>
      <c r="B518" s="6" t="s">
        <v>1277</v>
      </c>
      <c r="C518" s="6" t="s">
        <v>1280</v>
      </c>
      <c r="D518" s="6" t="s">
        <v>1059</v>
      </c>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row>
    <row r="519" spans="1:216" x14ac:dyDescent="0.3">
      <c r="A519" s="8" t="str">
        <f>HYPERLINK("https://hpr-rps.hres.ca/reg-content/summary-basis-decision-medical-device-detailOne.php?lang=en&amp;linkID=SBD00417", "Mentor MemoryGel&amp;trade; Silicone Gel-Filled Breast Implants")</f>
        <v>Mentor MemoryGel&amp;trade; Silicone Gel-Filled Breast Implants</v>
      </c>
      <c r="B519" s="6" t="s">
        <v>1277</v>
      </c>
      <c r="C519" s="6" t="s">
        <v>1280</v>
      </c>
      <c r="D519" s="6" t="s">
        <v>1062</v>
      </c>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row>
    <row r="520" spans="1:216" x14ac:dyDescent="0.3">
      <c r="A520" s="8"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0" s="6" t="s">
        <v>1277</v>
      </c>
      <c r="C520" s="6" t="s">
        <v>1278</v>
      </c>
      <c r="D520" s="6" t="s">
        <v>859</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row>
    <row r="521" spans="1:216" x14ac:dyDescent="0.3">
      <c r="A521" s="8"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1" s="6" t="s">
        <v>1277</v>
      </c>
      <c r="C521" s="6" t="s">
        <v>1278</v>
      </c>
      <c r="D521" s="6" t="s">
        <v>1064</v>
      </c>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row>
    <row r="522" spans="1:216" x14ac:dyDescent="0.3">
      <c r="A522" s="8"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6" t="s">
        <v>1277</v>
      </c>
      <c r="C522" s="6" t="s">
        <v>1281</v>
      </c>
      <c r="D522" s="6" t="s">
        <v>1066</v>
      </c>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row>
    <row r="523" spans="1:216" x14ac:dyDescent="0.3">
      <c r="A523" s="8" t="str">
        <f>HYPERLINK("https://hpr-rps.hres.ca/reg-content/summary-basis-decision-medical-device-detailOne.php?lang=en&amp;linkID=SBD00327", "CPG Gel Breast Implants Cohesive III")</f>
        <v>CPG Gel Breast Implants Cohesive III</v>
      </c>
      <c r="B523" s="6" t="s">
        <v>1277</v>
      </c>
      <c r="C523" s="6" t="s">
        <v>1279</v>
      </c>
      <c r="D523" s="6" t="s">
        <v>849</v>
      </c>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c r="FZ523" s="6"/>
      <c r="GA523" s="6"/>
      <c r="GB523" s="6"/>
      <c r="GC523" s="6"/>
      <c r="GD523" s="6"/>
      <c r="GE523" s="6"/>
      <c r="GF523" s="6"/>
      <c r="GG523" s="6"/>
      <c r="GH523" s="6"/>
      <c r="GI523" s="6"/>
      <c r="GJ523" s="6"/>
      <c r="GK523" s="6"/>
      <c r="GL523" s="6"/>
      <c r="GM523" s="6"/>
      <c r="GN523" s="6"/>
      <c r="GO523" s="6"/>
      <c r="GP523" s="6"/>
      <c r="GQ523" s="6"/>
      <c r="GR523" s="6"/>
      <c r="GS523" s="6"/>
      <c r="GT523" s="6"/>
      <c r="GU523" s="6"/>
      <c r="GV523" s="6"/>
      <c r="GW523" s="6"/>
      <c r="GX523" s="6"/>
      <c r="GY523" s="6"/>
      <c r="GZ523" s="6"/>
      <c r="HA523" s="6"/>
      <c r="HB523" s="6"/>
      <c r="HC523" s="6"/>
      <c r="HD523" s="6"/>
      <c r="HE523" s="6"/>
      <c r="HF523" s="6"/>
      <c r="HG523" s="6"/>
      <c r="HH523" s="6"/>
    </row>
    <row r="524" spans="1:216" x14ac:dyDescent="0.3">
      <c r="A524" s="8"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6" t="s">
        <v>1277</v>
      </c>
      <c r="C524" s="6" t="s">
        <v>1281</v>
      </c>
      <c r="D524" s="6" t="s">
        <v>1068</v>
      </c>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c r="FZ524" s="6"/>
      <c r="GA524" s="6"/>
      <c r="GB524" s="6"/>
      <c r="GC524" s="6"/>
      <c r="GD524" s="6"/>
      <c r="GE524" s="6"/>
      <c r="GF524" s="6"/>
      <c r="GG524" s="6"/>
      <c r="GH524" s="6"/>
      <c r="GI524" s="6"/>
      <c r="GJ524" s="6"/>
      <c r="GK524" s="6"/>
      <c r="GL524" s="6"/>
      <c r="GM524" s="6"/>
      <c r="GN524" s="6"/>
      <c r="GO524" s="6"/>
      <c r="GP524" s="6"/>
      <c r="GQ524" s="6"/>
      <c r="GR524" s="6"/>
      <c r="GS524" s="6"/>
      <c r="GT524" s="6"/>
      <c r="GU524" s="6"/>
      <c r="GV524" s="6"/>
      <c r="GW524" s="6"/>
      <c r="GX524" s="6"/>
      <c r="GY524" s="6"/>
      <c r="GZ524" s="6"/>
      <c r="HA524" s="6"/>
      <c r="HB524" s="6"/>
      <c r="HC524" s="6"/>
      <c r="HD524" s="6"/>
      <c r="HE524" s="6"/>
      <c r="HF524" s="6"/>
      <c r="HG524" s="6"/>
      <c r="HH524" s="6"/>
    </row>
    <row r="525" spans="1:216" x14ac:dyDescent="0.3">
      <c r="A525" s="8"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5" s="6" t="s">
        <v>1277</v>
      </c>
      <c r="C525" s="6" t="s">
        <v>1282</v>
      </c>
      <c r="D525" s="6" t="s">
        <v>1211</v>
      </c>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c r="FZ525" s="6"/>
      <c r="GA525" s="6"/>
      <c r="GB525" s="6"/>
      <c r="GC525" s="6"/>
      <c r="GD525" s="6"/>
      <c r="GE525" s="6"/>
      <c r="GF525" s="6"/>
      <c r="GG525" s="6"/>
      <c r="GH525" s="6"/>
      <c r="GI525" s="6"/>
      <c r="GJ525" s="6"/>
      <c r="GK525" s="6"/>
      <c r="GL525" s="6"/>
      <c r="GM525" s="6"/>
      <c r="GN525" s="6"/>
      <c r="GO525" s="6"/>
      <c r="GP525" s="6"/>
      <c r="GQ525" s="6"/>
      <c r="GR525" s="6"/>
      <c r="GS525" s="6"/>
      <c r="GT525" s="6"/>
      <c r="GU525" s="6"/>
      <c r="GV525" s="6"/>
      <c r="GW525" s="6"/>
      <c r="GX525" s="6"/>
      <c r="GY525" s="6"/>
      <c r="GZ525" s="6"/>
      <c r="HA525" s="6"/>
      <c r="HB525" s="6"/>
      <c r="HC525" s="6"/>
      <c r="HD525" s="6"/>
      <c r="HE525" s="6"/>
      <c r="HF525" s="6"/>
      <c r="HG525" s="6"/>
      <c r="HH525" s="6"/>
    </row>
    <row r="526" spans="1:216" x14ac:dyDescent="0.3">
      <c r="A526" s="8" t="str">
        <f>HYPERLINK("https://hpr-rps.hres.ca/reg-content/summary-basis-decision-medical-device-detailOne.php?lang=en&amp;linkID=SBD00351", "Natrelle&amp;#8482; Highly Cohesive Silicone-Filled Breast Implants")</f>
        <v>Natrelle&amp;#8482; Highly Cohesive Silicone-Filled Breast Implants</v>
      </c>
      <c r="B526" s="6" t="s">
        <v>1277</v>
      </c>
      <c r="C526" s="6" t="s">
        <v>1278</v>
      </c>
      <c r="D526" s="6" t="s">
        <v>909</v>
      </c>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c r="FZ526" s="6"/>
      <c r="GA526" s="6"/>
      <c r="GB526" s="6"/>
      <c r="GC526" s="6"/>
      <c r="GD526" s="6"/>
      <c r="GE526" s="6"/>
      <c r="GF526" s="6"/>
      <c r="GG526" s="6"/>
      <c r="GH526" s="6"/>
      <c r="GI526" s="6"/>
      <c r="GJ526" s="6"/>
      <c r="GK526" s="6"/>
      <c r="GL526" s="6"/>
      <c r="GM526" s="6"/>
      <c r="GN526" s="6"/>
      <c r="GO526" s="6"/>
      <c r="GP526" s="6"/>
      <c r="GQ526" s="6"/>
      <c r="GR526" s="6"/>
      <c r="GS526" s="6"/>
      <c r="GT526" s="6"/>
      <c r="GU526" s="6"/>
      <c r="GV526" s="6"/>
      <c r="GW526" s="6"/>
      <c r="GX526" s="6"/>
      <c r="GY526" s="6"/>
      <c r="GZ526" s="6"/>
      <c r="HA526" s="6"/>
      <c r="HB526" s="6"/>
      <c r="HC526" s="6"/>
      <c r="HD526" s="6"/>
      <c r="HE526" s="6"/>
      <c r="HF526" s="6"/>
      <c r="HG526" s="6"/>
      <c r="HH526" s="6"/>
    </row>
    <row r="527" spans="1:216" x14ac:dyDescent="0.3">
      <c r="A527" s="8" t="str">
        <f>HYPERLINK("https://hpr-rps.hres.ca/reg-content/summary-basis-decision-medical-device-detailOne.php?lang=en&amp;linkID=SBD00421", "Natrelle&amp;#8482; Highly Cohesive Silicone-filled Breast Implants")</f>
        <v>Natrelle&amp;#8482; Highly Cohesive Silicone-filled Breast Implants</v>
      </c>
      <c r="B527" s="6" t="s">
        <v>1277</v>
      </c>
      <c r="C527" s="6" t="s">
        <v>1278</v>
      </c>
      <c r="D527" s="6" t="s">
        <v>1070</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c r="FZ527" s="6"/>
      <c r="GA527" s="6"/>
      <c r="GB527" s="6"/>
      <c r="GC527" s="6"/>
      <c r="GD527" s="6"/>
      <c r="GE527" s="6"/>
      <c r="GF527" s="6"/>
      <c r="GG527" s="6"/>
      <c r="GH527" s="6"/>
      <c r="GI527" s="6"/>
      <c r="GJ527" s="6"/>
      <c r="GK527" s="6"/>
      <c r="GL527" s="6"/>
      <c r="GM527" s="6"/>
      <c r="GN527" s="6"/>
      <c r="GO527" s="6"/>
      <c r="GP527" s="6"/>
      <c r="GQ527" s="6"/>
      <c r="GR527" s="6"/>
      <c r="GS527" s="6"/>
      <c r="GT527" s="6"/>
      <c r="GU527" s="6"/>
      <c r="GV527" s="6"/>
      <c r="GW527" s="6"/>
      <c r="GX527" s="6"/>
      <c r="GY527" s="6"/>
      <c r="GZ527" s="6"/>
      <c r="HA527" s="6"/>
      <c r="HB527" s="6"/>
      <c r="HC527" s="6"/>
      <c r="HD527" s="6"/>
      <c r="HE527" s="6"/>
      <c r="HF527" s="6"/>
      <c r="HG527" s="6"/>
      <c r="HH527" s="6"/>
    </row>
    <row r="528" spans="1:216" x14ac:dyDescent="0.3">
      <c r="A528" s="8" t="str">
        <f>HYPERLINK("https://hpr-rps.hres.ca/reg-content/summary-basis-decision-medical-device-detailOne.php?lang=en&amp;linkID=SBD00422", "Natrelle&amp;#8482; Highly Cohesive Silicone-Filled Breast Implants")</f>
        <v>Natrelle&amp;#8482; Highly Cohesive Silicone-Filled Breast Implants</v>
      </c>
      <c r="B528" s="6" t="s">
        <v>1277</v>
      </c>
      <c r="C528" s="6" t="s">
        <v>1281</v>
      </c>
      <c r="D528" s="6" t="s">
        <v>1073</v>
      </c>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c r="FZ528" s="6"/>
      <c r="GA528" s="6"/>
      <c r="GB528" s="6"/>
      <c r="GC528" s="6"/>
      <c r="GD528" s="6"/>
      <c r="GE528" s="6"/>
      <c r="GF528" s="6"/>
      <c r="GG528" s="6"/>
      <c r="GH528" s="6"/>
      <c r="GI528" s="6"/>
      <c r="GJ528" s="6"/>
      <c r="GK528" s="6"/>
      <c r="GL528" s="6"/>
      <c r="GM528" s="6"/>
      <c r="GN528" s="6"/>
      <c r="GO528" s="6"/>
      <c r="GP528" s="6"/>
      <c r="GQ528" s="6"/>
      <c r="GR528" s="6"/>
      <c r="GS528" s="6"/>
      <c r="GT528" s="6"/>
      <c r="GU528" s="6"/>
      <c r="GV528" s="6"/>
      <c r="GW528" s="6"/>
      <c r="GX528" s="6"/>
      <c r="GY528" s="6"/>
      <c r="GZ528" s="6"/>
      <c r="HA528" s="6"/>
      <c r="HB528" s="6"/>
      <c r="HC528" s="6"/>
      <c r="HD528" s="6"/>
      <c r="HE528" s="6"/>
      <c r="HF528" s="6"/>
      <c r="HG528" s="6"/>
      <c r="HH528" s="6"/>
    </row>
    <row r="529" spans="1:216" x14ac:dyDescent="0.3">
      <c r="A529" s="8" t="str">
        <f>HYPERLINK("https://hpr-rps.hres.ca/reg-content/summary-basis-decision-medical-device-detailOne.php?lang=en&amp;linkID=SBD00423", "Natrelle&amp;#8482; Highly Cohesive Silicone-Filled Breast Implants")</f>
        <v>Natrelle&amp;#8482; Highly Cohesive Silicone-Filled Breast Implants</v>
      </c>
      <c r="B529" s="6" t="s">
        <v>1277</v>
      </c>
      <c r="C529" s="6" t="s">
        <v>1281</v>
      </c>
      <c r="D529" s="6" t="s">
        <v>1075</v>
      </c>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row>
    <row r="530" spans="1:216" x14ac:dyDescent="0.3">
      <c r="A530" s="8" t="str">
        <f>HYPERLINK("https://hpr-rps.hres.ca/reg-content/summary-basis-decision-medical-device-detailOne.php?lang=en&amp;linkID=SBD00424", "Natrelle TM")</f>
        <v>Natrelle TM</v>
      </c>
      <c r="B530" s="6" t="s">
        <v>1277</v>
      </c>
      <c r="C530" s="6" t="s">
        <v>1281</v>
      </c>
      <c r="D530" s="6" t="s">
        <v>1078</v>
      </c>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row>
    <row r="531" spans="1:216" x14ac:dyDescent="0.3">
      <c r="A531" s="8" t="str">
        <f>HYPERLINK("https://hpr-rps.hres.ca/reg-content/summary-basis-decision-medical-device-detailOne.php?lang=en&amp;linkID=SBD00320", "Neuroform 2 Microdelivery Stent System")</f>
        <v>Neuroform 2 Microdelivery Stent System</v>
      </c>
      <c r="B531" s="6" t="s">
        <v>1277</v>
      </c>
      <c r="C531" s="6" t="s">
        <v>1283</v>
      </c>
      <c r="D531" s="6" t="s">
        <v>1284</v>
      </c>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c r="FZ531" s="6"/>
      <c r="GA531" s="6"/>
      <c r="GB531" s="6"/>
      <c r="GC531" s="6"/>
      <c r="GD531" s="6"/>
      <c r="GE531" s="6"/>
      <c r="GF531" s="6"/>
      <c r="GG531" s="6"/>
      <c r="GH531" s="6"/>
      <c r="GI531" s="6"/>
      <c r="GJ531" s="6"/>
      <c r="GK531" s="6"/>
      <c r="GL531" s="6"/>
      <c r="GM531" s="6"/>
      <c r="GN531" s="6"/>
      <c r="GO531" s="6"/>
      <c r="GP531" s="6"/>
      <c r="GQ531" s="6"/>
      <c r="GR531" s="6"/>
      <c r="GS531" s="6"/>
      <c r="GT531" s="6"/>
      <c r="GU531" s="6"/>
      <c r="GV531" s="6"/>
      <c r="GW531" s="6"/>
      <c r="GX531" s="6"/>
      <c r="GY531" s="6"/>
      <c r="GZ531" s="6"/>
      <c r="HA531" s="6"/>
      <c r="HB531" s="6"/>
      <c r="HC531" s="6"/>
      <c r="HD531" s="6"/>
      <c r="HE531" s="6"/>
      <c r="HF531" s="6"/>
      <c r="HG531" s="6"/>
      <c r="HH531" s="6"/>
    </row>
    <row r="532" spans="1:216" x14ac:dyDescent="0.3">
      <c r="A532" s="8" t="str">
        <f>HYPERLINK("https://hpr-rps.hres.ca/reg-content/summary-basis-decision-medical-device-detailOne.php?lang=en&amp;linkID=SBD00321", "TMR (Transmyocardial Revascularization) Lasers&lt;br /&gt;TMR2000 Ho:YAG laser&lt;br /&gt;SolarGen 2100S Ho:YAG laser")</f>
        <v>TMR (Transmyocardial Revascularization) Lasers&lt;br /&gt;TMR2000 Ho:YAG laser&lt;br /&gt;SolarGen 2100S Ho:YAG laser</v>
      </c>
      <c r="B532" s="6" t="s">
        <v>1277</v>
      </c>
      <c r="C532" s="6" t="s">
        <v>1285</v>
      </c>
      <c r="D532" s="6" t="s">
        <v>836</v>
      </c>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c r="FZ532" s="6"/>
      <c r="GA532" s="6"/>
      <c r="GB532" s="6"/>
      <c r="GC532" s="6"/>
      <c r="GD532" s="6"/>
      <c r="GE532" s="6"/>
      <c r="GF532" s="6"/>
      <c r="GG532" s="6"/>
      <c r="GH532" s="6"/>
      <c r="GI532" s="6"/>
      <c r="GJ532" s="6"/>
      <c r="GK532" s="6"/>
      <c r="GL532" s="6"/>
      <c r="GM532" s="6"/>
      <c r="GN532" s="6"/>
      <c r="GO532" s="6"/>
      <c r="GP532" s="6"/>
      <c r="GQ532" s="6"/>
      <c r="GR532" s="6"/>
      <c r="GS532" s="6"/>
      <c r="GT532" s="6"/>
      <c r="GU532" s="6"/>
      <c r="GV532" s="6"/>
      <c r="GW532" s="6"/>
      <c r="GX532" s="6"/>
      <c r="GY532" s="6"/>
      <c r="GZ532" s="6"/>
      <c r="HA532" s="6"/>
      <c r="HB532" s="6"/>
      <c r="HC532" s="6"/>
      <c r="HD532" s="6"/>
      <c r="HE532" s="6"/>
      <c r="HF532" s="6"/>
      <c r="HG532" s="6"/>
      <c r="HH532" s="6"/>
    </row>
    <row r="533" spans="1:216" x14ac:dyDescent="0.3">
      <c r="A533" s="8" t="str">
        <f>HYPERLINK("https://hpr-rps.hres.ca/reg-content/summary-basis-decision-medical-device-detailOne.php?lang=en&amp;linkID=SBD00322", "AB5000&amp;trade; Circulatory Support System")</f>
        <v>AB5000&amp;trade; Circulatory Support System</v>
      </c>
      <c r="B533" s="6" t="s">
        <v>1277</v>
      </c>
      <c r="C533" s="6" t="s">
        <v>1286</v>
      </c>
      <c r="D533" s="6" t="s">
        <v>839</v>
      </c>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c r="FZ533" s="6"/>
      <c r="GA533" s="6"/>
      <c r="GB533" s="6"/>
      <c r="GC533" s="6"/>
      <c r="GD533" s="6"/>
      <c r="GE533" s="6"/>
      <c r="GF533" s="6"/>
      <c r="GG533" s="6"/>
      <c r="GH533" s="6"/>
      <c r="GI533" s="6"/>
      <c r="GJ533" s="6"/>
      <c r="GK533" s="6"/>
      <c r="GL533" s="6"/>
      <c r="GM533" s="6"/>
      <c r="GN533" s="6"/>
      <c r="GO533" s="6"/>
      <c r="GP533" s="6"/>
      <c r="GQ533" s="6"/>
      <c r="GR533" s="6"/>
      <c r="GS533" s="6"/>
      <c r="GT533" s="6"/>
      <c r="GU533" s="6"/>
      <c r="GV533" s="6"/>
      <c r="GW533" s="6"/>
      <c r="GX533" s="6"/>
      <c r="GY533" s="6"/>
      <c r="GZ533" s="6"/>
      <c r="HA533" s="6"/>
      <c r="HB533" s="6"/>
      <c r="HC533" s="6"/>
      <c r="HD533" s="6"/>
      <c r="HE533" s="6"/>
      <c r="HF533" s="6"/>
      <c r="HG533" s="6"/>
      <c r="HH533" s="6"/>
    </row>
    <row r="534" spans="1:216" x14ac:dyDescent="0.3">
      <c r="A534" s="8" t="str">
        <f>HYPERLINK("https://hpr-rps.hres.ca/reg-content/summary-basis-decision-medical-device-detailOne.php?lang=en&amp;linkID=SBD00323", "CardioWest&amp;trade; C70 Temporary Total Artificial Heart")</f>
        <v>CardioWest&amp;trade; C70 Temporary Total Artificial Heart</v>
      </c>
      <c r="B534" s="6" t="s">
        <v>1277</v>
      </c>
      <c r="C534" s="6" t="s">
        <v>1287</v>
      </c>
      <c r="D534" s="6" t="s">
        <v>841</v>
      </c>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c r="FZ534" s="6"/>
      <c r="GA534" s="6"/>
      <c r="GB534" s="6"/>
      <c r="GC534" s="6"/>
      <c r="GD534" s="6"/>
      <c r="GE534" s="6"/>
      <c r="GF534" s="6"/>
      <c r="GG534" s="6"/>
      <c r="GH534" s="6"/>
      <c r="GI534" s="6"/>
      <c r="GJ534" s="6"/>
      <c r="GK534" s="6"/>
      <c r="GL534" s="6"/>
      <c r="GM534" s="6"/>
      <c r="GN534" s="6"/>
      <c r="GO534" s="6"/>
      <c r="GP534" s="6"/>
      <c r="GQ534" s="6"/>
      <c r="GR534" s="6"/>
      <c r="GS534" s="6"/>
      <c r="GT534" s="6"/>
      <c r="GU534" s="6"/>
      <c r="GV534" s="6"/>
      <c r="GW534" s="6"/>
      <c r="GX534" s="6"/>
      <c r="GY534" s="6"/>
      <c r="GZ534" s="6"/>
      <c r="HA534" s="6"/>
      <c r="HB534" s="6"/>
      <c r="HC534" s="6"/>
      <c r="HD534" s="6"/>
      <c r="HE534" s="6"/>
      <c r="HF534" s="6"/>
      <c r="HG534" s="6"/>
      <c r="HH534" s="6"/>
    </row>
    <row r="535" spans="1:216" x14ac:dyDescent="0.3">
      <c r="A535" s="8" t="str">
        <f>HYPERLINK("https://hpr-rps.hres.ca/reg-content/summary-basis-decision-medical-device-detailOne.php?lang=en&amp;linkID=SBD00324", "Wingspan TM")</f>
        <v>Wingspan TM</v>
      </c>
      <c r="B535" s="6" t="s">
        <v>1277</v>
      </c>
      <c r="C535" s="6" t="s">
        <v>1288</v>
      </c>
      <c r="D535" s="6" t="s">
        <v>844</v>
      </c>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c r="FZ535" s="6"/>
      <c r="GA535" s="6"/>
      <c r="GB535" s="6"/>
      <c r="GC535" s="6"/>
      <c r="GD535" s="6"/>
      <c r="GE535" s="6"/>
      <c r="GF535" s="6"/>
      <c r="GG535" s="6"/>
      <c r="GH535" s="6"/>
      <c r="GI535" s="6"/>
      <c r="GJ535" s="6"/>
      <c r="GK535" s="6"/>
      <c r="GL535" s="6"/>
      <c r="GM535" s="6"/>
      <c r="GN535" s="6"/>
      <c r="GO535" s="6"/>
      <c r="GP535" s="6"/>
      <c r="GQ535" s="6"/>
      <c r="GR535" s="6"/>
      <c r="GS535" s="6"/>
      <c r="GT535" s="6"/>
      <c r="GU535" s="6"/>
      <c r="GV535" s="6"/>
      <c r="GW535" s="6"/>
      <c r="GX535" s="6"/>
      <c r="GY535" s="6"/>
      <c r="GZ535" s="6"/>
      <c r="HA535" s="6"/>
      <c r="HB535" s="6"/>
      <c r="HC535" s="6"/>
      <c r="HD535" s="6"/>
      <c r="HE535" s="6"/>
      <c r="HF535" s="6"/>
      <c r="HG535" s="6"/>
      <c r="HH535" s="6"/>
    </row>
    <row r="536" spans="1:216" x14ac:dyDescent="0.3">
      <c r="A536" s="8" t="str">
        <f>HYPERLINK("https://hpr-rps.hres.ca/reg-content/summary-basis-decision-medical-device-detailOne.php?lang=en&amp;linkID=SBD00325", "Inamed Style 410 Silicone-Filled Breast Implants")</f>
        <v>Inamed Style 410 Silicone-Filled Breast Implants</v>
      </c>
      <c r="B536" s="6" t="s">
        <v>1277</v>
      </c>
      <c r="C536" s="6" t="s">
        <v>1289</v>
      </c>
      <c r="D536" s="6" t="s">
        <v>1290</v>
      </c>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c r="FZ536" s="6"/>
      <c r="GA536" s="6"/>
      <c r="GB536" s="6"/>
      <c r="GC536" s="6"/>
      <c r="GD536" s="6"/>
      <c r="GE536" s="6"/>
      <c r="GF536" s="6"/>
      <c r="GG536" s="6"/>
      <c r="GH536" s="6"/>
      <c r="GI536" s="6"/>
      <c r="GJ536" s="6"/>
      <c r="GK536" s="6"/>
      <c r="GL536" s="6"/>
      <c r="GM536" s="6"/>
      <c r="GN536" s="6"/>
      <c r="GO536" s="6"/>
      <c r="GP536" s="6"/>
      <c r="GQ536" s="6"/>
      <c r="GR536" s="6"/>
      <c r="GS536" s="6"/>
      <c r="GT536" s="6"/>
      <c r="GU536" s="6"/>
      <c r="GV536" s="6"/>
      <c r="GW536" s="6"/>
      <c r="GX536" s="6"/>
      <c r="GY536" s="6"/>
      <c r="GZ536" s="6"/>
      <c r="HA536" s="6"/>
      <c r="HB536" s="6"/>
      <c r="HC536" s="6"/>
      <c r="HD536" s="6"/>
      <c r="HE536" s="6"/>
      <c r="HF536" s="6"/>
      <c r="HG536" s="6"/>
      <c r="HH536" s="6"/>
    </row>
    <row r="537" spans="1:216" x14ac:dyDescent="0.3">
      <c r="A537" s="8" t="str">
        <f>HYPERLINK("https://hpr-rps.hres.ca/reg-content/summary-basis-decision-medical-device-detailOne.php?lang=en&amp;linkID=SBD00329", "Procleix ®")</f>
        <v>Procleix ®</v>
      </c>
      <c r="B537" s="6" t="s">
        <v>1277</v>
      </c>
      <c r="C537" s="6" t="s">
        <v>1291</v>
      </c>
      <c r="D537" s="6" t="s">
        <v>855</v>
      </c>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row>
    <row r="538" spans="1:216" x14ac:dyDescent="0.3">
      <c r="A538" s="8" t="str">
        <f>HYPERLINK("https://hpr-rps.hres.ca/reg-content/summary-basis-decision-medical-device-detailOne.php?lang=en&amp;linkID=SBD00330", "Procleix ®")</f>
        <v>Procleix ®</v>
      </c>
      <c r="B538" s="6" t="s">
        <v>1277</v>
      </c>
      <c r="C538" s="6" t="s">
        <v>1291</v>
      </c>
      <c r="D538" s="6" t="s">
        <v>856</v>
      </c>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row>
    <row r="539" spans="1:216" x14ac:dyDescent="0.3">
      <c r="A539" s="8" t="str">
        <f>HYPERLINK("https://hpr-rps.hres.ca/reg-content/summary-basis-decision-medical-device-detailOne.php?lang=en&amp;linkID=SBD00331", "Procleix &amp;reg;")</f>
        <v>Procleix &amp;reg;</v>
      </c>
      <c r="B539" s="6" t="s">
        <v>1277</v>
      </c>
      <c r="C539" s="6" t="s">
        <v>1291</v>
      </c>
      <c r="D539" s="6" t="s">
        <v>862</v>
      </c>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c r="FZ539" s="6"/>
      <c r="GA539" s="6"/>
      <c r="GB539" s="6"/>
      <c r="GC539" s="6"/>
      <c r="GD539" s="6"/>
      <c r="GE539" s="6"/>
      <c r="GF539" s="6"/>
      <c r="GG539" s="6"/>
      <c r="GH539" s="6"/>
      <c r="GI539" s="6"/>
      <c r="GJ539" s="6"/>
      <c r="GK539" s="6"/>
      <c r="GL539" s="6"/>
      <c r="GM539" s="6"/>
      <c r="GN539" s="6"/>
      <c r="GO539" s="6"/>
      <c r="GP539" s="6"/>
      <c r="GQ539" s="6"/>
      <c r="GR539" s="6"/>
      <c r="GS539" s="6"/>
      <c r="GT539" s="6"/>
      <c r="GU539" s="6"/>
      <c r="GV539" s="6"/>
      <c r="GW539" s="6"/>
      <c r="GX539" s="6"/>
      <c r="GY539" s="6"/>
      <c r="GZ539" s="6"/>
      <c r="HA539" s="6"/>
      <c r="HB539" s="6"/>
      <c r="HC539" s="6"/>
      <c r="HD539" s="6"/>
      <c r="HE539" s="6"/>
      <c r="HF539" s="6"/>
      <c r="HG539" s="6"/>
      <c r="HH539" s="6"/>
    </row>
    <row r="540" spans="1:216" x14ac:dyDescent="0.3">
      <c r="A540" s="8" t="str">
        <f>HYPERLINK("https://hpr-rps.hres.ca/reg-content/summary-basis-decision-medical-device-detailOne.php?lang=en&amp;linkID=SBD00332", "Ortho  T. CRUZI ")</f>
        <v xml:space="preserve">Ortho  T. CRUZI </v>
      </c>
      <c r="B540" s="6" t="s">
        <v>1277</v>
      </c>
      <c r="C540" s="6" t="s">
        <v>1292</v>
      </c>
      <c r="D540" s="6" t="s">
        <v>865</v>
      </c>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c r="FZ540" s="6"/>
      <c r="GA540" s="6"/>
      <c r="GB540" s="6"/>
      <c r="GC540" s="6"/>
      <c r="GD540" s="6"/>
      <c r="GE540" s="6"/>
      <c r="GF540" s="6"/>
      <c r="GG540" s="6"/>
      <c r="GH540" s="6"/>
      <c r="GI540" s="6"/>
      <c r="GJ540" s="6"/>
      <c r="GK540" s="6"/>
      <c r="GL540" s="6"/>
      <c r="GM540" s="6"/>
      <c r="GN540" s="6"/>
      <c r="GO540" s="6"/>
      <c r="GP540" s="6"/>
      <c r="GQ540" s="6"/>
      <c r="GR540" s="6"/>
      <c r="GS540" s="6"/>
      <c r="GT540" s="6"/>
      <c r="GU540" s="6"/>
      <c r="GV540" s="6"/>
      <c r="GW540" s="6"/>
      <c r="GX540" s="6"/>
      <c r="GY540" s="6"/>
      <c r="GZ540" s="6"/>
      <c r="HA540" s="6"/>
      <c r="HB540" s="6"/>
      <c r="HC540" s="6"/>
      <c r="HD540" s="6"/>
      <c r="HE540" s="6"/>
      <c r="HF540" s="6"/>
      <c r="HG540" s="6"/>
      <c r="HH540" s="6"/>
    </row>
    <row r="541" spans="1:216" x14ac:dyDescent="0.3">
      <c r="A541" s="8" t="str">
        <f>HYPERLINK("https://hpr-rps.hres.ca/reg-content/summary-basis-decision-medical-device-detailOne.php?lang=en&amp;linkID=SBD00333", "Recover Pump System")</f>
        <v>Recover Pump System</v>
      </c>
      <c r="B541" s="6" t="s">
        <v>1277</v>
      </c>
      <c r="C541" s="6" t="s">
        <v>1293</v>
      </c>
      <c r="D541" s="6" t="s">
        <v>868</v>
      </c>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c r="FZ541" s="6"/>
      <c r="GA541" s="6"/>
      <c r="GB541" s="6"/>
      <c r="GC541" s="6"/>
      <c r="GD541" s="6"/>
      <c r="GE541" s="6"/>
      <c r="GF541" s="6"/>
      <c r="GG541" s="6"/>
      <c r="GH541" s="6"/>
      <c r="GI541" s="6"/>
      <c r="GJ541" s="6"/>
      <c r="GK541" s="6"/>
      <c r="GL541" s="6"/>
      <c r="GM541" s="6"/>
      <c r="GN541" s="6"/>
      <c r="GO541" s="6"/>
      <c r="GP541" s="6"/>
      <c r="GQ541" s="6"/>
      <c r="GR541" s="6"/>
      <c r="GS541" s="6"/>
      <c r="GT541" s="6"/>
      <c r="GU541" s="6"/>
      <c r="GV541" s="6"/>
      <c r="GW541" s="6"/>
      <c r="GX541" s="6"/>
      <c r="GY541" s="6"/>
      <c r="GZ541" s="6"/>
      <c r="HA541" s="6"/>
      <c r="HB541" s="6"/>
      <c r="HC541" s="6"/>
      <c r="HD541" s="6"/>
      <c r="HE541" s="6"/>
      <c r="HF541" s="6"/>
      <c r="HG541" s="6"/>
      <c r="HH541" s="6"/>
    </row>
    <row r="542" spans="1:216" x14ac:dyDescent="0.3">
      <c r="A542" s="8" t="str">
        <f>HYPERLINK("https://hpr-rps.hres.ca/reg-content/summary-basis-decision-medical-device-detailOne.php?lang=en&amp;linkID=SBD00334", "Elana Surgical Kit")</f>
        <v>Elana Surgical Kit</v>
      </c>
      <c r="B542" s="6" t="s">
        <v>1277</v>
      </c>
      <c r="C542" s="6" t="s">
        <v>1294</v>
      </c>
      <c r="D542" s="6" t="s">
        <v>871</v>
      </c>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row>
    <row r="543" spans="1:216" x14ac:dyDescent="0.3">
      <c r="A543" s="8" t="str">
        <f>HYPERLINK("https://hpr-rps.hres.ca/reg-content/summary-basis-decision-medical-device-detailOne.php?lang=en&amp;linkID=SBD00335", "West Nile Virus Kit (Donor Screening)")</f>
        <v>West Nile Virus Kit (Donor Screening)</v>
      </c>
      <c r="B543" s="6" t="s">
        <v>1277</v>
      </c>
      <c r="C543" s="6" t="s">
        <v>1295</v>
      </c>
      <c r="D543" s="6" t="s">
        <v>874</v>
      </c>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row>
    <row r="544" spans="1:216" x14ac:dyDescent="0.3">
      <c r="A544" s="8" t="str">
        <f>HYPERLINK("https://hpr-rps.hres.ca/reg-content/summary-basis-decision-medical-device-detailOne.php?lang=en&amp;linkID=SBD00340", "REPEL-CV ®")</f>
        <v>REPEL-CV ®</v>
      </c>
      <c r="B544" s="6" t="s">
        <v>1277</v>
      </c>
      <c r="C544" s="6" t="s">
        <v>1296</v>
      </c>
      <c r="D544" s="6" t="s">
        <v>887</v>
      </c>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c r="FZ544" s="6"/>
      <c r="GA544" s="6"/>
      <c r="GB544" s="6"/>
      <c r="GC544" s="6"/>
      <c r="GD544" s="6"/>
      <c r="GE544" s="6"/>
      <c r="GF544" s="6"/>
      <c r="GG544" s="6"/>
      <c r="GH544" s="6"/>
      <c r="GI544" s="6"/>
      <c r="GJ544" s="6"/>
      <c r="GK544" s="6"/>
      <c r="GL544" s="6"/>
      <c r="GM544" s="6"/>
      <c r="GN544" s="6"/>
      <c r="GO544" s="6"/>
      <c r="GP544" s="6"/>
      <c r="GQ544" s="6"/>
      <c r="GR544" s="6"/>
      <c r="GS544" s="6"/>
      <c r="GT544" s="6"/>
      <c r="GU544" s="6"/>
      <c r="GV544" s="6"/>
      <c r="GW544" s="6"/>
      <c r="GX544" s="6"/>
      <c r="GY544" s="6"/>
      <c r="GZ544" s="6"/>
      <c r="HA544" s="6"/>
      <c r="HB544" s="6"/>
      <c r="HC544" s="6"/>
      <c r="HD544" s="6"/>
      <c r="HE544" s="6"/>
      <c r="HF544" s="6"/>
      <c r="HG544" s="6"/>
      <c r="HH544" s="6"/>
    </row>
    <row r="545" spans="1:216" x14ac:dyDescent="0.3">
      <c r="A545" s="8" t="str">
        <f>HYPERLINK("https://hpr-rps.hres.ca/reg-content/summary-basis-decision-medical-device-detailOne.php?lang=en&amp;linkID=SBD00341", "Syphilis EIA II (Donor Screening)")</f>
        <v>Syphilis EIA II (Donor Screening)</v>
      </c>
      <c r="B545" s="6" t="s">
        <v>1277</v>
      </c>
      <c r="C545" s="6" t="s">
        <v>1297</v>
      </c>
      <c r="D545" s="6" t="s">
        <v>890</v>
      </c>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c r="FZ545" s="6"/>
      <c r="GA545" s="6"/>
      <c r="GB545" s="6"/>
      <c r="GC545" s="6"/>
      <c r="GD545" s="6"/>
      <c r="GE545" s="6"/>
      <c r="GF545" s="6"/>
      <c r="GG545" s="6"/>
      <c r="GH545" s="6"/>
      <c r="GI545" s="6"/>
      <c r="GJ545" s="6"/>
      <c r="GK545" s="6"/>
      <c r="GL545" s="6"/>
      <c r="GM545" s="6"/>
      <c r="GN545" s="6"/>
      <c r="GO545" s="6"/>
      <c r="GP545" s="6"/>
      <c r="GQ545" s="6"/>
      <c r="GR545" s="6"/>
      <c r="GS545" s="6"/>
      <c r="GT545" s="6"/>
      <c r="GU545" s="6"/>
      <c r="GV545" s="6"/>
      <c r="GW545" s="6"/>
      <c r="GX545" s="6"/>
      <c r="GY545" s="6"/>
      <c r="GZ545" s="6"/>
      <c r="HA545" s="6"/>
      <c r="HB545" s="6"/>
      <c r="HC545" s="6"/>
      <c r="HD545" s="6"/>
      <c r="HE545" s="6"/>
      <c r="HF545" s="6"/>
      <c r="HG545" s="6"/>
      <c r="HH545" s="6"/>
    </row>
    <row r="546" spans="1:216" x14ac:dyDescent="0.3">
      <c r="A546" s="8" t="str">
        <f>HYPERLINK("https://hpr-rps.hres.ca/reg-content/summary-basis-decision-medical-device-detailOne.php?lang=en&amp;linkID=SBD00342", "Procleix ®")</f>
        <v>Procleix ®</v>
      </c>
      <c r="B546" s="6" t="s">
        <v>1277</v>
      </c>
      <c r="C546" s="6" t="s">
        <v>1291</v>
      </c>
      <c r="D546" s="6" t="s">
        <v>892</v>
      </c>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c r="FZ546" s="6"/>
      <c r="GA546" s="6"/>
      <c r="GB546" s="6"/>
      <c r="GC546" s="6"/>
      <c r="GD546" s="6"/>
      <c r="GE546" s="6"/>
      <c r="GF546" s="6"/>
      <c r="GG546" s="6"/>
      <c r="GH546" s="6"/>
      <c r="GI546" s="6"/>
      <c r="GJ546" s="6"/>
      <c r="GK546" s="6"/>
      <c r="GL546" s="6"/>
      <c r="GM546" s="6"/>
      <c r="GN546" s="6"/>
      <c r="GO546" s="6"/>
      <c r="GP546" s="6"/>
      <c r="GQ546" s="6"/>
      <c r="GR546" s="6"/>
      <c r="GS546" s="6"/>
      <c r="GT546" s="6"/>
      <c r="GU546" s="6"/>
      <c r="GV546" s="6"/>
      <c r="GW546" s="6"/>
      <c r="GX546" s="6"/>
      <c r="GY546" s="6"/>
      <c r="GZ546" s="6"/>
      <c r="HA546" s="6"/>
      <c r="HB546" s="6"/>
      <c r="HC546" s="6"/>
      <c r="HD546" s="6"/>
      <c r="HE546" s="6"/>
      <c r="HF546" s="6"/>
      <c r="HG546" s="6"/>
      <c r="HH546" s="6"/>
    </row>
    <row r="547" spans="1:216" x14ac:dyDescent="0.3">
      <c r="A547" s="8" t="str">
        <f>HYPERLINK("https://hpr-rps.hres.ca/reg-content/summary-basis-decision-medical-device-detailOne.php?lang=en&amp;linkID=SBD00343", "TAG Thoracic Endoprosthesis")</f>
        <v>TAG Thoracic Endoprosthesis</v>
      </c>
      <c r="B547" s="6" t="s">
        <v>1277</v>
      </c>
      <c r="C547" s="6" t="s">
        <v>1298</v>
      </c>
      <c r="D547" s="6" t="s">
        <v>853</v>
      </c>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row>
    <row r="548" spans="1:216" x14ac:dyDescent="0.3">
      <c r="A548" s="8" t="str">
        <f>HYPERLINK("https://hpr-rps.hres.ca/reg-content/summary-basis-decision-medical-device-detailOne.php?lang=en&amp;linkID=SBD00344", "Valiant ®")</f>
        <v>Valiant ®</v>
      </c>
      <c r="B548" s="6" t="s">
        <v>1277</v>
      </c>
      <c r="C548" s="6" t="s">
        <v>1299</v>
      </c>
      <c r="D548" s="6" t="s">
        <v>894</v>
      </c>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c r="FZ548" s="6"/>
      <c r="GA548" s="6"/>
      <c r="GB548" s="6"/>
      <c r="GC548" s="6"/>
      <c r="GD548" s="6"/>
      <c r="GE548" s="6"/>
      <c r="GF548" s="6"/>
      <c r="GG548" s="6"/>
      <c r="GH548" s="6"/>
      <c r="GI548" s="6"/>
      <c r="GJ548" s="6"/>
      <c r="GK548" s="6"/>
      <c r="GL548" s="6"/>
      <c r="GM548" s="6"/>
      <c r="GN548" s="6"/>
      <c r="GO548" s="6"/>
      <c r="GP548" s="6"/>
      <c r="GQ548" s="6"/>
      <c r="GR548" s="6"/>
      <c r="GS548" s="6"/>
      <c r="GT548" s="6"/>
      <c r="GU548" s="6"/>
      <c r="GV548" s="6"/>
      <c r="GW548" s="6"/>
      <c r="GX548" s="6"/>
      <c r="GY548" s="6"/>
      <c r="GZ548" s="6"/>
      <c r="HA548" s="6"/>
      <c r="HB548" s="6"/>
      <c r="HC548" s="6"/>
      <c r="HD548" s="6"/>
      <c r="HE548" s="6"/>
      <c r="HF548" s="6"/>
      <c r="HG548" s="6"/>
      <c r="HH548" s="6"/>
    </row>
    <row r="549" spans="1:216" x14ac:dyDescent="0.3">
      <c r="A549" s="8" t="str">
        <f>HYPERLINK("https://hpr-rps.hres.ca/reg-content/summary-basis-decision-medical-device-detailOne.php?lang=en&amp;linkID=SBD00345", "EXCOR ®")</f>
        <v>EXCOR ®</v>
      </c>
      <c r="B549" s="6" t="s">
        <v>1277</v>
      </c>
      <c r="C549" s="6" t="s">
        <v>1300</v>
      </c>
      <c r="D549" s="6" t="s">
        <v>896</v>
      </c>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row>
    <row r="550" spans="1:216" x14ac:dyDescent="0.3">
      <c r="A550" s="8" t="str">
        <f>HYPERLINK("https://hpr-rps.hres.ca/reg-content/summary-basis-decision-medical-device-detailOne.php?lang=en&amp;linkID=SBD00352", "COBAS &amp;reg;")</f>
        <v>COBAS &amp;reg;</v>
      </c>
      <c r="B550" s="6" t="s">
        <v>1277</v>
      </c>
      <c r="C550" s="6" t="s">
        <v>1295</v>
      </c>
      <c r="D550" s="6" t="s">
        <v>912</v>
      </c>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row>
    <row r="551" spans="1:216" x14ac:dyDescent="0.3">
      <c r="A551" s="8" t="str">
        <f>HYPERLINK("https://hpr-rps.hres.ca/reg-content/summary-basis-decision-medical-device-detailOne.php?lang=en&amp;linkID=SBD00346", "Zenith TX2 ®")</f>
        <v>Zenith TX2 ®</v>
      </c>
      <c r="B551" s="6" t="s">
        <v>1277</v>
      </c>
      <c r="C551" s="6" t="s">
        <v>1301</v>
      </c>
      <c r="D551" s="6" t="s">
        <v>899</v>
      </c>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row>
    <row r="552" spans="1:216" x14ac:dyDescent="0.3">
      <c r="A552" s="8" t="str">
        <f>HYPERLINK("https://hpr-rps.hres.ca/reg-content/summary-basis-decision-medical-device-detailOne.php?lang=en&amp;linkID=SBD00347", "HeartMate II ®")</f>
        <v>HeartMate II ®</v>
      </c>
      <c r="B552" s="6" t="s">
        <v>1277</v>
      </c>
      <c r="C552" s="6" t="s">
        <v>1302</v>
      </c>
      <c r="D552" s="6" t="s">
        <v>901</v>
      </c>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row>
    <row r="553" spans="1:216" x14ac:dyDescent="0.3">
      <c r="A553" s="8" t="str">
        <f>HYPERLINK("https://hpr-rps.hres.ca/reg-content/summary-basis-decision-medical-device-detailOne.php?lang=en&amp;linkID=SBD00356", "Pipeline &amp;trade;")</f>
        <v>Pipeline &amp;trade;</v>
      </c>
      <c r="B553" s="6" t="s">
        <v>1277</v>
      </c>
      <c r="C553" s="6" t="s">
        <v>1303</v>
      </c>
      <c r="D553" s="6" t="s">
        <v>922</v>
      </c>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row>
    <row r="554" spans="1:216" x14ac:dyDescent="0.3">
      <c r="A554" s="8" t="str">
        <f>HYPERLINK("https://hpr-rps.hres.ca/reg-content/summary-basis-decision-medical-device-detailOne.php?lang=en&amp;linkID=SBD00353", "cobas TaqScreen MPX Test&lt;br /&gt; The licence name is NAT Qualitative Multi Assay Test (Donor Screening).")</f>
        <v>cobas TaqScreen MPX Test&lt;br /&gt; The licence name is NAT Qualitative Multi Assay Test (Donor Screening).</v>
      </c>
      <c r="B554" s="6" t="s">
        <v>1277</v>
      </c>
      <c r="C554" s="6" t="s">
        <v>1304</v>
      </c>
      <c r="D554" s="6" t="s">
        <v>915</v>
      </c>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row>
    <row r="555" spans="1:216" x14ac:dyDescent="0.3">
      <c r="A555" s="8" t="str">
        <f>HYPERLINK("https://hpr-rps.hres.ca/reg-content/summary-basis-decision-medical-device-detailOne.php?lang=en&amp;linkID=SBD00354",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5" s="6" t="s">
        <v>1277</v>
      </c>
      <c r="C555" s="6" t="s">
        <v>1289</v>
      </c>
      <c r="D555" s="6" t="s">
        <v>917</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c r="FZ555" s="6"/>
      <c r="GA555" s="6"/>
      <c r="GB555" s="6"/>
      <c r="GC555" s="6"/>
      <c r="GD555" s="6"/>
      <c r="GE555" s="6"/>
      <c r="GF555" s="6"/>
      <c r="GG555" s="6"/>
      <c r="GH555" s="6"/>
      <c r="GI555" s="6"/>
      <c r="GJ555" s="6"/>
      <c r="GK555" s="6"/>
      <c r="GL555" s="6"/>
      <c r="GM555" s="6"/>
      <c r="GN555" s="6"/>
      <c r="GO555" s="6"/>
      <c r="GP555" s="6"/>
      <c r="GQ555" s="6"/>
      <c r="GR555" s="6"/>
      <c r="GS555" s="6"/>
      <c r="GT555" s="6"/>
      <c r="GU555" s="6"/>
      <c r="GV555" s="6"/>
      <c r="GW555" s="6"/>
      <c r="GX555" s="6"/>
      <c r="GY555" s="6"/>
      <c r="GZ555" s="6"/>
      <c r="HA555" s="6"/>
      <c r="HB555" s="6"/>
      <c r="HC555" s="6"/>
      <c r="HD555" s="6"/>
      <c r="HE555" s="6"/>
      <c r="HF555" s="6"/>
      <c r="HG555" s="6"/>
      <c r="HH555" s="6"/>
    </row>
    <row r="556" spans="1:216" x14ac:dyDescent="0.3">
      <c r="A556" s="8" t="str">
        <f>HYPERLINK("https://hpr-rps.hres.ca/reg-content/summary-basis-decision-medical-device-detailOne.php?lang=en&amp;linkID=SBD00363", "Edwards SAPIEN transcatheter heart valve")</f>
        <v>Edwards SAPIEN transcatheter heart valve</v>
      </c>
      <c r="B556" s="6" t="s">
        <v>1277</v>
      </c>
      <c r="C556" s="6" t="s">
        <v>1305</v>
      </c>
      <c r="D556" s="6" t="s">
        <v>941</v>
      </c>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c r="FZ556" s="6"/>
      <c r="GA556" s="6"/>
      <c r="GB556" s="6"/>
      <c r="GC556" s="6"/>
      <c r="GD556" s="6"/>
      <c r="GE556" s="6"/>
      <c r="GF556" s="6"/>
      <c r="GG556" s="6"/>
      <c r="GH556" s="6"/>
      <c r="GI556" s="6"/>
      <c r="GJ556" s="6"/>
      <c r="GK556" s="6"/>
      <c r="GL556" s="6"/>
      <c r="GM556" s="6"/>
      <c r="GN556" s="6"/>
      <c r="GO556" s="6"/>
      <c r="GP556" s="6"/>
      <c r="GQ556" s="6"/>
      <c r="GR556" s="6"/>
      <c r="GS556" s="6"/>
      <c r="GT556" s="6"/>
      <c r="GU556" s="6"/>
      <c r="GV556" s="6"/>
      <c r="GW556" s="6"/>
      <c r="GX556" s="6"/>
      <c r="GY556" s="6"/>
      <c r="GZ556" s="6"/>
      <c r="HA556" s="6"/>
      <c r="HB556" s="6"/>
      <c r="HC556" s="6"/>
      <c r="HD556" s="6"/>
      <c r="HE556" s="6"/>
      <c r="HF556" s="6"/>
      <c r="HG556" s="6"/>
      <c r="HH556" s="6"/>
    </row>
    <row r="557" spans="1:216" x14ac:dyDescent="0.3">
      <c r="A557" s="8" t="str">
        <f>HYPERLINK("https://hpr-rps.hres.ca/reg-content/summary-basis-decision-medical-device-detailOne.php?lang=en&amp;linkID=SBD00364", "Symplicity TM")</f>
        <v>Symplicity TM</v>
      </c>
      <c r="B557" s="6" t="s">
        <v>1277</v>
      </c>
      <c r="C557" s="6" t="s">
        <v>1306</v>
      </c>
      <c r="D557" s="6" t="s">
        <v>944</v>
      </c>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c r="FZ557" s="6"/>
      <c r="GA557" s="6"/>
      <c r="GB557" s="6"/>
      <c r="GC557" s="6"/>
      <c r="GD557" s="6"/>
      <c r="GE557" s="6"/>
      <c r="GF557" s="6"/>
      <c r="GG557" s="6"/>
      <c r="GH557" s="6"/>
      <c r="GI557" s="6"/>
      <c r="GJ557" s="6"/>
      <c r="GK557" s="6"/>
      <c r="GL557" s="6"/>
      <c r="GM557" s="6"/>
      <c r="GN557" s="6"/>
      <c r="GO557" s="6"/>
      <c r="GP557" s="6"/>
      <c r="GQ557" s="6"/>
      <c r="GR557" s="6"/>
      <c r="GS557" s="6"/>
      <c r="GT557" s="6"/>
      <c r="GU557" s="6"/>
      <c r="GV557" s="6"/>
      <c r="GW557" s="6"/>
      <c r="GX557" s="6"/>
      <c r="GY557" s="6"/>
      <c r="GZ557" s="6"/>
      <c r="HA557" s="6"/>
      <c r="HB557" s="6"/>
      <c r="HC557" s="6"/>
      <c r="HD557" s="6"/>
      <c r="HE557" s="6"/>
      <c r="HF557" s="6"/>
      <c r="HG557" s="6"/>
      <c r="HH557" s="6"/>
    </row>
    <row r="558" spans="1:216" x14ac:dyDescent="0.3">
      <c r="A558" s="8" t="str">
        <f>HYPERLINK("https://hpr-rps.hres.ca/reg-content/summary-basis-decision-medical-device-detailOne.php?lang=en&amp;linkID=SBD00369", "Medtronic CoreValve ®")</f>
        <v>Medtronic CoreValve ®</v>
      </c>
      <c r="B558" s="6" t="s">
        <v>1277</v>
      </c>
      <c r="C558" s="6" t="s">
        <v>1307</v>
      </c>
      <c r="D558" s="6" t="s">
        <v>954</v>
      </c>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c r="FZ558" s="6"/>
      <c r="GA558" s="6"/>
      <c r="GB558" s="6"/>
      <c r="GC558" s="6"/>
      <c r="GD558" s="6"/>
      <c r="GE558" s="6"/>
      <c r="GF558" s="6"/>
      <c r="GG558" s="6"/>
      <c r="GH558" s="6"/>
      <c r="GI558" s="6"/>
      <c r="GJ558" s="6"/>
      <c r="GK558" s="6"/>
      <c r="GL558" s="6"/>
      <c r="GM558" s="6"/>
      <c r="GN558" s="6"/>
      <c r="GO558" s="6"/>
      <c r="GP558" s="6"/>
      <c r="GQ558" s="6"/>
      <c r="GR558" s="6"/>
      <c r="GS558" s="6"/>
      <c r="GT558" s="6"/>
      <c r="GU558" s="6"/>
      <c r="GV558" s="6"/>
      <c r="GW558" s="6"/>
      <c r="GX558" s="6"/>
      <c r="GY558" s="6"/>
      <c r="GZ558" s="6"/>
      <c r="HA558" s="6"/>
      <c r="HB558" s="6"/>
      <c r="HC558" s="6"/>
      <c r="HD558" s="6"/>
      <c r="HE558" s="6"/>
      <c r="HF558" s="6"/>
      <c r="HG558" s="6"/>
      <c r="HH558" s="6"/>
    </row>
    <row r="559" spans="1:216" x14ac:dyDescent="0.3">
      <c r="A559" s="8" t="str">
        <f>HYPERLINK("https://hpr-rps.hres.ca/reg-content/summary-basis-decision-medical-device-detailOne.php?lang=en&amp;linkID=SBD00385", "Sorin Supra-Annular Heart Valves")</f>
        <v>Sorin Supra-Annular Heart Valves</v>
      </c>
      <c r="B559" s="6" t="s">
        <v>1277</v>
      </c>
      <c r="C559" s="6" t="s">
        <v>1308</v>
      </c>
      <c r="D559" s="6" t="s">
        <v>992</v>
      </c>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c r="FZ559" s="6"/>
      <c r="GA559" s="6"/>
      <c r="GB559" s="6"/>
      <c r="GC559" s="6"/>
      <c r="GD559" s="6"/>
      <c r="GE559" s="6"/>
      <c r="GF559" s="6"/>
      <c r="GG559" s="6"/>
      <c r="GH559" s="6"/>
      <c r="GI559" s="6"/>
      <c r="GJ559" s="6"/>
      <c r="GK559" s="6"/>
      <c r="GL559" s="6"/>
      <c r="GM559" s="6"/>
      <c r="GN559" s="6"/>
      <c r="GO559" s="6"/>
      <c r="GP559" s="6"/>
      <c r="GQ559" s="6"/>
      <c r="GR559" s="6"/>
      <c r="GS559" s="6"/>
      <c r="GT559" s="6"/>
      <c r="GU559" s="6"/>
      <c r="GV559" s="6"/>
      <c r="GW559" s="6"/>
      <c r="GX559" s="6"/>
      <c r="GY559" s="6"/>
      <c r="GZ559" s="6"/>
      <c r="HA559" s="6"/>
      <c r="HB559" s="6"/>
      <c r="HC559" s="6"/>
      <c r="HD559" s="6"/>
      <c r="HE559" s="6"/>
      <c r="HF559" s="6"/>
      <c r="HG559" s="6"/>
      <c r="HH559" s="6"/>
    </row>
    <row r="560" spans="1:216" x14ac:dyDescent="0.3">
      <c r="A560" s="8" t="str">
        <f>HYPERLINK("https://hpr-rps.hres.ca/reg-content/summary-basis-decision-medical-device-detailOne.php?lang=en&amp;linkID=SBD00386", "Perceval S Heart Valve")</f>
        <v>Perceval S Heart Valve</v>
      </c>
      <c r="B560" s="6" t="s">
        <v>1277</v>
      </c>
      <c r="C560" s="6" t="s">
        <v>1308</v>
      </c>
      <c r="D560" s="6" t="s">
        <v>977</v>
      </c>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c r="FZ560" s="6"/>
      <c r="GA560" s="6"/>
      <c r="GB560" s="6"/>
      <c r="GC560" s="6"/>
      <c r="GD560" s="6"/>
      <c r="GE560" s="6"/>
      <c r="GF560" s="6"/>
      <c r="GG560" s="6"/>
      <c r="GH560" s="6"/>
      <c r="GI560" s="6"/>
      <c r="GJ560" s="6"/>
      <c r="GK560" s="6"/>
      <c r="GL560" s="6"/>
      <c r="GM560" s="6"/>
      <c r="GN560" s="6"/>
      <c r="GO560" s="6"/>
      <c r="GP560" s="6"/>
      <c r="GQ560" s="6"/>
      <c r="GR560" s="6"/>
      <c r="GS560" s="6"/>
      <c r="GT560" s="6"/>
      <c r="GU560" s="6"/>
      <c r="GV560" s="6"/>
      <c r="GW560" s="6"/>
      <c r="GX560" s="6"/>
      <c r="GY560" s="6"/>
      <c r="GZ560" s="6"/>
      <c r="HA560" s="6"/>
      <c r="HB560" s="6"/>
      <c r="HC560" s="6"/>
      <c r="HD560" s="6"/>
      <c r="HE560" s="6"/>
      <c r="HF560" s="6"/>
      <c r="HG560" s="6"/>
      <c r="HH560" s="6"/>
    </row>
    <row r="561" spans="1:216" x14ac:dyDescent="0.3">
      <c r="A561" s="8" t="str">
        <f>HYPERLINK("https://hpr-rps.hres.ca/reg-content/summary-basis-decision-medical-device-detailOne.php?lang=en&amp;linkID=SBD00387", "Pantera Lux Paclitaxel releasing Percutaneous Transluminal Coronary Angioplasty (PTCA) Balloon Catheter")</f>
        <v>Pantera Lux Paclitaxel releasing Percutaneous Transluminal Coronary Angioplasty (PTCA) Balloon Catheter</v>
      </c>
      <c r="B561" s="6" t="s">
        <v>1277</v>
      </c>
      <c r="C561" s="6" t="s">
        <v>1309</v>
      </c>
      <c r="D561" s="6" t="s">
        <v>994</v>
      </c>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c r="FZ561" s="6"/>
      <c r="GA561" s="6"/>
      <c r="GB561" s="6"/>
      <c r="GC561" s="6"/>
      <c r="GD561" s="6"/>
      <c r="GE561" s="6"/>
      <c r="GF561" s="6"/>
      <c r="GG561" s="6"/>
      <c r="GH561" s="6"/>
      <c r="GI561" s="6"/>
      <c r="GJ561" s="6"/>
      <c r="GK561" s="6"/>
      <c r="GL561" s="6"/>
      <c r="GM561" s="6"/>
      <c r="GN561" s="6"/>
      <c r="GO561" s="6"/>
      <c r="GP561" s="6"/>
      <c r="GQ561" s="6"/>
      <c r="GR561" s="6"/>
      <c r="GS561" s="6"/>
      <c r="GT561" s="6"/>
      <c r="GU561" s="6"/>
      <c r="GV561" s="6"/>
      <c r="GW561" s="6"/>
      <c r="GX561" s="6"/>
      <c r="GY561" s="6"/>
      <c r="GZ561" s="6"/>
      <c r="HA561" s="6"/>
      <c r="HB561" s="6"/>
      <c r="HC561" s="6"/>
      <c r="HD561" s="6"/>
      <c r="HE561" s="6"/>
      <c r="HF561" s="6"/>
      <c r="HG561" s="6"/>
      <c r="HH561" s="6"/>
    </row>
    <row r="562" spans="1:216" x14ac:dyDescent="0.3">
      <c r="A562" s="8" t="str">
        <f>HYPERLINK("https://hpr-rps.hres.ca/reg-content/summary-basis-decision-medical-device-detailOne.php?lang=en&amp;linkID=SBD00388", "Lutonix 035 Drug Coated Balloon Percutaneous Transluminal Angioplasty Catheter")</f>
        <v>Lutonix 035 Drug Coated Balloon Percutaneous Transluminal Angioplasty Catheter</v>
      </c>
      <c r="B562" s="6" t="s">
        <v>1277</v>
      </c>
      <c r="C562" s="6" t="s">
        <v>1310</v>
      </c>
      <c r="D562" s="6" t="s">
        <v>996</v>
      </c>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c r="FZ562" s="6"/>
      <c r="GA562" s="6"/>
      <c r="GB562" s="6"/>
      <c r="GC562" s="6"/>
      <c r="GD562" s="6"/>
      <c r="GE562" s="6"/>
      <c r="GF562" s="6"/>
      <c r="GG562" s="6"/>
      <c r="GH562" s="6"/>
      <c r="GI562" s="6"/>
      <c r="GJ562" s="6"/>
      <c r="GK562" s="6"/>
      <c r="GL562" s="6"/>
      <c r="GM562" s="6"/>
      <c r="GN562" s="6"/>
      <c r="GO562" s="6"/>
      <c r="GP562" s="6"/>
      <c r="GQ562" s="6"/>
      <c r="GR562" s="6"/>
      <c r="GS562" s="6"/>
      <c r="GT562" s="6"/>
      <c r="GU562" s="6"/>
      <c r="GV562" s="6"/>
      <c r="GW562" s="6"/>
      <c r="GX562" s="6"/>
      <c r="GY562" s="6"/>
      <c r="GZ562" s="6"/>
      <c r="HA562" s="6"/>
      <c r="HB562" s="6"/>
      <c r="HC562" s="6"/>
      <c r="HD562" s="6"/>
      <c r="HE562" s="6"/>
      <c r="HF562" s="6"/>
      <c r="HG562" s="6"/>
      <c r="HH562" s="6"/>
    </row>
    <row r="563" spans="1:216" x14ac:dyDescent="0.3">
      <c r="A563" s="8" t="str">
        <f>HYPERLINK("https://hpr-rps.hres.ca/reg-content/summary-basis-decision-medical-device-detailOne.php?lang=en&amp;linkID=SBD00389", "Geenius HIV 1/2 Confirmatory Assay")</f>
        <v>Geenius HIV 1/2 Confirmatory Assay</v>
      </c>
      <c r="B563" s="6" t="s">
        <v>1277</v>
      </c>
      <c r="C563" s="6" t="s">
        <v>1311</v>
      </c>
      <c r="D563" s="6" t="s">
        <v>999</v>
      </c>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c r="FZ563" s="6"/>
      <c r="GA563" s="6"/>
      <c r="GB563" s="6"/>
      <c r="GC563" s="6"/>
      <c r="GD563" s="6"/>
      <c r="GE563" s="6"/>
      <c r="GF563" s="6"/>
      <c r="GG563" s="6"/>
      <c r="GH563" s="6"/>
      <c r="GI563" s="6"/>
      <c r="GJ563" s="6"/>
      <c r="GK563" s="6"/>
      <c r="GL563" s="6"/>
      <c r="GM563" s="6"/>
      <c r="GN563" s="6"/>
      <c r="GO563" s="6"/>
      <c r="GP563" s="6"/>
      <c r="GQ563" s="6"/>
      <c r="GR563" s="6"/>
      <c r="GS563" s="6"/>
      <c r="GT563" s="6"/>
      <c r="GU563" s="6"/>
      <c r="GV563" s="6"/>
      <c r="GW563" s="6"/>
      <c r="GX563" s="6"/>
      <c r="GY563" s="6"/>
      <c r="GZ563" s="6"/>
      <c r="HA563" s="6"/>
      <c r="HB563" s="6"/>
      <c r="HC563" s="6"/>
      <c r="HD563" s="6"/>
      <c r="HE563" s="6"/>
      <c r="HF563" s="6"/>
      <c r="HG563" s="6"/>
      <c r="HH563" s="6"/>
    </row>
    <row r="564" spans="1:216" x14ac:dyDescent="0.3">
      <c r="A564" s="8" t="str">
        <f>HYPERLINK("https://hpr-rps.hres.ca/reg-content/summary-basis-decision-medical-device-detailOne.php?lang=en&amp;linkID=SBD00391", "Watchman Left Atrial Appendage Closure Device with Delivery System")</f>
        <v>Watchman Left Atrial Appendage Closure Device with Delivery System</v>
      </c>
      <c r="B564" s="6" t="s">
        <v>1277</v>
      </c>
      <c r="C564" s="6" t="s">
        <v>1288</v>
      </c>
      <c r="D564" s="6" t="s">
        <v>1004</v>
      </c>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c r="FZ564" s="6"/>
      <c r="GA564" s="6"/>
      <c r="GB564" s="6"/>
      <c r="GC564" s="6"/>
      <c r="GD564" s="6"/>
      <c r="GE564" s="6"/>
      <c r="GF564" s="6"/>
      <c r="GG564" s="6"/>
      <c r="GH564" s="6"/>
      <c r="GI564" s="6"/>
      <c r="GJ564" s="6"/>
      <c r="GK564" s="6"/>
      <c r="GL564" s="6"/>
      <c r="GM564" s="6"/>
      <c r="GN564" s="6"/>
      <c r="GO564" s="6"/>
      <c r="GP564" s="6"/>
      <c r="GQ564" s="6"/>
      <c r="GR564" s="6"/>
      <c r="GS564" s="6"/>
      <c r="GT564" s="6"/>
      <c r="GU564" s="6"/>
      <c r="GV564" s="6"/>
      <c r="GW564" s="6"/>
      <c r="GX564" s="6"/>
      <c r="GY564" s="6"/>
      <c r="GZ564" s="6"/>
      <c r="HA564" s="6"/>
      <c r="HB564" s="6"/>
      <c r="HC564" s="6"/>
      <c r="HD564" s="6"/>
      <c r="HE564" s="6"/>
      <c r="HF564" s="6"/>
      <c r="HG564" s="6"/>
      <c r="HH564" s="6"/>
    </row>
    <row r="565" spans="1:216" x14ac:dyDescent="0.3">
      <c r="A565" s="8" t="str">
        <f>HYPERLINK("https://hpr-rps.hres.ca/reg-content/summary-basis-decision-medical-device-detailOne.php?lang=en&amp;linkID=SBD00393", "Amplatzer Cardiac Plug")</f>
        <v>Amplatzer Cardiac Plug</v>
      </c>
      <c r="B565" s="6" t="s">
        <v>1277</v>
      </c>
      <c r="C565" s="6" t="s">
        <v>1312</v>
      </c>
      <c r="D565" s="6" t="s">
        <v>1012</v>
      </c>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c r="FZ565" s="6"/>
      <c r="GA565" s="6"/>
      <c r="GB565" s="6"/>
      <c r="GC565" s="6"/>
      <c r="GD565" s="6"/>
      <c r="GE565" s="6"/>
      <c r="GF565" s="6"/>
      <c r="GG565" s="6"/>
      <c r="GH565" s="6"/>
      <c r="GI565" s="6"/>
      <c r="GJ565" s="6"/>
      <c r="GK565" s="6"/>
      <c r="GL565" s="6"/>
      <c r="GM565" s="6"/>
      <c r="GN565" s="6"/>
      <c r="GO565" s="6"/>
      <c r="GP565" s="6"/>
      <c r="GQ565" s="6"/>
      <c r="GR565" s="6"/>
      <c r="GS565" s="6"/>
      <c r="GT565" s="6"/>
      <c r="GU565" s="6"/>
      <c r="GV565" s="6"/>
      <c r="GW565" s="6"/>
      <c r="GX565" s="6"/>
      <c r="GY565" s="6"/>
      <c r="GZ565" s="6"/>
      <c r="HA565" s="6"/>
      <c r="HB565" s="6"/>
      <c r="HC565" s="6"/>
      <c r="HD565" s="6"/>
      <c r="HE565" s="6"/>
      <c r="HF565" s="6"/>
      <c r="HG565" s="6"/>
      <c r="HH565" s="6"/>
    </row>
    <row r="566" spans="1:216" x14ac:dyDescent="0.3">
      <c r="A566" s="8" t="str">
        <f>HYPERLINK("https://hpr-rps.hres.ca/reg-content/summary-basis-decision-medical-device-detailOne.php?lang=en&amp;linkID=SBD00394", "Absorb GT1 Bioresorbable Vascular Scaffold System")</f>
        <v>Absorb GT1 Bioresorbable Vascular Scaffold System</v>
      </c>
      <c r="B566" s="6" t="s">
        <v>1277</v>
      </c>
      <c r="C566" s="6" t="s">
        <v>1313</v>
      </c>
      <c r="D566" s="6" t="s">
        <v>1014</v>
      </c>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c r="FZ566" s="6"/>
      <c r="GA566" s="6"/>
      <c r="GB566" s="6"/>
      <c r="GC566" s="6"/>
      <c r="GD566" s="6"/>
      <c r="GE566" s="6"/>
      <c r="GF566" s="6"/>
      <c r="GG566" s="6"/>
      <c r="GH566" s="6"/>
      <c r="GI566" s="6"/>
      <c r="GJ566" s="6"/>
      <c r="GK566" s="6"/>
      <c r="GL566" s="6"/>
      <c r="GM566" s="6"/>
      <c r="GN566" s="6"/>
      <c r="GO566" s="6"/>
      <c r="GP566" s="6"/>
      <c r="GQ566" s="6"/>
      <c r="GR566" s="6"/>
      <c r="GS566" s="6"/>
      <c r="GT566" s="6"/>
      <c r="GU566" s="6"/>
      <c r="GV566" s="6"/>
      <c r="GW566" s="6"/>
      <c r="GX566" s="6"/>
      <c r="GY566" s="6"/>
      <c r="GZ566" s="6"/>
      <c r="HA566" s="6"/>
      <c r="HB566" s="6"/>
      <c r="HC566" s="6"/>
      <c r="HD566" s="6"/>
      <c r="HE566" s="6"/>
      <c r="HF566" s="6"/>
      <c r="HG566" s="6"/>
      <c r="HH566" s="6"/>
    </row>
    <row r="567" spans="1:216" x14ac:dyDescent="0.3">
      <c r="A567" s="8" t="str">
        <f>HYPERLINK("https://hpr-rps.hres.ca/reg-content/summary-basis-decision-medical-device-detailOne.php?lang=en&amp;linkID=SBD00471", "Reprocessed Diagnostic Electrophysiology Catheters")</f>
        <v>Reprocessed Diagnostic Electrophysiology Catheters</v>
      </c>
      <c r="B567" s="6" t="s">
        <v>1277</v>
      </c>
      <c r="C567" s="6" t="s">
        <v>1314</v>
      </c>
      <c r="D567" s="6" t="s">
        <v>1187</v>
      </c>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row>
    <row r="568" spans="1:216" x14ac:dyDescent="0.3">
      <c r="A568" s="8" t="str">
        <f>HYPERLINK("https://hpr-rps.hres.ca/reg-content/summary-basis-decision-medical-device-detailOne.php?lang=en&amp;linkID=SBD00395", "Access HIV Combo")</f>
        <v>Access HIV Combo</v>
      </c>
      <c r="B568" s="6" t="s">
        <v>1277</v>
      </c>
      <c r="C568" s="6" t="s">
        <v>1315</v>
      </c>
      <c r="D568" s="6" t="s">
        <v>1009</v>
      </c>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row>
    <row r="569" spans="1:216" x14ac:dyDescent="0.3">
      <c r="A569" s="8" t="str">
        <f>HYPERLINK("https://hpr-rps.hres.ca/reg-content/summary-basis-decision-medical-device-detailOne.php?lang=en&amp;linkID=SBD00396", "Argus II Retinal Prosthesis System")</f>
        <v>Argus II Retinal Prosthesis System</v>
      </c>
      <c r="B569" s="6" t="s">
        <v>1277</v>
      </c>
      <c r="C569" s="6" t="s">
        <v>1316</v>
      </c>
      <c r="D569" s="6" t="s">
        <v>1016</v>
      </c>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row>
    <row r="570" spans="1:216" x14ac:dyDescent="0.3">
      <c r="A570" s="8" t="str">
        <f>HYPERLINK("https://hpr-rps.hres.ca/reg-content/summary-basis-decision-medical-device-detailOne.php?lang=en&amp;linkID=SBD00397", "Avioq HTLV-I/II Microelisa System")</f>
        <v>Avioq HTLV-I/II Microelisa System</v>
      </c>
      <c r="B570" s="6" t="s">
        <v>1277</v>
      </c>
      <c r="C570" s="6" t="s">
        <v>1317</v>
      </c>
      <c r="D570" s="6" t="s">
        <v>1019</v>
      </c>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row>
    <row r="571" spans="1:216" x14ac:dyDescent="0.3">
      <c r="A571" s="8" t="str">
        <f>HYPERLINK("https://hpr-rps.hres.ca/reg-content/summary-basis-decision-medical-device-detailOne.php?lang=en&amp;linkID=SBD00398", "Ideal Implant Saline-Filled Breast Implant")</f>
        <v>Ideal Implant Saline-Filled Breast Implant</v>
      </c>
      <c r="B571" s="6" t="s">
        <v>1277</v>
      </c>
      <c r="C571" s="6" t="s">
        <v>1318</v>
      </c>
      <c r="D571" s="6" t="s">
        <v>1021</v>
      </c>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row>
    <row r="572" spans="1:216" x14ac:dyDescent="0.3">
      <c r="A572" s="8" t="str">
        <f>HYPERLINK("https://hpr-rps.hres.ca/reg-content/summary-basis-decision-medical-device-detailOne.php?lang=en&amp;linkID=SBD00399", "INTERCEPT Blood System (formerly INTERCEPT Blood System for Plasma)")</f>
        <v>INTERCEPT Blood System (formerly INTERCEPT Blood System for Plasma)</v>
      </c>
      <c r="B572" s="6" t="s">
        <v>1277</v>
      </c>
      <c r="C572" s="6" t="s">
        <v>1319</v>
      </c>
      <c r="D572" s="6" t="s">
        <v>1023</v>
      </c>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row>
    <row r="573" spans="1:216" x14ac:dyDescent="0.3">
      <c r="A573" s="8" t="str">
        <f>HYPERLINK("https://hpr-rps.hres.ca/reg-content/summary-basis-decision-medical-device-detailOne.php?lang=en&amp;linkID=SBD00400", "Koning Breast CT System")</f>
        <v>Koning Breast CT System</v>
      </c>
      <c r="B573" s="6" t="s">
        <v>1277</v>
      </c>
      <c r="C573" s="6" t="s">
        <v>1320</v>
      </c>
      <c r="D573" s="6" t="s">
        <v>1025</v>
      </c>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c r="FZ573" s="6"/>
      <c r="GA573" s="6"/>
      <c r="GB573" s="6"/>
      <c r="GC573" s="6"/>
      <c r="GD573" s="6"/>
      <c r="GE573" s="6"/>
      <c r="GF573" s="6"/>
      <c r="GG573" s="6"/>
      <c r="GH573" s="6"/>
      <c r="GI573" s="6"/>
      <c r="GJ573" s="6"/>
      <c r="GK573" s="6"/>
      <c r="GL573" s="6"/>
      <c r="GM573" s="6"/>
      <c r="GN573" s="6"/>
      <c r="GO573" s="6"/>
      <c r="GP573" s="6"/>
      <c r="GQ573" s="6"/>
      <c r="GR573" s="6"/>
      <c r="GS573" s="6"/>
      <c r="GT573" s="6"/>
      <c r="GU573" s="6"/>
      <c r="GV573" s="6"/>
      <c r="GW573" s="6"/>
      <c r="GX573" s="6"/>
      <c r="GY573" s="6"/>
      <c r="GZ573" s="6"/>
      <c r="HA573" s="6"/>
      <c r="HB573" s="6"/>
      <c r="HC573" s="6"/>
      <c r="HD573" s="6"/>
      <c r="HE573" s="6"/>
      <c r="HF573" s="6"/>
      <c r="HG573" s="6"/>
      <c r="HH573" s="6"/>
    </row>
    <row r="574" spans="1:216" x14ac:dyDescent="0.3">
      <c r="A574" s="8" t="str">
        <f>HYPERLINK("https://hpr-rps.hres.ca/reg-content/summary-basis-decision-medical-device-detailOne.php?lang=en&amp;linkID=SBD00401", "Mevion S250 Proton Beam Radiation Therapy System")</f>
        <v>Mevion S250 Proton Beam Radiation Therapy System</v>
      </c>
      <c r="B574" s="6" t="s">
        <v>1277</v>
      </c>
      <c r="C574" s="6" t="s">
        <v>1321</v>
      </c>
      <c r="D574" s="6" t="s">
        <v>1322</v>
      </c>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c r="FZ574" s="6"/>
      <c r="GA574" s="6"/>
      <c r="GB574" s="6"/>
      <c r="GC574" s="6"/>
      <c r="GD574" s="6"/>
      <c r="GE574" s="6"/>
      <c r="GF574" s="6"/>
      <c r="GG574" s="6"/>
      <c r="GH574" s="6"/>
      <c r="GI574" s="6"/>
      <c r="GJ574" s="6"/>
      <c r="GK574" s="6"/>
      <c r="GL574" s="6"/>
      <c r="GM574" s="6"/>
      <c r="GN574" s="6"/>
      <c r="GO574" s="6"/>
      <c r="GP574" s="6"/>
      <c r="GQ574" s="6"/>
      <c r="GR574" s="6"/>
      <c r="GS574" s="6"/>
      <c r="GT574" s="6"/>
      <c r="GU574" s="6"/>
      <c r="GV574" s="6"/>
      <c r="GW574" s="6"/>
      <c r="GX574" s="6"/>
      <c r="GY574" s="6"/>
      <c r="GZ574" s="6"/>
      <c r="HA574" s="6"/>
      <c r="HB574" s="6"/>
      <c r="HC574" s="6"/>
      <c r="HD574" s="6"/>
      <c r="HE574" s="6"/>
      <c r="HF574" s="6"/>
      <c r="HG574" s="6"/>
      <c r="HH574" s="6"/>
    </row>
    <row r="575" spans="1:216" x14ac:dyDescent="0.3">
      <c r="A575" s="8" t="str">
        <f>HYPERLINK("https://hpr-rps.hres.ca/reg-content/summary-basis-decision-medical-device-detailOne.php?lang=en&amp;linkID=SBD00402", "MitraClip Clip Delivery System")</f>
        <v>MitraClip Clip Delivery System</v>
      </c>
      <c r="B575" s="6" t="s">
        <v>1277</v>
      </c>
      <c r="C575" s="6" t="s">
        <v>1323</v>
      </c>
      <c r="D575" s="6" t="s">
        <v>1028</v>
      </c>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c r="FZ575" s="6"/>
      <c r="GA575" s="6"/>
      <c r="GB575" s="6"/>
      <c r="GC575" s="6"/>
      <c r="GD575" s="6"/>
      <c r="GE575" s="6"/>
      <c r="GF575" s="6"/>
      <c r="GG575" s="6"/>
      <c r="GH575" s="6"/>
      <c r="GI575" s="6"/>
      <c r="GJ575" s="6"/>
      <c r="GK575" s="6"/>
      <c r="GL575" s="6"/>
      <c r="GM575" s="6"/>
      <c r="GN575" s="6"/>
      <c r="GO575" s="6"/>
      <c r="GP575" s="6"/>
      <c r="GQ575" s="6"/>
      <c r="GR575" s="6"/>
      <c r="GS575" s="6"/>
      <c r="GT575" s="6"/>
      <c r="GU575" s="6"/>
      <c r="GV575" s="6"/>
      <c r="GW575" s="6"/>
      <c r="GX575" s="6"/>
      <c r="GY575" s="6"/>
      <c r="GZ575" s="6"/>
      <c r="HA575" s="6"/>
      <c r="HB575" s="6"/>
      <c r="HC575" s="6"/>
      <c r="HD575" s="6"/>
      <c r="HE575" s="6"/>
      <c r="HF575" s="6"/>
      <c r="HG575" s="6"/>
      <c r="HH575" s="6"/>
    </row>
    <row r="576" spans="1:216" x14ac:dyDescent="0.3">
      <c r="A576" s="8" t="str">
        <f>HYPERLINK("https://hpr-rps.hres.ca/reg-content/summary-basis-decision-medical-device-detailOne.php?lang=en&amp;linkID=SBD00403", "SICD System")</f>
        <v>SICD System</v>
      </c>
      <c r="B576" s="6" t="s">
        <v>1277</v>
      </c>
      <c r="C576" s="6" t="s">
        <v>1324</v>
      </c>
      <c r="D576" s="6" t="s">
        <v>1030</v>
      </c>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c r="FZ576" s="6"/>
      <c r="GA576" s="6"/>
      <c r="GB576" s="6"/>
      <c r="GC576" s="6"/>
      <c r="GD576" s="6"/>
      <c r="GE576" s="6"/>
      <c r="GF576" s="6"/>
      <c r="GG576" s="6"/>
      <c r="GH576" s="6"/>
      <c r="GI576" s="6"/>
      <c r="GJ576" s="6"/>
      <c r="GK576" s="6"/>
      <c r="GL576" s="6"/>
      <c r="GM576" s="6"/>
      <c r="GN576" s="6"/>
      <c r="GO576" s="6"/>
      <c r="GP576" s="6"/>
      <c r="GQ576" s="6"/>
      <c r="GR576" s="6"/>
      <c r="GS576" s="6"/>
      <c r="GT576" s="6"/>
      <c r="GU576" s="6"/>
      <c r="GV576" s="6"/>
      <c r="GW576" s="6"/>
      <c r="GX576" s="6"/>
      <c r="GY576" s="6"/>
      <c r="GZ576" s="6"/>
      <c r="HA576" s="6"/>
      <c r="HB576" s="6"/>
      <c r="HC576" s="6"/>
      <c r="HD576" s="6"/>
      <c r="HE576" s="6"/>
      <c r="HF576" s="6"/>
      <c r="HG576" s="6"/>
      <c r="HH576" s="6"/>
    </row>
    <row r="577" spans="1:216" x14ac:dyDescent="0.3">
      <c r="A577" s="8" t="str">
        <f>HYPERLINK("https://hpr-rps.hres.ca/reg-content/summary-basis-decision-medical-device-detailOne.php?lang=en&amp;linkID=SBD00470", "HTLV-I/II")</f>
        <v>HTLV-I/II</v>
      </c>
      <c r="B577" s="6" t="s">
        <v>1277</v>
      </c>
      <c r="C577" s="6" t="s">
        <v>1325</v>
      </c>
      <c r="D577" s="6" t="s">
        <v>1098</v>
      </c>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c r="FZ577" s="6"/>
      <c r="GA577" s="6"/>
      <c r="GB577" s="6"/>
      <c r="GC577" s="6"/>
      <c r="GD577" s="6"/>
      <c r="GE577" s="6"/>
      <c r="GF577" s="6"/>
      <c r="GG577" s="6"/>
      <c r="GH577" s="6"/>
      <c r="GI577" s="6"/>
      <c r="GJ577" s="6"/>
      <c r="GK577" s="6"/>
      <c r="GL577" s="6"/>
      <c r="GM577" s="6"/>
      <c r="GN577" s="6"/>
      <c r="GO577" s="6"/>
      <c r="GP577" s="6"/>
      <c r="GQ577" s="6"/>
      <c r="GR577" s="6"/>
      <c r="GS577" s="6"/>
      <c r="GT577" s="6"/>
      <c r="GU577" s="6"/>
      <c r="GV577" s="6"/>
      <c r="GW577" s="6"/>
      <c r="GX577" s="6"/>
      <c r="GY577" s="6"/>
      <c r="GZ577" s="6"/>
      <c r="HA577" s="6"/>
      <c r="HB577" s="6"/>
      <c r="HC577" s="6"/>
      <c r="HD577" s="6"/>
      <c r="HE577" s="6"/>
      <c r="HF577" s="6"/>
      <c r="HG577" s="6"/>
      <c r="HH577" s="6"/>
    </row>
    <row r="578" spans="1:216" x14ac:dyDescent="0.3">
      <c r="A578" s="8" t="str">
        <f>HYPERLINK("https://hpr-rps.hres.ca/reg-content/summary-basis-decision-medical-device-detailOne.php?lang=en&amp;linkID=SBD00472", "Micra Transcatheter Pacing System")</f>
        <v>Micra Transcatheter Pacing System</v>
      </c>
      <c r="B578" s="6" t="s">
        <v>1277</v>
      </c>
      <c r="C578" s="6" t="s">
        <v>1299</v>
      </c>
      <c r="D578" s="6" t="s">
        <v>1190</v>
      </c>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c r="FZ578" s="6"/>
      <c r="GA578" s="6"/>
      <c r="GB578" s="6"/>
      <c r="GC578" s="6"/>
      <c r="GD578" s="6"/>
      <c r="GE578" s="6"/>
      <c r="GF578" s="6"/>
      <c r="GG578" s="6"/>
      <c r="GH578" s="6"/>
      <c r="GI578" s="6"/>
      <c r="GJ578" s="6"/>
      <c r="GK578" s="6"/>
      <c r="GL578" s="6"/>
      <c r="GM578" s="6"/>
      <c r="GN578" s="6"/>
      <c r="GO578" s="6"/>
      <c r="GP578" s="6"/>
      <c r="GQ578" s="6"/>
      <c r="GR578" s="6"/>
      <c r="GS578" s="6"/>
      <c r="GT578" s="6"/>
      <c r="GU578" s="6"/>
      <c r="GV578" s="6"/>
      <c r="GW578" s="6"/>
      <c r="GX578" s="6"/>
      <c r="GY578" s="6"/>
      <c r="GZ578" s="6"/>
      <c r="HA578" s="6"/>
      <c r="HB578" s="6"/>
      <c r="HC578" s="6"/>
      <c r="HD578" s="6"/>
      <c r="HE578" s="6"/>
      <c r="HF578" s="6"/>
      <c r="HG578" s="6"/>
      <c r="HH578" s="6"/>
    </row>
    <row r="579" spans="1:216" x14ac:dyDescent="0.3">
      <c r="A579" s="8" t="str">
        <f>HYPERLINK("https://hpr-rps.hres.ca/reg-content/summary-basis-decision-medical-device-detailOne.php?lang=en&amp;linkID=SBD00473", "IN.PACT Admiral Paclitaxel-Coated PTA Balloon Catheter")</f>
        <v>IN.PACT Admiral Paclitaxel-Coated PTA Balloon Catheter</v>
      </c>
      <c r="B579" s="6" t="s">
        <v>1277</v>
      </c>
      <c r="C579" s="6" t="s">
        <v>1299</v>
      </c>
      <c r="D579" s="6" t="s">
        <v>1192</v>
      </c>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c r="FZ579" s="6"/>
      <c r="GA579" s="6"/>
      <c r="GB579" s="6"/>
      <c r="GC579" s="6"/>
      <c r="GD579" s="6"/>
      <c r="GE579" s="6"/>
      <c r="GF579" s="6"/>
      <c r="GG579" s="6"/>
      <c r="GH579" s="6"/>
      <c r="GI579" s="6"/>
      <c r="GJ579" s="6"/>
      <c r="GK579" s="6"/>
      <c r="GL579" s="6"/>
      <c r="GM579" s="6"/>
      <c r="GN579" s="6"/>
      <c r="GO579" s="6"/>
      <c r="GP579" s="6"/>
      <c r="GQ579" s="6"/>
      <c r="GR579" s="6"/>
      <c r="GS579" s="6"/>
      <c r="GT579" s="6"/>
      <c r="GU579" s="6"/>
      <c r="GV579" s="6"/>
      <c r="GW579" s="6"/>
      <c r="GX579" s="6"/>
      <c r="GY579" s="6"/>
      <c r="GZ579" s="6"/>
      <c r="HA579" s="6"/>
      <c r="HB579" s="6"/>
      <c r="HC579" s="6"/>
      <c r="HD579" s="6"/>
      <c r="HE579" s="6"/>
      <c r="HF579" s="6"/>
      <c r="HG579" s="6"/>
      <c r="HH579" s="6"/>
    </row>
    <row r="580" spans="1:216" x14ac:dyDescent="0.3">
      <c r="A580" s="8" t="str">
        <f>HYPERLINK("https://hpr-rps.hres.ca/reg-content/summary-basis-decision-medical-device-detailOne.php?lang=en&amp;linkID=SBD00474", "Mammomat Inspiration")</f>
        <v>Mammomat Inspiration</v>
      </c>
      <c r="B580" s="6" t="s">
        <v>1277</v>
      </c>
      <c r="C580" s="6" t="s">
        <v>1326</v>
      </c>
      <c r="D580" s="6" t="s">
        <v>1194</v>
      </c>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c r="FZ580" s="6"/>
      <c r="GA580" s="6"/>
      <c r="GB580" s="6"/>
      <c r="GC580" s="6"/>
      <c r="GD580" s="6"/>
      <c r="GE580" s="6"/>
      <c r="GF580" s="6"/>
      <c r="GG580" s="6"/>
      <c r="GH580" s="6"/>
      <c r="GI580" s="6"/>
      <c r="GJ580" s="6"/>
      <c r="GK580" s="6"/>
      <c r="GL580" s="6"/>
      <c r="GM580" s="6"/>
      <c r="GN580" s="6"/>
      <c r="GO580" s="6"/>
      <c r="GP580" s="6"/>
      <c r="GQ580" s="6"/>
      <c r="GR580" s="6"/>
      <c r="GS580" s="6"/>
      <c r="GT580" s="6"/>
      <c r="GU580" s="6"/>
      <c r="GV580" s="6"/>
      <c r="GW580" s="6"/>
      <c r="GX580" s="6"/>
      <c r="GY580" s="6"/>
      <c r="GZ580" s="6"/>
      <c r="HA580" s="6"/>
      <c r="HB580" s="6"/>
      <c r="HC580" s="6"/>
      <c r="HD580" s="6"/>
      <c r="HE580" s="6"/>
      <c r="HF580" s="6"/>
      <c r="HG580" s="6"/>
      <c r="HH580" s="6"/>
    </row>
    <row r="581" spans="1:216" x14ac:dyDescent="0.3">
      <c r="A581" s="8" t="str">
        <f>HYPERLINK("https://hpr-rps.hres.ca/reg-content/summary-basis-decision-medical-device-detailOne.php?lang=en&amp;linkID=SBD00475", "Impella RP Circulatory Support System")</f>
        <v>Impella RP Circulatory Support System</v>
      </c>
      <c r="B581" s="6" t="s">
        <v>1277</v>
      </c>
      <c r="C581" s="6" t="s">
        <v>1327</v>
      </c>
      <c r="D581" s="6" t="s">
        <v>1196</v>
      </c>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c r="FZ581" s="6"/>
      <c r="GA581" s="6"/>
      <c r="GB581" s="6"/>
      <c r="GC581" s="6"/>
      <c r="GD581" s="6"/>
      <c r="GE581" s="6"/>
      <c r="GF581" s="6"/>
      <c r="GG581" s="6"/>
      <c r="GH581" s="6"/>
      <c r="GI581" s="6"/>
      <c r="GJ581" s="6"/>
      <c r="GK581" s="6"/>
      <c r="GL581" s="6"/>
      <c r="GM581" s="6"/>
      <c r="GN581" s="6"/>
      <c r="GO581" s="6"/>
      <c r="GP581" s="6"/>
      <c r="GQ581" s="6"/>
      <c r="GR581" s="6"/>
      <c r="GS581" s="6"/>
      <c r="GT581" s="6"/>
      <c r="GU581" s="6"/>
      <c r="GV581" s="6"/>
      <c r="GW581" s="6"/>
      <c r="GX581" s="6"/>
      <c r="GY581" s="6"/>
      <c r="GZ581" s="6"/>
      <c r="HA581" s="6"/>
      <c r="HB581" s="6"/>
      <c r="HC581" s="6"/>
      <c r="HD581" s="6"/>
      <c r="HE581" s="6"/>
      <c r="HF581" s="6"/>
      <c r="HG581" s="6"/>
      <c r="HH581" s="6"/>
    </row>
    <row r="582" spans="1:216" x14ac:dyDescent="0.3">
      <c r="A582" s="8" t="str">
        <f>HYPERLINK("https://hpr-rps.hres.ca/reg-content/summary-basis-decision-medical-device-detailOne.php?lang=en&amp;linkID=SBD00476", "MRIdian Linac System")</f>
        <v>MRIdian Linac System</v>
      </c>
      <c r="B582" s="6" t="s">
        <v>1277</v>
      </c>
      <c r="C582" s="6" t="s">
        <v>1328</v>
      </c>
      <c r="D582" s="6" t="s">
        <v>1198</v>
      </c>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c r="FZ582" s="6"/>
      <c r="GA582" s="6"/>
      <c r="GB582" s="6"/>
      <c r="GC582" s="6"/>
      <c r="GD582" s="6"/>
      <c r="GE582" s="6"/>
      <c r="GF582" s="6"/>
      <c r="GG582" s="6"/>
      <c r="GH582" s="6"/>
      <c r="GI582" s="6"/>
      <c r="GJ582" s="6"/>
      <c r="GK582" s="6"/>
      <c r="GL582" s="6"/>
      <c r="GM582" s="6"/>
      <c r="GN582" s="6"/>
      <c r="GO582" s="6"/>
      <c r="GP582" s="6"/>
      <c r="GQ582" s="6"/>
      <c r="GR582" s="6"/>
      <c r="GS582" s="6"/>
      <c r="GT582" s="6"/>
      <c r="GU582" s="6"/>
      <c r="GV582" s="6"/>
      <c r="GW582" s="6"/>
      <c r="GX582" s="6"/>
      <c r="GY582" s="6"/>
      <c r="GZ582" s="6"/>
      <c r="HA582" s="6"/>
      <c r="HB582" s="6"/>
      <c r="HC582" s="6"/>
      <c r="HD582" s="6"/>
      <c r="HE582" s="6"/>
      <c r="HF582" s="6"/>
      <c r="HG582" s="6"/>
      <c r="HH582" s="6"/>
    </row>
    <row r="583" spans="1:216" x14ac:dyDescent="0.3">
      <c r="A583" s="8" t="str">
        <f>HYPERLINK("https://hpr-rps.hres.ca/reg-content/summary-basis-decision-medical-device-detailOne.php?lang=en&amp;linkID=SBD00477", "Freestyle Libre Flash Glucose Monitoring System")</f>
        <v>Freestyle Libre Flash Glucose Monitoring System</v>
      </c>
      <c r="B583" s="6" t="s">
        <v>1277</v>
      </c>
      <c r="C583" s="6" t="s">
        <v>1329</v>
      </c>
      <c r="D583" s="6" t="s">
        <v>1200</v>
      </c>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c r="FZ583" s="6"/>
      <c r="GA583" s="6"/>
      <c r="GB583" s="6"/>
      <c r="GC583" s="6"/>
      <c r="GD583" s="6"/>
      <c r="GE583" s="6"/>
      <c r="GF583" s="6"/>
      <c r="GG583" s="6"/>
      <c r="GH583" s="6"/>
      <c r="GI583" s="6"/>
      <c r="GJ583" s="6"/>
      <c r="GK583" s="6"/>
      <c r="GL583" s="6"/>
      <c r="GM583" s="6"/>
      <c r="GN583" s="6"/>
      <c r="GO583" s="6"/>
      <c r="GP583" s="6"/>
      <c r="GQ583" s="6"/>
      <c r="GR583" s="6"/>
      <c r="GS583" s="6"/>
      <c r="GT583" s="6"/>
      <c r="GU583" s="6"/>
      <c r="GV583" s="6"/>
      <c r="GW583" s="6"/>
      <c r="GX583" s="6"/>
      <c r="GY583" s="6"/>
      <c r="GZ583" s="6"/>
      <c r="HA583" s="6"/>
      <c r="HB583" s="6"/>
      <c r="HC583" s="6"/>
      <c r="HD583" s="6"/>
      <c r="HE583" s="6"/>
      <c r="HF583" s="6"/>
      <c r="HG583" s="6"/>
      <c r="HH583" s="6"/>
    </row>
    <row r="584" spans="1:216" x14ac:dyDescent="0.3">
      <c r="A584" s="8" t="str">
        <f>HYPERLINK("https://hpr-rps.hres.ca/reg-content/summary-basis-decision-medical-device-detailOne.php?lang=en&amp;linkID=SBD00478", "Mentor MemoryGel CPG Breast Implants Cohesive III")</f>
        <v>Mentor MemoryGel CPG Breast Implants Cohesive III</v>
      </c>
      <c r="B584" s="6" t="s">
        <v>1277</v>
      </c>
      <c r="C584" s="6" t="s">
        <v>1279</v>
      </c>
      <c r="D584" s="6" t="s">
        <v>1201</v>
      </c>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c r="FZ584" s="6"/>
      <c r="GA584" s="6"/>
      <c r="GB584" s="6"/>
      <c r="GC584" s="6"/>
      <c r="GD584" s="6"/>
      <c r="GE584" s="6"/>
      <c r="GF584" s="6"/>
      <c r="GG584" s="6"/>
      <c r="GH584" s="6"/>
      <c r="GI584" s="6"/>
      <c r="GJ584" s="6"/>
      <c r="GK584" s="6"/>
      <c r="GL584" s="6"/>
      <c r="GM584" s="6"/>
      <c r="GN584" s="6"/>
      <c r="GO584" s="6"/>
      <c r="GP584" s="6"/>
      <c r="GQ584" s="6"/>
      <c r="GR584" s="6"/>
      <c r="GS584" s="6"/>
      <c r="GT584" s="6"/>
      <c r="GU584" s="6"/>
      <c r="GV584" s="6"/>
      <c r="GW584" s="6"/>
      <c r="GX584" s="6"/>
      <c r="GY584" s="6"/>
      <c r="GZ584" s="6"/>
      <c r="HA584" s="6"/>
      <c r="HB584" s="6"/>
      <c r="HC584" s="6"/>
      <c r="HD584" s="6"/>
      <c r="HE584" s="6"/>
      <c r="HF584" s="6"/>
      <c r="HG584" s="6"/>
      <c r="HH584" s="6"/>
    </row>
    <row r="585" spans="1:216" x14ac:dyDescent="0.3">
      <c r="A585" s="8" t="str">
        <f>HYPERLINK("https://hpr-rps.hres.ca/reg-content/summary-basis-decision-medical-device-detailOne.php?lang=en&amp;linkID=SBD00479", "Mentor MemoryGel Silicone Gel-Filled Breast Implants")</f>
        <v>Mentor MemoryGel Silicone Gel-Filled Breast Implants</v>
      </c>
      <c r="B585" s="6" t="s">
        <v>1277</v>
      </c>
      <c r="C585" s="6" t="s">
        <v>1280</v>
      </c>
      <c r="D585" s="6" t="s">
        <v>1203</v>
      </c>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c r="FZ585" s="6"/>
      <c r="GA585" s="6"/>
      <c r="GB585" s="6"/>
      <c r="GC585" s="6"/>
      <c r="GD585" s="6"/>
      <c r="GE585" s="6"/>
      <c r="GF585" s="6"/>
      <c r="GG585" s="6"/>
      <c r="GH585" s="6"/>
      <c r="GI585" s="6"/>
      <c r="GJ585" s="6"/>
      <c r="GK585" s="6"/>
      <c r="GL585" s="6"/>
      <c r="GM585" s="6"/>
      <c r="GN585" s="6"/>
      <c r="GO585" s="6"/>
      <c r="GP585" s="6"/>
      <c r="GQ585" s="6"/>
      <c r="GR585" s="6"/>
      <c r="GS585" s="6"/>
      <c r="GT585" s="6"/>
      <c r="GU585" s="6"/>
      <c r="GV585" s="6"/>
      <c r="GW585" s="6"/>
      <c r="GX585" s="6"/>
      <c r="GY585" s="6"/>
      <c r="GZ585" s="6"/>
      <c r="HA585" s="6"/>
      <c r="HB585" s="6"/>
      <c r="HC585" s="6"/>
      <c r="HD585" s="6"/>
      <c r="HE585" s="6"/>
      <c r="HF585" s="6"/>
      <c r="HG585" s="6"/>
      <c r="HH585" s="6"/>
    </row>
    <row r="586" spans="1:216" x14ac:dyDescent="0.3">
      <c r="A586" s="8" t="str">
        <f>HYPERLINK("https://hpr-rps.hres.ca/reg-content/summary-basis-decision-medical-device-detailOne.php?lang=en&amp;linkID=SBD00480", "CardioMEMS HF System")</f>
        <v>CardioMEMS HF System</v>
      </c>
      <c r="B586" s="6" t="s">
        <v>1277</v>
      </c>
      <c r="C586" s="6" t="s">
        <v>1330</v>
      </c>
      <c r="D586" s="6" t="s">
        <v>1204</v>
      </c>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c r="FZ586" s="6"/>
      <c r="GA586" s="6"/>
      <c r="GB586" s="6"/>
      <c r="GC586" s="6"/>
      <c r="GD586" s="6"/>
      <c r="GE586" s="6"/>
      <c r="GF586" s="6"/>
      <c r="GG586" s="6"/>
      <c r="GH586" s="6"/>
      <c r="GI586" s="6"/>
      <c r="GJ586" s="6"/>
      <c r="GK586" s="6"/>
      <c r="GL586" s="6"/>
      <c r="GM586" s="6"/>
      <c r="GN586" s="6"/>
      <c r="GO586" s="6"/>
      <c r="GP586" s="6"/>
      <c r="GQ586" s="6"/>
      <c r="GR586" s="6"/>
      <c r="GS586" s="6"/>
      <c r="GT586" s="6"/>
      <c r="GU586" s="6"/>
      <c r="GV586" s="6"/>
      <c r="GW586" s="6"/>
      <c r="GX586" s="6"/>
      <c r="GY586" s="6"/>
      <c r="GZ586" s="6"/>
      <c r="HA586" s="6"/>
      <c r="HB586" s="6"/>
      <c r="HC586" s="6"/>
      <c r="HD586" s="6"/>
      <c r="HE586" s="6"/>
      <c r="HF586" s="6"/>
      <c r="HG586" s="6"/>
      <c r="HH586" s="6"/>
    </row>
    <row r="587" spans="1:216" x14ac:dyDescent="0.3">
      <c r="A587" s="8" t="str">
        <f>HYPERLINK("https://hpr-rps.hres.ca/reg-content/summary-basis-decision-medical-device-detailOne.php?lang=en&amp;linkID=SBD00481", "HeartMate 3 Left Ventricular Assist System")</f>
        <v>HeartMate 3 Left Ventricular Assist System</v>
      </c>
      <c r="B587" s="6" t="s">
        <v>1277</v>
      </c>
      <c r="C587" s="6" t="s">
        <v>1302</v>
      </c>
      <c r="D587" s="6" t="s">
        <v>1207</v>
      </c>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row>
    <row r="588" spans="1:216" x14ac:dyDescent="0.3">
      <c r="A588" s="8" t="str">
        <f>HYPERLINK("https://hpr-rps.hres.ca/reg-content/summary-basis-decision-medical-device-detailOne.php?lang=en&amp;linkID=SBD00482", "Guardian Connect Continuous Glucose Monitoring System")</f>
        <v>Guardian Connect Continuous Glucose Monitoring System</v>
      </c>
      <c r="B588" s="6" t="s">
        <v>1277</v>
      </c>
      <c r="C588" s="6" t="s">
        <v>1331</v>
      </c>
      <c r="D588" s="6" t="s">
        <v>1209</v>
      </c>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row>
    <row r="589" spans="1:216" x14ac:dyDescent="0.3">
      <c r="A589" s="8" t="str">
        <f>HYPERLINK("https://hpr-rps.hres.ca/reg-content/summary-basis-decision-medical-device-detailOne.php?lang=en&amp;linkID=SBD00483", "MiniMed 670G")</f>
        <v>MiniMed 670G</v>
      </c>
      <c r="B589" s="6" t="s">
        <v>1277</v>
      </c>
      <c r="C589" s="6" t="s">
        <v>1331</v>
      </c>
      <c r="D589" s="6" t="s">
        <v>1171</v>
      </c>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row>
    <row r="590" spans="1:216" x14ac:dyDescent="0.3">
      <c r="A590" s="8" t="str">
        <f>HYPERLINK("https://hpr-rps.hres.ca/reg-content/summary-basis-decision-medical-device-detailOne.php?lang=en&amp;linkID=SBD00485", "Ascyrus Medical Dissection Stent")</f>
        <v>Ascyrus Medical Dissection Stent</v>
      </c>
      <c r="B590" s="6" t="s">
        <v>1277</v>
      </c>
      <c r="C590" s="6" t="s">
        <v>1332</v>
      </c>
      <c r="D590" s="6" t="s">
        <v>1213</v>
      </c>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row>
    <row r="591" spans="1:216" x14ac:dyDescent="0.3">
      <c r="A591" s="8" t="str">
        <f>HYPERLINK("https://hpr-rps.hres.ca/reg-content/summary-basis-decision-medical-device-detailOne.php?lang=en&amp;linkID=SBD00486", "BladderScan Prime Plus System")</f>
        <v>BladderScan Prime Plus System</v>
      </c>
      <c r="B591" s="6" t="s">
        <v>1277</v>
      </c>
      <c r="C591" s="6" t="s">
        <v>1333</v>
      </c>
      <c r="D591" s="6" t="s">
        <v>1214</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c r="FZ591" s="6"/>
      <c r="GA591" s="6"/>
      <c r="GB591" s="6"/>
      <c r="GC591" s="6"/>
      <c r="GD591" s="6"/>
      <c r="GE591" s="6"/>
      <c r="GF591" s="6"/>
      <c r="GG591" s="6"/>
      <c r="GH591" s="6"/>
      <c r="GI591" s="6"/>
      <c r="GJ591" s="6"/>
      <c r="GK591" s="6"/>
      <c r="GL591" s="6"/>
      <c r="GM591" s="6"/>
      <c r="GN591" s="6"/>
      <c r="GO591" s="6"/>
      <c r="GP591" s="6"/>
      <c r="GQ591" s="6"/>
      <c r="GR591" s="6"/>
      <c r="GS591" s="6"/>
      <c r="GT591" s="6"/>
      <c r="GU591" s="6"/>
      <c r="GV591" s="6"/>
      <c r="GW591" s="6"/>
      <c r="GX591" s="6"/>
      <c r="GY591" s="6"/>
      <c r="GZ591" s="6"/>
      <c r="HA591" s="6"/>
      <c r="HB591" s="6"/>
      <c r="HC591" s="6"/>
      <c r="HD591" s="6"/>
      <c r="HE591" s="6"/>
      <c r="HF591" s="6"/>
      <c r="HG591" s="6"/>
      <c r="HH591" s="6"/>
    </row>
    <row r="592" spans="1:216" x14ac:dyDescent="0.3">
      <c r="A592" s="8" t="str">
        <f>HYPERLINK("https://hpr-rps.hres.ca/reg-content/summary-basis-decision-medical-device-detailOne.php?lang=en&amp;linkID=SBD00487", "TULSA-PRO system")</f>
        <v>TULSA-PRO system</v>
      </c>
      <c r="B592" s="6" t="s">
        <v>1277</v>
      </c>
      <c r="C592" s="6" t="s">
        <v>1334</v>
      </c>
      <c r="D592" s="6" t="s">
        <v>1216</v>
      </c>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c r="FZ592" s="6"/>
      <c r="GA592" s="6"/>
      <c r="GB592" s="6"/>
      <c r="GC592" s="6"/>
      <c r="GD592" s="6"/>
      <c r="GE592" s="6"/>
      <c r="GF592" s="6"/>
      <c r="GG592" s="6"/>
      <c r="GH592" s="6"/>
      <c r="GI592" s="6"/>
      <c r="GJ592" s="6"/>
      <c r="GK592" s="6"/>
      <c r="GL592" s="6"/>
      <c r="GM592" s="6"/>
      <c r="GN592" s="6"/>
      <c r="GO592" s="6"/>
      <c r="GP592" s="6"/>
      <c r="GQ592" s="6"/>
      <c r="GR592" s="6"/>
      <c r="GS592" s="6"/>
      <c r="GT592" s="6"/>
      <c r="GU592" s="6"/>
      <c r="GV592" s="6"/>
      <c r="GW592" s="6"/>
      <c r="GX592" s="6"/>
      <c r="GY592" s="6"/>
      <c r="GZ592" s="6"/>
      <c r="HA592" s="6"/>
      <c r="HB592" s="6"/>
      <c r="HC592" s="6"/>
      <c r="HD592" s="6"/>
      <c r="HE592" s="6"/>
      <c r="HF592" s="6"/>
      <c r="HG592" s="6"/>
      <c r="HH592" s="6"/>
    </row>
    <row r="593" spans="1:216" x14ac:dyDescent="0.3">
      <c r="A593" s="8"/>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row>
    <row r="594" spans="1:216" x14ac:dyDescent="0.3">
      <c r="A594" s="8"/>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c r="FZ594" s="6"/>
      <c r="GA594" s="6"/>
      <c r="GB594" s="6"/>
      <c r="GC594" s="6"/>
      <c r="GD594" s="6"/>
      <c r="GE594" s="6"/>
      <c r="GF594" s="6"/>
      <c r="GG594" s="6"/>
      <c r="GH594" s="6"/>
      <c r="GI594" s="6"/>
      <c r="GJ594" s="6"/>
      <c r="GK594" s="6"/>
      <c r="GL594" s="6"/>
      <c r="GM594" s="6"/>
      <c r="GN594" s="6"/>
      <c r="GO594" s="6"/>
      <c r="GP594" s="6"/>
      <c r="GQ594" s="6"/>
      <c r="GR594" s="6"/>
      <c r="GS594" s="6"/>
      <c r="GT594" s="6"/>
      <c r="GU594" s="6"/>
      <c r="GV594" s="6"/>
      <c r="GW594" s="6"/>
      <c r="GX594" s="6"/>
      <c r="GY594" s="6"/>
      <c r="GZ594" s="6"/>
      <c r="HA594" s="6"/>
      <c r="HB594" s="6"/>
      <c r="HC594" s="6"/>
      <c r="HD594" s="6"/>
      <c r="HE594" s="6"/>
      <c r="HF594" s="6"/>
      <c r="HG594" s="6"/>
      <c r="HH594" s="6"/>
    </row>
    <row r="595" spans="1:216" x14ac:dyDescent="0.3">
      <c r="A595" s="8"/>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c r="FZ595" s="6"/>
      <c r="GA595" s="6"/>
      <c r="GB595" s="6"/>
      <c r="GC595" s="6"/>
      <c r="GD595" s="6"/>
      <c r="GE595" s="6"/>
      <c r="GF595" s="6"/>
      <c r="GG595" s="6"/>
      <c r="GH595" s="6"/>
      <c r="GI595" s="6"/>
      <c r="GJ595" s="6"/>
      <c r="GK595" s="6"/>
      <c r="GL595" s="6"/>
      <c r="GM595" s="6"/>
      <c r="GN595" s="6"/>
      <c r="GO595" s="6"/>
      <c r="GP595" s="6"/>
      <c r="GQ595" s="6"/>
      <c r="GR595" s="6"/>
      <c r="GS595" s="6"/>
      <c r="GT595" s="6"/>
      <c r="GU595" s="6"/>
      <c r="GV595" s="6"/>
      <c r="GW595" s="6"/>
      <c r="GX595" s="6"/>
      <c r="GY595" s="6"/>
      <c r="GZ595" s="6"/>
      <c r="HA595" s="6"/>
      <c r="HB595" s="6"/>
      <c r="HC595" s="6"/>
      <c r="HD595" s="6"/>
      <c r="HE595" s="6"/>
      <c r="HF595" s="6"/>
      <c r="HG595" s="6"/>
      <c r="HH595" s="6"/>
    </row>
    <row r="596" spans="1:216" x14ac:dyDescent="0.3">
      <c r="A596" s="8"/>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c r="FZ596" s="6"/>
      <c r="GA596" s="6"/>
      <c r="GB596" s="6"/>
      <c r="GC596" s="6"/>
      <c r="GD596" s="6"/>
      <c r="GE596" s="6"/>
      <c r="GF596" s="6"/>
      <c r="GG596" s="6"/>
      <c r="GH596" s="6"/>
      <c r="GI596" s="6"/>
      <c r="GJ596" s="6"/>
      <c r="GK596" s="6"/>
      <c r="GL596" s="6"/>
      <c r="GM596" s="6"/>
      <c r="GN596" s="6"/>
      <c r="GO596" s="6"/>
      <c r="GP596" s="6"/>
      <c r="GQ596" s="6"/>
      <c r="GR596" s="6"/>
      <c r="GS596" s="6"/>
      <c r="GT596" s="6"/>
      <c r="GU596" s="6"/>
      <c r="GV596" s="6"/>
      <c r="GW596" s="6"/>
      <c r="GX596" s="6"/>
      <c r="GY596" s="6"/>
      <c r="GZ596" s="6"/>
      <c r="HA596" s="6"/>
      <c r="HB596" s="6"/>
      <c r="HC596" s="6"/>
      <c r="HD596" s="6"/>
      <c r="HE596" s="6"/>
      <c r="HF596" s="6"/>
      <c r="HG596" s="6"/>
      <c r="HH596" s="6"/>
    </row>
    <row r="597" spans="1:216" x14ac:dyDescent="0.3">
      <c r="A597" s="8"/>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c r="FZ597" s="6"/>
      <c r="GA597" s="6"/>
      <c r="GB597" s="6"/>
      <c r="GC597" s="6"/>
      <c r="GD597" s="6"/>
      <c r="GE597" s="6"/>
      <c r="GF597" s="6"/>
      <c r="GG597" s="6"/>
      <c r="GH597" s="6"/>
      <c r="GI597" s="6"/>
      <c r="GJ597" s="6"/>
      <c r="GK597" s="6"/>
      <c r="GL597" s="6"/>
      <c r="GM597" s="6"/>
      <c r="GN597" s="6"/>
      <c r="GO597" s="6"/>
      <c r="GP597" s="6"/>
      <c r="GQ597" s="6"/>
      <c r="GR597" s="6"/>
      <c r="GS597" s="6"/>
      <c r="GT597" s="6"/>
      <c r="GU597" s="6"/>
      <c r="GV597" s="6"/>
      <c r="GW597" s="6"/>
      <c r="GX597" s="6"/>
      <c r="GY597" s="6"/>
      <c r="GZ597" s="6"/>
      <c r="HA597" s="6"/>
      <c r="HB597" s="6"/>
      <c r="HC597" s="6"/>
      <c r="HD597" s="6"/>
      <c r="HE597" s="6"/>
      <c r="HF597" s="6"/>
      <c r="HG597" s="6"/>
      <c r="HH597" s="6"/>
    </row>
    <row r="598" spans="1:216" x14ac:dyDescent="0.3">
      <c r="A598" s="8"/>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c r="FZ598" s="6"/>
      <c r="GA598" s="6"/>
      <c r="GB598" s="6"/>
      <c r="GC598" s="6"/>
      <c r="GD598" s="6"/>
      <c r="GE598" s="6"/>
      <c r="GF598" s="6"/>
      <c r="GG598" s="6"/>
      <c r="GH598" s="6"/>
      <c r="GI598" s="6"/>
      <c r="GJ598" s="6"/>
      <c r="GK598" s="6"/>
      <c r="GL598" s="6"/>
      <c r="GM598" s="6"/>
      <c r="GN598" s="6"/>
      <c r="GO598" s="6"/>
      <c r="GP598" s="6"/>
      <c r="GQ598" s="6"/>
      <c r="GR598" s="6"/>
      <c r="GS598" s="6"/>
      <c r="GT598" s="6"/>
      <c r="GU598" s="6"/>
      <c r="GV598" s="6"/>
      <c r="GW598" s="6"/>
      <c r="GX598" s="6"/>
      <c r="GY598" s="6"/>
      <c r="GZ598" s="6"/>
      <c r="HA598" s="6"/>
      <c r="HB598" s="6"/>
      <c r="HC598" s="6"/>
      <c r="HD598" s="6"/>
      <c r="HE598" s="6"/>
      <c r="HF598" s="6"/>
      <c r="HG598" s="6"/>
      <c r="HH598" s="6"/>
    </row>
    <row r="599" spans="1:216" x14ac:dyDescent="0.3">
      <c r="A599" s="8"/>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c r="FZ599" s="6"/>
      <c r="GA599" s="6"/>
      <c r="GB599" s="6"/>
      <c r="GC599" s="6"/>
      <c r="GD599" s="6"/>
      <c r="GE599" s="6"/>
      <c r="GF599" s="6"/>
      <c r="GG599" s="6"/>
      <c r="GH599" s="6"/>
      <c r="GI599" s="6"/>
      <c r="GJ599" s="6"/>
      <c r="GK599" s="6"/>
      <c r="GL599" s="6"/>
      <c r="GM599" s="6"/>
      <c r="GN599" s="6"/>
      <c r="GO599" s="6"/>
      <c r="GP599" s="6"/>
      <c r="GQ599" s="6"/>
      <c r="GR599" s="6"/>
      <c r="GS599" s="6"/>
      <c r="GT599" s="6"/>
      <c r="GU599" s="6"/>
      <c r="GV599" s="6"/>
      <c r="GW599" s="6"/>
      <c r="GX599" s="6"/>
      <c r="GY599" s="6"/>
      <c r="GZ599" s="6"/>
      <c r="HA599" s="6"/>
      <c r="HB599" s="6"/>
      <c r="HC599" s="6"/>
      <c r="HD599" s="6"/>
      <c r="HE599" s="6"/>
      <c r="HF599" s="6"/>
      <c r="HG599" s="6"/>
      <c r="HH599" s="6"/>
    </row>
    <row r="600" spans="1:216" x14ac:dyDescent="0.3">
      <c r="A600" s="8"/>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c r="FZ600" s="6"/>
      <c r="GA600" s="6"/>
      <c r="GB600" s="6"/>
      <c r="GC600" s="6"/>
      <c r="GD600" s="6"/>
      <c r="GE600" s="6"/>
      <c r="GF600" s="6"/>
      <c r="GG600" s="6"/>
      <c r="GH600" s="6"/>
      <c r="GI600" s="6"/>
      <c r="GJ600" s="6"/>
      <c r="GK600" s="6"/>
      <c r="GL600" s="6"/>
      <c r="GM600" s="6"/>
      <c r="GN600" s="6"/>
      <c r="GO600" s="6"/>
      <c r="GP600" s="6"/>
      <c r="GQ600" s="6"/>
      <c r="GR600" s="6"/>
      <c r="GS600" s="6"/>
      <c r="GT600" s="6"/>
      <c r="GU600" s="6"/>
      <c r="GV600" s="6"/>
      <c r="GW600" s="6"/>
      <c r="GX600" s="6"/>
      <c r="GY600" s="6"/>
      <c r="GZ600" s="6"/>
      <c r="HA600" s="6"/>
      <c r="HB600" s="6"/>
      <c r="HC600" s="6"/>
      <c r="HD600" s="6"/>
      <c r="HE600" s="6"/>
      <c r="HF600" s="6"/>
      <c r="HG600" s="6"/>
      <c r="HH600" s="6"/>
    </row>
    <row r="601" spans="1:216" x14ac:dyDescent="0.3">
      <c r="A601" s="8"/>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c r="FZ601" s="6"/>
      <c r="GA601" s="6"/>
      <c r="GB601" s="6"/>
      <c r="GC601" s="6"/>
      <c r="GD601" s="6"/>
      <c r="GE601" s="6"/>
      <c r="GF601" s="6"/>
      <c r="GG601" s="6"/>
      <c r="GH601" s="6"/>
      <c r="GI601" s="6"/>
      <c r="GJ601" s="6"/>
      <c r="GK601" s="6"/>
      <c r="GL601" s="6"/>
      <c r="GM601" s="6"/>
      <c r="GN601" s="6"/>
      <c r="GO601" s="6"/>
      <c r="GP601" s="6"/>
      <c r="GQ601" s="6"/>
      <c r="GR601" s="6"/>
      <c r="GS601" s="6"/>
      <c r="GT601" s="6"/>
      <c r="GU601" s="6"/>
      <c r="GV601" s="6"/>
      <c r="GW601" s="6"/>
      <c r="GX601" s="6"/>
      <c r="GY601" s="6"/>
      <c r="GZ601" s="6"/>
      <c r="HA601" s="6"/>
      <c r="HB601" s="6"/>
      <c r="HC601" s="6"/>
      <c r="HD601" s="6"/>
      <c r="HE601" s="6"/>
      <c r="HF601" s="6"/>
      <c r="HG601" s="6"/>
      <c r="HH601" s="6"/>
    </row>
    <row r="602" spans="1:216" x14ac:dyDescent="0.3">
      <c r="A602" s="8"/>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c r="FZ602" s="6"/>
      <c r="GA602" s="6"/>
      <c r="GB602" s="6"/>
      <c r="GC602" s="6"/>
      <c r="GD602" s="6"/>
      <c r="GE602" s="6"/>
      <c r="GF602" s="6"/>
      <c r="GG602" s="6"/>
      <c r="GH602" s="6"/>
      <c r="GI602" s="6"/>
      <c r="GJ602" s="6"/>
      <c r="GK602" s="6"/>
      <c r="GL602" s="6"/>
      <c r="GM602" s="6"/>
      <c r="GN602" s="6"/>
      <c r="GO602" s="6"/>
      <c r="GP602" s="6"/>
      <c r="GQ602" s="6"/>
      <c r="GR602" s="6"/>
      <c r="GS602" s="6"/>
      <c r="GT602" s="6"/>
      <c r="GU602" s="6"/>
      <c r="GV602" s="6"/>
      <c r="GW602" s="6"/>
      <c r="GX602" s="6"/>
      <c r="GY602" s="6"/>
      <c r="GZ602" s="6"/>
      <c r="HA602" s="6"/>
      <c r="HB602" s="6"/>
      <c r="HC602" s="6"/>
      <c r="HD602" s="6"/>
      <c r="HE602" s="6"/>
      <c r="HF602" s="6"/>
      <c r="HG602" s="6"/>
      <c r="HH602" s="6"/>
    </row>
    <row r="603" spans="1:216" x14ac:dyDescent="0.3">
      <c r="A603" s="8"/>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row>
    <row r="604" spans="1:216" x14ac:dyDescent="0.3">
      <c r="A604" s="8"/>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c r="FZ604" s="6"/>
      <c r="GA604" s="6"/>
      <c r="GB604" s="6"/>
      <c r="GC604" s="6"/>
      <c r="GD604" s="6"/>
      <c r="GE604" s="6"/>
      <c r="GF604" s="6"/>
      <c r="GG604" s="6"/>
      <c r="GH604" s="6"/>
      <c r="GI604" s="6"/>
      <c r="GJ604" s="6"/>
      <c r="GK604" s="6"/>
      <c r="GL604" s="6"/>
      <c r="GM604" s="6"/>
      <c r="GN604" s="6"/>
      <c r="GO604" s="6"/>
      <c r="GP604" s="6"/>
      <c r="GQ604" s="6"/>
      <c r="GR604" s="6"/>
      <c r="GS604" s="6"/>
      <c r="GT604" s="6"/>
      <c r="GU604" s="6"/>
      <c r="GV604" s="6"/>
      <c r="GW604" s="6"/>
      <c r="GX604" s="6"/>
      <c r="GY604" s="6"/>
      <c r="GZ604" s="6"/>
      <c r="HA604" s="6"/>
      <c r="HB604" s="6"/>
      <c r="HC604" s="6"/>
      <c r="HD604" s="6"/>
      <c r="HE604" s="6"/>
      <c r="HF604" s="6"/>
      <c r="HG604" s="6"/>
      <c r="HH604" s="6"/>
    </row>
    <row r="605" spans="1:216" x14ac:dyDescent="0.3">
      <c r="A605" s="8"/>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c r="FZ605" s="6"/>
      <c r="GA605" s="6"/>
      <c r="GB605" s="6"/>
      <c r="GC605" s="6"/>
      <c r="GD605" s="6"/>
      <c r="GE605" s="6"/>
      <c r="GF605" s="6"/>
      <c r="GG605" s="6"/>
      <c r="GH605" s="6"/>
      <c r="GI605" s="6"/>
      <c r="GJ605" s="6"/>
      <c r="GK605" s="6"/>
      <c r="GL605" s="6"/>
      <c r="GM605" s="6"/>
      <c r="GN605" s="6"/>
      <c r="GO605" s="6"/>
      <c r="GP605" s="6"/>
      <c r="GQ605" s="6"/>
      <c r="GR605" s="6"/>
      <c r="GS605" s="6"/>
      <c r="GT605" s="6"/>
      <c r="GU605" s="6"/>
      <c r="GV605" s="6"/>
      <c r="GW605" s="6"/>
      <c r="GX605" s="6"/>
      <c r="GY605" s="6"/>
      <c r="GZ605" s="6"/>
      <c r="HA605" s="6"/>
      <c r="HB605" s="6"/>
      <c r="HC605" s="6"/>
      <c r="HD605" s="6"/>
      <c r="HE605" s="6"/>
      <c r="HF605" s="6"/>
      <c r="HG605" s="6"/>
      <c r="HH605" s="6"/>
    </row>
    <row r="606" spans="1:216" x14ac:dyDescent="0.3">
      <c r="A606" s="8"/>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c r="FZ606" s="6"/>
      <c r="GA606" s="6"/>
      <c r="GB606" s="6"/>
      <c r="GC606" s="6"/>
      <c r="GD606" s="6"/>
      <c r="GE606" s="6"/>
      <c r="GF606" s="6"/>
      <c r="GG606" s="6"/>
      <c r="GH606" s="6"/>
      <c r="GI606" s="6"/>
      <c r="GJ606" s="6"/>
      <c r="GK606" s="6"/>
      <c r="GL606" s="6"/>
      <c r="GM606" s="6"/>
      <c r="GN606" s="6"/>
      <c r="GO606" s="6"/>
      <c r="GP606" s="6"/>
      <c r="GQ606" s="6"/>
      <c r="GR606" s="6"/>
      <c r="GS606" s="6"/>
      <c r="GT606" s="6"/>
      <c r="GU606" s="6"/>
      <c r="GV606" s="6"/>
      <c r="GW606" s="6"/>
      <c r="GX606" s="6"/>
      <c r="GY606" s="6"/>
      <c r="GZ606" s="6"/>
      <c r="HA606" s="6"/>
      <c r="HB606" s="6"/>
      <c r="HC606" s="6"/>
      <c r="HD606" s="6"/>
      <c r="HE606" s="6"/>
      <c r="HF606" s="6"/>
      <c r="HG606" s="6"/>
      <c r="HH606" s="6"/>
    </row>
    <row r="607" spans="1:216" x14ac:dyDescent="0.3">
      <c r="A607" s="8"/>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c r="FZ607" s="6"/>
      <c r="GA607" s="6"/>
      <c r="GB607" s="6"/>
      <c r="GC607" s="6"/>
      <c r="GD607" s="6"/>
      <c r="GE607" s="6"/>
      <c r="GF607" s="6"/>
      <c r="GG607" s="6"/>
      <c r="GH607" s="6"/>
      <c r="GI607" s="6"/>
      <c r="GJ607" s="6"/>
      <c r="GK607" s="6"/>
      <c r="GL607" s="6"/>
      <c r="GM607" s="6"/>
      <c r="GN607" s="6"/>
      <c r="GO607" s="6"/>
      <c r="GP607" s="6"/>
      <c r="GQ607" s="6"/>
      <c r="GR607" s="6"/>
      <c r="GS607" s="6"/>
      <c r="GT607" s="6"/>
      <c r="GU607" s="6"/>
      <c r="GV607" s="6"/>
      <c r="GW607" s="6"/>
      <c r="GX607" s="6"/>
      <c r="GY607" s="6"/>
      <c r="GZ607" s="6"/>
      <c r="HA607" s="6"/>
      <c r="HB607" s="6"/>
      <c r="HC607" s="6"/>
      <c r="HD607" s="6"/>
      <c r="HE607" s="6"/>
      <c r="HF607" s="6"/>
      <c r="HG607" s="6"/>
      <c r="HH607" s="6"/>
    </row>
    <row r="608" spans="1:216" x14ac:dyDescent="0.3">
      <c r="A608" s="8"/>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c r="FZ608" s="6"/>
      <c r="GA608" s="6"/>
      <c r="GB608" s="6"/>
      <c r="GC608" s="6"/>
      <c r="GD608" s="6"/>
      <c r="GE608" s="6"/>
      <c r="GF608" s="6"/>
      <c r="GG608" s="6"/>
      <c r="GH608" s="6"/>
      <c r="GI608" s="6"/>
      <c r="GJ608" s="6"/>
      <c r="GK608" s="6"/>
      <c r="GL608" s="6"/>
      <c r="GM608" s="6"/>
      <c r="GN608" s="6"/>
      <c r="GO608" s="6"/>
      <c r="GP608" s="6"/>
      <c r="GQ608" s="6"/>
      <c r="GR608" s="6"/>
      <c r="GS608" s="6"/>
      <c r="GT608" s="6"/>
      <c r="GU608" s="6"/>
      <c r="GV608" s="6"/>
      <c r="GW608" s="6"/>
      <c r="GX608" s="6"/>
      <c r="GY608" s="6"/>
      <c r="GZ608" s="6"/>
      <c r="HA608" s="6"/>
      <c r="HB608" s="6"/>
      <c r="HC608" s="6"/>
      <c r="HD608" s="6"/>
      <c r="HE608" s="6"/>
      <c r="HF608" s="6"/>
      <c r="HG608" s="6"/>
      <c r="HH608" s="6"/>
    </row>
    <row r="609" spans="1:216" x14ac:dyDescent="0.3">
      <c r="A609" s="8"/>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row>
    <row r="610" spans="1:216" x14ac:dyDescent="0.3">
      <c r="A610" s="8"/>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row>
    <row r="611" spans="1:216" x14ac:dyDescent="0.3">
      <c r="A611" s="8"/>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c r="FZ611" s="6"/>
      <c r="GA611" s="6"/>
      <c r="GB611" s="6"/>
      <c r="GC611" s="6"/>
      <c r="GD611" s="6"/>
      <c r="GE611" s="6"/>
      <c r="GF611" s="6"/>
      <c r="GG611" s="6"/>
      <c r="GH611" s="6"/>
      <c r="GI611" s="6"/>
      <c r="GJ611" s="6"/>
      <c r="GK611" s="6"/>
      <c r="GL611" s="6"/>
      <c r="GM611" s="6"/>
      <c r="GN611" s="6"/>
      <c r="GO611" s="6"/>
      <c r="GP611" s="6"/>
      <c r="GQ611" s="6"/>
      <c r="GR611" s="6"/>
      <c r="GS611" s="6"/>
      <c r="GT611" s="6"/>
      <c r="GU611" s="6"/>
      <c r="GV611" s="6"/>
      <c r="GW611" s="6"/>
      <c r="GX611" s="6"/>
      <c r="GY611" s="6"/>
      <c r="GZ611" s="6"/>
      <c r="HA611" s="6"/>
      <c r="HB611" s="6"/>
      <c r="HC611" s="6"/>
      <c r="HD611" s="6"/>
      <c r="HE611" s="6"/>
      <c r="HF611" s="6"/>
      <c r="HG611" s="6"/>
      <c r="HH611" s="6"/>
    </row>
    <row r="612" spans="1:216" x14ac:dyDescent="0.3">
      <c r="A612" s="8"/>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c r="FZ612" s="6"/>
      <c r="GA612" s="6"/>
      <c r="GB612" s="6"/>
      <c r="GC612" s="6"/>
      <c r="GD612" s="6"/>
      <c r="GE612" s="6"/>
      <c r="GF612" s="6"/>
      <c r="GG612" s="6"/>
      <c r="GH612" s="6"/>
      <c r="GI612" s="6"/>
      <c r="GJ612" s="6"/>
      <c r="GK612" s="6"/>
      <c r="GL612" s="6"/>
      <c r="GM612" s="6"/>
      <c r="GN612" s="6"/>
      <c r="GO612" s="6"/>
      <c r="GP612" s="6"/>
      <c r="GQ612" s="6"/>
      <c r="GR612" s="6"/>
      <c r="GS612" s="6"/>
      <c r="GT612" s="6"/>
      <c r="GU612" s="6"/>
      <c r="GV612" s="6"/>
      <c r="GW612" s="6"/>
      <c r="GX612" s="6"/>
      <c r="GY612" s="6"/>
      <c r="GZ612" s="6"/>
      <c r="HA612" s="6"/>
      <c r="HB612" s="6"/>
      <c r="HC612" s="6"/>
      <c r="HD612" s="6"/>
      <c r="HE612" s="6"/>
      <c r="HF612" s="6"/>
      <c r="HG612" s="6"/>
      <c r="HH612" s="6"/>
    </row>
    <row r="613" spans="1:216" x14ac:dyDescent="0.3">
      <c r="A613" s="8"/>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c r="FZ613" s="6"/>
      <c r="GA613" s="6"/>
      <c r="GB613" s="6"/>
      <c r="GC613" s="6"/>
      <c r="GD613" s="6"/>
      <c r="GE613" s="6"/>
      <c r="GF613" s="6"/>
      <c r="GG613" s="6"/>
      <c r="GH613" s="6"/>
      <c r="GI613" s="6"/>
      <c r="GJ613" s="6"/>
      <c r="GK613" s="6"/>
      <c r="GL613" s="6"/>
      <c r="GM613" s="6"/>
      <c r="GN613" s="6"/>
      <c r="GO613" s="6"/>
      <c r="GP613" s="6"/>
      <c r="GQ613" s="6"/>
      <c r="GR613" s="6"/>
      <c r="GS613" s="6"/>
      <c r="GT613" s="6"/>
      <c r="GU613" s="6"/>
      <c r="GV613" s="6"/>
      <c r="GW613" s="6"/>
      <c r="GX613" s="6"/>
      <c r="GY613" s="6"/>
      <c r="GZ613" s="6"/>
      <c r="HA613" s="6"/>
      <c r="HB613" s="6"/>
      <c r="HC613" s="6"/>
      <c r="HD613" s="6"/>
      <c r="HE613" s="6"/>
      <c r="HF613" s="6"/>
      <c r="HG613" s="6"/>
      <c r="HH613" s="6"/>
    </row>
    <row r="614" spans="1:216" x14ac:dyDescent="0.3">
      <c r="A614" s="8"/>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c r="FZ614" s="6"/>
      <c r="GA614" s="6"/>
      <c r="GB614" s="6"/>
      <c r="GC614" s="6"/>
      <c r="GD614" s="6"/>
      <c r="GE614" s="6"/>
      <c r="GF614" s="6"/>
      <c r="GG614" s="6"/>
      <c r="GH614" s="6"/>
      <c r="GI614" s="6"/>
      <c r="GJ614" s="6"/>
      <c r="GK614" s="6"/>
      <c r="GL614" s="6"/>
      <c r="GM614" s="6"/>
      <c r="GN614" s="6"/>
      <c r="GO614" s="6"/>
      <c r="GP614" s="6"/>
      <c r="GQ614" s="6"/>
      <c r="GR614" s="6"/>
      <c r="GS614" s="6"/>
      <c r="GT614" s="6"/>
      <c r="GU614" s="6"/>
      <c r="GV614" s="6"/>
      <c r="GW614" s="6"/>
      <c r="GX614" s="6"/>
      <c r="GY614" s="6"/>
      <c r="GZ614" s="6"/>
      <c r="HA614" s="6"/>
      <c r="HB614" s="6"/>
      <c r="HC614" s="6"/>
      <c r="HD614" s="6"/>
      <c r="HE614" s="6"/>
      <c r="HF614" s="6"/>
      <c r="HG614" s="6"/>
      <c r="HH614" s="6"/>
    </row>
    <row r="615" spans="1:216" x14ac:dyDescent="0.3">
      <c r="A615" s="8"/>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row>
    <row r="616" spans="1:216" x14ac:dyDescent="0.3">
      <c r="A616" s="8"/>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c r="FZ616" s="6"/>
      <c r="GA616" s="6"/>
      <c r="GB616" s="6"/>
      <c r="GC616" s="6"/>
      <c r="GD616" s="6"/>
      <c r="GE616" s="6"/>
      <c r="GF616" s="6"/>
      <c r="GG616" s="6"/>
      <c r="GH616" s="6"/>
      <c r="GI616" s="6"/>
      <c r="GJ616" s="6"/>
      <c r="GK616" s="6"/>
      <c r="GL616" s="6"/>
      <c r="GM616" s="6"/>
      <c r="GN616" s="6"/>
      <c r="GO616" s="6"/>
      <c r="GP616" s="6"/>
      <c r="GQ616" s="6"/>
      <c r="GR616" s="6"/>
      <c r="GS616" s="6"/>
      <c r="GT616" s="6"/>
      <c r="GU616" s="6"/>
      <c r="GV616" s="6"/>
      <c r="GW616" s="6"/>
      <c r="GX616" s="6"/>
      <c r="GY616" s="6"/>
      <c r="GZ616" s="6"/>
      <c r="HA616" s="6"/>
      <c r="HB616" s="6"/>
      <c r="HC616" s="6"/>
      <c r="HD616" s="6"/>
      <c r="HE616" s="6"/>
      <c r="HF616" s="6"/>
      <c r="HG616" s="6"/>
      <c r="HH616" s="6"/>
    </row>
    <row r="617" spans="1:216" x14ac:dyDescent="0.3">
      <c r="A617" s="8"/>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c r="FZ617" s="6"/>
      <c r="GA617" s="6"/>
      <c r="GB617" s="6"/>
      <c r="GC617" s="6"/>
      <c r="GD617" s="6"/>
      <c r="GE617" s="6"/>
      <c r="GF617" s="6"/>
      <c r="GG617" s="6"/>
      <c r="GH617" s="6"/>
      <c r="GI617" s="6"/>
      <c r="GJ617" s="6"/>
      <c r="GK617" s="6"/>
      <c r="GL617" s="6"/>
      <c r="GM617" s="6"/>
      <c r="GN617" s="6"/>
      <c r="GO617" s="6"/>
      <c r="GP617" s="6"/>
      <c r="GQ617" s="6"/>
      <c r="GR617" s="6"/>
      <c r="GS617" s="6"/>
      <c r="GT617" s="6"/>
      <c r="GU617" s="6"/>
      <c r="GV617" s="6"/>
      <c r="GW617" s="6"/>
      <c r="GX617" s="6"/>
      <c r="GY617" s="6"/>
      <c r="GZ617" s="6"/>
      <c r="HA617" s="6"/>
      <c r="HB617" s="6"/>
      <c r="HC617" s="6"/>
      <c r="HD617" s="6"/>
      <c r="HE617" s="6"/>
      <c r="HF617" s="6"/>
      <c r="HG617" s="6"/>
      <c r="HH617" s="6"/>
    </row>
    <row r="618" spans="1:216" x14ac:dyDescent="0.3">
      <c r="A618" s="8"/>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c r="FZ618" s="6"/>
      <c r="GA618" s="6"/>
      <c r="GB618" s="6"/>
      <c r="GC618" s="6"/>
      <c r="GD618" s="6"/>
      <c r="GE618" s="6"/>
      <c r="GF618" s="6"/>
      <c r="GG618" s="6"/>
      <c r="GH618" s="6"/>
      <c r="GI618" s="6"/>
      <c r="GJ618" s="6"/>
      <c r="GK618" s="6"/>
      <c r="GL618" s="6"/>
      <c r="GM618" s="6"/>
      <c r="GN618" s="6"/>
      <c r="GO618" s="6"/>
      <c r="GP618" s="6"/>
      <c r="GQ618" s="6"/>
      <c r="GR618" s="6"/>
      <c r="GS618" s="6"/>
      <c r="GT618" s="6"/>
      <c r="GU618" s="6"/>
      <c r="GV618" s="6"/>
      <c r="GW618" s="6"/>
      <c r="GX618" s="6"/>
      <c r="GY618" s="6"/>
      <c r="GZ618" s="6"/>
      <c r="HA618" s="6"/>
      <c r="HB618" s="6"/>
      <c r="HC618" s="6"/>
      <c r="HD618" s="6"/>
      <c r="HE618" s="6"/>
      <c r="HF618" s="6"/>
      <c r="HG618" s="6"/>
      <c r="HH618" s="6"/>
    </row>
    <row r="619" spans="1:216" x14ac:dyDescent="0.3">
      <c r="A619" s="8"/>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c r="FZ619" s="6"/>
      <c r="GA619" s="6"/>
      <c r="GB619" s="6"/>
      <c r="GC619" s="6"/>
      <c r="GD619" s="6"/>
      <c r="GE619" s="6"/>
      <c r="GF619" s="6"/>
      <c r="GG619" s="6"/>
      <c r="GH619" s="6"/>
      <c r="GI619" s="6"/>
      <c r="GJ619" s="6"/>
      <c r="GK619" s="6"/>
      <c r="GL619" s="6"/>
      <c r="GM619" s="6"/>
      <c r="GN619" s="6"/>
      <c r="GO619" s="6"/>
      <c r="GP619" s="6"/>
      <c r="GQ619" s="6"/>
      <c r="GR619" s="6"/>
      <c r="GS619" s="6"/>
      <c r="GT619" s="6"/>
      <c r="GU619" s="6"/>
      <c r="GV619" s="6"/>
      <c r="GW619" s="6"/>
      <c r="GX619" s="6"/>
      <c r="GY619" s="6"/>
      <c r="GZ619" s="6"/>
      <c r="HA619" s="6"/>
      <c r="HB619" s="6"/>
      <c r="HC619" s="6"/>
      <c r="HD619" s="6"/>
      <c r="HE619" s="6"/>
      <c r="HF619" s="6"/>
      <c r="HG619" s="6"/>
      <c r="HH619" s="6"/>
    </row>
    <row r="620" spans="1:216" x14ac:dyDescent="0.3">
      <c r="A620" s="8"/>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c r="FZ620" s="6"/>
      <c r="GA620" s="6"/>
      <c r="GB620" s="6"/>
      <c r="GC620" s="6"/>
      <c r="GD620" s="6"/>
      <c r="GE620" s="6"/>
      <c r="GF620" s="6"/>
      <c r="GG620" s="6"/>
      <c r="GH620" s="6"/>
      <c r="GI620" s="6"/>
      <c r="GJ620" s="6"/>
      <c r="GK620" s="6"/>
      <c r="GL620" s="6"/>
      <c r="GM620" s="6"/>
      <c r="GN620" s="6"/>
      <c r="GO620" s="6"/>
      <c r="GP620" s="6"/>
      <c r="GQ620" s="6"/>
      <c r="GR620" s="6"/>
      <c r="GS620" s="6"/>
      <c r="GT620" s="6"/>
      <c r="GU620" s="6"/>
      <c r="GV620" s="6"/>
      <c r="GW620" s="6"/>
      <c r="GX620" s="6"/>
      <c r="GY620" s="6"/>
      <c r="GZ620" s="6"/>
      <c r="HA620" s="6"/>
      <c r="HB620" s="6"/>
      <c r="HC620" s="6"/>
      <c r="HD620" s="6"/>
      <c r="HE620" s="6"/>
      <c r="HF620" s="6"/>
      <c r="HG620" s="6"/>
      <c r="HH620" s="6"/>
    </row>
    <row r="621" spans="1:216" x14ac:dyDescent="0.3">
      <c r="A621" s="8"/>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c r="FZ621" s="6"/>
      <c r="GA621" s="6"/>
      <c r="GB621" s="6"/>
      <c r="GC621" s="6"/>
      <c r="GD621" s="6"/>
      <c r="GE621" s="6"/>
      <c r="GF621" s="6"/>
      <c r="GG621" s="6"/>
      <c r="GH621" s="6"/>
      <c r="GI621" s="6"/>
      <c r="GJ621" s="6"/>
      <c r="GK621" s="6"/>
      <c r="GL621" s="6"/>
      <c r="GM621" s="6"/>
      <c r="GN621" s="6"/>
      <c r="GO621" s="6"/>
      <c r="GP621" s="6"/>
      <c r="GQ621" s="6"/>
      <c r="GR621" s="6"/>
      <c r="GS621" s="6"/>
      <c r="GT621" s="6"/>
      <c r="GU621" s="6"/>
      <c r="GV621" s="6"/>
      <c r="GW621" s="6"/>
      <c r="GX621" s="6"/>
      <c r="GY621" s="6"/>
      <c r="GZ621" s="6"/>
      <c r="HA621" s="6"/>
      <c r="HB621" s="6"/>
      <c r="HC621" s="6"/>
      <c r="HD621" s="6"/>
      <c r="HE621" s="6"/>
      <c r="HF621" s="6"/>
      <c r="HG621" s="6"/>
      <c r="HH621" s="6"/>
    </row>
    <row r="622" spans="1:216" x14ac:dyDescent="0.3">
      <c r="A622" s="8"/>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c r="FZ622" s="6"/>
      <c r="GA622" s="6"/>
      <c r="GB622" s="6"/>
      <c r="GC622" s="6"/>
      <c r="GD622" s="6"/>
      <c r="GE622" s="6"/>
      <c r="GF622" s="6"/>
      <c r="GG622" s="6"/>
      <c r="GH622" s="6"/>
      <c r="GI622" s="6"/>
      <c r="GJ622" s="6"/>
      <c r="GK622" s="6"/>
      <c r="GL622" s="6"/>
      <c r="GM622" s="6"/>
      <c r="GN622" s="6"/>
      <c r="GO622" s="6"/>
      <c r="GP622" s="6"/>
      <c r="GQ622" s="6"/>
      <c r="GR622" s="6"/>
      <c r="GS622" s="6"/>
      <c r="GT622" s="6"/>
      <c r="GU622" s="6"/>
      <c r="GV622" s="6"/>
      <c r="GW622" s="6"/>
      <c r="GX622" s="6"/>
      <c r="GY622" s="6"/>
      <c r="GZ622" s="6"/>
      <c r="HA622" s="6"/>
      <c r="HB622" s="6"/>
      <c r="HC622" s="6"/>
      <c r="HD622" s="6"/>
      <c r="HE622" s="6"/>
      <c r="HF622" s="6"/>
      <c r="HG622" s="6"/>
      <c r="HH622" s="6"/>
    </row>
    <row r="623" spans="1:216" x14ac:dyDescent="0.3">
      <c r="A623" s="8"/>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c r="FZ623" s="6"/>
      <c r="GA623" s="6"/>
      <c r="GB623" s="6"/>
      <c r="GC623" s="6"/>
      <c r="GD623" s="6"/>
      <c r="GE623" s="6"/>
      <c r="GF623" s="6"/>
      <c r="GG623" s="6"/>
      <c r="GH623" s="6"/>
      <c r="GI623" s="6"/>
      <c r="GJ623" s="6"/>
      <c r="GK623" s="6"/>
      <c r="GL623" s="6"/>
      <c r="GM623" s="6"/>
      <c r="GN623" s="6"/>
      <c r="GO623" s="6"/>
      <c r="GP623" s="6"/>
      <c r="GQ623" s="6"/>
      <c r="GR623" s="6"/>
      <c r="GS623" s="6"/>
      <c r="GT623" s="6"/>
      <c r="GU623" s="6"/>
      <c r="GV623" s="6"/>
      <c r="GW623" s="6"/>
      <c r="GX623" s="6"/>
      <c r="GY623" s="6"/>
      <c r="GZ623" s="6"/>
      <c r="HA623" s="6"/>
      <c r="HB623" s="6"/>
      <c r="HC623" s="6"/>
      <c r="HD623" s="6"/>
      <c r="HE623" s="6"/>
      <c r="HF623" s="6"/>
      <c r="HG623" s="6"/>
      <c r="HH623" s="6"/>
    </row>
    <row r="624" spans="1:216" x14ac:dyDescent="0.3">
      <c r="A624" s="8"/>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c r="FZ624" s="6"/>
      <c r="GA624" s="6"/>
      <c r="GB624" s="6"/>
      <c r="GC624" s="6"/>
      <c r="GD624" s="6"/>
      <c r="GE624" s="6"/>
      <c r="GF624" s="6"/>
      <c r="GG624" s="6"/>
      <c r="GH624" s="6"/>
      <c r="GI624" s="6"/>
      <c r="GJ624" s="6"/>
      <c r="GK624" s="6"/>
      <c r="GL624" s="6"/>
      <c r="GM624" s="6"/>
      <c r="GN624" s="6"/>
      <c r="GO624" s="6"/>
      <c r="GP624" s="6"/>
      <c r="GQ624" s="6"/>
      <c r="GR624" s="6"/>
      <c r="GS624" s="6"/>
      <c r="GT624" s="6"/>
      <c r="GU624" s="6"/>
      <c r="GV624" s="6"/>
      <c r="GW624" s="6"/>
      <c r="GX624" s="6"/>
      <c r="GY624" s="6"/>
      <c r="GZ624" s="6"/>
      <c r="HA624" s="6"/>
      <c r="HB624" s="6"/>
      <c r="HC624" s="6"/>
      <c r="HD624" s="6"/>
      <c r="HE624" s="6"/>
      <c r="HF624" s="6"/>
      <c r="HG624" s="6"/>
      <c r="HH624" s="6"/>
    </row>
    <row r="625" spans="1:216" x14ac:dyDescent="0.3">
      <c r="A625" s="8"/>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c r="FZ625" s="6"/>
      <c r="GA625" s="6"/>
      <c r="GB625" s="6"/>
      <c r="GC625" s="6"/>
      <c r="GD625" s="6"/>
      <c r="GE625" s="6"/>
      <c r="GF625" s="6"/>
      <c r="GG625" s="6"/>
      <c r="GH625" s="6"/>
      <c r="GI625" s="6"/>
      <c r="GJ625" s="6"/>
      <c r="GK625" s="6"/>
      <c r="GL625" s="6"/>
      <c r="GM625" s="6"/>
      <c r="GN625" s="6"/>
      <c r="GO625" s="6"/>
      <c r="GP625" s="6"/>
      <c r="GQ625" s="6"/>
      <c r="GR625" s="6"/>
      <c r="GS625" s="6"/>
      <c r="GT625" s="6"/>
      <c r="GU625" s="6"/>
      <c r="GV625" s="6"/>
      <c r="GW625" s="6"/>
      <c r="GX625" s="6"/>
      <c r="GY625" s="6"/>
      <c r="GZ625" s="6"/>
      <c r="HA625" s="6"/>
      <c r="HB625" s="6"/>
      <c r="HC625" s="6"/>
      <c r="HD625" s="6"/>
      <c r="HE625" s="6"/>
      <c r="HF625" s="6"/>
      <c r="HG625" s="6"/>
      <c r="HH625" s="6"/>
    </row>
    <row r="626" spans="1:216" x14ac:dyDescent="0.3">
      <c r="A626" s="8"/>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c r="FZ626" s="6"/>
      <c r="GA626" s="6"/>
      <c r="GB626" s="6"/>
      <c r="GC626" s="6"/>
      <c r="GD626" s="6"/>
      <c r="GE626" s="6"/>
      <c r="GF626" s="6"/>
      <c r="GG626" s="6"/>
      <c r="GH626" s="6"/>
      <c r="GI626" s="6"/>
      <c r="GJ626" s="6"/>
      <c r="GK626" s="6"/>
      <c r="GL626" s="6"/>
      <c r="GM626" s="6"/>
      <c r="GN626" s="6"/>
      <c r="GO626" s="6"/>
      <c r="GP626" s="6"/>
      <c r="GQ626" s="6"/>
      <c r="GR626" s="6"/>
      <c r="GS626" s="6"/>
      <c r="GT626" s="6"/>
      <c r="GU626" s="6"/>
      <c r="GV626" s="6"/>
      <c r="GW626" s="6"/>
      <c r="GX626" s="6"/>
      <c r="GY626" s="6"/>
      <c r="GZ626" s="6"/>
      <c r="HA626" s="6"/>
      <c r="HB626" s="6"/>
      <c r="HC626" s="6"/>
      <c r="HD626" s="6"/>
      <c r="HE626" s="6"/>
      <c r="HF626" s="6"/>
      <c r="HG626" s="6"/>
      <c r="HH626" s="6"/>
    </row>
    <row r="627" spans="1:216" x14ac:dyDescent="0.3">
      <c r="A627" s="8"/>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c r="FZ627" s="6"/>
      <c r="GA627" s="6"/>
      <c r="GB627" s="6"/>
      <c r="GC627" s="6"/>
      <c r="GD627" s="6"/>
      <c r="GE627" s="6"/>
      <c r="GF627" s="6"/>
      <c r="GG627" s="6"/>
      <c r="GH627" s="6"/>
      <c r="GI627" s="6"/>
      <c r="GJ627" s="6"/>
      <c r="GK627" s="6"/>
      <c r="GL627" s="6"/>
      <c r="GM627" s="6"/>
      <c r="GN627" s="6"/>
      <c r="GO627" s="6"/>
      <c r="GP627" s="6"/>
      <c r="GQ627" s="6"/>
      <c r="GR627" s="6"/>
      <c r="GS627" s="6"/>
      <c r="GT627" s="6"/>
      <c r="GU627" s="6"/>
      <c r="GV627" s="6"/>
      <c r="GW627" s="6"/>
      <c r="GX627" s="6"/>
      <c r="GY627" s="6"/>
      <c r="GZ627" s="6"/>
      <c r="HA627" s="6"/>
      <c r="HB627" s="6"/>
      <c r="HC627" s="6"/>
      <c r="HD627" s="6"/>
      <c r="HE627" s="6"/>
      <c r="HF627" s="6"/>
      <c r="HG627" s="6"/>
      <c r="HH627" s="6"/>
    </row>
    <row r="628" spans="1:216" x14ac:dyDescent="0.3">
      <c r="A628" s="8"/>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c r="FZ628" s="6"/>
      <c r="GA628" s="6"/>
      <c r="GB628" s="6"/>
      <c r="GC628" s="6"/>
      <c r="GD628" s="6"/>
      <c r="GE628" s="6"/>
      <c r="GF628" s="6"/>
      <c r="GG628" s="6"/>
      <c r="GH628" s="6"/>
      <c r="GI628" s="6"/>
      <c r="GJ628" s="6"/>
      <c r="GK628" s="6"/>
      <c r="GL628" s="6"/>
      <c r="GM628" s="6"/>
      <c r="GN628" s="6"/>
      <c r="GO628" s="6"/>
      <c r="GP628" s="6"/>
      <c r="GQ628" s="6"/>
      <c r="GR628" s="6"/>
      <c r="GS628" s="6"/>
      <c r="GT628" s="6"/>
      <c r="GU628" s="6"/>
      <c r="GV628" s="6"/>
      <c r="GW628" s="6"/>
      <c r="GX628" s="6"/>
      <c r="GY628" s="6"/>
      <c r="GZ628" s="6"/>
      <c r="HA628" s="6"/>
      <c r="HB628" s="6"/>
      <c r="HC628" s="6"/>
      <c r="HD628" s="6"/>
      <c r="HE628" s="6"/>
      <c r="HF628" s="6"/>
      <c r="HG628" s="6"/>
      <c r="HH628" s="6"/>
    </row>
    <row r="629" spans="1:216" x14ac:dyDescent="0.3">
      <c r="A629" s="8"/>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c r="FZ629" s="6"/>
      <c r="GA629" s="6"/>
      <c r="GB629" s="6"/>
      <c r="GC629" s="6"/>
      <c r="GD629" s="6"/>
      <c r="GE629" s="6"/>
      <c r="GF629" s="6"/>
      <c r="GG629" s="6"/>
      <c r="GH629" s="6"/>
      <c r="GI629" s="6"/>
      <c r="GJ629" s="6"/>
      <c r="GK629" s="6"/>
      <c r="GL629" s="6"/>
      <c r="GM629" s="6"/>
      <c r="GN629" s="6"/>
      <c r="GO629" s="6"/>
      <c r="GP629" s="6"/>
      <c r="GQ629" s="6"/>
      <c r="GR629" s="6"/>
      <c r="GS629" s="6"/>
      <c r="GT629" s="6"/>
      <c r="GU629" s="6"/>
      <c r="GV629" s="6"/>
      <c r="GW629" s="6"/>
      <c r="GX629" s="6"/>
      <c r="GY629" s="6"/>
      <c r="GZ629" s="6"/>
      <c r="HA629" s="6"/>
      <c r="HB629" s="6"/>
      <c r="HC629" s="6"/>
      <c r="HD629" s="6"/>
      <c r="HE629" s="6"/>
      <c r="HF629" s="6"/>
      <c r="HG629" s="6"/>
      <c r="HH629" s="6"/>
    </row>
    <row r="630" spans="1:216" x14ac:dyDescent="0.3">
      <c r="A630" s="8"/>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c r="FZ630" s="6"/>
      <c r="GA630" s="6"/>
      <c r="GB630" s="6"/>
      <c r="GC630" s="6"/>
      <c r="GD630" s="6"/>
      <c r="GE630" s="6"/>
      <c r="GF630" s="6"/>
      <c r="GG630" s="6"/>
      <c r="GH630" s="6"/>
      <c r="GI630" s="6"/>
      <c r="GJ630" s="6"/>
      <c r="GK630" s="6"/>
      <c r="GL630" s="6"/>
      <c r="GM630" s="6"/>
      <c r="GN630" s="6"/>
      <c r="GO630" s="6"/>
      <c r="GP630" s="6"/>
      <c r="GQ630" s="6"/>
      <c r="GR630" s="6"/>
      <c r="GS630" s="6"/>
      <c r="GT630" s="6"/>
      <c r="GU630" s="6"/>
      <c r="GV630" s="6"/>
      <c r="GW630" s="6"/>
      <c r="GX630" s="6"/>
      <c r="GY630" s="6"/>
      <c r="GZ630" s="6"/>
      <c r="HA630" s="6"/>
      <c r="HB630" s="6"/>
      <c r="HC630" s="6"/>
      <c r="HD630" s="6"/>
      <c r="HE630" s="6"/>
      <c r="HF630" s="6"/>
      <c r="HG630" s="6"/>
      <c r="HH630" s="6"/>
    </row>
    <row r="631" spans="1:216" x14ac:dyDescent="0.3">
      <c r="A631" s="8"/>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c r="FZ631" s="6"/>
      <c r="GA631" s="6"/>
      <c r="GB631" s="6"/>
      <c r="GC631" s="6"/>
      <c r="GD631" s="6"/>
      <c r="GE631" s="6"/>
      <c r="GF631" s="6"/>
      <c r="GG631" s="6"/>
      <c r="GH631" s="6"/>
      <c r="GI631" s="6"/>
      <c r="GJ631" s="6"/>
      <c r="GK631" s="6"/>
      <c r="GL631" s="6"/>
      <c r="GM631" s="6"/>
      <c r="GN631" s="6"/>
      <c r="GO631" s="6"/>
      <c r="GP631" s="6"/>
      <c r="GQ631" s="6"/>
      <c r="GR631" s="6"/>
      <c r="GS631" s="6"/>
      <c r="GT631" s="6"/>
      <c r="GU631" s="6"/>
      <c r="GV631" s="6"/>
      <c r="GW631" s="6"/>
      <c r="GX631" s="6"/>
      <c r="GY631" s="6"/>
      <c r="GZ631" s="6"/>
      <c r="HA631" s="6"/>
      <c r="HB631" s="6"/>
      <c r="HC631" s="6"/>
      <c r="HD631" s="6"/>
      <c r="HE631" s="6"/>
      <c r="HF631" s="6"/>
      <c r="HG631" s="6"/>
      <c r="HH631" s="6"/>
    </row>
    <row r="632" spans="1:216" x14ac:dyDescent="0.3">
      <c r="A632" s="8"/>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c r="FZ632" s="6"/>
      <c r="GA632" s="6"/>
      <c r="GB632" s="6"/>
      <c r="GC632" s="6"/>
      <c r="GD632" s="6"/>
      <c r="GE632" s="6"/>
      <c r="GF632" s="6"/>
      <c r="GG632" s="6"/>
      <c r="GH632" s="6"/>
      <c r="GI632" s="6"/>
      <c r="GJ632" s="6"/>
      <c r="GK632" s="6"/>
      <c r="GL632" s="6"/>
      <c r="GM632" s="6"/>
      <c r="GN632" s="6"/>
      <c r="GO632" s="6"/>
      <c r="GP632" s="6"/>
      <c r="GQ632" s="6"/>
      <c r="GR632" s="6"/>
      <c r="GS632" s="6"/>
      <c r="GT632" s="6"/>
      <c r="GU632" s="6"/>
      <c r="GV632" s="6"/>
      <c r="GW632" s="6"/>
      <c r="GX632" s="6"/>
      <c r="GY632" s="6"/>
      <c r="GZ632" s="6"/>
      <c r="HA632" s="6"/>
      <c r="HB632" s="6"/>
      <c r="HC632" s="6"/>
      <c r="HD632" s="6"/>
      <c r="HE632" s="6"/>
      <c r="HF632" s="6"/>
      <c r="HG632" s="6"/>
      <c r="HH632" s="6"/>
    </row>
    <row r="633" spans="1:216" x14ac:dyDescent="0.3">
      <c r="A633" s="8"/>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c r="FZ633" s="6"/>
      <c r="GA633" s="6"/>
      <c r="GB633" s="6"/>
      <c r="GC633" s="6"/>
      <c r="GD633" s="6"/>
      <c r="GE633" s="6"/>
      <c r="GF633" s="6"/>
      <c r="GG633" s="6"/>
      <c r="GH633" s="6"/>
      <c r="GI633" s="6"/>
      <c r="GJ633" s="6"/>
      <c r="GK633" s="6"/>
      <c r="GL633" s="6"/>
      <c r="GM633" s="6"/>
      <c r="GN633" s="6"/>
      <c r="GO633" s="6"/>
      <c r="GP633" s="6"/>
      <c r="GQ633" s="6"/>
      <c r="GR633" s="6"/>
      <c r="GS633" s="6"/>
      <c r="GT633" s="6"/>
      <c r="GU633" s="6"/>
      <c r="GV633" s="6"/>
      <c r="GW633" s="6"/>
      <c r="GX633" s="6"/>
      <c r="GY633" s="6"/>
      <c r="GZ633" s="6"/>
      <c r="HA633" s="6"/>
      <c r="HB633" s="6"/>
      <c r="HC633" s="6"/>
      <c r="HD633" s="6"/>
      <c r="HE633" s="6"/>
      <c r="HF633" s="6"/>
      <c r="HG633" s="6"/>
      <c r="HH633" s="6"/>
    </row>
    <row r="634" spans="1:216" x14ac:dyDescent="0.3">
      <c r="A634" s="8"/>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c r="FZ634" s="6"/>
      <c r="GA634" s="6"/>
      <c r="GB634" s="6"/>
      <c r="GC634" s="6"/>
      <c r="GD634" s="6"/>
      <c r="GE634" s="6"/>
      <c r="GF634" s="6"/>
      <c r="GG634" s="6"/>
      <c r="GH634" s="6"/>
      <c r="GI634" s="6"/>
      <c r="GJ634" s="6"/>
      <c r="GK634" s="6"/>
      <c r="GL634" s="6"/>
      <c r="GM634" s="6"/>
      <c r="GN634" s="6"/>
      <c r="GO634" s="6"/>
      <c r="GP634" s="6"/>
      <c r="GQ634" s="6"/>
      <c r="GR634" s="6"/>
      <c r="GS634" s="6"/>
      <c r="GT634" s="6"/>
      <c r="GU634" s="6"/>
      <c r="GV634" s="6"/>
      <c r="GW634" s="6"/>
      <c r="GX634" s="6"/>
      <c r="GY634" s="6"/>
      <c r="GZ634" s="6"/>
      <c r="HA634" s="6"/>
      <c r="HB634" s="6"/>
      <c r="HC634" s="6"/>
      <c r="HD634" s="6"/>
      <c r="HE634" s="6"/>
      <c r="HF634" s="6"/>
      <c r="HG634" s="6"/>
      <c r="HH634" s="6"/>
    </row>
    <row r="635" spans="1:216" x14ac:dyDescent="0.3">
      <c r="A635" s="8"/>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c r="FZ635" s="6"/>
      <c r="GA635" s="6"/>
      <c r="GB635" s="6"/>
      <c r="GC635" s="6"/>
      <c r="GD635" s="6"/>
      <c r="GE635" s="6"/>
      <c r="GF635" s="6"/>
      <c r="GG635" s="6"/>
      <c r="GH635" s="6"/>
      <c r="GI635" s="6"/>
      <c r="GJ635" s="6"/>
      <c r="GK635" s="6"/>
      <c r="GL635" s="6"/>
      <c r="GM635" s="6"/>
      <c r="GN635" s="6"/>
      <c r="GO635" s="6"/>
      <c r="GP635" s="6"/>
      <c r="GQ635" s="6"/>
      <c r="GR635" s="6"/>
      <c r="GS635" s="6"/>
      <c r="GT635" s="6"/>
      <c r="GU635" s="6"/>
      <c r="GV635" s="6"/>
      <c r="GW635" s="6"/>
      <c r="GX635" s="6"/>
      <c r="GY635" s="6"/>
      <c r="GZ635" s="6"/>
      <c r="HA635" s="6"/>
      <c r="HB635" s="6"/>
      <c r="HC635" s="6"/>
      <c r="HD635" s="6"/>
      <c r="HE635" s="6"/>
      <c r="HF635" s="6"/>
      <c r="HG635" s="6"/>
      <c r="HH635" s="6"/>
    </row>
    <row r="636" spans="1:216" x14ac:dyDescent="0.3">
      <c r="A636" s="8"/>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c r="FZ636" s="6"/>
      <c r="GA636" s="6"/>
      <c r="GB636" s="6"/>
      <c r="GC636" s="6"/>
      <c r="GD636" s="6"/>
      <c r="GE636" s="6"/>
      <c r="GF636" s="6"/>
      <c r="GG636" s="6"/>
      <c r="GH636" s="6"/>
      <c r="GI636" s="6"/>
      <c r="GJ636" s="6"/>
      <c r="GK636" s="6"/>
      <c r="GL636" s="6"/>
      <c r="GM636" s="6"/>
      <c r="GN636" s="6"/>
      <c r="GO636" s="6"/>
      <c r="GP636" s="6"/>
      <c r="GQ636" s="6"/>
      <c r="GR636" s="6"/>
      <c r="GS636" s="6"/>
      <c r="GT636" s="6"/>
      <c r="GU636" s="6"/>
      <c r="GV636" s="6"/>
      <c r="GW636" s="6"/>
      <c r="GX636" s="6"/>
      <c r="GY636" s="6"/>
      <c r="GZ636" s="6"/>
      <c r="HA636" s="6"/>
      <c r="HB636" s="6"/>
      <c r="HC636" s="6"/>
      <c r="HD636" s="6"/>
      <c r="HE636" s="6"/>
      <c r="HF636" s="6"/>
      <c r="HG636" s="6"/>
      <c r="HH636" s="6"/>
    </row>
    <row r="637" spans="1:216" x14ac:dyDescent="0.3">
      <c r="A637" s="8"/>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c r="FZ637" s="6"/>
      <c r="GA637" s="6"/>
      <c r="GB637" s="6"/>
      <c r="GC637" s="6"/>
      <c r="GD637" s="6"/>
      <c r="GE637" s="6"/>
      <c r="GF637" s="6"/>
      <c r="GG637" s="6"/>
      <c r="GH637" s="6"/>
      <c r="GI637" s="6"/>
      <c r="GJ637" s="6"/>
      <c r="GK637" s="6"/>
      <c r="GL637" s="6"/>
      <c r="GM637" s="6"/>
      <c r="GN637" s="6"/>
      <c r="GO637" s="6"/>
      <c r="GP637" s="6"/>
      <c r="GQ637" s="6"/>
      <c r="GR637" s="6"/>
      <c r="GS637" s="6"/>
      <c r="GT637" s="6"/>
      <c r="GU637" s="6"/>
      <c r="GV637" s="6"/>
      <c r="GW637" s="6"/>
      <c r="GX637" s="6"/>
      <c r="GY637" s="6"/>
      <c r="GZ637" s="6"/>
      <c r="HA637" s="6"/>
      <c r="HB637" s="6"/>
      <c r="HC637" s="6"/>
      <c r="HD637" s="6"/>
      <c r="HE637" s="6"/>
      <c r="HF637" s="6"/>
      <c r="HG637" s="6"/>
      <c r="HH637" s="6"/>
    </row>
    <row r="638" spans="1:216" x14ac:dyDescent="0.3">
      <c r="A638" s="8"/>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c r="FZ638" s="6"/>
      <c r="GA638" s="6"/>
      <c r="GB638" s="6"/>
      <c r="GC638" s="6"/>
      <c r="GD638" s="6"/>
      <c r="GE638" s="6"/>
      <c r="GF638" s="6"/>
      <c r="GG638" s="6"/>
      <c r="GH638" s="6"/>
      <c r="GI638" s="6"/>
      <c r="GJ638" s="6"/>
      <c r="GK638" s="6"/>
      <c r="GL638" s="6"/>
      <c r="GM638" s="6"/>
      <c r="GN638" s="6"/>
      <c r="GO638" s="6"/>
      <c r="GP638" s="6"/>
      <c r="GQ638" s="6"/>
      <c r="GR638" s="6"/>
      <c r="GS638" s="6"/>
      <c r="GT638" s="6"/>
      <c r="GU638" s="6"/>
      <c r="GV638" s="6"/>
      <c r="GW638" s="6"/>
      <c r="GX638" s="6"/>
      <c r="GY638" s="6"/>
      <c r="GZ638" s="6"/>
      <c r="HA638" s="6"/>
      <c r="HB638" s="6"/>
      <c r="HC638" s="6"/>
      <c r="HD638" s="6"/>
      <c r="HE638" s="6"/>
      <c r="HF638" s="6"/>
      <c r="HG638" s="6"/>
      <c r="HH638" s="6"/>
    </row>
    <row r="639" spans="1:216" x14ac:dyDescent="0.3">
      <c r="A639" s="8"/>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c r="FZ639" s="6"/>
      <c r="GA639" s="6"/>
      <c r="GB639" s="6"/>
      <c r="GC639" s="6"/>
      <c r="GD639" s="6"/>
      <c r="GE639" s="6"/>
      <c r="GF639" s="6"/>
      <c r="GG639" s="6"/>
      <c r="GH639" s="6"/>
      <c r="GI639" s="6"/>
      <c r="GJ639" s="6"/>
      <c r="GK639" s="6"/>
      <c r="GL639" s="6"/>
      <c r="GM639" s="6"/>
      <c r="GN639" s="6"/>
      <c r="GO639" s="6"/>
      <c r="GP639" s="6"/>
      <c r="GQ639" s="6"/>
      <c r="GR639" s="6"/>
      <c r="GS639" s="6"/>
      <c r="GT639" s="6"/>
      <c r="GU639" s="6"/>
      <c r="GV639" s="6"/>
      <c r="GW639" s="6"/>
      <c r="GX639" s="6"/>
      <c r="GY639" s="6"/>
      <c r="GZ639" s="6"/>
      <c r="HA639" s="6"/>
      <c r="HB639" s="6"/>
      <c r="HC639" s="6"/>
      <c r="HD639" s="6"/>
      <c r="HE639" s="6"/>
      <c r="HF639" s="6"/>
      <c r="HG639" s="6"/>
      <c r="HH639" s="6"/>
    </row>
    <row r="640" spans="1:216" x14ac:dyDescent="0.3">
      <c r="A640" s="8"/>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c r="FZ640" s="6"/>
      <c r="GA640" s="6"/>
      <c r="GB640" s="6"/>
      <c r="GC640" s="6"/>
      <c r="GD640" s="6"/>
      <c r="GE640" s="6"/>
      <c r="GF640" s="6"/>
      <c r="GG640" s="6"/>
      <c r="GH640" s="6"/>
      <c r="GI640" s="6"/>
      <c r="GJ640" s="6"/>
      <c r="GK640" s="6"/>
      <c r="GL640" s="6"/>
      <c r="GM640" s="6"/>
      <c r="GN640" s="6"/>
      <c r="GO640" s="6"/>
      <c r="GP640" s="6"/>
      <c r="GQ640" s="6"/>
      <c r="GR640" s="6"/>
      <c r="GS640" s="6"/>
      <c r="GT640" s="6"/>
      <c r="GU640" s="6"/>
      <c r="GV640" s="6"/>
      <c r="GW640" s="6"/>
      <c r="GX640" s="6"/>
      <c r="GY640" s="6"/>
      <c r="GZ640" s="6"/>
      <c r="HA640" s="6"/>
      <c r="HB640" s="6"/>
      <c r="HC640" s="6"/>
      <c r="HD640" s="6"/>
      <c r="HE640" s="6"/>
      <c r="HF640" s="6"/>
      <c r="HG640" s="6"/>
      <c r="HH640" s="6"/>
    </row>
    <row r="641" spans="1:216" x14ac:dyDescent="0.3">
      <c r="A641" s="8"/>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c r="FZ641" s="6"/>
      <c r="GA641" s="6"/>
      <c r="GB641" s="6"/>
      <c r="GC641" s="6"/>
      <c r="GD641" s="6"/>
      <c r="GE641" s="6"/>
      <c r="GF641" s="6"/>
      <c r="GG641" s="6"/>
      <c r="GH641" s="6"/>
      <c r="GI641" s="6"/>
      <c r="GJ641" s="6"/>
      <c r="GK641" s="6"/>
      <c r="GL641" s="6"/>
      <c r="GM641" s="6"/>
      <c r="GN641" s="6"/>
      <c r="GO641" s="6"/>
      <c r="GP641" s="6"/>
      <c r="GQ641" s="6"/>
      <c r="GR641" s="6"/>
      <c r="GS641" s="6"/>
      <c r="GT641" s="6"/>
      <c r="GU641" s="6"/>
      <c r="GV641" s="6"/>
      <c r="GW641" s="6"/>
      <c r="GX641" s="6"/>
      <c r="GY641" s="6"/>
      <c r="GZ641" s="6"/>
      <c r="HA641" s="6"/>
      <c r="HB641" s="6"/>
      <c r="HC641" s="6"/>
      <c r="HD641" s="6"/>
      <c r="HE641" s="6"/>
      <c r="HF641" s="6"/>
      <c r="HG641" s="6"/>
      <c r="HH641" s="6"/>
    </row>
    <row r="642" spans="1:216" x14ac:dyDescent="0.3">
      <c r="A642" s="8"/>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c r="FZ642" s="6"/>
      <c r="GA642" s="6"/>
      <c r="GB642" s="6"/>
      <c r="GC642" s="6"/>
      <c r="GD642" s="6"/>
      <c r="GE642" s="6"/>
      <c r="GF642" s="6"/>
      <c r="GG642" s="6"/>
      <c r="GH642" s="6"/>
      <c r="GI642" s="6"/>
      <c r="GJ642" s="6"/>
      <c r="GK642" s="6"/>
      <c r="GL642" s="6"/>
      <c r="GM642" s="6"/>
      <c r="GN642" s="6"/>
      <c r="GO642" s="6"/>
      <c r="GP642" s="6"/>
      <c r="GQ642" s="6"/>
      <c r="GR642" s="6"/>
      <c r="GS642" s="6"/>
      <c r="GT642" s="6"/>
      <c r="GU642" s="6"/>
      <c r="GV642" s="6"/>
      <c r="GW642" s="6"/>
      <c r="GX642" s="6"/>
      <c r="GY642" s="6"/>
      <c r="GZ642" s="6"/>
      <c r="HA642" s="6"/>
      <c r="HB642" s="6"/>
      <c r="HC642" s="6"/>
      <c r="HD642" s="6"/>
      <c r="HE642" s="6"/>
      <c r="HF642" s="6"/>
      <c r="HG642" s="6"/>
      <c r="HH642" s="6"/>
    </row>
    <row r="643" spans="1:216" x14ac:dyDescent="0.3">
      <c r="A643" s="8"/>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c r="FZ643" s="6"/>
      <c r="GA643" s="6"/>
      <c r="GB643" s="6"/>
      <c r="GC643" s="6"/>
      <c r="GD643" s="6"/>
      <c r="GE643" s="6"/>
      <c r="GF643" s="6"/>
      <c r="GG643" s="6"/>
      <c r="GH643" s="6"/>
      <c r="GI643" s="6"/>
      <c r="GJ643" s="6"/>
      <c r="GK643" s="6"/>
      <c r="GL643" s="6"/>
      <c r="GM643" s="6"/>
      <c r="GN643" s="6"/>
      <c r="GO643" s="6"/>
      <c r="GP643" s="6"/>
      <c r="GQ643" s="6"/>
      <c r="GR643" s="6"/>
      <c r="GS643" s="6"/>
      <c r="GT643" s="6"/>
      <c r="GU643" s="6"/>
      <c r="GV643" s="6"/>
      <c r="GW643" s="6"/>
      <c r="GX643" s="6"/>
      <c r="GY643" s="6"/>
      <c r="GZ643" s="6"/>
      <c r="HA643" s="6"/>
      <c r="HB643" s="6"/>
      <c r="HC643" s="6"/>
      <c r="HD643" s="6"/>
      <c r="HE643" s="6"/>
      <c r="HF643" s="6"/>
      <c r="HG643" s="6"/>
      <c r="HH643" s="6"/>
    </row>
    <row r="644" spans="1:216" x14ac:dyDescent="0.3">
      <c r="A644" s="8"/>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c r="FZ644" s="6"/>
      <c r="GA644" s="6"/>
      <c r="GB644" s="6"/>
      <c r="GC644" s="6"/>
      <c r="GD644" s="6"/>
      <c r="GE644" s="6"/>
      <c r="GF644" s="6"/>
      <c r="GG644" s="6"/>
      <c r="GH644" s="6"/>
      <c r="GI644" s="6"/>
      <c r="GJ644" s="6"/>
      <c r="GK644" s="6"/>
      <c r="GL644" s="6"/>
      <c r="GM644" s="6"/>
      <c r="GN644" s="6"/>
      <c r="GO644" s="6"/>
      <c r="GP644" s="6"/>
      <c r="GQ644" s="6"/>
      <c r="GR644" s="6"/>
      <c r="GS644" s="6"/>
      <c r="GT644" s="6"/>
      <c r="GU644" s="6"/>
      <c r="GV644" s="6"/>
      <c r="GW644" s="6"/>
      <c r="GX644" s="6"/>
      <c r="GY644" s="6"/>
      <c r="GZ644" s="6"/>
      <c r="HA644" s="6"/>
      <c r="HB644" s="6"/>
      <c r="HC644" s="6"/>
      <c r="HD644" s="6"/>
      <c r="HE644" s="6"/>
      <c r="HF644" s="6"/>
      <c r="HG644" s="6"/>
      <c r="HH644" s="6"/>
    </row>
    <row r="645" spans="1:216" x14ac:dyDescent="0.3">
      <c r="A645" s="8"/>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c r="FZ645" s="6"/>
      <c r="GA645" s="6"/>
      <c r="GB645" s="6"/>
      <c r="GC645" s="6"/>
      <c r="GD645" s="6"/>
      <c r="GE645" s="6"/>
      <c r="GF645" s="6"/>
      <c r="GG645" s="6"/>
      <c r="GH645" s="6"/>
      <c r="GI645" s="6"/>
      <c r="GJ645" s="6"/>
      <c r="GK645" s="6"/>
      <c r="GL645" s="6"/>
      <c r="GM645" s="6"/>
      <c r="GN645" s="6"/>
      <c r="GO645" s="6"/>
      <c r="GP645" s="6"/>
      <c r="GQ645" s="6"/>
      <c r="GR645" s="6"/>
      <c r="GS645" s="6"/>
      <c r="GT645" s="6"/>
      <c r="GU645" s="6"/>
      <c r="GV645" s="6"/>
      <c r="GW645" s="6"/>
      <c r="GX645" s="6"/>
      <c r="GY645" s="6"/>
      <c r="GZ645" s="6"/>
      <c r="HA645" s="6"/>
      <c r="HB645" s="6"/>
      <c r="HC645" s="6"/>
      <c r="HD645" s="6"/>
      <c r="HE645" s="6"/>
      <c r="HF645" s="6"/>
      <c r="HG645" s="6"/>
      <c r="HH645" s="6"/>
    </row>
    <row r="646" spans="1:216" x14ac:dyDescent="0.3">
      <c r="A646" s="8"/>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c r="FZ646" s="6"/>
      <c r="GA646" s="6"/>
      <c r="GB646" s="6"/>
      <c r="GC646" s="6"/>
      <c r="GD646" s="6"/>
      <c r="GE646" s="6"/>
      <c r="GF646" s="6"/>
      <c r="GG646" s="6"/>
      <c r="GH646" s="6"/>
      <c r="GI646" s="6"/>
      <c r="GJ646" s="6"/>
      <c r="GK646" s="6"/>
      <c r="GL646" s="6"/>
      <c r="GM646" s="6"/>
      <c r="GN646" s="6"/>
      <c r="GO646" s="6"/>
      <c r="GP646" s="6"/>
      <c r="GQ646" s="6"/>
      <c r="GR646" s="6"/>
      <c r="GS646" s="6"/>
      <c r="GT646" s="6"/>
      <c r="GU646" s="6"/>
      <c r="GV646" s="6"/>
      <c r="GW646" s="6"/>
      <c r="GX646" s="6"/>
      <c r="GY646" s="6"/>
      <c r="GZ646" s="6"/>
      <c r="HA646" s="6"/>
      <c r="HB646" s="6"/>
      <c r="HC646" s="6"/>
      <c r="HD646" s="6"/>
      <c r="HE646" s="6"/>
      <c r="HF646" s="6"/>
      <c r="HG646" s="6"/>
      <c r="HH646" s="6"/>
    </row>
    <row r="647" spans="1:216" x14ac:dyDescent="0.3">
      <c r="A647" s="8"/>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c r="FZ647" s="6"/>
      <c r="GA647" s="6"/>
      <c r="GB647" s="6"/>
      <c r="GC647" s="6"/>
      <c r="GD647" s="6"/>
      <c r="GE647" s="6"/>
      <c r="GF647" s="6"/>
      <c r="GG647" s="6"/>
      <c r="GH647" s="6"/>
      <c r="GI647" s="6"/>
      <c r="GJ647" s="6"/>
      <c r="GK647" s="6"/>
      <c r="GL647" s="6"/>
      <c r="GM647" s="6"/>
      <c r="GN647" s="6"/>
      <c r="GO647" s="6"/>
      <c r="GP647" s="6"/>
      <c r="GQ647" s="6"/>
      <c r="GR647" s="6"/>
      <c r="GS647" s="6"/>
      <c r="GT647" s="6"/>
      <c r="GU647" s="6"/>
      <c r="GV647" s="6"/>
      <c r="GW647" s="6"/>
      <c r="GX647" s="6"/>
      <c r="GY647" s="6"/>
      <c r="GZ647" s="6"/>
      <c r="HA647" s="6"/>
      <c r="HB647" s="6"/>
      <c r="HC647" s="6"/>
      <c r="HD647" s="6"/>
      <c r="HE647" s="6"/>
      <c r="HF647" s="6"/>
      <c r="HG647" s="6"/>
      <c r="HH647" s="6"/>
    </row>
    <row r="648" spans="1:216" x14ac:dyDescent="0.3">
      <c r="A648" s="8"/>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c r="FZ648" s="6"/>
      <c r="GA648" s="6"/>
      <c r="GB648" s="6"/>
      <c r="GC648" s="6"/>
      <c r="GD648" s="6"/>
      <c r="GE648" s="6"/>
      <c r="GF648" s="6"/>
      <c r="GG648" s="6"/>
      <c r="GH648" s="6"/>
      <c r="GI648" s="6"/>
      <c r="GJ648" s="6"/>
      <c r="GK648" s="6"/>
      <c r="GL648" s="6"/>
      <c r="GM648" s="6"/>
      <c r="GN648" s="6"/>
      <c r="GO648" s="6"/>
      <c r="GP648" s="6"/>
      <c r="GQ648" s="6"/>
      <c r="GR648" s="6"/>
      <c r="GS648" s="6"/>
      <c r="GT648" s="6"/>
      <c r="GU648" s="6"/>
      <c r="GV648" s="6"/>
      <c r="GW648" s="6"/>
      <c r="GX648" s="6"/>
      <c r="GY648" s="6"/>
      <c r="GZ648" s="6"/>
      <c r="HA648" s="6"/>
      <c r="HB648" s="6"/>
      <c r="HC648" s="6"/>
      <c r="HD648" s="6"/>
      <c r="HE648" s="6"/>
      <c r="HF648" s="6"/>
      <c r="HG648" s="6"/>
      <c r="HH648" s="6"/>
    </row>
    <row r="649" spans="1:216" x14ac:dyDescent="0.3">
      <c r="A649" s="8"/>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c r="FZ649" s="6"/>
      <c r="GA649" s="6"/>
      <c r="GB649" s="6"/>
      <c r="GC649" s="6"/>
      <c r="GD649" s="6"/>
      <c r="GE649" s="6"/>
      <c r="GF649" s="6"/>
      <c r="GG649" s="6"/>
      <c r="GH649" s="6"/>
      <c r="GI649" s="6"/>
      <c r="GJ649" s="6"/>
      <c r="GK649" s="6"/>
      <c r="GL649" s="6"/>
      <c r="GM649" s="6"/>
      <c r="GN649" s="6"/>
      <c r="GO649" s="6"/>
      <c r="GP649" s="6"/>
      <c r="GQ649" s="6"/>
      <c r="GR649" s="6"/>
      <c r="GS649" s="6"/>
      <c r="GT649" s="6"/>
      <c r="GU649" s="6"/>
      <c r="GV649" s="6"/>
      <c r="GW649" s="6"/>
      <c r="GX649" s="6"/>
      <c r="GY649" s="6"/>
      <c r="GZ649" s="6"/>
      <c r="HA649" s="6"/>
      <c r="HB649" s="6"/>
      <c r="HC649" s="6"/>
      <c r="HD649" s="6"/>
      <c r="HE649" s="6"/>
      <c r="HF649" s="6"/>
      <c r="HG649" s="6"/>
      <c r="HH649" s="6"/>
    </row>
    <row r="650" spans="1:216" x14ac:dyDescent="0.3">
      <c r="A650" s="8"/>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c r="FZ650" s="6"/>
      <c r="GA650" s="6"/>
      <c r="GB650" s="6"/>
      <c r="GC650" s="6"/>
      <c r="GD650" s="6"/>
      <c r="GE650" s="6"/>
      <c r="GF650" s="6"/>
      <c r="GG650" s="6"/>
      <c r="GH650" s="6"/>
      <c r="GI650" s="6"/>
      <c r="GJ650" s="6"/>
      <c r="GK650" s="6"/>
      <c r="GL650" s="6"/>
      <c r="GM650" s="6"/>
      <c r="GN650" s="6"/>
      <c r="GO650" s="6"/>
      <c r="GP650" s="6"/>
      <c r="GQ650" s="6"/>
      <c r="GR650" s="6"/>
      <c r="GS650" s="6"/>
      <c r="GT650" s="6"/>
      <c r="GU650" s="6"/>
      <c r="GV650" s="6"/>
      <c r="GW650" s="6"/>
      <c r="GX650" s="6"/>
      <c r="GY650" s="6"/>
      <c r="GZ650" s="6"/>
      <c r="HA650" s="6"/>
      <c r="HB650" s="6"/>
      <c r="HC650" s="6"/>
      <c r="HD650" s="6"/>
      <c r="HE650" s="6"/>
      <c r="HF650" s="6"/>
      <c r="HG650" s="6"/>
      <c r="HH650" s="6"/>
    </row>
    <row r="651" spans="1:216" x14ac:dyDescent="0.3">
      <c r="A651" s="8"/>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c r="FZ651" s="6"/>
      <c r="GA651" s="6"/>
      <c r="GB651" s="6"/>
      <c r="GC651" s="6"/>
      <c r="GD651" s="6"/>
      <c r="GE651" s="6"/>
      <c r="GF651" s="6"/>
      <c r="GG651" s="6"/>
      <c r="GH651" s="6"/>
      <c r="GI651" s="6"/>
      <c r="GJ651" s="6"/>
      <c r="GK651" s="6"/>
      <c r="GL651" s="6"/>
      <c r="GM651" s="6"/>
      <c r="GN651" s="6"/>
      <c r="GO651" s="6"/>
      <c r="GP651" s="6"/>
      <c r="GQ651" s="6"/>
      <c r="GR651" s="6"/>
      <c r="GS651" s="6"/>
      <c r="GT651" s="6"/>
      <c r="GU651" s="6"/>
      <c r="GV651" s="6"/>
      <c r="GW651" s="6"/>
      <c r="GX651" s="6"/>
      <c r="GY651" s="6"/>
      <c r="GZ651" s="6"/>
      <c r="HA651" s="6"/>
      <c r="HB651" s="6"/>
      <c r="HC651" s="6"/>
      <c r="HD651" s="6"/>
      <c r="HE651" s="6"/>
      <c r="HF651" s="6"/>
      <c r="HG651" s="6"/>
      <c r="HH651" s="6"/>
    </row>
    <row r="652" spans="1:216" x14ac:dyDescent="0.3">
      <c r="A652" s="8"/>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c r="FZ652" s="6"/>
      <c r="GA652" s="6"/>
      <c r="GB652" s="6"/>
      <c r="GC652" s="6"/>
      <c r="GD652" s="6"/>
      <c r="GE652" s="6"/>
      <c r="GF652" s="6"/>
      <c r="GG652" s="6"/>
      <c r="GH652" s="6"/>
      <c r="GI652" s="6"/>
      <c r="GJ652" s="6"/>
      <c r="GK652" s="6"/>
      <c r="GL652" s="6"/>
      <c r="GM652" s="6"/>
      <c r="GN652" s="6"/>
      <c r="GO652" s="6"/>
      <c r="GP652" s="6"/>
      <c r="GQ652" s="6"/>
      <c r="GR652" s="6"/>
      <c r="GS652" s="6"/>
      <c r="GT652" s="6"/>
      <c r="GU652" s="6"/>
      <c r="GV652" s="6"/>
      <c r="GW652" s="6"/>
      <c r="GX652" s="6"/>
      <c r="GY652" s="6"/>
      <c r="GZ652" s="6"/>
      <c r="HA652" s="6"/>
      <c r="HB652" s="6"/>
      <c r="HC652" s="6"/>
      <c r="HD652" s="6"/>
      <c r="HE652" s="6"/>
      <c r="HF652" s="6"/>
      <c r="HG652" s="6"/>
      <c r="HH652" s="6"/>
    </row>
    <row r="653" spans="1:216" x14ac:dyDescent="0.3">
      <c r="A653" s="8"/>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c r="FZ653" s="6"/>
      <c r="GA653" s="6"/>
      <c r="GB653" s="6"/>
      <c r="GC653" s="6"/>
      <c r="GD653" s="6"/>
      <c r="GE653" s="6"/>
      <c r="GF653" s="6"/>
      <c r="GG653" s="6"/>
      <c r="GH653" s="6"/>
      <c r="GI653" s="6"/>
      <c r="GJ653" s="6"/>
      <c r="GK653" s="6"/>
      <c r="GL653" s="6"/>
      <c r="GM653" s="6"/>
      <c r="GN653" s="6"/>
      <c r="GO653" s="6"/>
      <c r="GP653" s="6"/>
      <c r="GQ653" s="6"/>
      <c r="GR653" s="6"/>
      <c r="GS653" s="6"/>
      <c r="GT653" s="6"/>
      <c r="GU653" s="6"/>
      <c r="GV653" s="6"/>
      <c r="GW653" s="6"/>
      <c r="GX653" s="6"/>
      <c r="GY653" s="6"/>
      <c r="GZ653" s="6"/>
      <c r="HA653" s="6"/>
      <c r="HB653" s="6"/>
      <c r="HC653" s="6"/>
      <c r="HD653" s="6"/>
      <c r="HE653" s="6"/>
      <c r="HF653" s="6"/>
      <c r="HG653" s="6"/>
      <c r="HH653" s="6"/>
    </row>
    <row r="654" spans="1:216" x14ac:dyDescent="0.3">
      <c r="A654" s="8"/>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c r="FZ654" s="6"/>
      <c r="GA654" s="6"/>
      <c r="GB654" s="6"/>
      <c r="GC654" s="6"/>
      <c r="GD654" s="6"/>
      <c r="GE654" s="6"/>
      <c r="GF654" s="6"/>
      <c r="GG654" s="6"/>
      <c r="GH654" s="6"/>
      <c r="GI654" s="6"/>
      <c r="GJ654" s="6"/>
      <c r="GK654" s="6"/>
      <c r="GL654" s="6"/>
      <c r="GM654" s="6"/>
      <c r="GN654" s="6"/>
      <c r="GO654" s="6"/>
      <c r="GP654" s="6"/>
      <c r="GQ654" s="6"/>
      <c r="GR654" s="6"/>
      <c r="GS654" s="6"/>
      <c r="GT654" s="6"/>
      <c r="GU654" s="6"/>
      <c r="GV654" s="6"/>
      <c r="GW654" s="6"/>
      <c r="GX654" s="6"/>
      <c r="GY654" s="6"/>
      <c r="GZ654" s="6"/>
      <c r="HA654" s="6"/>
      <c r="HB654" s="6"/>
      <c r="HC654" s="6"/>
      <c r="HD654" s="6"/>
      <c r="HE654" s="6"/>
      <c r="HF654" s="6"/>
      <c r="HG654" s="6"/>
      <c r="HH654" s="6"/>
    </row>
    <row r="655" spans="1:216" x14ac:dyDescent="0.3">
      <c r="A655" s="8"/>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c r="FZ655" s="6"/>
      <c r="GA655" s="6"/>
      <c r="GB655" s="6"/>
      <c r="GC655" s="6"/>
      <c r="GD655" s="6"/>
      <c r="GE655" s="6"/>
      <c r="GF655" s="6"/>
      <c r="GG655" s="6"/>
      <c r="GH655" s="6"/>
      <c r="GI655" s="6"/>
      <c r="GJ655" s="6"/>
      <c r="GK655" s="6"/>
      <c r="GL655" s="6"/>
      <c r="GM655" s="6"/>
      <c r="GN655" s="6"/>
      <c r="GO655" s="6"/>
      <c r="GP655" s="6"/>
      <c r="GQ655" s="6"/>
      <c r="GR655" s="6"/>
      <c r="GS655" s="6"/>
      <c r="GT655" s="6"/>
      <c r="GU655" s="6"/>
      <c r="GV655" s="6"/>
      <c r="GW655" s="6"/>
      <c r="GX655" s="6"/>
      <c r="GY655" s="6"/>
      <c r="GZ655" s="6"/>
      <c r="HA655" s="6"/>
      <c r="HB655" s="6"/>
      <c r="HC655" s="6"/>
      <c r="HD655" s="6"/>
      <c r="HE655" s="6"/>
      <c r="HF655" s="6"/>
      <c r="HG655" s="6"/>
      <c r="HH655" s="6"/>
    </row>
    <row r="656" spans="1:216" x14ac:dyDescent="0.3">
      <c r="A656" s="8"/>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c r="FZ656" s="6"/>
      <c r="GA656" s="6"/>
      <c r="GB656" s="6"/>
      <c r="GC656" s="6"/>
      <c r="GD656" s="6"/>
      <c r="GE656" s="6"/>
      <c r="GF656" s="6"/>
      <c r="GG656" s="6"/>
      <c r="GH656" s="6"/>
      <c r="GI656" s="6"/>
      <c r="GJ656" s="6"/>
      <c r="GK656" s="6"/>
      <c r="GL656" s="6"/>
      <c r="GM656" s="6"/>
      <c r="GN656" s="6"/>
      <c r="GO656" s="6"/>
      <c r="GP656" s="6"/>
      <c r="GQ656" s="6"/>
      <c r="GR656" s="6"/>
      <c r="GS656" s="6"/>
      <c r="GT656" s="6"/>
      <c r="GU656" s="6"/>
      <c r="GV656" s="6"/>
      <c r="GW656" s="6"/>
      <c r="GX656" s="6"/>
      <c r="GY656" s="6"/>
      <c r="GZ656" s="6"/>
      <c r="HA656" s="6"/>
      <c r="HB656" s="6"/>
      <c r="HC656" s="6"/>
      <c r="HD656" s="6"/>
      <c r="HE656" s="6"/>
      <c r="HF656" s="6"/>
      <c r="HG656" s="6"/>
      <c r="HH656" s="6"/>
    </row>
    <row r="657" spans="1:216" x14ac:dyDescent="0.3">
      <c r="A657" s="8"/>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c r="FZ657" s="6"/>
      <c r="GA657" s="6"/>
      <c r="GB657" s="6"/>
      <c r="GC657" s="6"/>
      <c r="GD657" s="6"/>
      <c r="GE657" s="6"/>
      <c r="GF657" s="6"/>
      <c r="GG657" s="6"/>
      <c r="GH657" s="6"/>
      <c r="GI657" s="6"/>
      <c r="GJ657" s="6"/>
      <c r="GK657" s="6"/>
      <c r="GL657" s="6"/>
      <c r="GM657" s="6"/>
      <c r="GN657" s="6"/>
      <c r="GO657" s="6"/>
      <c r="GP657" s="6"/>
      <c r="GQ657" s="6"/>
      <c r="GR657" s="6"/>
      <c r="GS657" s="6"/>
      <c r="GT657" s="6"/>
      <c r="GU657" s="6"/>
      <c r="GV657" s="6"/>
      <c r="GW657" s="6"/>
      <c r="GX657" s="6"/>
      <c r="GY657" s="6"/>
      <c r="GZ657" s="6"/>
      <c r="HA657" s="6"/>
      <c r="HB657" s="6"/>
      <c r="HC657" s="6"/>
      <c r="HD657" s="6"/>
      <c r="HE657" s="6"/>
      <c r="HF657" s="6"/>
      <c r="HG657" s="6"/>
      <c r="HH657" s="6"/>
    </row>
    <row r="658" spans="1:216" x14ac:dyDescent="0.3">
      <c r="A658" s="8"/>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c r="FZ658" s="6"/>
      <c r="GA658" s="6"/>
      <c r="GB658" s="6"/>
      <c r="GC658" s="6"/>
      <c r="GD658" s="6"/>
      <c r="GE658" s="6"/>
      <c r="GF658" s="6"/>
      <c r="GG658" s="6"/>
      <c r="GH658" s="6"/>
      <c r="GI658" s="6"/>
      <c r="GJ658" s="6"/>
      <c r="GK658" s="6"/>
      <c r="GL658" s="6"/>
      <c r="GM658" s="6"/>
      <c r="GN658" s="6"/>
      <c r="GO658" s="6"/>
      <c r="GP658" s="6"/>
      <c r="GQ658" s="6"/>
      <c r="GR658" s="6"/>
      <c r="GS658" s="6"/>
      <c r="GT658" s="6"/>
      <c r="GU658" s="6"/>
      <c r="GV658" s="6"/>
      <c r="GW658" s="6"/>
      <c r="GX658" s="6"/>
      <c r="GY658" s="6"/>
      <c r="GZ658" s="6"/>
      <c r="HA658" s="6"/>
      <c r="HB658" s="6"/>
      <c r="HC658" s="6"/>
      <c r="HD658" s="6"/>
      <c r="HE658" s="6"/>
      <c r="HF658" s="6"/>
      <c r="HG658" s="6"/>
      <c r="HH658" s="6"/>
    </row>
    <row r="659" spans="1:216" x14ac:dyDescent="0.3">
      <c r="A659" s="8"/>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c r="FZ659" s="6"/>
      <c r="GA659" s="6"/>
      <c r="GB659" s="6"/>
      <c r="GC659" s="6"/>
      <c r="GD659" s="6"/>
      <c r="GE659" s="6"/>
      <c r="GF659" s="6"/>
      <c r="GG659" s="6"/>
      <c r="GH659" s="6"/>
      <c r="GI659" s="6"/>
      <c r="GJ659" s="6"/>
      <c r="GK659" s="6"/>
      <c r="GL659" s="6"/>
      <c r="GM659" s="6"/>
      <c r="GN659" s="6"/>
      <c r="GO659" s="6"/>
      <c r="GP659" s="6"/>
      <c r="GQ659" s="6"/>
      <c r="GR659" s="6"/>
      <c r="GS659" s="6"/>
      <c r="GT659" s="6"/>
      <c r="GU659" s="6"/>
      <c r="GV659" s="6"/>
      <c r="GW659" s="6"/>
      <c r="GX659" s="6"/>
      <c r="GY659" s="6"/>
      <c r="GZ659" s="6"/>
      <c r="HA659" s="6"/>
      <c r="HB659" s="6"/>
      <c r="HC659" s="6"/>
      <c r="HD659" s="6"/>
      <c r="HE659" s="6"/>
      <c r="HF659" s="6"/>
      <c r="HG659" s="6"/>
      <c r="HH659" s="6"/>
    </row>
    <row r="660" spans="1:216" x14ac:dyDescent="0.3">
      <c r="A660" s="8"/>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c r="FZ660" s="6"/>
      <c r="GA660" s="6"/>
      <c r="GB660" s="6"/>
      <c r="GC660" s="6"/>
      <c r="GD660" s="6"/>
      <c r="GE660" s="6"/>
      <c r="GF660" s="6"/>
      <c r="GG660" s="6"/>
      <c r="GH660" s="6"/>
      <c r="GI660" s="6"/>
      <c r="GJ660" s="6"/>
      <c r="GK660" s="6"/>
      <c r="GL660" s="6"/>
      <c r="GM660" s="6"/>
      <c r="GN660" s="6"/>
      <c r="GO660" s="6"/>
      <c r="GP660" s="6"/>
      <c r="GQ660" s="6"/>
      <c r="GR660" s="6"/>
      <c r="GS660" s="6"/>
      <c r="GT660" s="6"/>
      <c r="GU660" s="6"/>
      <c r="GV660" s="6"/>
      <c r="GW660" s="6"/>
      <c r="GX660" s="6"/>
      <c r="GY660" s="6"/>
      <c r="GZ660" s="6"/>
      <c r="HA660" s="6"/>
      <c r="HB660" s="6"/>
      <c r="HC660" s="6"/>
      <c r="HD660" s="6"/>
      <c r="HE660" s="6"/>
      <c r="HF660" s="6"/>
      <c r="HG660" s="6"/>
      <c r="HH660" s="6"/>
    </row>
    <row r="661" spans="1:216" x14ac:dyDescent="0.3">
      <c r="A661" s="8"/>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c r="FZ661" s="6"/>
      <c r="GA661" s="6"/>
      <c r="GB661" s="6"/>
      <c r="GC661" s="6"/>
      <c r="GD661" s="6"/>
      <c r="GE661" s="6"/>
      <c r="GF661" s="6"/>
      <c r="GG661" s="6"/>
      <c r="GH661" s="6"/>
      <c r="GI661" s="6"/>
      <c r="GJ661" s="6"/>
      <c r="GK661" s="6"/>
      <c r="GL661" s="6"/>
      <c r="GM661" s="6"/>
      <c r="GN661" s="6"/>
      <c r="GO661" s="6"/>
      <c r="GP661" s="6"/>
      <c r="GQ661" s="6"/>
      <c r="GR661" s="6"/>
      <c r="GS661" s="6"/>
      <c r="GT661" s="6"/>
      <c r="GU661" s="6"/>
      <c r="GV661" s="6"/>
      <c r="GW661" s="6"/>
      <c r="GX661" s="6"/>
      <c r="GY661" s="6"/>
      <c r="GZ661" s="6"/>
      <c r="HA661" s="6"/>
      <c r="HB661" s="6"/>
      <c r="HC661" s="6"/>
      <c r="HD661" s="6"/>
      <c r="HE661" s="6"/>
      <c r="HF661" s="6"/>
      <c r="HG661" s="6"/>
      <c r="HH661" s="6"/>
    </row>
    <row r="662" spans="1:216" x14ac:dyDescent="0.3">
      <c r="A662" s="8"/>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c r="FZ662" s="6"/>
      <c r="GA662" s="6"/>
      <c r="GB662" s="6"/>
      <c r="GC662" s="6"/>
      <c r="GD662" s="6"/>
      <c r="GE662" s="6"/>
      <c r="GF662" s="6"/>
      <c r="GG662" s="6"/>
      <c r="GH662" s="6"/>
      <c r="GI662" s="6"/>
      <c r="GJ662" s="6"/>
      <c r="GK662" s="6"/>
      <c r="GL662" s="6"/>
      <c r="GM662" s="6"/>
      <c r="GN662" s="6"/>
      <c r="GO662" s="6"/>
      <c r="GP662" s="6"/>
      <c r="GQ662" s="6"/>
      <c r="GR662" s="6"/>
      <c r="GS662" s="6"/>
      <c r="GT662" s="6"/>
      <c r="GU662" s="6"/>
      <c r="GV662" s="6"/>
      <c r="GW662" s="6"/>
      <c r="GX662" s="6"/>
      <c r="GY662" s="6"/>
      <c r="GZ662" s="6"/>
      <c r="HA662" s="6"/>
      <c r="HB662" s="6"/>
      <c r="HC662" s="6"/>
      <c r="HD662" s="6"/>
      <c r="HE662" s="6"/>
      <c r="HF662" s="6"/>
      <c r="HG662" s="6"/>
      <c r="HH662" s="6"/>
    </row>
    <row r="663" spans="1:216" x14ac:dyDescent="0.3">
      <c r="A663" s="8"/>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c r="FZ663" s="6"/>
      <c r="GA663" s="6"/>
      <c r="GB663" s="6"/>
      <c r="GC663" s="6"/>
      <c r="GD663" s="6"/>
      <c r="GE663" s="6"/>
      <c r="GF663" s="6"/>
      <c r="GG663" s="6"/>
      <c r="GH663" s="6"/>
      <c r="GI663" s="6"/>
      <c r="GJ663" s="6"/>
      <c r="GK663" s="6"/>
      <c r="GL663" s="6"/>
      <c r="GM663" s="6"/>
      <c r="GN663" s="6"/>
      <c r="GO663" s="6"/>
      <c r="GP663" s="6"/>
      <c r="GQ663" s="6"/>
      <c r="GR663" s="6"/>
      <c r="GS663" s="6"/>
      <c r="GT663" s="6"/>
      <c r="GU663" s="6"/>
      <c r="GV663" s="6"/>
      <c r="GW663" s="6"/>
      <c r="GX663" s="6"/>
      <c r="GY663" s="6"/>
      <c r="GZ663" s="6"/>
      <c r="HA663" s="6"/>
      <c r="HB663" s="6"/>
      <c r="HC663" s="6"/>
      <c r="HD663" s="6"/>
      <c r="HE663" s="6"/>
      <c r="HF663" s="6"/>
      <c r="HG663" s="6"/>
      <c r="HH663" s="6"/>
    </row>
    <row r="664" spans="1:216" x14ac:dyDescent="0.3">
      <c r="A664" s="8"/>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c r="FZ664" s="6"/>
      <c r="GA664" s="6"/>
      <c r="GB664" s="6"/>
      <c r="GC664" s="6"/>
      <c r="GD664" s="6"/>
      <c r="GE664" s="6"/>
      <c r="GF664" s="6"/>
      <c r="GG664" s="6"/>
      <c r="GH664" s="6"/>
      <c r="GI664" s="6"/>
      <c r="GJ664" s="6"/>
      <c r="GK664" s="6"/>
      <c r="GL664" s="6"/>
      <c r="GM664" s="6"/>
      <c r="GN664" s="6"/>
      <c r="GO664" s="6"/>
      <c r="GP664" s="6"/>
      <c r="GQ664" s="6"/>
      <c r="GR664" s="6"/>
      <c r="GS664" s="6"/>
      <c r="GT664" s="6"/>
      <c r="GU664" s="6"/>
      <c r="GV664" s="6"/>
      <c r="GW664" s="6"/>
      <c r="GX664" s="6"/>
      <c r="GY664" s="6"/>
      <c r="GZ664" s="6"/>
      <c r="HA664" s="6"/>
      <c r="HB664" s="6"/>
      <c r="HC664" s="6"/>
      <c r="HD664" s="6"/>
      <c r="HE664" s="6"/>
      <c r="HF664" s="6"/>
      <c r="HG664" s="6"/>
      <c r="HH664" s="6"/>
    </row>
    <row r="665" spans="1:216" x14ac:dyDescent="0.3">
      <c r="A665" s="8"/>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c r="FZ665" s="6"/>
      <c r="GA665" s="6"/>
      <c r="GB665" s="6"/>
      <c r="GC665" s="6"/>
      <c r="GD665" s="6"/>
      <c r="GE665" s="6"/>
      <c r="GF665" s="6"/>
      <c r="GG665" s="6"/>
      <c r="GH665" s="6"/>
      <c r="GI665" s="6"/>
      <c r="GJ665" s="6"/>
      <c r="GK665" s="6"/>
      <c r="GL665" s="6"/>
      <c r="GM665" s="6"/>
      <c r="GN665" s="6"/>
      <c r="GO665" s="6"/>
      <c r="GP665" s="6"/>
      <c r="GQ665" s="6"/>
      <c r="GR665" s="6"/>
      <c r="GS665" s="6"/>
      <c r="GT665" s="6"/>
      <c r="GU665" s="6"/>
      <c r="GV665" s="6"/>
      <c r="GW665" s="6"/>
      <c r="GX665" s="6"/>
      <c r="GY665" s="6"/>
      <c r="GZ665" s="6"/>
      <c r="HA665" s="6"/>
      <c r="HB665" s="6"/>
      <c r="HC665" s="6"/>
      <c r="HD665" s="6"/>
      <c r="HE665" s="6"/>
      <c r="HF665" s="6"/>
      <c r="HG665" s="6"/>
      <c r="HH665" s="6"/>
    </row>
    <row r="666" spans="1:216" x14ac:dyDescent="0.3">
      <c r="A666" s="8"/>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c r="FZ666" s="6"/>
      <c r="GA666" s="6"/>
      <c r="GB666" s="6"/>
      <c r="GC666" s="6"/>
      <c r="GD666" s="6"/>
      <c r="GE666" s="6"/>
      <c r="GF666" s="6"/>
      <c r="GG666" s="6"/>
      <c r="GH666" s="6"/>
      <c r="GI666" s="6"/>
      <c r="GJ666" s="6"/>
      <c r="GK666" s="6"/>
      <c r="GL666" s="6"/>
      <c r="GM666" s="6"/>
      <c r="GN666" s="6"/>
      <c r="GO666" s="6"/>
      <c r="GP666" s="6"/>
      <c r="GQ666" s="6"/>
      <c r="GR666" s="6"/>
      <c r="GS666" s="6"/>
      <c r="GT666" s="6"/>
      <c r="GU666" s="6"/>
      <c r="GV666" s="6"/>
      <c r="GW666" s="6"/>
      <c r="GX666" s="6"/>
      <c r="GY666" s="6"/>
      <c r="GZ666" s="6"/>
      <c r="HA666" s="6"/>
      <c r="HB666" s="6"/>
      <c r="HC666" s="6"/>
      <c r="HD666" s="6"/>
      <c r="HE666" s="6"/>
      <c r="HF666" s="6"/>
      <c r="HG666" s="6"/>
      <c r="HH666" s="6"/>
    </row>
    <row r="667" spans="1:216" x14ac:dyDescent="0.3">
      <c r="A667" s="8"/>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c r="FZ667" s="6"/>
      <c r="GA667" s="6"/>
      <c r="GB667" s="6"/>
      <c r="GC667" s="6"/>
      <c r="GD667" s="6"/>
      <c r="GE667" s="6"/>
      <c r="GF667" s="6"/>
      <c r="GG667" s="6"/>
      <c r="GH667" s="6"/>
      <c r="GI667" s="6"/>
      <c r="GJ667" s="6"/>
      <c r="GK667" s="6"/>
      <c r="GL667" s="6"/>
      <c r="GM667" s="6"/>
      <c r="GN667" s="6"/>
      <c r="GO667" s="6"/>
      <c r="GP667" s="6"/>
      <c r="GQ667" s="6"/>
      <c r="GR667" s="6"/>
      <c r="GS667" s="6"/>
      <c r="GT667" s="6"/>
      <c r="GU667" s="6"/>
      <c r="GV667" s="6"/>
      <c r="GW667" s="6"/>
      <c r="GX667" s="6"/>
      <c r="GY667" s="6"/>
      <c r="GZ667" s="6"/>
      <c r="HA667" s="6"/>
      <c r="HB667" s="6"/>
      <c r="HC667" s="6"/>
      <c r="HD667" s="6"/>
      <c r="HE667" s="6"/>
      <c r="HF667" s="6"/>
      <c r="HG667" s="6"/>
      <c r="HH667" s="6"/>
    </row>
    <row r="668" spans="1:216" x14ac:dyDescent="0.3">
      <c r="A668" s="8"/>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c r="FZ668" s="6"/>
      <c r="GA668" s="6"/>
      <c r="GB668" s="6"/>
      <c r="GC668" s="6"/>
      <c r="GD668" s="6"/>
      <c r="GE668" s="6"/>
      <c r="GF668" s="6"/>
      <c r="GG668" s="6"/>
      <c r="GH668" s="6"/>
      <c r="GI668" s="6"/>
      <c r="GJ668" s="6"/>
      <c r="GK668" s="6"/>
      <c r="GL668" s="6"/>
      <c r="GM668" s="6"/>
      <c r="GN668" s="6"/>
      <c r="GO668" s="6"/>
      <c r="GP668" s="6"/>
      <c r="GQ668" s="6"/>
      <c r="GR668" s="6"/>
      <c r="GS668" s="6"/>
      <c r="GT668" s="6"/>
      <c r="GU668" s="6"/>
      <c r="GV668" s="6"/>
      <c r="GW668" s="6"/>
      <c r="GX668" s="6"/>
      <c r="GY668" s="6"/>
      <c r="GZ668" s="6"/>
      <c r="HA668" s="6"/>
      <c r="HB668" s="6"/>
      <c r="HC668" s="6"/>
      <c r="HD668" s="6"/>
      <c r="HE668" s="6"/>
      <c r="HF668" s="6"/>
      <c r="HG668" s="6"/>
      <c r="HH668" s="6"/>
    </row>
    <row r="669" spans="1:216" x14ac:dyDescent="0.3">
      <c r="A669" s="8"/>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c r="FZ669" s="6"/>
      <c r="GA669" s="6"/>
      <c r="GB669" s="6"/>
      <c r="GC669" s="6"/>
      <c r="GD669" s="6"/>
      <c r="GE669" s="6"/>
      <c r="GF669" s="6"/>
      <c r="GG669" s="6"/>
      <c r="GH669" s="6"/>
      <c r="GI669" s="6"/>
      <c r="GJ669" s="6"/>
      <c r="GK669" s="6"/>
      <c r="GL669" s="6"/>
      <c r="GM669" s="6"/>
      <c r="GN669" s="6"/>
      <c r="GO669" s="6"/>
      <c r="GP669" s="6"/>
      <c r="GQ669" s="6"/>
      <c r="GR669" s="6"/>
      <c r="GS669" s="6"/>
      <c r="GT669" s="6"/>
      <c r="GU669" s="6"/>
      <c r="GV669" s="6"/>
      <c r="GW669" s="6"/>
      <c r="GX669" s="6"/>
      <c r="GY669" s="6"/>
      <c r="GZ669" s="6"/>
      <c r="HA669" s="6"/>
      <c r="HB669" s="6"/>
      <c r="HC669" s="6"/>
      <c r="HD669" s="6"/>
      <c r="HE669" s="6"/>
      <c r="HF669" s="6"/>
      <c r="HG669" s="6"/>
      <c r="HH669" s="6"/>
    </row>
    <row r="670" spans="1:216" x14ac:dyDescent="0.3">
      <c r="A670" s="8"/>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c r="FZ670" s="6"/>
      <c r="GA670" s="6"/>
      <c r="GB670" s="6"/>
      <c r="GC670" s="6"/>
      <c r="GD670" s="6"/>
      <c r="GE670" s="6"/>
      <c r="GF670" s="6"/>
      <c r="GG670" s="6"/>
      <c r="GH670" s="6"/>
      <c r="GI670" s="6"/>
      <c r="GJ670" s="6"/>
      <c r="GK670" s="6"/>
      <c r="GL670" s="6"/>
      <c r="GM670" s="6"/>
      <c r="GN670" s="6"/>
      <c r="GO670" s="6"/>
      <c r="GP670" s="6"/>
      <c r="GQ670" s="6"/>
      <c r="GR670" s="6"/>
      <c r="GS670" s="6"/>
      <c r="GT670" s="6"/>
      <c r="GU670" s="6"/>
      <c r="GV670" s="6"/>
      <c r="GW670" s="6"/>
      <c r="GX670" s="6"/>
      <c r="GY670" s="6"/>
      <c r="GZ670" s="6"/>
      <c r="HA670" s="6"/>
      <c r="HB670" s="6"/>
      <c r="HC670" s="6"/>
      <c r="HD670" s="6"/>
      <c r="HE670" s="6"/>
      <c r="HF670" s="6"/>
      <c r="HG670" s="6"/>
      <c r="HH670" s="6"/>
    </row>
    <row r="671" spans="1:216" x14ac:dyDescent="0.3">
      <c r="A671" s="8"/>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c r="FZ671" s="6"/>
      <c r="GA671" s="6"/>
      <c r="GB671" s="6"/>
      <c r="GC671" s="6"/>
      <c r="GD671" s="6"/>
      <c r="GE671" s="6"/>
      <c r="GF671" s="6"/>
      <c r="GG671" s="6"/>
      <c r="GH671" s="6"/>
      <c r="GI671" s="6"/>
      <c r="GJ671" s="6"/>
      <c r="GK671" s="6"/>
      <c r="GL671" s="6"/>
      <c r="GM671" s="6"/>
      <c r="GN671" s="6"/>
      <c r="GO671" s="6"/>
      <c r="GP671" s="6"/>
      <c r="GQ671" s="6"/>
      <c r="GR671" s="6"/>
      <c r="GS671" s="6"/>
      <c r="GT671" s="6"/>
      <c r="GU671" s="6"/>
      <c r="GV671" s="6"/>
      <c r="GW671" s="6"/>
      <c r="GX671" s="6"/>
      <c r="GY671" s="6"/>
      <c r="GZ671" s="6"/>
      <c r="HA671" s="6"/>
      <c r="HB671" s="6"/>
      <c r="HC671" s="6"/>
      <c r="HD671" s="6"/>
      <c r="HE671" s="6"/>
      <c r="HF671" s="6"/>
      <c r="HG671" s="6"/>
      <c r="HH671" s="6"/>
    </row>
    <row r="672" spans="1:216" x14ac:dyDescent="0.3">
      <c r="A672" s="8"/>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c r="FZ672" s="6"/>
      <c r="GA672" s="6"/>
      <c r="GB672" s="6"/>
      <c r="GC672" s="6"/>
      <c r="GD672" s="6"/>
      <c r="GE672" s="6"/>
      <c r="GF672" s="6"/>
      <c r="GG672" s="6"/>
      <c r="GH672" s="6"/>
      <c r="GI672" s="6"/>
      <c r="GJ672" s="6"/>
      <c r="GK672" s="6"/>
      <c r="GL672" s="6"/>
      <c r="GM672" s="6"/>
      <c r="GN672" s="6"/>
      <c r="GO672" s="6"/>
      <c r="GP672" s="6"/>
      <c r="GQ672" s="6"/>
      <c r="GR672" s="6"/>
      <c r="GS672" s="6"/>
      <c r="GT672" s="6"/>
      <c r="GU672" s="6"/>
      <c r="GV672" s="6"/>
      <c r="GW672" s="6"/>
      <c r="GX672" s="6"/>
      <c r="GY672" s="6"/>
      <c r="GZ672" s="6"/>
      <c r="HA672" s="6"/>
      <c r="HB672" s="6"/>
      <c r="HC672" s="6"/>
      <c r="HD672" s="6"/>
      <c r="HE672" s="6"/>
      <c r="HF672" s="6"/>
      <c r="HG672" s="6"/>
      <c r="HH672" s="6"/>
    </row>
    <row r="673" spans="1:216" x14ac:dyDescent="0.3">
      <c r="A673" s="8"/>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c r="FZ673" s="6"/>
      <c r="GA673" s="6"/>
      <c r="GB673" s="6"/>
      <c r="GC673" s="6"/>
      <c r="GD673" s="6"/>
      <c r="GE673" s="6"/>
      <c r="GF673" s="6"/>
      <c r="GG673" s="6"/>
      <c r="GH673" s="6"/>
      <c r="GI673" s="6"/>
      <c r="GJ673" s="6"/>
      <c r="GK673" s="6"/>
      <c r="GL673" s="6"/>
      <c r="GM673" s="6"/>
      <c r="GN673" s="6"/>
      <c r="GO673" s="6"/>
      <c r="GP673" s="6"/>
      <c r="GQ673" s="6"/>
      <c r="GR673" s="6"/>
      <c r="GS673" s="6"/>
      <c r="GT673" s="6"/>
      <c r="GU673" s="6"/>
      <c r="GV673" s="6"/>
      <c r="GW673" s="6"/>
      <c r="GX673" s="6"/>
      <c r="GY673" s="6"/>
      <c r="GZ673" s="6"/>
      <c r="HA673" s="6"/>
      <c r="HB673" s="6"/>
      <c r="HC673" s="6"/>
      <c r="HD673" s="6"/>
      <c r="HE673" s="6"/>
      <c r="HF673" s="6"/>
      <c r="HG673" s="6"/>
      <c r="HH673" s="6"/>
    </row>
    <row r="674" spans="1:216" x14ac:dyDescent="0.3">
      <c r="A674" s="8"/>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c r="FZ674" s="6"/>
      <c r="GA674" s="6"/>
      <c r="GB674" s="6"/>
      <c r="GC674" s="6"/>
      <c r="GD674" s="6"/>
      <c r="GE674" s="6"/>
      <c r="GF674" s="6"/>
      <c r="GG674" s="6"/>
      <c r="GH674" s="6"/>
      <c r="GI674" s="6"/>
      <c r="GJ674" s="6"/>
      <c r="GK674" s="6"/>
      <c r="GL674" s="6"/>
      <c r="GM674" s="6"/>
      <c r="GN674" s="6"/>
      <c r="GO674" s="6"/>
      <c r="GP674" s="6"/>
      <c r="GQ674" s="6"/>
      <c r="GR674" s="6"/>
      <c r="GS674" s="6"/>
      <c r="GT674" s="6"/>
      <c r="GU674" s="6"/>
      <c r="GV674" s="6"/>
      <c r="GW674" s="6"/>
      <c r="GX674" s="6"/>
      <c r="GY674" s="6"/>
      <c r="GZ674" s="6"/>
      <c r="HA674" s="6"/>
      <c r="HB674" s="6"/>
      <c r="HC674" s="6"/>
      <c r="HD674" s="6"/>
      <c r="HE674" s="6"/>
      <c r="HF674" s="6"/>
      <c r="HG674" s="6"/>
      <c r="HH674" s="6"/>
    </row>
    <row r="675" spans="1:216" x14ac:dyDescent="0.3">
      <c r="A675" s="8"/>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c r="FZ675" s="6"/>
      <c r="GA675" s="6"/>
      <c r="GB675" s="6"/>
      <c r="GC675" s="6"/>
      <c r="GD675" s="6"/>
      <c r="GE675" s="6"/>
      <c r="GF675" s="6"/>
      <c r="GG675" s="6"/>
      <c r="GH675" s="6"/>
      <c r="GI675" s="6"/>
      <c r="GJ675" s="6"/>
      <c r="GK675" s="6"/>
      <c r="GL675" s="6"/>
      <c r="GM675" s="6"/>
      <c r="GN675" s="6"/>
      <c r="GO675" s="6"/>
      <c r="GP675" s="6"/>
      <c r="GQ675" s="6"/>
      <c r="GR675" s="6"/>
      <c r="GS675" s="6"/>
      <c r="GT675" s="6"/>
      <c r="GU675" s="6"/>
      <c r="GV675" s="6"/>
      <c r="GW675" s="6"/>
      <c r="GX675" s="6"/>
      <c r="GY675" s="6"/>
      <c r="GZ675" s="6"/>
      <c r="HA675" s="6"/>
      <c r="HB675" s="6"/>
      <c r="HC675" s="6"/>
      <c r="HD675" s="6"/>
      <c r="HE675" s="6"/>
      <c r="HF675" s="6"/>
      <c r="HG675" s="6"/>
      <c r="HH675" s="6"/>
    </row>
    <row r="676" spans="1:216" x14ac:dyDescent="0.3">
      <c r="A676" s="8"/>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c r="FZ676" s="6"/>
      <c r="GA676" s="6"/>
      <c r="GB676" s="6"/>
      <c r="GC676" s="6"/>
      <c r="GD676" s="6"/>
      <c r="GE676" s="6"/>
      <c r="GF676" s="6"/>
      <c r="GG676" s="6"/>
      <c r="GH676" s="6"/>
      <c r="GI676" s="6"/>
      <c r="GJ676" s="6"/>
      <c r="GK676" s="6"/>
      <c r="GL676" s="6"/>
      <c r="GM676" s="6"/>
      <c r="GN676" s="6"/>
      <c r="GO676" s="6"/>
      <c r="GP676" s="6"/>
      <c r="GQ676" s="6"/>
      <c r="GR676" s="6"/>
      <c r="GS676" s="6"/>
      <c r="GT676" s="6"/>
      <c r="GU676" s="6"/>
      <c r="GV676" s="6"/>
      <c r="GW676" s="6"/>
      <c r="GX676" s="6"/>
      <c r="GY676" s="6"/>
      <c r="GZ676" s="6"/>
      <c r="HA676" s="6"/>
      <c r="HB676" s="6"/>
      <c r="HC676" s="6"/>
      <c r="HD676" s="6"/>
      <c r="HE676" s="6"/>
      <c r="HF676" s="6"/>
      <c r="HG676" s="6"/>
      <c r="HH676" s="6"/>
    </row>
    <row r="677" spans="1:216" x14ac:dyDescent="0.3">
      <c r="A677" s="8"/>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c r="FZ677" s="6"/>
      <c r="GA677" s="6"/>
      <c r="GB677" s="6"/>
      <c r="GC677" s="6"/>
      <c r="GD677" s="6"/>
      <c r="GE677" s="6"/>
      <c r="GF677" s="6"/>
      <c r="GG677" s="6"/>
      <c r="GH677" s="6"/>
      <c r="GI677" s="6"/>
      <c r="GJ677" s="6"/>
      <c r="GK677" s="6"/>
      <c r="GL677" s="6"/>
      <c r="GM677" s="6"/>
      <c r="GN677" s="6"/>
      <c r="GO677" s="6"/>
      <c r="GP677" s="6"/>
      <c r="GQ677" s="6"/>
      <c r="GR677" s="6"/>
      <c r="GS677" s="6"/>
      <c r="GT677" s="6"/>
      <c r="GU677" s="6"/>
      <c r="GV677" s="6"/>
      <c r="GW677" s="6"/>
      <c r="GX677" s="6"/>
      <c r="GY677" s="6"/>
      <c r="GZ677" s="6"/>
      <c r="HA677" s="6"/>
      <c r="HB677" s="6"/>
      <c r="HC677" s="6"/>
      <c r="HD677" s="6"/>
      <c r="HE677" s="6"/>
      <c r="HF677" s="6"/>
      <c r="HG677" s="6"/>
      <c r="HH677" s="6"/>
    </row>
    <row r="678" spans="1:216" x14ac:dyDescent="0.3">
      <c r="A678" s="8"/>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c r="FZ678" s="6"/>
      <c r="GA678" s="6"/>
      <c r="GB678" s="6"/>
      <c r="GC678" s="6"/>
      <c r="GD678" s="6"/>
      <c r="GE678" s="6"/>
      <c r="GF678" s="6"/>
      <c r="GG678" s="6"/>
      <c r="GH678" s="6"/>
      <c r="GI678" s="6"/>
      <c r="GJ678" s="6"/>
      <c r="GK678" s="6"/>
      <c r="GL678" s="6"/>
      <c r="GM678" s="6"/>
      <c r="GN678" s="6"/>
      <c r="GO678" s="6"/>
      <c r="GP678" s="6"/>
      <c r="GQ678" s="6"/>
      <c r="GR678" s="6"/>
      <c r="GS678" s="6"/>
      <c r="GT678" s="6"/>
      <c r="GU678" s="6"/>
      <c r="GV678" s="6"/>
      <c r="GW678" s="6"/>
      <c r="GX678" s="6"/>
      <c r="GY678" s="6"/>
      <c r="GZ678" s="6"/>
      <c r="HA678" s="6"/>
      <c r="HB678" s="6"/>
      <c r="HC678" s="6"/>
      <c r="HD678" s="6"/>
      <c r="HE678" s="6"/>
      <c r="HF678" s="6"/>
      <c r="HG678" s="6"/>
      <c r="HH678" s="6"/>
    </row>
    <row r="679" spans="1:216" x14ac:dyDescent="0.3">
      <c r="A679" s="8"/>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c r="FZ679" s="6"/>
      <c r="GA679" s="6"/>
      <c r="GB679" s="6"/>
      <c r="GC679" s="6"/>
      <c r="GD679" s="6"/>
      <c r="GE679" s="6"/>
      <c r="GF679" s="6"/>
      <c r="GG679" s="6"/>
      <c r="GH679" s="6"/>
      <c r="GI679" s="6"/>
      <c r="GJ679" s="6"/>
      <c r="GK679" s="6"/>
      <c r="GL679" s="6"/>
      <c r="GM679" s="6"/>
      <c r="GN679" s="6"/>
      <c r="GO679" s="6"/>
      <c r="GP679" s="6"/>
      <c r="GQ679" s="6"/>
      <c r="GR679" s="6"/>
      <c r="GS679" s="6"/>
      <c r="GT679" s="6"/>
      <c r="GU679" s="6"/>
      <c r="GV679" s="6"/>
      <c r="GW679" s="6"/>
      <c r="GX679" s="6"/>
      <c r="GY679" s="6"/>
      <c r="GZ679" s="6"/>
      <c r="HA679" s="6"/>
      <c r="HB679" s="6"/>
      <c r="HC679" s="6"/>
      <c r="HD679" s="6"/>
      <c r="HE679" s="6"/>
      <c r="HF679" s="6"/>
      <c r="HG679" s="6"/>
      <c r="HH679" s="6"/>
    </row>
    <row r="680" spans="1:216" x14ac:dyDescent="0.3">
      <c r="A680" s="8"/>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c r="FZ680" s="6"/>
      <c r="GA680" s="6"/>
      <c r="GB680" s="6"/>
      <c r="GC680" s="6"/>
      <c r="GD680" s="6"/>
      <c r="GE680" s="6"/>
      <c r="GF680" s="6"/>
      <c r="GG680" s="6"/>
      <c r="GH680" s="6"/>
      <c r="GI680" s="6"/>
      <c r="GJ680" s="6"/>
      <c r="GK680" s="6"/>
      <c r="GL680" s="6"/>
      <c r="GM680" s="6"/>
      <c r="GN680" s="6"/>
      <c r="GO680" s="6"/>
      <c r="GP680" s="6"/>
      <c r="GQ680" s="6"/>
      <c r="GR680" s="6"/>
      <c r="GS680" s="6"/>
      <c r="GT680" s="6"/>
      <c r="GU680" s="6"/>
      <c r="GV680" s="6"/>
      <c r="GW680" s="6"/>
      <c r="GX680" s="6"/>
      <c r="GY680" s="6"/>
      <c r="GZ680" s="6"/>
      <c r="HA680" s="6"/>
      <c r="HB680" s="6"/>
      <c r="HC680" s="6"/>
      <c r="HD680" s="6"/>
      <c r="HE680" s="6"/>
      <c r="HF680" s="6"/>
      <c r="HG680" s="6"/>
      <c r="HH680" s="6"/>
    </row>
    <row r="681" spans="1:216" x14ac:dyDescent="0.3">
      <c r="A681" s="8"/>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c r="FZ681" s="6"/>
      <c r="GA681" s="6"/>
      <c r="GB681" s="6"/>
      <c r="GC681" s="6"/>
      <c r="GD681" s="6"/>
      <c r="GE681" s="6"/>
      <c r="GF681" s="6"/>
      <c r="GG681" s="6"/>
      <c r="GH681" s="6"/>
      <c r="GI681" s="6"/>
      <c r="GJ681" s="6"/>
      <c r="GK681" s="6"/>
      <c r="GL681" s="6"/>
      <c r="GM681" s="6"/>
      <c r="GN681" s="6"/>
      <c r="GO681" s="6"/>
      <c r="GP681" s="6"/>
      <c r="GQ681" s="6"/>
      <c r="GR681" s="6"/>
      <c r="GS681" s="6"/>
      <c r="GT681" s="6"/>
      <c r="GU681" s="6"/>
      <c r="GV681" s="6"/>
      <c r="GW681" s="6"/>
      <c r="GX681" s="6"/>
      <c r="GY681" s="6"/>
      <c r="GZ681" s="6"/>
      <c r="HA681" s="6"/>
      <c r="HB681" s="6"/>
      <c r="HC681" s="6"/>
      <c r="HD681" s="6"/>
      <c r="HE681" s="6"/>
      <c r="HF681" s="6"/>
      <c r="HG681" s="6"/>
      <c r="HH681" s="6"/>
    </row>
    <row r="682" spans="1:216" x14ac:dyDescent="0.3">
      <c r="A682" s="8"/>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c r="FZ682" s="6"/>
      <c r="GA682" s="6"/>
      <c r="GB682" s="6"/>
      <c r="GC682" s="6"/>
      <c r="GD682" s="6"/>
      <c r="GE682" s="6"/>
      <c r="GF682" s="6"/>
      <c r="GG682" s="6"/>
      <c r="GH682" s="6"/>
      <c r="GI682" s="6"/>
      <c r="GJ682" s="6"/>
      <c r="GK682" s="6"/>
      <c r="GL682" s="6"/>
      <c r="GM682" s="6"/>
      <c r="GN682" s="6"/>
      <c r="GO682" s="6"/>
      <c r="GP682" s="6"/>
      <c r="GQ682" s="6"/>
      <c r="GR682" s="6"/>
      <c r="GS682" s="6"/>
      <c r="GT682" s="6"/>
      <c r="GU682" s="6"/>
      <c r="GV682" s="6"/>
      <c r="GW682" s="6"/>
      <c r="GX682" s="6"/>
      <c r="GY682" s="6"/>
      <c r="GZ682" s="6"/>
      <c r="HA682" s="6"/>
      <c r="HB682" s="6"/>
      <c r="HC682" s="6"/>
      <c r="HD682" s="6"/>
      <c r="HE682" s="6"/>
      <c r="HF682" s="6"/>
      <c r="HG682" s="6"/>
      <c r="HH682" s="6"/>
    </row>
    <row r="683" spans="1:216" x14ac:dyDescent="0.3">
      <c r="A683" s="8"/>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c r="FZ683" s="6"/>
      <c r="GA683" s="6"/>
      <c r="GB683" s="6"/>
      <c r="GC683" s="6"/>
      <c r="GD683" s="6"/>
      <c r="GE683" s="6"/>
      <c r="GF683" s="6"/>
      <c r="GG683" s="6"/>
      <c r="GH683" s="6"/>
      <c r="GI683" s="6"/>
      <c r="GJ683" s="6"/>
      <c r="GK683" s="6"/>
      <c r="GL683" s="6"/>
      <c r="GM683" s="6"/>
      <c r="GN683" s="6"/>
      <c r="GO683" s="6"/>
      <c r="GP683" s="6"/>
      <c r="GQ683" s="6"/>
      <c r="GR683" s="6"/>
      <c r="GS683" s="6"/>
      <c r="GT683" s="6"/>
      <c r="GU683" s="6"/>
      <c r="GV683" s="6"/>
      <c r="GW683" s="6"/>
      <c r="GX683" s="6"/>
      <c r="GY683" s="6"/>
      <c r="GZ683" s="6"/>
      <c r="HA683" s="6"/>
      <c r="HB683" s="6"/>
      <c r="HC683" s="6"/>
      <c r="HD683" s="6"/>
      <c r="HE683" s="6"/>
      <c r="HF683" s="6"/>
      <c r="HG683" s="6"/>
      <c r="HH683" s="6"/>
    </row>
    <row r="684" spans="1:216" x14ac:dyDescent="0.3">
      <c r="A684" s="8"/>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c r="FZ684" s="6"/>
      <c r="GA684" s="6"/>
      <c r="GB684" s="6"/>
      <c r="GC684" s="6"/>
      <c r="GD684" s="6"/>
      <c r="GE684" s="6"/>
      <c r="GF684" s="6"/>
      <c r="GG684" s="6"/>
      <c r="GH684" s="6"/>
      <c r="GI684" s="6"/>
      <c r="GJ684" s="6"/>
      <c r="GK684" s="6"/>
      <c r="GL684" s="6"/>
      <c r="GM684" s="6"/>
      <c r="GN684" s="6"/>
      <c r="GO684" s="6"/>
      <c r="GP684" s="6"/>
      <c r="GQ684" s="6"/>
      <c r="GR684" s="6"/>
      <c r="GS684" s="6"/>
      <c r="GT684" s="6"/>
      <c r="GU684" s="6"/>
      <c r="GV684" s="6"/>
      <c r="GW684" s="6"/>
      <c r="GX684" s="6"/>
      <c r="GY684" s="6"/>
      <c r="GZ684" s="6"/>
      <c r="HA684" s="6"/>
      <c r="HB684" s="6"/>
      <c r="HC684" s="6"/>
      <c r="HD684" s="6"/>
      <c r="HE684" s="6"/>
      <c r="HF684" s="6"/>
      <c r="HG684" s="6"/>
      <c r="HH684" s="6"/>
    </row>
    <row r="685" spans="1:216" x14ac:dyDescent="0.3">
      <c r="A685" s="8"/>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c r="FZ685" s="6"/>
      <c r="GA685" s="6"/>
      <c r="GB685" s="6"/>
      <c r="GC685" s="6"/>
      <c r="GD685" s="6"/>
      <c r="GE685" s="6"/>
      <c r="GF685" s="6"/>
      <c r="GG685" s="6"/>
      <c r="GH685" s="6"/>
      <c r="GI685" s="6"/>
      <c r="GJ685" s="6"/>
      <c r="GK685" s="6"/>
      <c r="GL685" s="6"/>
      <c r="GM685" s="6"/>
      <c r="GN685" s="6"/>
      <c r="GO685" s="6"/>
      <c r="GP685" s="6"/>
      <c r="GQ685" s="6"/>
      <c r="GR685" s="6"/>
      <c r="GS685" s="6"/>
      <c r="GT685" s="6"/>
      <c r="GU685" s="6"/>
      <c r="GV685" s="6"/>
      <c r="GW685" s="6"/>
      <c r="GX685" s="6"/>
      <c r="GY685" s="6"/>
      <c r="GZ685" s="6"/>
      <c r="HA685" s="6"/>
      <c r="HB685" s="6"/>
      <c r="HC685" s="6"/>
      <c r="HD685" s="6"/>
      <c r="HE685" s="6"/>
      <c r="HF685" s="6"/>
      <c r="HG685" s="6"/>
      <c r="HH685" s="6"/>
    </row>
    <row r="686" spans="1:216" x14ac:dyDescent="0.3">
      <c r="A686" s="8"/>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c r="FZ686" s="6"/>
      <c r="GA686" s="6"/>
      <c r="GB686" s="6"/>
      <c r="GC686" s="6"/>
      <c r="GD686" s="6"/>
      <c r="GE686" s="6"/>
      <c r="GF686" s="6"/>
      <c r="GG686" s="6"/>
      <c r="GH686" s="6"/>
      <c r="GI686" s="6"/>
      <c r="GJ686" s="6"/>
      <c r="GK686" s="6"/>
      <c r="GL686" s="6"/>
      <c r="GM686" s="6"/>
      <c r="GN686" s="6"/>
      <c r="GO686" s="6"/>
      <c r="GP686" s="6"/>
      <c r="GQ686" s="6"/>
      <c r="GR686" s="6"/>
      <c r="GS686" s="6"/>
      <c r="GT686" s="6"/>
      <c r="GU686" s="6"/>
      <c r="GV686" s="6"/>
      <c r="GW686" s="6"/>
      <c r="GX686" s="6"/>
      <c r="GY686" s="6"/>
      <c r="GZ686" s="6"/>
      <c r="HA686" s="6"/>
      <c r="HB686" s="6"/>
      <c r="HC686" s="6"/>
      <c r="HD686" s="6"/>
      <c r="HE686" s="6"/>
      <c r="HF686" s="6"/>
      <c r="HG686" s="6"/>
      <c r="HH686" s="6"/>
    </row>
    <row r="687" spans="1:216" x14ac:dyDescent="0.3">
      <c r="A687" s="8"/>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c r="FZ687" s="6"/>
      <c r="GA687" s="6"/>
      <c r="GB687" s="6"/>
      <c r="GC687" s="6"/>
      <c r="GD687" s="6"/>
      <c r="GE687" s="6"/>
      <c r="GF687" s="6"/>
      <c r="GG687" s="6"/>
      <c r="GH687" s="6"/>
      <c r="GI687" s="6"/>
      <c r="GJ687" s="6"/>
      <c r="GK687" s="6"/>
      <c r="GL687" s="6"/>
      <c r="GM687" s="6"/>
      <c r="GN687" s="6"/>
      <c r="GO687" s="6"/>
      <c r="GP687" s="6"/>
      <c r="GQ687" s="6"/>
      <c r="GR687" s="6"/>
      <c r="GS687" s="6"/>
      <c r="GT687" s="6"/>
      <c r="GU687" s="6"/>
      <c r="GV687" s="6"/>
      <c r="GW687" s="6"/>
      <c r="GX687" s="6"/>
      <c r="GY687" s="6"/>
      <c r="GZ687" s="6"/>
      <c r="HA687" s="6"/>
      <c r="HB687" s="6"/>
      <c r="HC687" s="6"/>
      <c r="HD687" s="6"/>
      <c r="HE687" s="6"/>
      <c r="HF687" s="6"/>
      <c r="HG687" s="6"/>
      <c r="HH687" s="6"/>
    </row>
    <row r="688" spans="1:216" x14ac:dyDescent="0.3">
      <c r="A688" s="8"/>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c r="FZ688" s="6"/>
      <c r="GA688" s="6"/>
      <c r="GB688" s="6"/>
      <c r="GC688" s="6"/>
      <c r="GD688" s="6"/>
      <c r="GE688" s="6"/>
      <c r="GF688" s="6"/>
      <c r="GG688" s="6"/>
      <c r="GH688" s="6"/>
      <c r="GI688" s="6"/>
      <c r="GJ688" s="6"/>
      <c r="GK688" s="6"/>
      <c r="GL688" s="6"/>
      <c r="GM688" s="6"/>
      <c r="GN688" s="6"/>
      <c r="GO688" s="6"/>
      <c r="GP688" s="6"/>
      <c r="GQ688" s="6"/>
      <c r="GR688" s="6"/>
      <c r="GS688" s="6"/>
      <c r="GT688" s="6"/>
      <c r="GU688" s="6"/>
      <c r="GV688" s="6"/>
      <c r="GW688" s="6"/>
      <c r="GX688" s="6"/>
      <c r="GY688" s="6"/>
      <c r="GZ688" s="6"/>
      <c r="HA688" s="6"/>
      <c r="HB688" s="6"/>
      <c r="HC688" s="6"/>
      <c r="HD688" s="6"/>
      <c r="HE688" s="6"/>
      <c r="HF688" s="6"/>
      <c r="HG688" s="6"/>
      <c r="HH688" s="6"/>
    </row>
    <row r="689" spans="1:216" x14ac:dyDescent="0.3">
      <c r="A689" s="8"/>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c r="FZ689" s="6"/>
      <c r="GA689" s="6"/>
      <c r="GB689" s="6"/>
      <c r="GC689" s="6"/>
      <c r="GD689" s="6"/>
      <c r="GE689" s="6"/>
      <c r="GF689" s="6"/>
      <c r="GG689" s="6"/>
      <c r="GH689" s="6"/>
      <c r="GI689" s="6"/>
      <c r="GJ689" s="6"/>
      <c r="GK689" s="6"/>
      <c r="GL689" s="6"/>
      <c r="GM689" s="6"/>
      <c r="GN689" s="6"/>
      <c r="GO689" s="6"/>
      <c r="GP689" s="6"/>
      <c r="GQ689" s="6"/>
      <c r="GR689" s="6"/>
      <c r="GS689" s="6"/>
      <c r="GT689" s="6"/>
      <c r="GU689" s="6"/>
      <c r="GV689" s="6"/>
      <c r="GW689" s="6"/>
      <c r="GX689" s="6"/>
      <c r="GY689" s="6"/>
      <c r="GZ689" s="6"/>
      <c r="HA689" s="6"/>
      <c r="HB689" s="6"/>
      <c r="HC689" s="6"/>
      <c r="HD689" s="6"/>
      <c r="HE689" s="6"/>
      <c r="HF689" s="6"/>
      <c r="HG689" s="6"/>
      <c r="HH689" s="6"/>
    </row>
    <row r="690" spans="1:216" x14ac:dyDescent="0.3">
      <c r="A690" s="8"/>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c r="FZ690" s="6"/>
      <c r="GA690" s="6"/>
      <c r="GB690" s="6"/>
      <c r="GC690" s="6"/>
      <c r="GD690" s="6"/>
      <c r="GE690" s="6"/>
      <c r="GF690" s="6"/>
      <c r="GG690" s="6"/>
      <c r="GH690" s="6"/>
      <c r="GI690" s="6"/>
      <c r="GJ690" s="6"/>
      <c r="GK690" s="6"/>
      <c r="GL690" s="6"/>
      <c r="GM690" s="6"/>
      <c r="GN690" s="6"/>
      <c r="GO690" s="6"/>
      <c r="GP690" s="6"/>
      <c r="GQ690" s="6"/>
      <c r="GR690" s="6"/>
      <c r="GS690" s="6"/>
      <c r="GT690" s="6"/>
      <c r="GU690" s="6"/>
      <c r="GV690" s="6"/>
      <c r="GW690" s="6"/>
      <c r="GX690" s="6"/>
      <c r="GY690" s="6"/>
      <c r="GZ690" s="6"/>
      <c r="HA690" s="6"/>
      <c r="HB690" s="6"/>
      <c r="HC690" s="6"/>
      <c r="HD690" s="6"/>
      <c r="HE690" s="6"/>
      <c r="HF690" s="6"/>
      <c r="HG690" s="6"/>
      <c r="HH690" s="6"/>
    </row>
    <row r="691" spans="1:216" x14ac:dyDescent="0.3">
      <c r="A691" s="8"/>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c r="FZ691" s="6"/>
      <c r="GA691" s="6"/>
      <c r="GB691" s="6"/>
      <c r="GC691" s="6"/>
      <c r="GD691" s="6"/>
      <c r="GE691" s="6"/>
      <c r="GF691" s="6"/>
      <c r="GG691" s="6"/>
      <c r="GH691" s="6"/>
      <c r="GI691" s="6"/>
      <c r="GJ691" s="6"/>
      <c r="GK691" s="6"/>
      <c r="GL691" s="6"/>
      <c r="GM691" s="6"/>
      <c r="GN691" s="6"/>
      <c r="GO691" s="6"/>
      <c r="GP691" s="6"/>
      <c r="GQ691" s="6"/>
      <c r="GR691" s="6"/>
      <c r="GS691" s="6"/>
      <c r="GT691" s="6"/>
      <c r="GU691" s="6"/>
      <c r="GV691" s="6"/>
      <c r="GW691" s="6"/>
      <c r="GX691" s="6"/>
      <c r="GY691" s="6"/>
      <c r="GZ691" s="6"/>
      <c r="HA691" s="6"/>
      <c r="HB691" s="6"/>
      <c r="HC691" s="6"/>
      <c r="HD691" s="6"/>
      <c r="HE691" s="6"/>
      <c r="HF691" s="6"/>
      <c r="HG691" s="6"/>
      <c r="HH691" s="6"/>
    </row>
    <row r="692" spans="1:216" x14ac:dyDescent="0.3">
      <c r="A692" s="8"/>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c r="FZ692" s="6"/>
      <c r="GA692" s="6"/>
      <c r="GB692" s="6"/>
      <c r="GC692" s="6"/>
      <c r="GD692" s="6"/>
      <c r="GE692" s="6"/>
      <c r="GF692" s="6"/>
      <c r="GG692" s="6"/>
      <c r="GH692" s="6"/>
      <c r="GI692" s="6"/>
      <c r="GJ692" s="6"/>
      <c r="GK692" s="6"/>
      <c r="GL692" s="6"/>
      <c r="GM692" s="6"/>
      <c r="GN692" s="6"/>
      <c r="GO692" s="6"/>
      <c r="GP692" s="6"/>
      <c r="GQ692" s="6"/>
      <c r="GR692" s="6"/>
      <c r="GS692" s="6"/>
      <c r="GT692" s="6"/>
      <c r="GU692" s="6"/>
      <c r="GV692" s="6"/>
      <c r="GW692" s="6"/>
      <c r="GX692" s="6"/>
      <c r="GY692" s="6"/>
      <c r="GZ692" s="6"/>
      <c r="HA692" s="6"/>
      <c r="HB692" s="6"/>
      <c r="HC692" s="6"/>
      <c r="HD692" s="6"/>
      <c r="HE692" s="6"/>
      <c r="HF692" s="6"/>
      <c r="HG692" s="6"/>
      <c r="HH692" s="6"/>
    </row>
    <row r="693" spans="1:216" x14ac:dyDescent="0.3">
      <c r="A693" s="8"/>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c r="FZ693" s="6"/>
      <c r="GA693" s="6"/>
      <c r="GB693" s="6"/>
      <c r="GC693" s="6"/>
      <c r="GD693" s="6"/>
      <c r="GE693" s="6"/>
      <c r="GF693" s="6"/>
      <c r="GG693" s="6"/>
      <c r="GH693" s="6"/>
      <c r="GI693" s="6"/>
      <c r="GJ693" s="6"/>
      <c r="GK693" s="6"/>
      <c r="GL693" s="6"/>
      <c r="GM693" s="6"/>
      <c r="GN693" s="6"/>
      <c r="GO693" s="6"/>
      <c r="GP693" s="6"/>
      <c r="GQ693" s="6"/>
      <c r="GR693" s="6"/>
      <c r="GS693" s="6"/>
      <c r="GT693" s="6"/>
      <c r="GU693" s="6"/>
      <c r="GV693" s="6"/>
      <c r="GW693" s="6"/>
      <c r="GX693" s="6"/>
      <c r="GY693" s="6"/>
      <c r="GZ693" s="6"/>
      <c r="HA693" s="6"/>
      <c r="HB693" s="6"/>
      <c r="HC693" s="6"/>
      <c r="HD693" s="6"/>
      <c r="HE693" s="6"/>
      <c r="HF693" s="6"/>
      <c r="HG693" s="6"/>
      <c r="HH693" s="6"/>
    </row>
    <row r="694" spans="1:216" x14ac:dyDescent="0.3">
      <c r="A694" s="8"/>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c r="FZ694" s="6"/>
      <c r="GA694" s="6"/>
      <c r="GB694" s="6"/>
      <c r="GC694" s="6"/>
      <c r="GD694" s="6"/>
      <c r="GE694" s="6"/>
      <c r="GF694" s="6"/>
      <c r="GG694" s="6"/>
      <c r="GH694" s="6"/>
      <c r="GI694" s="6"/>
      <c r="GJ694" s="6"/>
      <c r="GK694" s="6"/>
      <c r="GL694" s="6"/>
      <c r="GM694" s="6"/>
      <c r="GN694" s="6"/>
      <c r="GO694" s="6"/>
      <c r="GP694" s="6"/>
      <c r="GQ694" s="6"/>
      <c r="GR694" s="6"/>
      <c r="GS694" s="6"/>
      <c r="GT694" s="6"/>
      <c r="GU694" s="6"/>
      <c r="GV694" s="6"/>
      <c r="GW694" s="6"/>
      <c r="GX694" s="6"/>
      <c r="GY694" s="6"/>
      <c r="GZ694" s="6"/>
      <c r="HA694" s="6"/>
      <c r="HB694" s="6"/>
      <c r="HC694" s="6"/>
      <c r="HD694" s="6"/>
      <c r="HE694" s="6"/>
      <c r="HF694" s="6"/>
      <c r="HG694" s="6"/>
      <c r="HH694" s="6"/>
    </row>
    <row r="695" spans="1:216" x14ac:dyDescent="0.3">
      <c r="A695" s="8"/>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c r="FZ695" s="6"/>
      <c r="GA695" s="6"/>
      <c r="GB695" s="6"/>
      <c r="GC695" s="6"/>
      <c r="GD695" s="6"/>
      <c r="GE695" s="6"/>
      <c r="GF695" s="6"/>
      <c r="GG695" s="6"/>
      <c r="GH695" s="6"/>
      <c r="GI695" s="6"/>
      <c r="GJ695" s="6"/>
      <c r="GK695" s="6"/>
      <c r="GL695" s="6"/>
      <c r="GM695" s="6"/>
      <c r="GN695" s="6"/>
      <c r="GO695" s="6"/>
      <c r="GP695" s="6"/>
      <c r="GQ695" s="6"/>
      <c r="GR695" s="6"/>
      <c r="GS695" s="6"/>
      <c r="GT695" s="6"/>
      <c r="GU695" s="6"/>
      <c r="GV695" s="6"/>
      <c r="GW695" s="6"/>
      <c r="GX695" s="6"/>
      <c r="GY695" s="6"/>
      <c r="GZ695" s="6"/>
      <c r="HA695" s="6"/>
      <c r="HB695" s="6"/>
      <c r="HC695" s="6"/>
      <c r="HD695" s="6"/>
      <c r="HE695" s="6"/>
      <c r="HF695" s="6"/>
      <c r="HG695" s="6"/>
      <c r="HH695" s="6"/>
    </row>
    <row r="696" spans="1:216" x14ac:dyDescent="0.3">
      <c r="A696" s="8"/>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c r="FZ696" s="6"/>
      <c r="GA696" s="6"/>
      <c r="GB696" s="6"/>
      <c r="GC696" s="6"/>
      <c r="GD696" s="6"/>
      <c r="GE696" s="6"/>
      <c r="GF696" s="6"/>
      <c r="GG696" s="6"/>
      <c r="GH696" s="6"/>
      <c r="GI696" s="6"/>
      <c r="GJ696" s="6"/>
      <c r="GK696" s="6"/>
      <c r="GL696" s="6"/>
      <c r="GM696" s="6"/>
      <c r="GN696" s="6"/>
      <c r="GO696" s="6"/>
      <c r="GP696" s="6"/>
      <c r="GQ696" s="6"/>
      <c r="GR696" s="6"/>
      <c r="GS696" s="6"/>
      <c r="GT696" s="6"/>
      <c r="GU696" s="6"/>
      <c r="GV696" s="6"/>
      <c r="GW696" s="6"/>
      <c r="GX696" s="6"/>
      <c r="GY696" s="6"/>
      <c r="GZ696" s="6"/>
      <c r="HA696" s="6"/>
      <c r="HB696" s="6"/>
      <c r="HC696" s="6"/>
      <c r="HD696" s="6"/>
      <c r="HE696" s="6"/>
      <c r="HF696" s="6"/>
      <c r="HG696" s="6"/>
      <c r="HH696" s="6"/>
    </row>
    <row r="697" spans="1:216" x14ac:dyDescent="0.3">
      <c r="A697" s="8"/>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c r="FZ697" s="6"/>
      <c r="GA697" s="6"/>
      <c r="GB697" s="6"/>
      <c r="GC697" s="6"/>
      <c r="GD697" s="6"/>
      <c r="GE697" s="6"/>
      <c r="GF697" s="6"/>
      <c r="GG697" s="6"/>
      <c r="GH697" s="6"/>
      <c r="GI697" s="6"/>
      <c r="GJ697" s="6"/>
      <c r="GK697" s="6"/>
      <c r="GL697" s="6"/>
      <c r="GM697" s="6"/>
      <c r="GN697" s="6"/>
      <c r="GO697" s="6"/>
      <c r="GP697" s="6"/>
      <c r="GQ697" s="6"/>
      <c r="GR697" s="6"/>
      <c r="GS697" s="6"/>
      <c r="GT697" s="6"/>
      <c r="GU697" s="6"/>
      <c r="GV697" s="6"/>
      <c r="GW697" s="6"/>
      <c r="GX697" s="6"/>
      <c r="GY697" s="6"/>
      <c r="GZ697" s="6"/>
      <c r="HA697" s="6"/>
      <c r="HB697" s="6"/>
      <c r="HC697" s="6"/>
      <c r="HD697" s="6"/>
      <c r="HE697" s="6"/>
      <c r="HF697" s="6"/>
      <c r="HG697" s="6"/>
      <c r="HH697" s="6"/>
    </row>
    <row r="698" spans="1:216" x14ac:dyDescent="0.3">
      <c r="A698" s="8"/>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c r="FZ698" s="6"/>
      <c r="GA698" s="6"/>
      <c r="GB698" s="6"/>
      <c r="GC698" s="6"/>
      <c r="GD698" s="6"/>
      <c r="GE698" s="6"/>
      <c r="GF698" s="6"/>
      <c r="GG698" s="6"/>
      <c r="GH698" s="6"/>
      <c r="GI698" s="6"/>
      <c r="GJ698" s="6"/>
      <c r="GK698" s="6"/>
      <c r="GL698" s="6"/>
      <c r="GM698" s="6"/>
      <c r="GN698" s="6"/>
      <c r="GO698" s="6"/>
      <c r="GP698" s="6"/>
      <c r="GQ698" s="6"/>
      <c r="GR698" s="6"/>
      <c r="GS698" s="6"/>
      <c r="GT698" s="6"/>
      <c r="GU698" s="6"/>
      <c r="GV698" s="6"/>
      <c r="GW698" s="6"/>
      <c r="GX698" s="6"/>
      <c r="GY698" s="6"/>
      <c r="GZ698" s="6"/>
      <c r="HA698" s="6"/>
      <c r="HB698" s="6"/>
      <c r="HC698" s="6"/>
      <c r="HD698" s="6"/>
      <c r="HE698" s="6"/>
      <c r="HF698" s="6"/>
      <c r="HG698" s="6"/>
      <c r="HH698" s="6"/>
    </row>
    <row r="699" spans="1:216" x14ac:dyDescent="0.3">
      <c r="A699" s="8"/>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c r="FZ699" s="6"/>
      <c r="GA699" s="6"/>
      <c r="GB699" s="6"/>
      <c r="GC699" s="6"/>
      <c r="GD699" s="6"/>
      <c r="GE699" s="6"/>
      <c r="GF699" s="6"/>
      <c r="GG699" s="6"/>
      <c r="GH699" s="6"/>
      <c r="GI699" s="6"/>
      <c r="GJ699" s="6"/>
      <c r="GK699" s="6"/>
      <c r="GL699" s="6"/>
      <c r="GM699" s="6"/>
      <c r="GN699" s="6"/>
      <c r="GO699" s="6"/>
      <c r="GP699" s="6"/>
      <c r="GQ699" s="6"/>
      <c r="GR699" s="6"/>
      <c r="GS699" s="6"/>
      <c r="GT699" s="6"/>
      <c r="GU699" s="6"/>
      <c r="GV699" s="6"/>
      <c r="GW699" s="6"/>
      <c r="GX699" s="6"/>
      <c r="GY699" s="6"/>
      <c r="GZ699" s="6"/>
      <c r="HA699" s="6"/>
      <c r="HB699" s="6"/>
      <c r="HC699" s="6"/>
      <c r="HD699" s="6"/>
      <c r="HE699" s="6"/>
      <c r="HF699" s="6"/>
      <c r="HG699" s="6"/>
      <c r="HH699" s="6"/>
    </row>
    <row r="700" spans="1:216" x14ac:dyDescent="0.3">
      <c r="A700" s="8"/>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c r="FZ700" s="6"/>
      <c r="GA700" s="6"/>
      <c r="GB700" s="6"/>
      <c r="GC700" s="6"/>
      <c r="GD700" s="6"/>
      <c r="GE700" s="6"/>
      <c r="GF700" s="6"/>
      <c r="GG700" s="6"/>
      <c r="GH700" s="6"/>
      <c r="GI700" s="6"/>
      <c r="GJ700" s="6"/>
      <c r="GK700" s="6"/>
      <c r="GL700" s="6"/>
      <c r="GM700" s="6"/>
      <c r="GN700" s="6"/>
      <c r="GO700" s="6"/>
      <c r="GP700" s="6"/>
      <c r="GQ700" s="6"/>
      <c r="GR700" s="6"/>
      <c r="GS700" s="6"/>
      <c r="GT700" s="6"/>
      <c r="GU700" s="6"/>
      <c r="GV700" s="6"/>
      <c r="GW700" s="6"/>
      <c r="GX700" s="6"/>
      <c r="GY700" s="6"/>
      <c r="GZ700" s="6"/>
      <c r="HA700" s="6"/>
      <c r="HB700" s="6"/>
      <c r="HC700" s="6"/>
      <c r="HD700" s="6"/>
      <c r="HE700" s="6"/>
      <c r="HF700" s="6"/>
      <c r="HG700" s="6"/>
      <c r="HH700" s="6"/>
    </row>
    <row r="701" spans="1:216" x14ac:dyDescent="0.3">
      <c r="A701" s="8"/>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c r="FZ701" s="6"/>
      <c r="GA701" s="6"/>
      <c r="GB701" s="6"/>
      <c r="GC701" s="6"/>
      <c r="GD701" s="6"/>
      <c r="GE701" s="6"/>
      <c r="GF701" s="6"/>
      <c r="GG701" s="6"/>
      <c r="GH701" s="6"/>
      <c r="GI701" s="6"/>
      <c r="GJ701" s="6"/>
      <c r="GK701" s="6"/>
      <c r="GL701" s="6"/>
      <c r="GM701" s="6"/>
      <c r="GN701" s="6"/>
      <c r="GO701" s="6"/>
      <c r="GP701" s="6"/>
      <c r="GQ701" s="6"/>
      <c r="GR701" s="6"/>
      <c r="GS701" s="6"/>
      <c r="GT701" s="6"/>
      <c r="GU701" s="6"/>
      <c r="GV701" s="6"/>
      <c r="GW701" s="6"/>
      <c r="GX701" s="6"/>
      <c r="GY701" s="6"/>
      <c r="GZ701" s="6"/>
      <c r="HA701" s="6"/>
      <c r="HB701" s="6"/>
      <c r="HC701" s="6"/>
      <c r="HD701" s="6"/>
      <c r="HE701" s="6"/>
      <c r="HF701" s="6"/>
      <c r="HG701" s="6"/>
      <c r="HH701" s="6"/>
    </row>
    <row r="702" spans="1:216" x14ac:dyDescent="0.3">
      <c r="A702" s="8"/>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c r="FZ702" s="6"/>
      <c r="GA702" s="6"/>
      <c r="GB702" s="6"/>
      <c r="GC702" s="6"/>
      <c r="GD702" s="6"/>
      <c r="GE702" s="6"/>
      <c r="GF702" s="6"/>
      <c r="GG702" s="6"/>
      <c r="GH702" s="6"/>
      <c r="GI702" s="6"/>
      <c r="GJ702" s="6"/>
      <c r="GK702" s="6"/>
      <c r="GL702" s="6"/>
      <c r="GM702" s="6"/>
      <c r="GN702" s="6"/>
      <c r="GO702" s="6"/>
      <c r="GP702" s="6"/>
      <c r="GQ702" s="6"/>
      <c r="GR702" s="6"/>
      <c r="GS702" s="6"/>
      <c r="GT702" s="6"/>
      <c r="GU702" s="6"/>
      <c r="GV702" s="6"/>
      <c r="GW702" s="6"/>
      <c r="GX702" s="6"/>
      <c r="GY702" s="6"/>
      <c r="GZ702" s="6"/>
      <c r="HA702" s="6"/>
      <c r="HB702" s="6"/>
      <c r="HC702" s="6"/>
      <c r="HD702" s="6"/>
      <c r="HE702" s="6"/>
      <c r="HF702" s="6"/>
      <c r="HG702" s="6"/>
      <c r="HH702" s="6"/>
    </row>
    <row r="703" spans="1:216" x14ac:dyDescent="0.3">
      <c r="A703" s="8"/>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c r="FZ703" s="6"/>
      <c r="GA703" s="6"/>
      <c r="GB703" s="6"/>
      <c r="GC703" s="6"/>
      <c r="GD703" s="6"/>
      <c r="GE703" s="6"/>
      <c r="GF703" s="6"/>
      <c r="GG703" s="6"/>
      <c r="GH703" s="6"/>
      <c r="GI703" s="6"/>
      <c r="GJ703" s="6"/>
      <c r="GK703" s="6"/>
      <c r="GL703" s="6"/>
      <c r="GM703" s="6"/>
      <c r="GN703" s="6"/>
      <c r="GO703" s="6"/>
      <c r="GP703" s="6"/>
      <c r="GQ703" s="6"/>
      <c r="GR703" s="6"/>
      <c r="GS703" s="6"/>
      <c r="GT703" s="6"/>
      <c r="GU703" s="6"/>
      <c r="GV703" s="6"/>
      <c r="GW703" s="6"/>
      <c r="GX703" s="6"/>
      <c r="GY703" s="6"/>
      <c r="GZ703" s="6"/>
      <c r="HA703" s="6"/>
      <c r="HB703" s="6"/>
      <c r="HC703" s="6"/>
      <c r="HD703" s="6"/>
      <c r="HE703" s="6"/>
      <c r="HF703" s="6"/>
      <c r="HG703" s="6"/>
      <c r="HH703" s="6"/>
    </row>
    <row r="704" spans="1:216" x14ac:dyDescent="0.3">
      <c r="A704" s="8"/>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c r="FZ704" s="6"/>
      <c r="GA704" s="6"/>
      <c r="GB704" s="6"/>
      <c r="GC704" s="6"/>
      <c r="GD704" s="6"/>
      <c r="GE704" s="6"/>
      <c r="GF704" s="6"/>
      <c r="GG704" s="6"/>
      <c r="GH704" s="6"/>
      <c r="GI704" s="6"/>
      <c r="GJ704" s="6"/>
      <c r="GK704" s="6"/>
      <c r="GL704" s="6"/>
      <c r="GM704" s="6"/>
      <c r="GN704" s="6"/>
      <c r="GO704" s="6"/>
      <c r="GP704" s="6"/>
      <c r="GQ704" s="6"/>
      <c r="GR704" s="6"/>
      <c r="GS704" s="6"/>
      <c r="GT704" s="6"/>
      <c r="GU704" s="6"/>
      <c r="GV704" s="6"/>
      <c r="GW704" s="6"/>
      <c r="GX704" s="6"/>
      <c r="GY704" s="6"/>
      <c r="GZ704" s="6"/>
      <c r="HA704" s="6"/>
      <c r="HB704" s="6"/>
      <c r="HC704" s="6"/>
      <c r="HD704" s="6"/>
      <c r="HE704" s="6"/>
      <c r="HF704" s="6"/>
      <c r="HG704" s="6"/>
      <c r="HH704" s="6"/>
    </row>
    <row r="705" spans="1:216" x14ac:dyDescent="0.3">
      <c r="A705" s="8"/>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c r="FZ705" s="6"/>
      <c r="GA705" s="6"/>
      <c r="GB705" s="6"/>
      <c r="GC705" s="6"/>
      <c r="GD705" s="6"/>
      <c r="GE705" s="6"/>
      <c r="GF705" s="6"/>
      <c r="GG705" s="6"/>
      <c r="GH705" s="6"/>
      <c r="GI705" s="6"/>
      <c r="GJ705" s="6"/>
      <c r="GK705" s="6"/>
      <c r="GL705" s="6"/>
      <c r="GM705" s="6"/>
      <c r="GN705" s="6"/>
      <c r="GO705" s="6"/>
      <c r="GP705" s="6"/>
      <c r="GQ705" s="6"/>
      <c r="GR705" s="6"/>
      <c r="GS705" s="6"/>
      <c r="GT705" s="6"/>
      <c r="GU705" s="6"/>
      <c r="GV705" s="6"/>
      <c r="GW705" s="6"/>
      <c r="GX705" s="6"/>
      <c r="GY705" s="6"/>
      <c r="GZ705" s="6"/>
      <c r="HA705" s="6"/>
      <c r="HB705" s="6"/>
      <c r="HC705" s="6"/>
      <c r="HD705" s="6"/>
      <c r="HE705" s="6"/>
      <c r="HF705" s="6"/>
      <c r="HG705" s="6"/>
      <c r="HH705" s="6"/>
    </row>
    <row r="706" spans="1:216" x14ac:dyDescent="0.3">
      <c r="A706" s="8"/>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c r="FZ706" s="6"/>
      <c r="GA706" s="6"/>
      <c r="GB706" s="6"/>
      <c r="GC706" s="6"/>
      <c r="GD706" s="6"/>
      <c r="GE706" s="6"/>
      <c r="GF706" s="6"/>
      <c r="GG706" s="6"/>
      <c r="GH706" s="6"/>
      <c r="GI706" s="6"/>
      <c r="GJ706" s="6"/>
      <c r="GK706" s="6"/>
      <c r="GL706" s="6"/>
      <c r="GM706" s="6"/>
      <c r="GN706" s="6"/>
      <c r="GO706" s="6"/>
      <c r="GP706" s="6"/>
      <c r="GQ706" s="6"/>
      <c r="GR706" s="6"/>
      <c r="GS706" s="6"/>
      <c r="GT706" s="6"/>
      <c r="GU706" s="6"/>
      <c r="GV706" s="6"/>
      <c r="GW706" s="6"/>
      <c r="GX706" s="6"/>
      <c r="GY706" s="6"/>
      <c r="GZ706" s="6"/>
      <c r="HA706" s="6"/>
      <c r="HB706" s="6"/>
      <c r="HC706" s="6"/>
      <c r="HD706" s="6"/>
      <c r="HE706" s="6"/>
      <c r="HF706" s="6"/>
      <c r="HG706" s="6"/>
      <c r="HH706" s="6"/>
    </row>
    <row r="707" spans="1:216" x14ac:dyDescent="0.3">
      <c r="A707" s="8"/>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c r="FZ707" s="6"/>
      <c r="GA707" s="6"/>
      <c r="GB707" s="6"/>
      <c r="GC707" s="6"/>
      <c r="GD707" s="6"/>
      <c r="GE707" s="6"/>
      <c r="GF707" s="6"/>
      <c r="GG707" s="6"/>
      <c r="GH707" s="6"/>
      <c r="GI707" s="6"/>
      <c r="GJ707" s="6"/>
      <c r="GK707" s="6"/>
      <c r="GL707" s="6"/>
      <c r="GM707" s="6"/>
      <c r="GN707" s="6"/>
      <c r="GO707" s="6"/>
      <c r="GP707" s="6"/>
      <c r="GQ707" s="6"/>
      <c r="GR707" s="6"/>
      <c r="GS707" s="6"/>
      <c r="GT707" s="6"/>
      <c r="GU707" s="6"/>
      <c r="GV707" s="6"/>
      <c r="GW707" s="6"/>
      <c r="GX707" s="6"/>
      <c r="GY707" s="6"/>
      <c r="GZ707" s="6"/>
      <c r="HA707" s="6"/>
      <c r="HB707" s="6"/>
      <c r="HC707" s="6"/>
      <c r="HD707" s="6"/>
      <c r="HE707" s="6"/>
      <c r="HF707" s="6"/>
      <c r="HG707" s="6"/>
      <c r="HH707" s="6"/>
    </row>
    <row r="708" spans="1:216" x14ac:dyDescent="0.3">
      <c r="A708" s="8"/>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c r="FZ708" s="6"/>
      <c r="GA708" s="6"/>
      <c r="GB708" s="6"/>
      <c r="GC708" s="6"/>
      <c r="GD708" s="6"/>
      <c r="GE708" s="6"/>
      <c r="GF708" s="6"/>
      <c r="GG708" s="6"/>
      <c r="GH708" s="6"/>
      <c r="GI708" s="6"/>
      <c r="GJ708" s="6"/>
      <c r="GK708" s="6"/>
      <c r="GL708" s="6"/>
      <c r="GM708" s="6"/>
      <c r="GN708" s="6"/>
      <c r="GO708" s="6"/>
      <c r="GP708" s="6"/>
      <c r="GQ708" s="6"/>
      <c r="GR708" s="6"/>
      <c r="GS708" s="6"/>
      <c r="GT708" s="6"/>
      <c r="GU708" s="6"/>
      <c r="GV708" s="6"/>
      <c r="GW708" s="6"/>
      <c r="GX708" s="6"/>
      <c r="GY708" s="6"/>
      <c r="GZ708" s="6"/>
      <c r="HA708" s="6"/>
      <c r="HB708" s="6"/>
      <c r="HC708" s="6"/>
      <c r="HD708" s="6"/>
      <c r="HE708" s="6"/>
      <c r="HF708" s="6"/>
      <c r="HG708" s="6"/>
      <c r="HH708" s="6"/>
    </row>
    <row r="709" spans="1:216" x14ac:dyDescent="0.3">
      <c r="A709" s="8"/>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c r="FZ709" s="6"/>
      <c r="GA709" s="6"/>
      <c r="GB709" s="6"/>
      <c r="GC709" s="6"/>
      <c r="GD709" s="6"/>
      <c r="GE709" s="6"/>
      <c r="GF709" s="6"/>
      <c r="GG709" s="6"/>
      <c r="GH709" s="6"/>
      <c r="GI709" s="6"/>
      <c r="GJ709" s="6"/>
      <c r="GK709" s="6"/>
      <c r="GL709" s="6"/>
      <c r="GM709" s="6"/>
      <c r="GN709" s="6"/>
      <c r="GO709" s="6"/>
      <c r="GP709" s="6"/>
      <c r="GQ709" s="6"/>
      <c r="GR709" s="6"/>
      <c r="GS709" s="6"/>
      <c r="GT709" s="6"/>
      <c r="GU709" s="6"/>
      <c r="GV709" s="6"/>
      <c r="GW709" s="6"/>
      <c r="GX709" s="6"/>
      <c r="GY709" s="6"/>
      <c r="GZ709" s="6"/>
      <c r="HA709" s="6"/>
      <c r="HB709" s="6"/>
      <c r="HC709" s="6"/>
      <c r="HD709" s="6"/>
      <c r="HE709" s="6"/>
      <c r="HF709" s="6"/>
      <c r="HG709" s="6"/>
      <c r="HH709" s="6"/>
    </row>
    <row r="710" spans="1:216" x14ac:dyDescent="0.3">
      <c r="A710" s="8"/>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c r="FZ710" s="6"/>
      <c r="GA710" s="6"/>
      <c r="GB710" s="6"/>
      <c r="GC710" s="6"/>
      <c r="GD710" s="6"/>
      <c r="GE710" s="6"/>
      <c r="GF710" s="6"/>
      <c r="GG710" s="6"/>
      <c r="GH710" s="6"/>
      <c r="GI710" s="6"/>
      <c r="GJ710" s="6"/>
      <c r="GK710" s="6"/>
      <c r="GL710" s="6"/>
      <c r="GM710" s="6"/>
      <c r="GN710" s="6"/>
      <c r="GO710" s="6"/>
      <c r="GP710" s="6"/>
      <c r="GQ710" s="6"/>
      <c r="GR710" s="6"/>
      <c r="GS710" s="6"/>
      <c r="GT710" s="6"/>
      <c r="GU710" s="6"/>
      <c r="GV710" s="6"/>
      <c r="GW710" s="6"/>
      <c r="GX710" s="6"/>
      <c r="GY710" s="6"/>
      <c r="GZ710" s="6"/>
      <c r="HA710" s="6"/>
      <c r="HB710" s="6"/>
      <c r="HC710" s="6"/>
      <c r="HD710" s="6"/>
      <c r="HE710" s="6"/>
      <c r="HF710" s="6"/>
      <c r="HG710" s="6"/>
      <c r="HH710" s="6"/>
    </row>
    <row r="711" spans="1:216" x14ac:dyDescent="0.3">
      <c r="A711" s="8"/>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c r="FZ711" s="6"/>
      <c r="GA711" s="6"/>
      <c r="GB711" s="6"/>
      <c r="GC711" s="6"/>
      <c r="GD711" s="6"/>
      <c r="GE711" s="6"/>
      <c r="GF711" s="6"/>
      <c r="GG711" s="6"/>
      <c r="GH711" s="6"/>
      <c r="GI711" s="6"/>
      <c r="GJ711" s="6"/>
      <c r="GK711" s="6"/>
      <c r="GL711" s="6"/>
      <c r="GM711" s="6"/>
      <c r="GN711" s="6"/>
      <c r="GO711" s="6"/>
      <c r="GP711" s="6"/>
      <c r="GQ711" s="6"/>
      <c r="GR711" s="6"/>
      <c r="GS711" s="6"/>
      <c r="GT711" s="6"/>
      <c r="GU711" s="6"/>
      <c r="GV711" s="6"/>
      <c r="GW711" s="6"/>
      <c r="GX711" s="6"/>
      <c r="GY711" s="6"/>
      <c r="GZ711" s="6"/>
      <c r="HA711" s="6"/>
      <c r="HB711" s="6"/>
      <c r="HC711" s="6"/>
      <c r="HD711" s="6"/>
      <c r="HE711" s="6"/>
      <c r="HF711" s="6"/>
      <c r="HG711" s="6"/>
      <c r="HH711" s="6"/>
    </row>
    <row r="712" spans="1:216" x14ac:dyDescent="0.3">
      <c r="A712" s="8"/>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c r="FZ712" s="6"/>
      <c r="GA712" s="6"/>
      <c r="GB712" s="6"/>
      <c r="GC712" s="6"/>
      <c r="GD712" s="6"/>
      <c r="GE712" s="6"/>
      <c r="GF712" s="6"/>
      <c r="GG712" s="6"/>
      <c r="GH712" s="6"/>
      <c r="GI712" s="6"/>
      <c r="GJ712" s="6"/>
      <c r="GK712" s="6"/>
      <c r="GL712" s="6"/>
      <c r="GM712" s="6"/>
      <c r="GN712" s="6"/>
      <c r="GO712" s="6"/>
      <c r="GP712" s="6"/>
      <c r="GQ712" s="6"/>
      <c r="GR712" s="6"/>
      <c r="GS712" s="6"/>
      <c r="GT712" s="6"/>
      <c r="GU712" s="6"/>
      <c r="GV712" s="6"/>
      <c r="GW712" s="6"/>
      <c r="GX712" s="6"/>
      <c r="GY712" s="6"/>
      <c r="GZ712" s="6"/>
      <c r="HA712" s="6"/>
      <c r="HB712" s="6"/>
      <c r="HC712" s="6"/>
      <c r="HD712" s="6"/>
      <c r="HE712" s="6"/>
      <c r="HF712" s="6"/>
      <c r="HG712" s="6"/>
      <c r="HH712" s="6"/>
    </row>
    <row r="713" spans="1:216" x14ac:dyDescent="0.3">
      <c r="A713" s="8"/>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c r="FZ713" s="6"/>
      <c r="GA713" s="6"/>
      <c r="GB713" s="6"/>
      <c r="GC713" s="6"/>
      <c r="GD713" s="6"/>
      <c r="GE713" s="6"/>
      <c r="GF713" s="6"/>
      <c r="GG713" s="6"/>
      <c r="GH713" s="6"/>
      <c r="GI713" s="6"/>
      <c r="GJ713" s="6"/>
      <c r="GK713" s="6"/>
      <c r="GL713" s="6"/>
      <c r="GM713" s="6"/>
      <c r="GN713" s="6"/>
      <c r="GO713" s="6"/>
      <c r="GP713" s="6"/>
      <c r="GQ713" s="6"/>
      <c r="GR713" s="6"/>
      <c r="GS713" s="6"/>
      <c r="GT713" s="6"/>
      <c r="GU713" s="6"/>
      <c r="GV713" s="6"/>
      <c r="GW713" s="6"/>
      <c r="GX713" s="6"/>
      <c r="GY713" s="6"/>
      <c r="GZ713" s="6"/>
      <c r="HA713" s="6"/>
      <c r="HB713" s="6"/>
      <c r="HC713" s="6"/>
      <c r="HD713" s="6"/>
      <c r="HE713" s="6"/>
      <c r="HF713" s="6"/>
      <c r="HG713" s="6"/>
      <c r="HH713" s="6"/>
    </row>
    <row r="714" spans="1:216" x14ac:dyDescent="0.3">
      <c r="A714" s="8"/>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c r="FZ714" s="6"/>
      <c r="GA714" s="6"/>
      <c r="GB714" s="6"/>
      <c r="GC714" s="6"/>
      <c r="GD714" s="6"/>
      <c r="GE714" s="6"/>
      <c r="GF714" s="6"/>
      <c r="GG714" s="6"/>
      <c r="GH714" s="6"/>
      <c r="GI714" s="6"/>
      <c r="GJ714" s="6"/>
      <c r="GK714" s="6"/>
      <c r="GL714" s="6"/>
      <c r="GM714" s="6"/>
      <c r="GN714" s="6"/>
      <c r="GO714" s="6"/>
      <c r="GP714" s="6"/>
      <c r="GQ714" s="6"/>
      <c r="GR714" s="6"/>
      <c r="GS714" s="6"/>
      <c r="GT714" s="6"/>
      <c r="GU714" s="6"/>
      <c r="GV714" s="6"/>
      <c r="GW714" s="6"/>
      <c r="GX714" s="6"/>
      <c r="GY714" s="6"/>
      <c r="GZ714" s="6"/>
      <c r="HA714" s="6"/>
      <c r="HB714" s="6"/>
      <c r="HC714" s="6"/>
      <c r="HD714" s="6"/>
      <c r="HE714" s="6"/>
      <c r="HF714" s="6"/>
      <c r="HG714" s="6"/>
      <c r="HH714" s="6"/>
    </row>
    <row r="715" spans="1:216" x14ac:dyDescent="0.3">
      <c r="A715" s="8"/>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c r="FZ715" s="6"/>
      <c r="GA715" s="6"/>
      <c r="GB715" s="6"/>
      <c r="GC715" s="6"/>
      <c r="GD715" s="6"/>
      <c r="GE715" s="6"/>
      <c r="GF715" s="6"/>
      <c r="GG715" s="6"/>
      <c r="GH715" s="6"/>
      <c r="GI715" s="6"/>
      <c r="GJ715" s="6"/>
      <c r="GK715" s="6"/>
      <c r="GL715" s="6"/>
      <c r="GM715" s="6"/>
      <c r="GN715" s="6"/>
      <c r="GO715" s="6"/>
      <c r="GP715" s="6"/>
      <c r="GQ715" s="6"/>
      <c r="GR715" s="6"/>
      <c r="GS715" s="6"/>
      <c r="GT715" s="6"/>
      <c r="GU715" s="6"/>
      <c r="GV715" s="6"/>
      <c r="GW715" s="6"/>
      <c r="GX715" s="6"/>
      <c r="GY715" s="6"/>
      <c r="GZ715" s="6"/>
      <c r="HA715" s="6"/>
      <c r="HB715" s="6"/>
      <c r="HC715" s="6"/>
      <c r="HD715" s="6"/>
      <c r="HE715" s="6"/>
      <c r="HF715" s="6"/>
      <c r="HG715" s="6"/>
      <c r="HH715" s="6"/>
    </row>
    <row r="716" spans="1:216" x14ac:dyDescent="0.3">
      <c r="A716" s="8"/>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c r="FZ716" s="6"/>
      <c r="GA716" s="6"/>
      <c r="GB716" s="6"/>
      <c r="GC716" s="6"/>
      <c r="GD716" s="6"/>
      <c r="GE716" s="6"/>
      <c r="GF716" s="6"/>
      <c r="GG716" s="6"/>
      <c r="GH716" s="6"/>
      <c r="GI716" s="6"/>
      <c r="GJ716" s="6"/>
      <c r="GK716" s="6"/>
      <c r="GL716" s="6"/>
      <c r="GM716" s="6"/>
      <c r="GN716" s="6"/>
      <c r="GO716" s="6"/>
      <c r="GP716" s="6"/>
      <c r="GQ716" s="6"/>
      <c r="GR716" s="6"/>
      <c r="GS716" s="6"/>
      <c r="GT716" s="6"/>
      <c r="GU716" s="6"/>
      <c r="GV716" s="6"/>
      <c r="GW716" s="6"/>
      <c r="GX716" s="6"/>
      <c r="GY716" s="6"/>
      <c r="GZ716" s="6"/>
      <c r="HA716" s="6"/>
      <c r="HB716" s="6"/>
      <c r="HC716" s="6"/>
      <c r="HD716" s="6"/>
      <c r="HE716" s="6"/>
      <c r="HF716" s="6"/>
      <c r="HG716" s="6"/>
      <c r="HH716" s="6"/>
    </row>
    <row r="717" spans="1:216" x14ac:dyDescent="0.3">
      <c r="A717" s="8"/>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c r="FZ717" s="6"/>
      <c r="GA717" s="6"/>
      <c r="GB717" s="6"/>
      <c r="GC717" s="6"/>
      <c r="GD717" s="6"/>
      <c r="GE717" s="6"/>
      <c r="GF717" s="6"/>
      <c r="GG717" s="6"/>
      <c r="GH717" s="6"/>
      <c r="GI717" s="6"/>
      <c r="GJ717" s="6"/>
      <c r="GK717" s="6"/>
      <c r="GL717" s="6"/>
      <c r="GM717" s="6"/>
      <c r="GN717" s="6"/>
      <c r="GO717" s="6"/>
      <c r="GP717" s="6"/>
      <c r="GQ717" s="6"/>
      <c r="GR717" s="6"/>
      <c r="GS717" s="6"/>
      <c r="GT717" s="6"/>
      <c r="GU717" s="6"/>
      <c r="GV717" s="6"/>
      <c r="GW717" s="6"/>
      <c r="GX717" s="6"/>
      <c r="GY717" s="6"/>
      <c r="GZ717" s="6"/>
      <c r="HA717" s="6"/>
      <c r="HB717" s="6"/>
      <c r="HC717" s="6"/>
      <c r="HD717" s="6"/>
      <c r="HE717" s="6"/>
      <c r="HF717" s="6"/>
      <c r="HG717" s="6"/>
      <c r="HH717" s="6"/>
    </row>
    <row r="718" spans="1:216" x14ac:dyDescent="0.3">
      <c r="A718" s="8"/>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c r="FZ718" s="6"/>
      <c r="GA718" s="6"/>
      <c r="GB718" s="6"/>
      <c r="GC718" s="6"/>
      <c r="GD718" s="6"/>
      <c r="GE718" s="6"/>
      <c r="GF718" s="6"/>
      <c r="GG718" s="6"/>
      <c r="GH718" s="6"/>
      <c r="GI718" s="6"/>
      <c r="GJ718" s="6"/>
      <c r="GK718" s="6"/>
      <c r="GL718" s="6"/>
      <c r="GM718" s="6"/>
      <c r="GN718" s="6"/>
      <c r="GO718" s="6"/>
      <c r="GP718" s="6"/>
      <c r="GQ718" s="6"/>
      <c r="GR718" s="6"/>
      <c r="GS718" s="6"/>
      <c r="GT718" s="6"/>
      <c r="GU718" s="6"/>
      <c r="GV718" s="6"/>
      <c r="GW718" s="6"/>
      <c r="GX718" s="6"/>
      <c r="GY718" s="6"/>
      <c r="GZ718" s="6"/>
      <c r="HA718" s="6"/>
      <c r="HB718" s="6"/>
      <c r="HC718" s="6"/>
      <c r="HD718" s="6"/>
      <c r="HE718" s="6"/>
      <c r="HF718" s="6"/>
      <c r="HG718" s="6"/>
      <c r="HH718" s="6"/>
    </row>
    <row r="719" spans="1:216" x14ac:dyDescent="0.3">
      <c r="A719" s="8"/>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c r="FZ719" s="6"/>
      <c r="GA719" s="6"/>
      <c r="GB719" s="6"/>
      <c r="GC719" s="6"/>
      <c r="GD719" s="6"/>
      <c r="GE719" s="6"/>
      <c r="GF719" s="6"/>
      <c r="GG719" s="6"/>
      <c r="GH719" s="6"/>
      <c r="GI719" s="6"/>
      <c r="GJ719" s="6"/>
      <c r="GK719" s="6"/>
      <c r="GL719" s="6"/>
      <c r="GM719" s="6"/>
      <c r="GN719" s="6"/>
      <c r="GO719" s="6"/>
      <c r="GP719" s="6"/>
      <c r="GQ719" s="6"/>
      <c r="GR719" s="6"/>
      <c r="GS719" s="6"/>
      <c r="GT719" s="6"/>
      <c r="GU719" s="6"/>
      <c r="GV719" s="6"/>
      <c r="GW719" s="6"/>
      <c r="GX719" s="6"/>
      <c r="GY719" s="6"/>
      <c r="GZ719" s="6"/>
      <c r="HA719" s="6"/>
      <c r="HB719" s="6"/>
      <c r="HC719" s="6"/>
      <c r="HD719" s="6"/>
      <c r="HE719" s="6"/>
      <c r="HF719" s="6"/>
      <c r="HG719" s="6"/>
      <c r="HH719" s="6"/>
    </row>
    <row r="720" spans="1:216" x14ac:dyDescent="0.3">
      <c r="A720" s="8"/>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c r="FZ720" s="6"/>
      <c r="GA720" s="6"/>
      <c r="GB720" s="6"/>
      <c r="GC720" s="6"/>
      <c r="GD720" s="6"/>
      <c r="GE720" s="6"/>
      <c r="GF720" s="6"/>
      <c r="GG720" s="6"/>
      <c r="GH720" s="6"/>
      <c r="GI720" s="6"/>
      <c r="GJ720" s="6"/>
      <c r="GK720" s="6"/>
      <c r="GL720" s="6"/>
      <c r="GM720" s="6"/>
      <c r="GN720" s="6"/>
      <c r="GO720" s="6"/>
      <c r="GP720" s="6"/>
      <c r="GQ720" s="6"/>
      <c r="GR720" s="6"/>
      <c r="GS720" s="6"/>
      <c r="GT720" s="6"/>
      <c r="GU720" s="6"/>
      <c r="GV720" s="6"/>
      <c r="GW720" s="6"/>
      <c r="GX720" s="6"/>
      <c r="GY720" s="6"/>
      <c r="GZ720" s="6"/>
      <c r="HA720" s="6"/>
      <c r="HB720" s="6"/>
      <c r="HC720" s="6"/>
      <c r="HD720" s="6"/>
      <c r="HE720" s="6"/>
      <c r="HF720" s="6"/>
      <c r="HG720" s="6"/>
      <c r="HH720" s="6"/>
    </row>
    <row r="721" spans="1:216" x14ac:dyDescent="0.3">
      <c r="A721" s="8"/>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c r="FZ721" s="6"/>
      <c r="GA721" s="6"/>
      <c r="GB721" s="6"/>
      <c r="GC721" s="6"/>
      <c r="GD721" s="6"/>
      <c r="GE721" s="6"/>
      <c r="GF721" s="6"/>
      <c r="GG721" s="6"/>
      <c r="GH721" s="6"/>
      <c r="GI721" s="6"/>
      <c r="GJ721" s="6"/>
      <c r="GK721" s="6"/>
      <c r="GL721" s="6"/>
      <c r="GM721" s="6"/>
      <c r="GN721" s="6"/>
      <c r="GO721" s="6"/>
      <c r="GP721" s="6"/>
      <c r="GQ721" s="6"/>
      <c r="GR721" s="6"/>
      <c r="GS721" s="6"/>
      <c r="GT721" s="6"/>
      <c r="GU721" s="6"/>
      <c r="GV721" s="6"/>
      <c r="GW721" s="6"/>
      <c r="GX721" s="6"/>
      <c r="GY721" s="6"/>
      <c r="GZ721" s="6"/>
      <c r="HA721" s="6"/>
      <c r="HB721" s="6"/>
      <c r="HC721" s="6"/>
      <c r="HD721" s="6"/>
      <c r="HE721" s="6"/>
      <c r="HF721" s="6"/>
      <c r="HG721" s="6"/>
      <c r="HH721" s="6"/>
    </row>
    <row r="722" spans="1:216" x14ac:dyDescent="0.3">
      <c r="A722" s="8"/>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c r="FZ722" s="6"/>
      <c r="GA722" s="6"/>
      <c r="GB722" s="6"/>
      <c r="GC722" s="6"/>
      <c r="GD722" s="6"/>
      <c r="GE722" s="6"/>
      <c r="GF722" s="6"/>
      <c r="GG722" s="6"/>
      <c r="GH722" s="6"/>
      <c r="GI722" s="6"/>
      <c r="GJ722" s="6"/>
      <c r="GK722" s="6"/>
      <c r="GL722" s="6"/>
      <c r="GM722" s="6"/>
      <c r="GN722" s="6"/>
      <c r="GO722" s="6"/>
      <c r="GP722" s="6"/>
      <c r="GQ722" s="6"/>
      <c r="GR722" s="6"/>
      <c r="GS722" s="6"/>
      <c r="GT722" s="6"/>
      <c r="GU722" s="6"/>
      <c r="GV722" s="6"/>
      <c r="GW722" s="6"/>
      <c r="GX722" s="6"/>
      <c r="GY722" s="6"/>
      <c r="GZ722" s="6"/>
      <c r="HA722" s="6"/>
      <c r="HB722" s="6"/>
      <c r="HC722" s="6"/>
      <c r="HD722" s="6"/>
      <c r="HE722" s="6"/>
      <c r="HF722" s="6"/>
      <c r="HG722" s="6"/>
      <c r="HH722" s="6"/>
    </row>
    <row r="723" spans="1:216" x14ac:dyDescent="0.3">
      <c r="A723" s="8"/>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c r="FZ723" s="6"/>
      <c r="GA723" s="6"/>
      <c r="GB723" s="6"/>
      <c r="GC723" s="6"/>
      <c r="GD723" s="6"/>
      <c r="GE723" s="6"/>
      <c r="GF723" s="6"/>
      <c r="GG723" s="6"/>
      <c r="GH723" s="6"/>
      <c r="GI723" s="6"/>
      <c r="GJ723" s="6"/>
      <c r="GK723" s="6"/>
      <c r="GL723" s="6"/>
      <c r="GM723" s="6"/>
      <c r="GN723" s="6"/>
      <c r="GO723" s="6"/>
      <c r="GP723" s="6"/>
      <c r="GQ723" s="6"/>
      <c r="GR723" s="6"/>
      <c r="GS723" s="6"/>
      <c r="GT723" s="6"/>
      <c r="GU723" s="6"/>
      <c r="GV723" s="6"/>
      <c r="GW723" s="6"/>
      <c r="GX723" s="6"/>
      <c r="GY723" s="6"/>
      <c r="GZ723" s="6"/>
      <c r="HA723" s="6"/>
      <c r="HB723" s="6"/>
      <c r="HC723" s="6"/>
      <c r="HD723" s="6"/>
      <c r="HE723" s="6"/>
      <c r="HF723" s="6"/>
      <c r="HG723" s="6"/>
      <c r="HH723" s="6"/>
    </row>
    <row r="724" spans="1:216" x14ac:dyDescent="0.3">
      <c r="A724" s="8"/>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c r="FZ724" s="6"/>
      <c r="GA724" s="6"/>
      <c r="GB724" s="6"/>
      <c r="GC724" s="6"/>
      <c r="GD724" s="6"/>
      <c r="GE724" s="6"/>
      <c r="GF724" s="6"/>
      <c r="GG724" s="6"/>
      <c r="GH724" s="6"/>
      <c r="GI724" s="6"/>
      <c r="GJ724" s="6"/>
      <c r="GK724" s="6"/>
      <c r="GL724" s="6"/>
      <c r="GM724" s="6"/>
      <c r="GN724" s="6"/>
      <c r="GO724" s="6"/>
      <c r="GP724" s="6"/>
      <c r="GQ724" s="6"/>
      <c r="GR724" s="6"/>
      <c r="GS724" s="6"/>
      <c r="GT724" s="6"/>
      <c r="GU724" s="6"/>
      <c r="GV724" s="6"/>
      <c r="GW724" s="6"/>
      <c r="GX724" s="6"/>
      <c r="GY724" s="6"/>
      <c r="GZ724" s="6"/>
      <c r="HA724" s="6"/>
      <c r="HB724" s="6"/>
      <c r="HC724" s="6"/>
      <c r="HD724" s="6"/>
      <c r="HE724" s="6"/>
      <c r="HF724" s="6"/>
      <c r="HG724" s="6"/>
      <c r="HH724" s="6"/>
    </row>
    <row r="725" spans="1:216" x14ac:dyDescent="0.3">
      <c r="A725" s="8"/>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c r="FZ725" s="6"/>
      <c r="GA725" s="6"/>
      <c r="GB725" s="6"/>
      <c r="GC725" s="6"/>
      <c r="GD725" s="6"/>
      <c r="GE725" s="6"/>
      <c r="GF725" s="6"/>
      <c r="GG725" s="6"/>
      <c r="GH725" s="6"/>
      <c r="GI725" s="6"/>
      <c r="GJ725" s="6"/>
      <c r="GK725" s="6"/>
      <c r="GL725" s="6"/>
      <c r="GM725" s="6"/>
      <c r="GN725" s="6"/>
      <c r="GO725" s="6"/>
      <c r="GP725" s="6"/>
      <c r="GQ725" s="6"/>
      <c r="GR725" s="6"/>
      <c r="GS725" s="6"/>
      <c r="GT725" s="6"/>
      <c r="GU725" s="6"/>
      <c r="GV725" s="6"/>
      <c r="GW725" s="6"/>
      <c r="GX725" s="6"/>
      <c r="GY725" s="6"/>
      <c r="GZ725" s="6"/>
      <c r="HA725" s="6"/>
      <c r="HB725" s="6"/>
      <c r="HC725" s="6"/>
      <c r="HD725" s="6"/>
      <c r="HE725" s="6"/>
      <c r="HF725" s="6"/>
      <c r="HG725" s="6"/>
      <c r="HH725" s="6"/>
    </row>
    <row r="726" spans="1:216" x14ac:dyDescent="0.3">
      <c r="A726" s="8"/>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c r="FZ726" s="6"/>
      <c r="GA726" s="6"/>
      <c r="GB726" s="6"/>
      <c r="GC726" s="6"/>
      <c r="GD726" s="6"/>
      <c r="GE726" s="6"/>
      <c r="GF726" s="6"/>
      <c r="GG726" s="6"/>
      <c r="GH726" s="6"/>
      <c r="GI726" s="6"/>
      <c r="GJ726" s="6"/>
      <c r="GK726" s="6"/>
      <c r="GL726" s="6"/>
      <c r="GM726" s="6"/>
      <c r="GN726" s="6"/>
      <c r="GO726" s="6"/>
      <c r="GP726" s="6"/>
      <c r="GQ726" s="6"/>
      <c r="GR726" s="6"/>
      <c r="GS726" s="6"/>
      <c r="GT726" s="6"/>
      <c r="GU726" s="6"/>
      <c r="GV726" s="6"/>
      <c r="GW726" s="6"/>
      <c r="GX726" s="6"/>
      <c r="GY726" s="6"/>
      <c r="GZ726" s="6"/>
      <c r="HA726" s="6"/>
      <c r="HB726" s="6"/>
      <c r="HC726" s="6"/>
      <c r="HD726" s="6"/>
      <c r="HE726" s="6"/>
      <c r="HF726" s="6"/>
      <c r="HG726" s="6"/>
      <c r="HH726" s="6"/>
    </row>
    <row r="727" spans="1:216" x14ac:dyDescent="0.3">
      <c r="A727" s="8"/>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c r="FZ727" s="6"/>
      <c r="GA727" s="6"/>
      <c r="GB727" s="6"/>
      <c r="GC727" s="6"/>
      <c r="GD727" s="6"/>
      <c r="GE727" s="6"/>
      <c r="GF727" s="6"/>
      <c r="GG727" s="6"/>
      <c r="GH727" s="6"/>
      <c r="GI727" s="6"/>
      <c r="GJ727" s="6"/>
      <c r="GK727" s="6"/>
      <c r="GL727" s="6"/>
      <c r="GM727" s="6"/>
      <c r="GN727" s="6"/>
      <c r="GO727" s="6"/>
      <c r="GP727" s="6"/>
      <c r="GQ727" s="6"/>
      <c r="GR727" s="6"/>
      <c r="GS727" s="6"/>
      <c r="GT727" s="6"/>
      <c r="GU727" s="6"/>
      <c r="GV727" s="6"/>
      <c r="GW727" s="6"/>
      <c r="GX727" s="6"/>
      <c r="GY727" s="6"/>
      <c r="GZ727" s="6"/>
      <c r="HA727" s="6"/>
      <c r="HB727" s="6"/>
      <c r="HC727" s="6"/>
      <c r="HD727" s="6"/>
      <c r="HE727" s="6"/>
      <c r="HF727" s="6"/>
      <c r="HG727" s="6"/>
      <c r="HH727" s="6"/>
    </row>
    <row r="728" spans="1:216" x14ac:dyDescent="0.3">
      <c r="A728" s="8"/>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c r="FZ728" s="6"/>
      <c r="GA728" s="6"/>
      <c r="GB728" s="6"/>
      <c r="GC728" s="6"/>
      <c r="GD728" s="6"/>
      <c r="GE728" s="6"/>
      <c r="GF728" s="6"/>
      <c r="GG728" s="6"/>
      <c r="GH728" s="6"/>
      <c r="GI728" s="6"/>
      <c r="GJ728" s="6"/>
      <c r="GK728" s="6"/>
      <c r="GL728" s="6"/>
      <c r="GM728" s="6"/>
      <c r="GN728" s="6"/>
      <c r="GO728" s="6"/>
      <c r="GP728" s="6"/>
      <c r="GQ728" s="6"/>
      <c r="GR728" s="6"/>
      <c r="GS728" s="6"/>
      <c r="GT728" s="6"/>
      <c r="GU728" s="6"/>
      <c r="GV728" s="6"/>
      <c r="GW728" s="6"/>
      <c r="GX728" s="6"/>
      <c r="GY728" s="6"/>
      <c r="GZ728" s="6"/>
      <c r="HA728" s="6"/>
      <c r="HB728" s="6"/>
      <c r="HC728" s="6"/>
      <c r="HD728" s="6"/>
      <c r="HE728" s="6"/>
      <c r="HF728" s="6"/>
      <c r="HG728" s="6"/>
      <c r="HH728" s="6"/>
    </row>
    <row r="729" spans="1:216" x14ac:dyDescent="0.3">
      <c r="A729" s="8"/>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c r="FZ729" s="6"/>
      <c r="GA729" s="6"/>
      <c r="GB729" s="6"/>
      <c r="GC729" s="6"/>
      <c r="GD729" s="6"/>
      <c r="GE729" s="6"/>
      <c r="GF729" s="6"/>
      <c r="GG729" s="6"/>
      <c r="GH729" s="6"/>
      <c r="GI729" s="6"/>
      <c r="GJ729" s="6"/>
      <c r="GK729" s="6"/>
      <c r="GL729" s="6"/>
      <c r="GM729" s="6"/>
      <c r="GN729" s="6"/>
      <c r="GO729" s="6"/>
      <c r="GP729" s="6"/>
      <c r="GQ729" s="6"/>
      <c r="GR729" s="6"/>
      <c r="GS729" s="6"/>
      <c r="GT729" s="6"/>
      <c r="GU729" s="6"/>
      <c r="GV729" s="6"/>
      <c r="GW729" s="6"/>
      <c r="GX729" s="6"/>
      <c r="GY729" s="6"/>
      <c r="GZ729" s="6"/>
      <c r="HA729" s="6"/>
      <c r="HB729" s="6"/>
      <c r="HC729" s="6"/>
      <c r="HD729" s="6"/>
      <c r="HE729" s="6"/>
      <c r="HF729" s="6"/>
      <c r="HG729" s="6"/>
      <c r="HH729" s="6"/>
    </row>
    <row r="730" spans="1:216" x14ac:dyDescent="0.3">
      <c r="A730" s="8"/>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c r="FZ730" s="6"/>
      <c r="GA730" s="6"/>
      <c r="GB730" s="6"/>
      <c r="GC730" s="6"/>
      <c r="GD730" s="6"/>
      <c r="GE730" s="6"/>
      <c r="GF730" s="6"/>
      <c r="GG730" s="6"/>
      <c r="GH730" s="6"/>
      <c r="GI730" s="6"/>
      <c r="GJ730" s="6"/>
      <c r="GK730" s="6"/>
      <c r="GL730" s="6"/>
      <c r="GM730" s="6"/>
      <c r="GN730" s="6"/>
      <c r="GO730" s="6"/>
      <c r="GP730" s="6"/>
      <c r="GQ730" s="6"/>
      <c r="GR730" s="6"/>
      <c r="GS730" s="6"/>
      <c r="GT730" s="6"/>
      <c r="GU730" s="6"/>
      <c r="GV730" s="6"/>
      <c r="GW730" s="6"/>
      <c r="GX730" s="6"/>
      <c r="GY730" s="6"/>
      <c r="GZ730" s="6"/>
      <c r="HA730" s="6"/>
      <c r="HB730" s="6"/>
      <c r="HC730" s="6"/>
      <c r="HD730" s="6"/>
      <c r="HE730" s="6"/>
      <c r="HF730" s="6"/>
      <c r="HG730" s="6"/>
      <c r="HH730" s="6"/>
    </row>
    <row r="731" spans="1:216" x14ac:dyDescent="0.3">
      <c r="A731" s="8"/>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c r="FZ731" s="6"/>
      <c r="GA731" s="6"/>
      <c r="GB731" s="6"/>
      <c r="GC731" s="6"/>
      <c r="GD731" s="6"/>
      <c r="GE731" s="6"/>
      <c r="GF731" s="6"/>
      <c r="GG731" s="6"/>
      <c r="GH731" s="6"/>
      <c r="GI731" s="6"/>
      <c r="GJ731" s="6"/>
      <c r="GK731" s="6"/>
      <c r="GL731" s="6"/>
      <c r="GM731" s="6"/>
      <c r="GN731" s="6"/>
      <c r="GO731" s="6"/>
      <c r="GP731" s="6"/>
      <c r="GQ731" s="6"/>
      <c r="GR731" s="6"/>
      <c r="GS731" s="6"/>
      <c r="GT731" s="6"/>
      <c r="GU731" s="6"/>
      <c r="GV731" s="6"/>
      <c r="GW731" s="6"/>
      <c r="GX731" s="6"/>
      <c r="GY731" s="6"/>
      <c r="GZ731" s="6"/>
      <c r="HA731" s="6"/>
      <c r="HB731" s="6"/>
      <c r="HC731" s="6"/>
      <c r="HD731" s="6"/>
      <c r="HE731" s="6"/>
      <c r="HF731" s="6"/>
      <c r="HG731" s="6"/>
      <c r="HH731" s="6"/>
    </row>
    <row r="732" spans="1:216" x14ac:dyDescent="0.3">
      <c r="A732" s="8"/>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c r="FZ732" s="6"/>
      <c r="GA732" s="6"/>
      <c r="GB732" s="6"/>
      <c r="GC732" s="6"/>
      <c r="GD732" s="6"/>
      <c r="GE732" s="6"/>
      <c r="GF732" s="6"/>
      <c r="GG732" s="6"/>
      <c r="GH732" s="6"/>
      <c r="GI732" s="6"/>
      <c r="GJ732" s="6"/>
      <c r="GK732" s="6"/>
      <c r="GL732" s="6"/>
      <c r="GM732" s="6"/>
      <c r="GN732" s="6"/>
      <c r="GO732" s="6"/>
      <c r="GP732" s="6"/>
      <c r="GQ732" s="6"/>
      <c r="GR732" s="6"/>
      <c r="GS732" s="6"/>
      <c r="GT732" s="6"/>
      <c r="GU732" s="6"/>
      <c r="GV732" s="6"/>
      <c r="GW732" s="6"/>
      <c r="GX732" s="6"/>
      <c r="GY732" s="6"/>
      <c r="GZ732" s="6"/>
      <c r="HA732" s="6"/>
      <c r="HB732" s="6"/>
      <c r="HC732" s="6"/>
      <c r="HD732" s="6"/>
      <c r="HE732" s="6"/>
      <c r="HF732" s="6"/>
      <c r="HG732" s="6"/>
      <c r="HH732" s="6"/>
    </row>
    <row r="733" spans="1:216" x14ac:dyDescent="0.3">
      <c r="A733" s="8"/>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c r="FZ733" s="6"/>
      <c r="GA733" s="6"/>
      <c r="GB733" s="6"/>
      <c r="GC733" s="6"/>
      <c r="GD733" s="6"/>
      <c r="GE733" s="6"/>
      <c r="GF733" s="6"/>
      <c r="GG733" s="6"/>
      <c r="GH733" s="6"/>
      <c r="GI733" s="6"/>
      <c r="GJ733" s="6"/>
      <c r="GK733" s="6"/>
      <c r="GL733" s="6"/>
      <c r="GM733" s="6"/>
      <c r="GN733" s="6"/>
      <c r="GO733" s="6"/>
      <c r="GP733" s="6"/>
      <c r="GQ733" s="6"/>
      <c r="GR733" s="6"/>
      <c r="GS733" s="6"/>
      <c r="GT733" s="6"/>
      <c r="GU733" s="6"/>
      <c r="GV733" s="6"/>
      <c r="GW733" s="6"/>
      <c r="GX733" s="6"/>
      <c r="GY733" s="6"/>
      <c r="GZ733" s="6"/>
      <c r="HA733" s="6"/>
      <c r="HB733" s="6"/>
      <c r="HC733" s="6"/>
      <c r="HD733" s="6"/>
      <c r="HE733" s="6"/>
      <c r="HF733" s="6"/>
      <c r="HG733" s="6"/>
      <c r="HH733" s="6"/>
    </row>
    <row r="734" spans="1:216" x14ac:dyDescent="0.3">
      <c r="A734" s="8"/>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c r="FZ734" s="6"/>
      <c r="GA734" s="6"/>
      <c r="GB734" s="6"/>
      <c r="GC734" s="6"/>
      <c r="GD734" s="6"/>
      <c r="GE734" s="6"/>
      <c r="GF734" s="6"/>
      <c r="GG734" s="6"/>
      <c r="GH734" s="6"/>
      <c r="GI734" s="6"/>
      <c r="GJ734" s="6"/>
      <c r="GK734" s="6"/>
      <c r="GL734" s="6"/>
      <c r="GM734" s="6"/>
      <c r="GN734" s="6"/>
      <c r="GO734" s="6"/>
      <c r="GP734" s="6"/>
      <c r="GQ734" s="6"/>
      <c r="GR734" s="6"/>
      <c r="GS734" s="6"/>
      <c r="GT734" s="6"/>
      <c r="GU734" s="6"/>
      <c r="GV734" s="6"/>
      <c r="GW734" s="6"/>
      <c r="GX734" s="6"/>
      <c r="GY734" s="6"/>
      <c r="GZ734" s="6"/>
      <c r="HA734" s="6"/>
      <c r="HB734" s="6"/>
      <c r="HC734" s="6"/>
      <c r="HD734" s="6"/>
      <c r="HE734" s="6"/>
      <c r="HF734" s="6"/>
      <c r="HG734" s="6"/>
      <c r="HH734" s="6"/>
    </row>
    <row r="735" spans="1:216" x14ac:dyDescent="0.3">
      <c r="A735" s="8"/>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c r="FZ735" s="6"/>
      <c r="GA735" s="6"/>
      <c r="GB735" s="6"/>
      <c r="GC735" s="6"/>
      <c r="GD735" s="6"/>
      <c r="GE735" s="6"/>
      <c r="GF735" s="6"/>
      <c r="GG735" s="6"/>
      <c r="GH735" s="6"/>
      <c r="GI735" s="6"/>
      <c r="GJ735" s="6"/>
      <c r="GK735" s="6"/>
      <c r="GL735" s="6"/>
      <c r="GM735" s="6"/>
      <c r="GN735" s="6"/>
      <c r="GO735" s="6"/>
      <c r="GP735" s="6"/>
      <c r="GQ735" s="6"/>
      <c r="GR735" s="6"/>
      <c r="GS735" s="6"/>
      <c r="GT735" s="6"/>
      <c r="GU735" s="6"/>
      <c r="GV735" s="6"/>
      <c r="GW735" s="6"/>
      <c r="GX735" s="6"/>
      <c r="GY735" s="6"/>
      <c r="GZ735" s="6"/>
      <c r="HA735" s="6"/>
      <c r="HB735" s="6"/>
      <c r="HC735" s="6"/>
      <c r="HD735" s="6"/>
      <c r="HE735" s="6"/>
      <c r="HF735" s="6"/>
      <c r="HG735" s="6"/>
      <c r="HH735" s="6"/>
    </row>
    <row r="736" spans="1:216" x14ac:dyDescent="0.3">
      <c r="A736" s="8"/>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c r="FZ736" s="6"/>
      <c r="GA736" s="6"/>
      <c r="GB736" s="6"/>
      <c r="GC736" s="6"/>
      <c r="GD736" s="6"/>
      <c r="GE736" s="6"/>
      <c r="GF736" s="6"/>
      <c r="GG736" s="6"/>
      <c r="GH736" s="6"/>
      <c r="GI736" s="6"/>
      <c r="GJ736" s="6"/>
      <c r="GK736" s="6"/>
      <c r="GL736" s="6"/>
      <c r="GM736" s="6"/>
      <c r="GN736" s="6"/>
      <c r="GO736" s="6"/>
      <c r="GP736" s="6"/>
      <c r="GQ736" s="6"/>
      <c r="GR736" s="6"/>
      <c r="GS736" s="6"/>
      <c r="GT736" s="6"/>
      <c r="GU736" s="6"/>
      <c r="GV736" s="6"/>
      <c r="GW736" s="6"/>
      <c r="GX736" s="6"/>
      <c r="GY736" s="6"/>
      <c r="GZ736" s="6"/>
      <c r="HA736" s="6"/>
      <c r="HB736" s="6"/>
      <c r="HC736" s="6"/>
      <c r="HD736" s="6"/>
      <c r="HE736" s="6"/>
      <c r="HF736" s="6"/>
      <c r="HG736" s="6"/>
      <c r="HH736" s="6"/>
    </row>
    <row r="737" spans="1:216" x14ac:dyDescent="0.3">
      <c r="A737" s="8"/>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c r="FZ737" s="6"/>
      <c r="GA737" s="6"/>
      <c r="GB737" s="6"/>
      <c r="GC737" s="6"/>
      <c r="GD737" s="6"/>
      <c r="GE737" s="6"/>
      <c r="GF737" s="6"/>
      <c r="GG737" s="6"/>
      <c r="GH737" s="6"/>
      <c r="GI737" s="6"/>
      <c r="GJ737" s="6"/>
      <c r="GK737" s="6"/>
      <c r="GL737" s="6"/>
      <c r="GM737" s="6"/>
      <c r="GN737" s="6"/>
      <c r="GO737" s="6"/>
      <c r="GP737" s="6"/>
      <c r="GQ737" s="6"/>
      <c r="GR737" s="6"/>
      <c r="GS737" s="6"/>
      <c r="GT737" s="6"/>
      <c r="GU737" s="6"/>
      <c r="GV737" s="6"/>
      <c r="GW737" s="6"/>
      <c r="GX737" s="6"/>
      <c r="GY737" s="6"/>
      <c r="GZ737" s="6"/>
      <c r="HA737" s="6"/>
      <c r="HB737" s="6"/>
      <c r="HC737" s="6"/>
      <c r="HD737" s="6"/>
      <c r="HE737" s="6"/>
      <c r="HF737" s="6"/>
      <c r="HG737" s="6"/>
      <c r="HH737" s="6"/>
    </row>
    <row r="738" spans="1:216" x14ac:dyDescent="0.3">
      <c r="A738" s="8"/>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c r="FZ738" s="6"/>
      <c r="GA738" s="6"/>
      <c r="GB738" s="6"/>
      <c r="GC738" s="6"/>
      <c r="GD738" s="6"/>
      <c r="GE738" s="6"/>
      <c r="GF738" s="6"/>
      <c r="GG738" s="6"/>
      <c r="GH738" s="6"/>
      <c r="GI738" s="6"/>
      <c r="GJ738" s="6"/>
      <c r="GK738" s="6"/>
      <c r="GL738" s="6"/>
      <c r="GM738" s="6"/>
      <c r="GN738" s="6"/>
      <c r="GO738" s="6"/>
      <c r="GP738" s="6"/>
      <c r="GQ738" s="6"/>
      <c r="GR738" s="6"/>
      <c r="GS738" s="6"/>
      <c r="GT738" s="6"/>
      <c r="GU738" s="6"/>
      <c r="GV738" s="6"/>
      <c r="GW738" s="6"/>
      <c r="GX738" s="6"/>
      <c r="GY738" s="6"/>
      <c r="GZ738" s="6"/>
      <c r="HA738" s="6"/>
      <c r="HB738" s="6"/>
      <c r="HC738" s="6"/>
      <c r="HD738" s="6"/>
      <c r="HE738" s="6"/>
      <c r="HF738" s="6"/>
      <c r="HG738" s="6"/>
      <c r="HH738" s="6"/>
    </row>
    <row r="739" spans="1:216" x14ac:dyDescent="0.3">
      <c r="A739" s="8"/>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c r="FZ739" s="6"/>
      <c r="GA739" s="6"/>
      <c r="GB739" s="6"/>
      <c r="GC739" s="6"/>
      <c r="GD739" s="6"/>
      <c r="GE739" s="6"/>
      <c r="GF739" s="6"/>
      <c r="GG739" s="6"/>
      <c r="GH739" s="6"/>
      <c r="GI739" s="6"/>
      <c r="GJ739" s="6"/>
      <c r="GK739" s="6"/>
      <c r="GL739" s="6"/>
      <c r="GM739" s="6"/>
      <c r="GN739" s="6"/>
      <c r="GO739" s="6"/>
      <c r="GP739" s="6"/>
      <c r="GQ739" s="6"/>
      <c r="GR739" s="6"/>
      <c r="GS739" s="6"/>
      <c r="GT739" s="6"/>
      <c r="GU739" s="6"/>
      <c r="GV739" s="6"/>
      <c r="GW739" s="6"/>
      <c r="GX739" s="6"/>
      <c r="GY739" s="6"/>
      <c r="GZ739" s="6"/>
      <c r="HA739" s="6"/>
      <c r="HB739" s="6"/>
      <c r="HC739" s="6"/>
      <c r="HD739" s="6"/>
      <c r="HE739" s="6"/>
      <c r="HF739" s="6"/>
      <c r="HG739" s="6"/>
      <c r="HH739" s="6"/>
    </row>
    <row r="740" spans="1:216" x14ac:dyDescent="0.3">
      <c r="A740" s="8"/>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c r="FZ740" s="6"/>
      <c r="GA740" s="6"/>
      <c r="GB740" s="6"/>
      <c r="GC740" s="6"/>
      <c r="GD740" s="6"/>
      <c r="GE740" s="6"/>
      <c r="GF740" s="6"/>
      <c r="GG740" s="6"/>
      <c r="GH740" s="6"/>
      <c r="GI740" s="6"/>
      <c r="GJ740" s="6"/>
      <c r="GK740" s="6"/>
      <c r="GL740" s="6"/>
      <c r="GM740" s="6"/>
      <c r="GN740" s="6"/>
      <c r="GO740" s="6"/>
      <c r="GP740" s="6"/>
      <c r="GQ740" s="6"/>
      <c r="GR740" s="6"/>
      <c r="GS740" s="6"/>
      <c r="GT740" s="6"/>
      <c r="GU740" s="6"/>
      <c r="GV740" s="6"/>
      <c r="GW740" s="6"/>
      <c r="GX740" s="6"/>
      <c r="GY740" s="6"/>
      <c r="GZ740" s="6"/>
      <c r="HA740" s="6"/>
      <c r="HB740" s="6"/>
      <c r="HC740" s="6"/>
      <c r="HD740" s="6"/>
      <c r="HE740" s="6"/>
      <c r="HF740" s="6"/>
      <c r="HG740" s="6"/>
      <c r="HH740" s="6"/>
    </row>
    <row r="741" spans="1:216" x14ac:dyDescent="0.3">
      <c r="A741" s="8"/>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c r="FZ741" s="6"/>
      <c r="GA741" s="6"/>
      <c r="GB741" s="6"/>
      <c r="GC741" s="6"/>
      <c r="GD741" s="6"/>
      <c r="GE741" s="6"/>
      <c r="GF741" s="6"/>
      <c r="GG741" s="6"/>
      <c r="GH741" s="6"/>
      <c r="GI741" s="6"/>
      <c r="GJ741" s="6"/>
      <c r="GK741" s="6"/>
      <c r="GL741" s="6"/>
      <c r="GM741" s="6"/>
      <c r="GN741" s="6"/>
      <c r="GO741" s="6"/>
      <c r="GP741" s="6"/>
      <c r="GQ741" s="6"/>
      <c r="GR741" s="6"/>
      <c r="GS741" s="6"/>
      <c r="GT741" s="6"/>
      <c r="GU741" s="6"/>
      <c r="GV741" s="6"/>
      <c r="GW741" s="6"/>
      <c r="GX741" s="6"/>
      <c r="GY741" s="6"/>
      <c r="GZ741" s="6"/>
      <c r="HA741" s="6"/>
      <c r="HB741" s="6"/>
      <c r="HC741" s="6"/>
      <c r="HD741" s="6"/>
      <c r="HE741" s="6"/>
      <c r="HF741" s="6"/>
      <c r="HG741" s="6"/>
      <c r="HH741" s="6"/>
    </row>
    <row r="742" spans="1:216" x14ac:dyDescent="0.3">
      <c r="A742" s="8"/>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c r="FZ742" s="6"/>
      <c r="GA742" s="6"/>
      <c r="GB742" s="6"/>
      <c r="GC742" s="6"/>
      <c r="GD742" s="6"/>
      <c r="GE742" s="6"/>
      <c r="GF742" s="6"/>
      <c r="GG742" s="6"/>
      <c r="GH742" s="6"/>
      <c r="GI742" s="6"/>
      <c r="GJ742" s="6"/>
      <c r="GK742" s="6"/>
      <c r="GL742" s="6"/>
      <c r="GM742" s="6"/>
      <c r="GN742" s="6"/>
      <c r="GO742" s="6"/>
      <c r="GP742" s="6"/>
      <c r="GQ742" s="6"/>
      <c r="GR742" s="6"/>
      <c r="GS742" s="6"/>
      <c r="GT742" s="6"/>
      <c r="GU742" s="6"/>
      <c r="GV742" s="6"/>
      <c r="GW742" s="6"/>
      <c r="GX742" s="6"/>
      <c r="GY742" s="6"/>
      <c r="GZ742" s="6"/>
      <c r="HA742" s="6"/>
      <c r="HB742" s="6"/>
      <c r="HC742" s="6"/>
      <c r="HD742" s="6"/>
      <c r="HE742" s="6"/>
      <c r="HF742" s="6"/>
      <c r="HG742" s="6"/>
      <c r="HH742" s="6"/>
    </row>
    <row r="743" spans="1:216" x14ac:dyDescent="0.3">
      <c r="A743" s="8"/>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c r="FZ743" s="6"/>
      <c r="GA743" s="6"/>
      <c r="GB743" s="6"/>
      <c r="GC743" s="6"/>
      <c r="GD743" s="6"/>
      <c r="GE743" s="6"/>
      <c r="GF743" s="6"/>
      <c r="GG743" s="6"/>
      <c r="GH743" s="6"/>
      <c r="GI743" s="6"/>
      <c r="GJ743" s="6"/>
      <c r="GK743" s="6"/>
      <c r="GL743" s="6"/>
      <c r="GM743" s="6"/>
      <c r="GN743" s="6"/>
      <c r="GO743" s="6"/>
      <c r="GP743" s="6"/>
      <c r="GQ743" s="6"/>
      <c r="GR743" s="6"/>
      <c r="GS743" s="6"/>
      <c r="GT743" s="6"/>
      <c r="GU743" s="6"/>
      <c r="GV743" s="6"/>
      <c r="GW743" s="6"/>
      <c r="GX743" s="6"/>
      <c r="GY743" s="6"/>
      <c r="GZ743" s="6"/>
      <c r="HA743" s="6"/>
      <c r="HB743" s="6"/>
      <c r="HC743" s="6"/>
      <c r="HD743" s="6"/>
      <c r="HE743" s="6"/>
      <c r="HF743" s="6"/>
      <c r="HG743" s="6"/>
      <c r="HH743" s="6"/>
    </row>
    <row r="744" spans="1:216" x14ac:dyDescent="0.3">
      <c r="A744" s="8"/>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c r="FZ744" s="6"/>
      <c r="GA744" s="6"/>
      <c r="GB744" s="6"/>
      <c r="GC744" s="6"/>
      <c r="GD744" s="6"/>
      <c r="GE744" s="6"/>
      <c r="GF744" s="6"/>
      <c r="GG744" s="6"/>
      <c r="GH744" s="6"/>
      <c r="GI744" s="6"/>
      <c r="GJ744" s="6"/>
      <c r="GK744" s="6"/>
      <c r="GL744" s="6"/>
      <c r="GM744" s="6"/>
      <c r="GN744" s="6"/>
      <c r="GO744" s="6"/>
      <c r="GP744" s="6"/>
      <c r="GQ744" s="6"/>
      <c r="GR744" s="6"/>
      <c r="GS744" s="6"/>
      <c r="GT744" s="6"/>
      <c r="GU744" s="6"/>
      <c r="GV744" s="6"/>
      <c r="GW744" s="6"/>
      <c r="GX744" s="6"/>
      <c r="GY744" s="6"/>
      <c r="GZ744" s="6"/>
      <c r="HA744" s="6"/>
      <c r="HB744" s="6"/>
      <c r="HC744" s="6"/>
      <c r="HD744" s="6"/>
      <c r="HE744" s="6"/>
      <c r="HF744" s="6"/>
      <c r="HG744" s="6"/>
      <c r="HH744" s="6"/>
    </row>
    <row r="745" spans="1:216" x14ac:dyDescent="0.3">
      <c r="A745" s="8"/>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row>
    <row r="746" spans="1:216" x14ac:dyDescent="0.3">
      <c r="A746" s="8"/>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row>
    <row r="747" spans="1:216" x14ac:dyDescent="0.3">
      <c r="A747" s="8"/>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row>
    <row r="748" spans="1:216" x14ac:dyDescent="0.3">
      <c r="A748" s="8"/>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row>
    <row r="749" spans="1:216" x14ac:dyDescent="0.3">
      <c r="A749" s="8"/>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c r="FZ749" s="6"/>
      <c r="GA749" s="6"/>
      <c r="GB749" s="6"/>
      <c r="GC749" s="6"/>
      <c r="GD749" s="6"/>
      <c r="GE749" s="6"/>
      <c r="GF749" s="6"/>
      <c r="GG749" s="6"/>
      <c r="GH749" s="6"/>
      <c r="GI749" s="6"/>
      <c r="GJ749" s="6"/>
      <c r="GK749" s="6"/>
      <c r="GL749" s="6"/>
      <c r="GM749" s="6"/>
      <c r="GN749" s="6"/>
      <c r="GO749" s="6"/>
      <c r="GP749" s="6"/>
      <c r="GQ749" s="6"/>
      <c r="GR749" s="6"/>
      <c r="GS749" s="6"/>
      <c r="GT749" s="6"/>
      <c r="GU749" s="6"/>
      <c r="GV749" s="6"/>
      <c r="GW749" s="6"/>
      <c r="GX749" s="6"/>
      <c r="GY749" s="6"/>
      <c r="GZ749" s="6"/>
      <c r="HA749" s="6"/>
      <c r="HB749" s="6"/>
      <c r="HC749" s="6"/>
      <c r="HD749" s="6"/>
      <c r="HE749" s="6"/>
      <c r="HF749" s="6"/>
      <c r="HG749" s="6"/>
      <c r="HH749" s="6"/>
    </row>
    <row r="750" spans="1:216" x14ac:dyDescent="0.3">
      <c r="A750" s="8"/>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c r="FZ750" s="6"/>
      <c r="GA750" s="6"/>
      <c r="GB750" s="6"/>
      <c r="GC750" s="6"/>
      <c r="GD750" s="6"/>
      <c r="GE750" s="6"/>
      <c r="GF750" s="6"/>
      <c r="GG750" s="6"/>
      <c r="GH750" s="6"/>
      <c r="GI750" s="6"/>
      <c r="GJ750" s="6"/>
      <c r="GK750" s="6"/>
      <c r="GL750" s="6"/>
      <c r="GM750" s="6"/>
      <c r="GN750" s="6"/>
      <c r="GO750" s="6"/>
      <c r="GP750" s="6"/>
      <c r="GQ750" s="6"/>
      <c r="GR750" s="6"/>
      <c r="GS750" s="6"/>
      <c r="GT750" s="6"/>
      <c r="GU750" s="6"/>
      <c r="GV750" s="6"/>
      <c r="GW750" s="6"/>
      <c r="GX750" s="6"/>
      <c r="GY750" s="6"/>
      <c r="GZ750" s="6"/>
      <c r="HA750" s="6"/>
      <c r="HB750" s="6"/>
      <c r="HC750" s="6"/>
      <c r="HD750" s="6"/>
      <c r="HE750" s="6"/>
      <c r="HF750" s="6"/>
      <c r="HG750" s="6"/>
      <c r="HH750" s="6"/>
    </row>
    <row r="751" spans="1:216" x14ac:dyDescent="0.3">
      <c r="A751" s="8"/>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c r="FZ751" s="6"/>
      <c r="GA751" s="6"/>
      <c r="GB751" s="6"/>
      <c r="GC751" s="6"/>
      <c r="GD751" s="6"/>
      <c r="GE751" s="6"/>
      <c r="GF751" s="6"/>
      <c r="GG751" s="6"/>
      <c r="GH751" s="6"/>
      <c r="GI751" s="6"/>
      <c r="GJ751" s="6"/>
      <c r="GK751" s="6"/>
      <c r="GL751" s="6"/>
      <c r="GM751" s="6"/>
      <c r="GN751" s="6"/>
      <c r="GO751" s="6"/>
      <c r="GP751" s="6"/>
      <c r="GQ751" s="6"/>
      <c r="GR751" s="6"/>
      <c r="GS751" s="6"/>
      <c r="GT751" s="6"/>
      <c r="GU751" s="6"/>
      <c r="GV751" s="6"/>
      <c r="GW751" s="6"/>
      <c r="GX751" s="6"/>
      <c r="GY751" s="6"/>
      <c r="GZ751" s="6"/>
      <c r="HA751" s="6"/>
      <c r="HB751" s="6"/>
      <c r="HC751" s="6"/>
      <c r="HD751" s="6"/>
      <c r="HE751" s="6"/>
      <c r="HF751" s="6"/>
      <c r="HG751" s="6"/>
      <c r="HH751" s="6"/>
    </row>
    <row r="752" spans="1:216" x14ac:dyDescent="0.3">
      <c r="A752" s="8"/>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c r="FZ752" s="6"/>
      <c r="GA752" s="6"/>
      <c r="GB752" s="6"/>
      <c r="GC752" s="6"/>
      <c r="GD752" s="6"/>
      <c r="GE752" s="6"/>
      <c r="GF752" s="6"/>
      <c r="GG752" s="6"/>
      <c r="GH752" s="6"/>
      <c r="GI752" s="6"/>
      <c r="GJ752" s="6"/>
      <c r="GK752" s="6"/>
      <c r="GL752" s="6"/>
      <c r="GM752" s="6"/>
      <c r="GN752" s="6"/>
      <c r="GO752" s="6"/>
      <c r="GP752" s="6"/>
      <c r="GQ752" s="6"/>
      <c r="GR752" s="6"/>
      <c r="GS752" s="6"/>
      <c r="GT752" s="6"/>
      <c r="GU752" s="6"/>
      <c r="GV752" s="6"/>
      <c r="GW752" s="6"/>
      <c r="GX752" s="6"/>
      <c r="GY752" s="6"/>
      <c r="GZ752" s="6"/>
      <c r="HA752" s="6"/>
      <c r="HB752" s="6"/>
      <c r="HC752" s="6"/>
      <c r="HD752" s="6"/>
      <c r="HE752" s="6"/>
      <c r="HF752" s="6"/>
      <c r="HG752" s="6"/>
      <c r="HH752" s="6"/>
    </row>
    <row r="753" spans="1:216" x14ac:dyDescent="0.3">
      <c r="A753" s="8"/>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c r="FZ753" s="6"/>
      <c r="GA753" s="6"/>
      <c r="GB753" s="6"/>
      <c r="GC753" s="6"/>
      <c r="GD753" s="6"/>
      <c r="GE753" s="6"/>
      <c r="GF753" s="6"/>
      <c r="GG753" s="6"/>
      <c r="GH753" s="6"/>
      <c r="GI753" s="6"/>
      <c r="GJ753" s="6"/>
      <c r="GK753" s="6"/>
      <c r="GL753" s="6"/>
      <c r="GM753" s="6"/>
      <c r="GN753" s="6"/>
      <c r="GO753" s="6"/>
      <c r="GP753" s="6"/>
      <c r="GQ753" s="6"/>
      <c r="GR753" s="6"/>
      <c r="GS753" s="6"/>
      <c r="GT753" s="6"/>
      <c r="GU753" s="6"/>
      <c r="GV753" s="6"/>
      <c r="GW753" s="6"/>
      <c r="GX753" s="6"/>
      <c r="GY753" s="6"/>
      <c r="GZ753" s="6"/>
      <c r="HA753" s="6"/>
      <c r="HB753" s="6"/>
      <c r="HC753" s="6"/>
      <c r="HD753" s="6"/>
      <c r="HE753" s="6"/>
      <c r="HF753" s="6"/>
      <c r="HG753" s="6"/>
      <c r="HH753" s="6"/>
    </row>
    <row r="754" spans="1:216" x14ac:dyDescent="0.3">
      <c r="A754" s="8"/>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c r="FZ754" s="6"/>
      <c r="GA754" s="6"/>
      <c r="GB754" s="6"/>
      <c r="GC754" s="6"/>
      <c r="GD754" s="6"/>
      <c r="GE754" s="6"/>
      <c r="GF754" s="6"/>
      <c r="GG754" s="6"/>
      <c r="GH754" s="6"/>
      <c r="GI754" s="6"/>
      <c r="GJ754" s="6"/>
      <c r="GK754" s="6"/>
      <c r="GL754" s="6"/>
      <c r="GM754" s="6"/>
      <c r="GN754" s="6"/>
      <c r="GO754" s="6"/>
      <c r="GP754" s="6"/>
      <c r="GQ754" s="6"/>
      <c r="GR754" s="6"/>
      <c r="GS754" s="6"/>
      <c r="GT754" s="6"/>
      <c r="GU754" s="6"/>
      <c r="GV754" s="6"/>
      <c r="GW754" s="6"/>
      <c r="GX754" s="6"/>
      <c r="GY754" s="6"/>
      <c r="GZ754" s="6"/>
      <c r="HA754" s="6"/>
      <c r="HB754" s="6"/>
      <c r="HC754" s="6"/>
      <c r="HD754" s="6"/>
      <c r="HE754" s="6"/>
      <c r="HF754" s="6"/>
      <c r="HG754" s="6"/>
      <c r="HH754" s="6"/>
    </row>
    <row r="755" spans="1:216" x14ac:dyDescent="0.3">
      <c r="A755" s="8"/>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c r="FZ755" s="6"/>
      <c r="GA755" s="6"/>
      <c r="GB755" s="6"/>
      <c r="GC755" s="6"/>
      <c r="GD755" s="6"/>
      <c r="GE755" s="6"/>
      <c r="GF755" s="6"/>
      <c r="GG755" s="6"/>
      <c r="GH755" s="6"/>
      <c r="GI755" s="6"/>
      <c r="GJ755" s="6"/>
      <c r="GK755" s="6"/>
      <c r="GL755" s="6"/>
      <c r="GM755" s="6"/>
      <c r="GN755" s="6"/>
      <c r="GO755" s="6"/>
      <c r="GP755" s="6"/>
      <c r="GQ755" s="6"/>
      <c r="GR755" s="6"/>
      <c r="GS755" s="6"/>
      <c r="GT755" s="6"/>
      <c r="GU755" s="6"/>
      <c r="GV755" s="6"/>
      <c r="GW755" s="6"/>
      <c r="GX755" s="6"/>
      <c r="GY755" s="6"/>
      <c r="GZ755" s="6"/>
      <c r="HA755" s="6"/>
      <c r="HB755" s="6"/>
      <c r="HC755" s="6"/>
      <c r="HD755" s="6"/>
      <c r="HE755" s="6"/>
      <c r="HF755" s="6"/>
      <c r="HG755" s="6"/>
      <c r="HH755" s="6"/>
    </row>
    <row r="756" spans="1:216" x14ac:dyDescent="0.3">
      <c r="A756" s="8"/>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c r="FZ756" s="6"/>
      <c r="GA756" s="6"/>
      <c r="GB756" s="6"/>
      <c r="GC756" s="6"/>
      <c r="GD756" s="6"/>
      <c r="GE756" s="6"/>
      <c r="GF756" s="6"/>
      <c r="GG756" s="6"/>
      <c r="GH756" s="6"/>
      <c r="GI756" s="6"/>
      <c r="GJ756" s="6"/>
      <c r="GK756" s="6"/>
      <c r="GL756" s="6"/>
      <c r="GM756" s="6"/>
      <c r="GN756" s="6"/>
      <c r="GO756" s="6"/>
      <c r="GP756" s="6"/>
      <c r="GQ756" s="6"/>
      <c r="GR756" s="6"/>
      <c r="GS756" s="6"/>
      <c r="GT756" s="6"/>
      <c r="GU756" s="6"/>
      <c r="GV756" s="6"/>
      <c r="GW756" s="6"/>
      <c r="GX756" s="6"/>
      <c r="GY756" s="6"/>
      <c r="GZ756" s="6"/>
      <c r="HA756" s="6"/>
      <c r="HB756" s="6"/>
      <c r="HC756" s="6"/>
      <c r="HD756" s="6"/>
      <c r="HE756" s="6"/>
      <c r="HF756" s="6"/>
      <c r="HG756" s="6"/>
      <c r="HH756" s="6"/>
    </row>
    <row r="757" spans="1:216" x14ac:dyDescent="0.3">
      <c r="A757" s="8"/>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row>
    <row r="758" spans="1:216" x14ac:dyDescent="0.3">
      <c r="A758" s="8"/>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row>
    <row r="759" spans="1:216" x14ac:dyDescent="0.3">
      <c r="A759" s="8"/>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row>
    <row r="760" spans="1:216" x14ac:dyDescent="0.3">
      <c r="A760" s="8"/>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row>
    <row r="761" spans="1:216" x14ac:dyDescent="0.3">
      <c r="A761" s="8"/>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row>
    <row r="762" spans="1:216" x14ac:dyDescent="0.3">
      <c r="A762" s="8"/>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row>
    <row r="763" spans="1:216" x14ac:dyDescent="0.3">
      <c r="A763" s="8"/>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row>
    <row r="764" spans="1:216" x14ac:dyDescent="0.3">
      <c r="A764" s="8"/>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row>
    <row r="765" spans="1:216" x14ac:dyDescent="0.3">
      <c r="A765" s="8"/>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row>
    <row r="766" spans="1:216" x14ac:dyDescent="0.3">
      <c r="A766" s="8"/>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row>
    <row r="767" spans="1:216" x14ac:dyDescent="0.3">
      <c r="A767" s="8"/>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row>
    <row r="768" spans="1:216" x14ac:dyDescent="0.3">
      <c r="A768" s="8"/>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row>
    <row r="769" spans="1:216" x14ac:dyDescent="0.3">
      <c r="A769" s="8"/>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row>
    <row r="770" spans="1:216" x14ac:dyDescent="0.3">
      <c r="A770" s="8"/>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row>
    <row r="771" spans="1:216" x14ac:dyDescent="0.3">
      <c r="A771" s="8"/>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row>
    <row r="772" spans="1:216" x14ac:dyDescent="0.3">
      <c r="A772" s="8"/>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row>
    <row r="773" spans="1:216" x14ac:dyDescent="0.3">
      <c r="A773" s="8"/>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row>
    <row r="774" spans="1:216" x14ac:dyDescent="0.3">
      <c r="A774" s="8"/>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row>
    <row r="775" spans="1:216" x14ac:dyDescent="0.3">
      <c r="A775" s="8"/>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row>
    <row r="776" spans="1:216" x14ac:dyDescent="0.3">
      <c r="A776" s="8"/>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row>
    <row r="777" spans="1:216" x14ac:dyDescent="0.3">
      <c r="A777" s="8"/>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row>
    <row r="778" spans="1:216" x14ac:dyDescent="0.3">
      <c r="A778" s="8"/>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row>
    <row r="779" spans="1:216" x14ac:dyDescent="0.3">
      <c r="A779" s="8"/>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row>
    <row r="780" spans="1:216" x14ac:dyDescent="0.3">
      <c r="A780" s="8"/>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row>
    <row r="781" spans="1:216" x14ac:dyDescent="0.3">
      <c r="A781" s="8"/>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row>
    <row r="782" spans="1:216" x14ac:dyDescent="0.3">
      <c r="A782" s="8"/>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row>
    <row r="783" spans="1:216" x14ac:dyDescent="0.3">
      <c r="A783" s="8"/>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row>
    <row r="784" spans="1:216" x14ac:dyDescent="0.3">
      <c r="A784" s="8"/>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row>
    <row r="785" spans="1:216" x14ac:dyDescent="0.3">
      <c r="A785" s="8"/>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row>
    <row r="786" spans="1:216" x14ac:dyDescent="0.3">
      <c r="A786" s="8"/>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row>
    <row r="787" spans="1:216" x14ac:dyDescent="0.3">
      <c r="A787" s="8"/>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row>
    <row r="788" spans="1:216" x14ac:dyDescent="0.3">
      <c r="A788" s="8"/>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row>
    <row r="789" spans="1:216" x14ac:dyDescent="0.3">
      <c r="A789" s="8"/>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c r="FZ789" s="6"/>
      <c r="GA789" s="6"/>
      <c r="GB789" s="6"/>
      <c r="GC789" s="6"/>
      <c r="GD789" s="6"/>
      <c r="GE789" s="6"/>
      <c r="GF789" s="6"/>
      <c r="GG789" s="6"/>
      <c r="GH789" s="6"/>
      <c r="GI789" s="6"/>
      <c r="GJ789" s="6"/>
      <c r="GK789" s="6"/>
      <c r="GL789" s="6"/>
      <c r="GM789" s="6"/>
      <c r="GN789" s="6"/>
      <c r="GO789" s="6"/>
      <c r="GP789" s="6"/>
      <c r="GQ789" s="6"/>
      <c r="GR789" s="6"/>
      <c r="GS789" s="6"/>
      <c r="GT789" s="6"/>
      <c r="GU789" s="6"/>
      <c r="GV789" s="6"/>
      <c r="GW789" s="6"/>
      <c r="GX789" s="6"/>
      <c r="GY789" s="6"/>
      <c r="GZ789" s="6"/>
      <c r="HA789" s="6"/>
      <c r="HB789" s="6"/>
      <c r="HC789" s="6"/>
      <c r="HD789" s="6"/>
      <c r="HE789" s="6"/>
      <c r="HF789" s="6"/>
      <c r="HG789" s="6"/>
      <c r="HH789" s="6"/>
    </row>
    <row r="790" spans="1:216" x14ac:dyDescent="0.3">
      <c r="A790" s="8"/>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c r="FZ790" s="6"/>
      <c r="GA790" s="6"/>
      <c r="GB790" s="6"/>
      <c r="GC790" s="6"/>
      <c r="GD790" s="6"/>
      <c r="GE790" s="6"/>
      <c r="GF790" s="6"/>
      <c r="GG790" s="6"/>
      <c r="GH790" s="6"/>
      <c r="GI790" s="6"/>
      <c r="GJ790" s="6"/>
      <c r="GK790" s="6"/>
      <c r="GL790" s="6"/>
      <c r="GM790" s="6"/>
      <c r="GN790" s="6"/>
      <c r="GO790" s="6"/>
      <c r="GP790" s="6"/>
      <c r="GQ790" s="6"/>
      <c r="GR790" s="6"/>
      <c r="GS790" s="6"/>
      <c r="GT790" s="6"/>
      <c r="GU790" s="6"/>
      <c r="GV790" s="6"/>
      <c r="GW790" s="6"/>
      <c r="GX790" s="6"/>
      <c r="GY790" s="6"/>
      <c r="GZ790" s="6"/>
      <c r="HA790" s="6"/>
      <c r="HB790" s="6"/>
      <c r="HC790" s="6"/>
      <c r="HD790" s="6"/>
      <c r="HE790" s="6"/>
      <c r="HF790" s="6"/>
      <c r="HG790" s="6"/>
      <c r="HH790" s="6"/>
    </row>
    <row r="791" spans="1:216" x14ac:dyDescent="0.3">
      <c r="A791" s="8"/>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c r="FZ791" s="6"/>
      <c r="GA791" s="6"/>
      <c r="GB791" s="6"/>
      <c r="GC791" s="6"/>
      <c r="GD791" s="6"/>
      <c r="GE791" s="6"/>
      <c r="GF791" s="6"/>
      <c r="GG791" s="6"/>
      <c r="GH791" s="6"/>
      <c r="GI791" s="6"/>
      <c r="GJ791" s="6"/>
      <c r="GK791" s="6"/>
      <c r="GL791" s="6"/>
      <c r="GM791" s="6"/>
      <c r="GN791" s="6"/>
      <c r="GO791" s="6"/>
      <c r="GP791" s="6"/>
      <c r="GQ791" s="6"/>
      <c r="GR791" s="6"/>
      <c r="GS791" s="6"/>
      <c r="GT791" s="6"/>
      <c r="GU791" s="6"/>
      <c r="GV791" s="6"/>
      <c r="GW791" s="6"/>
      <c r="GX791" s="6"/>
      <c r="GY791" s="6"/>
      <c r="GZ791" s="6"/>
      <c r="HA791" s="6"/>
      <c r="HB791" s="6"/>
      <c r="HC791" s="6"/>
      <c r="HD791" s="6"/>
      <c r="HE791" s="6"/>
      <c r="HF791" s="6"/>
      <c r="HG791" s="6"/>
      <c r="HH791" s="6"/>
    </row>
    <row r="792" spans="1:216" x14ac:dyDescent="0.3">
      <c r="A792" s="8"/>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c r="FZ792" s="6"/>
      <c r="GA792" s="6"/>
      <c r="GB792" s="6"/>
      <c r="GC792" s="6"/>
      <c r="GD792" s="6"/>
      <c r="GE792" s="6"/>
      <c r="GF792" s="6"/>
      <c r="GG792" s="6"/>
      <c r="GH792" s="6"/>
      <c r="GI792" s="6"/>
      <c r="GJ792" s="6"/>
      <c r="GK792" s="6"/>
      <c r="GL792" s="6"/>
      <c r="GM792" s="6"/>
      <c r="GN792" s="6"/>
      <c r="GO792" s="6"/>
      <c r="GP792" s="6"/>
      <c r="GQ792" s="6"/>
      <c r="GR792" s="6"/>
      <c r="GS792" s="6"/>
      <c r="GT792" s="6"/>
      <c r="GU792" s="6"/>
      <c r="GV792" s="6"/>
      <c r="GW792" s="6"/>
      <c r="GX792" s="6"/>
      <c r="GY792" s="6"/>
      <c r="GZ792" s="6"/>
      <c r="HA792" s="6"/>
      <c r="HB792" s="6"/>
      <c r="HC792" s="6"/>
      <c r="HD792" s="6"/>
      <c r="HE792" s="6"/>
      <c r="HF792" s="6"/>
      <c r="HG792" s="6"/>
      <c r="HH792" s="6"/>
    </row>
    <row r="793" spans="1:216" x14ac:dyDescent="0.3">
      <c r="A793" s="8"/>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row>
    <row r="794" spans="1:216" x14ac:dyDescent="0.3">
      <c r="A794" s="8"/>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row>
    <row r="795" spans="1:216" x14ac:dyDescent="0.3">
      <c r="A795" s="8"/>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row>
    <row r="796" spans="1:216" x14ac:dyDescent="0.3">
      <c r="A796" s="8"/>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row>
    <row r="797" spans="1:216" x14ac:dyDescent="0.3">
      <c r="A797" s="8"/>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c r="FZ797" s="6"/>
      <c r="GA797" s="6"/>
      <c r="GB797" s="6"/>
      <c r="GC797" s="6"/>
      <c r="GD797" s="6"/>
      <c r="GE797" s="6"/>
      <c r="GF797" s="6"/>
      <c r="GG797" s="6"/>
      <c r="GH797" s="6"/>
      <c r="GI797" s="6"/>
      <c r="GJ797" s="6"/>
      <c r="GK797" s="6"/>
      <c r="GL797" s="6"/>
      <c r="GM797" s="6"/>
      <c r="GN797" s="6"/>
      <c r="GO797" s="6"/>
      <c r="GP797" s="6"/>
      <c r="GQ797" s="6"/>
      <c r="GR797" s="6"/>
      <c r="GS797" s="6"/>
      <c r="GT797" s="6"/>
      <c r="GU797" s="6"/>
      <c r="GV797" s="6"/>
      <c r="GW797" s="6"/>
      <c r="GX797" s="6"/>
      <c r="GY797" s="6"/>
      <c r="GZ797" s="6"/>
      <c r="HA797" s="6"/>
      <c r="HB797" s="6"/>
      <c r="HC797" s="6"/>
      <c r="HD797" s="6"/>
      <c r="HE797" s="6"/>
      <c r="HF797" s="6"/>
      <c r="HG797" s="6"/>
      <c r="HH797" s="6"/>
    </row>
    <row r="798" spans="1:216" x14ac:dyDescent="0.3">
      <c r="A798" s="8"/>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c r="FZ798" s="6"/>
      <c r="GA798" s="6"/>
      <c r="GB798" s="6"/>
      <c r="GC798" s="6"/>
      <c r="GD798" s="6"/>
      <c r="GE798" s="6"/>
      <c r="GF798" s="6"/>
      <c r="GG798" s="6"/>
      <c r="GH798" s="6"/>
      <c r="GI798" s="6"/>
      <c r="GJ798" s="6"/>
      <c r="GK798" s="6"/>
      <c r="GL798" s="6"/>
      <c r="GM798" s="6"/>
      <c r="GN798" s="6"/>
      <c r="GO798" s="6"/>
      <c r="GP798" s="6"/>
      <c r="GQ798" s="6"/>
      <c r="GR798" s="6"/>
      <c r="GS798" s="6"/>
      <c r="GT798" s="6"/>
      <c r="GU798" s="6"/>
      <c r="GV798" s="6"/>
      <c r="GW798" s="6"/>
      <c r="GX798" s="6"/>
      <c r="GY798" s="6"/>
      <c r="GZ798" s="6"/>
      <c r="HA798" s="6"/>
      <c r="HB798" s="6"/>
      <c r="HC798" s="6"/>
      <c r="HD798" s="6"/>
      <c r="HE798" s="6"/>
      <c r="HF798" s="6"/>
      <c r="HG798" s="6"/>
      <c r="HH798" s="6"/>
    </row>
    <row r="799" spans="1:216" x14ac:dyDescent="0.3">
      <c r="A799" s="8"/>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c r="FZ799" s="6"/>
      <c r="GA799" s="6"/>
      <c r="GB799" s="6"/>
      <c r="GC799" s="6"/>
      <c r="GD799" s="6"/>
      <c r="GE799" s="6"/>
      <c r="GF799" s="6"/>
      <c r="GG799" s="6"/>
      <c r="GH799" s="6"/>
      <c r="GI799" s="6"/>
      <c r="GJ799" s="6"/>
      <c r="GK799" s="6"/>
      <c r="GL799" s="6"/>
      <c r="GM799" s="6"/>
      <c r="GN799" s="6"/>
      <c r="GO799" s="6"/>
      <c r="GP799" s="6"/>
      <c r="GQ799" s="6"/>
      <c r="GR799" s="6"/>
      <c r="GS799" s="6"/>
      <c r="GT799" s="6"/>
      <c r="GU799" s="6"/>
      <c r="GV799" s="6"/>
      <c r="GW799" s="6"/>
      <c r="GX799" s="6"/>
      <c r="GY799" s="6"/>
      <c r="GZ799" s="6"/>
      <c r="HA799" s="6"/>
      <c r="HB799" s="6"/>
      <c r="HC799" s="6"/>
      <c r="HD799" s="6"/>
      <c r="HE799" s="6"/>
      <c r="HF799" s="6"/>
      <c r="HG799" s="6"/>
      <c r="HH799" s="6"/>
    </row>
    <row r="800" spans="1:216" x14ac:dyDescent="0.3">
      <c r="A800" s="8"/>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c r="FZ800" s="6"/>
      <c r="GA800" s="6"/>
      <c r="GB800" s="6"/>
      <c r="GC800" s="6"/>
      <c r="GD800" s="6"/>
      <c r="GE800" s="6"/>
      <c r="GF800" s="6"/>
      <c r="GG800" s="6"/>
      <c r="GH800" s="6"/>
      <c r="GI800" s="6"/>
      <c r="GJ800" s="6"/>
      <c r="GK800" s="6"/>
      <c r="GL800" s="6"/>
      <c r="GM800" s="6"/>
      <c r="GN800" s="6"/>
      <c r="GO800" s="6"/>
      <c r="GP800" s="6"/>
      <c r="GQ800" s="6"/>
      <c r="GR800" s="6"/>
      <c r="GS800" s="6"/>
      <c r="GT800" s="6"/>
      <c r="GU800" s="6"/>
      <c r="GV800" s="6"/>
      <c r="GW800" s="6"/>
      <c r="GX800" s="6"/>
      <c r="GY800" s="6"/>
      <c r="GZ800" s="6"/>
      <c r="HA800" s="6"/>
      <c r="HB800" s="6"/>
      <c r="HC800" s="6"/>
      <c r="HD800" s="6"/>
      <c r="HE800" s="6"/>
      <c r="HF800" s="6"/>
      <c r="HG800" s="6"/>
      <c r="HH800" s="6"/>
    </row>
    <row r="801" spans="1:216" x14ac:dyDescent="0.3">
      <c r="A801" s="8"/>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c r="FZ801" s="6"/>
      <c r="GA801" s="6"/>
      <c r="GB801" s="6"/>
      <c r="GC801" s="6"/>
      <c r="GD801" s="6"/>
      <c r="GE801" s="6"/>
      <c r="GF801" s="6"/>
      <c r="GG801" s="6"/>
      <c r="GH801" s="6"/>
      <c r="GI801" s="6"/>
      <c r="GJ801" s="6"/>
      <c r="GK801" s="6"/>
      <c r="GL801" s="6"/>
      <c r="GM801" s="6"/>
      <c r="GN801" s="6"/>
      <c r="GO801" s="6"/>
      <c r="GP801" s="6"/>
      <c r="GQ801" s="6"/>
      <c r="GR801" s="6"/>
      <c r="GS801" s="6"/>
      <c r="GT801" s="6"/>
      <c r="GU801" s="6"/>
      <c r="GV801" s="6"/>
      <c r="GW801" s="6"/>
      <c r="GX801" s="6"/>
      <c r="GY801" s="6"/>
      <c r="GZ801" s="6"/>
      <c r="HA801" s="6"/>
      <c r="HB801" s="6"/>
      <c r="HC801" s="6"/>
      <c r="HD801" s="6"/>
      <c r="HE801" s="6"/>
      <c r="HF801" s="6"/>
      <c r="HG801" s="6"/>
      <c r="HH801" s="6"/>
    </row>
    <row r="802" spans="1:216" x14ac:dyDescent="0.3">
      <c r="A802" s="8"/>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c r="FZ802" s="6"/>
      <c r="GA802" s="6"/>
      <c r="GB802" s="6"/>
      <c r="GC802" s="6"/>
      <c r="GD802" s="6"/>
      <c r="GE802" s="6"/>
      <c r="GF802" s="6"/>
      <c r="GG802" s="6"/>
      <c r="GH802" s="6"/>
      <c r="GI802" s="6"/>
      <c r="GJ802" s="6"/>
      <c r="GK802" s="6"/>
      <c r="GL802" s="6"/>
      <c r="GM802" s="6"/>
      <c r="GN802" s="6"/>
      <c r="GO802" s="6"/>
      <c r="GP802" s="6"/>
      <c r="GQ802" s="6"/>
      <c r="GR802" s="6"/>
      <c r="GS802" s="6"/>
      <c r="GT802" s="6"/>
      <c r="GU802" s="6"/>
      <c r="GV802" s="6"/>
      <c r="GW802" s="6"/>
      <c r="GX802" s="6"/>
      <c r="GY802" s="6"/>
      <c r="GZ802" s="6"/>
      <c r="HA802" s="6"/>
      <c r="HB802" s="6"/>
      <c r="HC802" s="6"/>
      <c r="HD802" s="6"/>
      <c r="HE802" s="6"/>
      <c r="HF802" s="6"/>
      <c r="HG802" s="6"/>
      <c r="HH802" s="6"/>
    </row>
    <row r="803" spans="1:216" x14ac:dyDescent="0.3">
      <c r="A803" s="8"/>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c r="FZ803" s="6"/>
      <c r="GA803" s="6"/>
      <c r="GB803" s="6"/>
      <c r="GC803" s="6"/>
      <c r="GD803" s="6"/>
      <c r="GE803" s="6"/>
      <c r="GF803" s="6"/>
      <c r="GG803" s="6"/>
      <c r="GH803" s="6"/>
      <c r="GI803" s="6"/>
      <c r="GJ803" s="6"/>
      <c r="GK803" s="6"/>
      <c r="GL803" s="6"/>
      <c r="GM803" s="6"/>
      <c r="GN803" s="6"/>
      <c r="GO803" s="6"/>
      <c r="GP803" s="6"/>
      <c r="GQ803" s="6"/>
      <c r="GR803" s="6"/>
      <c r="GS803" s="6"/>
      <c r="GT803" s="6"/>
      <c r="GU803" s="6"/>
      <c r="GV803" s="6"/>
      <c r="GW803" s="6"/>
      <c r="GX803" s="6"/>
      <c r="GY803" s="6"/>
      <c r="GZ803" s="6"/>
      <c r="HA803" s="6"/>
      <c r="HB803" s="6"/>
      <c r="HC803" s="6"/>
      <c r="HD803" s="6"/>
      <c r="HE803" s="6"/>
      <c r="HF803" s="6"/>
      <c r="HG803" s="6"/>
      <c r="HH803" s="6"/>
    </row>
    <row r="804" spans="1:216" x14ac:dyDescent="0.3">
      <c r="A804" s="8"/>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c r="FZ804" s="6"/>
      <c r="GA804" s="6"/>
      <c r="GB804" s="6"/>
      <c r="GC804" s="6"/>
      <c r="GD804" s="6"/>
      <c r="GE804" s="6"/>
      <c r="GF804" s="6"/>
      <c r="GG804" s="6"/>
      <c r="GH804" s="6"/>
      <c r="GI804" s="6"/>
      <c r="GJ804" s="6"/>
      <c r="GK804" s="6"/>
      <c r="GL804" s="6"/>
      <c r="GM804" s="6"/>
      <c r="GN804" s="6"/>
      <c r="GO804" s="6"/>
      <c r="GP804" s="6"/>
      <c r="GQ804" s="6"/>
      <c r="GR804" s="6"/>
      <c r="GS804" s="6"/>
      <c r="GT804" s="6"/>
      <c r="GU804" s="6"/>
      <c r="GV804" s="6"/>
      <c r="GW804" s="6"/>
      <c r="GX804" s="6"/>
      <c r="GY804" s="6"/>
      <c r="GZ804" s="6"/>
      <c r="HA804" s="6"/>
      <c r="HB804" s="6"/>
      <c r="HC804" s="6"/>
      <c r="HD804" s="6"/>
      <c r="HE804" s="6"/>
      <c r="HF804" s="6"/>
      <c r="HG804" s="6"/>
      <c r="HH804" s="6"/>
    </row>
    <row r="805" spans="1:216" x14ac:dyDescent="0.3">
      <c r="A805" s="8"/>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c r="FZ805" s="6"/>
      <c r="GA805" s="6"/>
      <c r="GB805" s="6"/>
      <c r="GC805" s="6"/>
      <c r="GD805" s="6"/>
      <c r="GE805" s="6"/>
      <c r="GF805" s="6"/>
      <c r="GG805" s="6"/>
      <c r="GH805" s="6"/>
      <c r="GI805" s="6"/>
      <c r="GJ805" s="6"/>
      <c r="GK805" s="6"/>
      <c r="GL805" s="6"/>
      <c r="GM805" s="6"/>
      <c r="GN805" s="6"/>
      <c r="GO805" s="6"/>
      <c r="GP805" s="6"/>
      <c r="GQ805" s="6"/>
      <c r="GR805" s="6"/>
      <c r="GS805" s="6"/>
      <c r="GT805" s="6"/>
      <c r="GU805" s="6"/>
      <c r="GV805" s="6"/>
      <c r="GW805" s="6"/>
      <c r="GX805" s="6"/>
      <c r="GY805" s="6"/>
      <c r="GZ805" s="6"/>
      <c r="HA805" s="6"/>
      <c r="HB805" s="6"/>
      <c r="HC805" s="6"/>
      <c r="HD805" s="6"/>
      <c r="HE805" s="6"/>
      <c r="HF805" s="6"/>
      <c r="HG805" s="6"/>
      <c r="HH805" s="6"/>
    </row>
    <row r="806" spans="1:216" x14ac:dyDescent="0.3">
      <c r="A806" s="8"/>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c r="FZ806" s="6"/>
      <c r="GA806" s="6"/>
      <c r="GB806" s="6"/>
      <c r="GC806" s="6"/>
      <c r="GD806" s="6"/>
      <c r="GE806" s="6"/>
      <c r="GF806" s="6"/>
      <c r="GG806" s="6"/>
      <c r="GH806" s="6"/>
      <c r="GI806" s="6"/>
      <c r="GJ806" s="6"/>
      <c r="GK806" s="6"/>
      <c r="GL806" s="6"/>
      <c r="GM806" s="6"/>
      <c r="GN806" s="6"/>
      <c r="GO806" s="6"/>
      <c r="GP806" s="6"/>
      <c r="GQ806" s="6"/>
      <c r="GR806" s="6"/>
      <c r="GS806" s="6"/>
      <c r="GT806" s="6"/>
      <c r="GU806" s="6"/>
      <c r="GV806" s="6"/>
      <c r="GW806" s="6"/>
      <c r="GX806" s="6"/>
      <c r="GY806" s="6"/>
      <c r="GZ806" s="6"/>
      <c r="HA806" s="6"/>
      <c r="HB806" s="6"/>
      <c r="HC806" s="6"/>
      <c r="HD806" s="6"/>
      <c r="HE806" s="6"/>
      <c r="HF806" s="6"/>
      <c r="HG806" s="6"/>
      <c r="HH806" s="6"/>
    </row>
    <row r="807" spans="1:216" x14ac:dyDescent="0.3">
      <c r="A807" s="8"/>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c r="FZ807" s="6"/>
      <c r="GA807" s="6"/>
      <c r="GB807" s="6"/>
      <c r="GC807" s="6"/>
      <c r="GD807" s="6"/>
      <c r="GE807" s="6"/>
      <c r="GF807" s="6"/>
      <c r="GG807" s="6"/>
      <c r="GH807" s="6"/>
      <c r="GI807" s="6"/>
      <c r="GJ807" s="6"/>
      <c r="GK807" s="6"/>
      <c r="GL807" s="6"/>
      <c r="GM807" s="6"/>
      <c r="GN807" s="6"/>
      <c r="GO807" s="6"/>
      <c r="GP807" s="6"/>
      <c r="GQ807" s="6"/>
      <c r="GR807" s="6"/>
      <c r="GS807" s="6"/>
      <c r="GT807" s="6"/>
      <c r="GU807" s="6"/>
      <c r="GV807" s="6"/>
      <c r="GW807" s="6"/>
      <c r="GX807" s="6"/>
      <c r="GY807" s="6"/>
      <c r="GZ807" s="6"/>
      <c r="HA807" s="6"/>
      <c r="HB807" s="6"/>
      <c r="HC807" s="6"/>
      <c r="HD807" s="6"/>
      <c r="HE807" s="6"/>
      <c r="HF807" s="6"/>
      <c r="HG807" s="6"/>
      <c r="HH807" s="6"/>
    </row>
    <row r="808" spans="1:216" x14ac:dyDescent="0.3">
      <c r="A808" s="8"/>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c r="FZ808" s="6"/>
      <c r="GA808" s="6"/>
      <c r="GB808" s="6"/>
      <c r="GC808" s="6"/>
      <c r="GD808" s="6"/>
      <c r="GE808" s="6"/>
      <c r="GF808" s="6"/>
      <c r="GG808" s="6"/>
      <c r="GH808" s="6"/>
      <c r="GI808" s="6"/>
      <c r="GJ808" s="6"/>
      <c r="GK808" s="6"/>
      <c r="GL808" s="6"/>
      <c r="GM808" s="6"/>
      <c r="GN808" s="6"/>
      <c r="GO808" s="6"/>
      <c r="GP808" s="6"/>
      <c r="GQ808" s="6"/>
      <c r="GR808" s="6"/>
      <c r="GS808" s="6"/>
      <c r="GT808" s="6"/>
      <c r="GU808" s="6"/>
      <c r="GV808" s="6"/>
      <c r="GW808" s="6"/>
      <c r="GX808" s="6"/>
      <c r="GY808" s="6"/>
      <c r="GZ808" s="6"/>
      <c r="HA808" s="6"/>
      <c r="HB808" s="6"/>
      <c r="HC808" s="6"/>
      <c r="HD808" s="6"/>
      <c r="HE808" s="6"/>
      <c r="HF808" s="6"/>
      <c r="HG808" s="6"/>
      <c r="HH808" s="6"/>
    </row>
    <row r="809" spans="1:216" x14ac:dyDescent="0.3">
      <c r="A809" s="8"/>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c r="FZ809" s="6"/>
      <c r="GA809" s="6"/>
      <c r="GB809" s="6"/>
      <c r="GC809" s="6"/>
      <c r="GD809" s="6"/>
      <c r="GE809" s="6"/>
      <c r="GF809" s="6"/>
      <c r="GG809" s="6"/>
      <c r="GH809" s="6"/>
      <c r="GI809" s="6"/>
      <c r="GJ809" s="6"/>
      <c r="GK809" s="6"/>
      <c r="GL809" s="6"/>
      <c r="GM809" s="6"/>
      <c r="GN809" s="6"/>
      <c r="GO809" s="6"/>
      <c r="GP809" s="6"/>
      <c r="GQ809" s="6"/>
      <c r="GR809" s="6"/>
      <c r="GS809" s="6"/>
      <c r="GT809" s="6"/>
      <c r="GU809" s="6"/>
      <c r="GV809" s="6"/>
      <c r="GW809" s="6"/>
      <c r="GX809" s="6"/>
      <c r="GY809" s="6"/>
      <c r="GZ809" s="6"/>
      <c r="HA809" s="6"/>
      <c r="HB809" s="6"/>
      <c r="HC809" s="6"/>
      <c r="HD809" s="6"/>
      <c r="HE809" s="6"/>
      <c r="HF809" s="6"/>
      <c r="HG809" s="6"/>
      <c r="HH809" s="6"/>
    </row>
    <row r="810" spans="1:216" x14ac:dyDescent="0.3">
      <c r="A810" s="8"/>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c r="FZ810" s="6"/>
      <c r="GA810" s="6"/>
      <c r="GB810" s="6"/>
      <c r="GC810" s="6"/>
      <c r="GD810" s="6"/>
      <c r="GE810" s="6"/>
      <c r="GF810" s="6"/>
      <c r="GG810" s="6"/>
      <c r="GH810" s="6"/>
      <c r="GI810" s="6"/>
      <c r="GJ810" s="6"/>
      <c r="GK810" s="6"/>
      <c r="GL810" s="6"/>
      <c r="GM810" s="6"/>
      <c r="GN810" s="6"/>
      <c r="GO810" s="6"/>
      <c r="GP810" s="6"/>
      <c r="GQ810" s="6"/>
      <c r="GR810" s="6"/>
      <c r="GS810" s="6"/>
      <c r="GT810" s="6"/>
      <c r="GU810" s="6"/>
      <c r="GV810" s="6"/>
      <c r="GW810" s="6"/>
      <c r="GX810" s="6"/>
      <c r="GY810" s="6"/>
      <c r="GZ810" s="6"/>
      <c r="HA810" s="6"/>
      <c r="HB810" s="6"/>
      <c r="HC810" s="6"/>
      <c r="HD810" s="6"/>
      <c r="HE810" s="6"/>
      <c r="HF810" s="6"/>
      <c r="HG810" s="6"/>
      <c r="HH810" s="6"/>
    </row>
    <row r="811" spans="1:216" x14ac:dyDescent="0.3">
      <c r="A811" s="8"/>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c r="FZ811" s="6"/>
      <c r="GA811" s="6"/>
      <c r="GB811" s="6"/>
      <c r="GC811" s="6"/>
      <c r="GD811" s="6"/>
      <c r="GE811" s="6"/>
      <c r="GF811" s="6"/>
      <c r="GG811" s="6"/>
      <c r="GH811" s="6"/>
      <c r="GI811" s="6"/>
      <c r="GJ811" s="6"/>
      <c r="GK811" s="6"/>
      <c r="GL811" s="6"/>
      <c r="GM811" s="6"/>
      <c r="GN811" s="6"/>
      <c r="GO811" s="6"/>
      <c r="GP811" s="6"/>
      <c r="GQ811" s="6"/>
      <c r="GR811" s="6"/>
      <c r="GS811" s="6"/>
      <c r="GT811" s="6"/>
      <c r="GU811" s="6"/>
      <c r="GV811" s="6"/>
      <c r="GW811" s="6"/>
      <c r="GX811" s="6"/>
      <c r="GY811" s="6"/>
      <c r="GZ811" s="6"/>
      <c r="HA811" s="6"/>
      <c r="HB811" s="6"/>
      <c r="HC811" s="6"/>
      <c r="HD811" s="6"/>
      <c r="HE811" s="6"/>
      <c r="HF811" s="6"/>
      <c r="HG811" s="6"/>
      <c r="HH811" s="6"/>
    </row>
    <row r="812" spans="1:216" x14ac:dyDescent="0.3">
      <c r="A812" s="8"/>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c r="FZ812" s="6"/>
      <c r="GA812" s="6"/>
      <c r="GB812" s="6"/>
      <c r="GC812" s="6"/>
      <c r="GD812" s="6"/>
      <c r="GE812" s="6"/>
      <c r="GF812" s="6"/>
      <c r="GG812" s="6"/>
      <c r="GH812" s="6"/>
      <c r="GI812" s="6"/>
      <c r="GJ812" s="6"/>
      <c r="GK812" s="6"/>
      <c r="GL812" s="6"/>
      <c r="GM812" s="6"/>
      <c r="GN812" s="6"/>
      <c r="GO812" s="6"/>
      <c r="GP812" s="6"/>
      <c r="GQ812" s="6"/>
      <c r="GR812" s="6"/>
      <c r="GS812" s="6"/>
      <c r="GT812" s="6"/>
      <c r="GU812" s="6"/>
      <c r="GV812" s="6"/>
      <c r="GW812" s="6"/>
      <c r="GX812" s="6"/>
      <c r="GY812" s="6"/>
      <c r="GZ812" s="6"/>
      <c r="HA812" s="6"/>
      <c r="HB812" s="6"/>
      <c r="HC812" s="6"/>
      <c r="HD812" s="6"/>
      <c r="HE812" s="6"/>
      <c r="HF812" s="6"/>
      <c r="HG812" s="6"/>
      <c r="HH812" s="6"/>
    </row>
    <row r="813" spans="1:216" x14ac:dyDescent="0.3">
      <c r="A813" s="8"/>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c r="FZ813" s="6"/>
      <c r="GA813" s="6"/>
      <c r="GB813" s="6"/>
      <c r="GC813" s="6"/>
      <c r="GD813" s="6"/>
      <c r="GE813" s="6"/>
      <c r="GF813" s="6"/>
      <c r="GG813" s="6"/>
      <c r="GH813" s="6"/>
      <c r="GI813" s="6"/>
      <c r="GJ813" s="6"/>
      <c r="GK813" s="6"/>
      <c r="GL813" s="6"/>
      <c r="GM813" s="6"/>
      <c r="GN813" s="6"/>
      <c r="GO813" s="6"/>
      <c r="GP813" s="6"/>
      <c r="GQ813" s="6"/>
      <c r="GR813" s="6"/>
      <c r="GS813" s="6"/>
      <c r="GT813" s="6"/>
      <c r="GU813" s="6"/>
      <c r="GV813" s="6"/>
      <c r="GW813" s="6"/>
      <c r="GX813" s="6"/>
      <c r="GY813" s="6"/>
      <c r="GZ813" s="6"/>
      <c r="HA813" s="6"/>
      <c r="HB813" s="6"/>
      <c r="HC813" s="6"/>
      <c r="HD813" s="6"/>
      <c r="HE813" s="6"/>
      <c r="HF813" s="6"/>
      <c r="HG813" s="6"/>
      <c r="HH813" s="6"/>
    </row>
    <row r="814" spans="1:216" x14ac:dyDescent="0.3">
      <c r="A814" s="8"/>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c r="FZ814" s="6"/>
      <c r="GA814" s="6"/>
      <c r="GB814" s="6"/>
      <c r="GC814" s="6"/>
      <c r="GD814" s="6"/>
      <c r="GE814" s="6"/>
      <c r="GF814" s="6"/>
      <c r="GG814" s="6"/>
      <c r="GH814" s="6"/>
      <c r="GI814" s="6"/>
      <c r="GJ814" s="6"/>
      <c r="GK814" s="6"/>
      <c r="GL814" s="6"/>
      <c r="GM814" s="6"/>
      <c r="GN814" s="6"/>
      <c r="GO814" s="6"/>
      <c r="GP814" s="6"/>
      <c r="GQ814" s="6"/>
      <c r="GR814" s="6"/>
      <c r="GS814" s="6"/>
      <c r="GT814" s="6"/>
      <c r="GU814" s="6"/>
      <c r="GV814" s="6"/>
      <c r="GW814" s="6"/>
      <c r="GX814" s="6"/>
      <c r="GY814" s="6"/>
      <c r="GZ814" s="6"/>
      <c r="HA814" s="6"/>
      <c r="HB814" s="6"/>
      <c r="HC814" s="6"/>
      <c r="HD814" s="6"/>
      <c r="HE814" s="6"/>
      <c r="HF814" s="6"/>
      <c r="HG814" s="6"/>
      <c r="HH814" s="6"/>
    </row>
    <row r="815" spans="1:216" x14ac:dyDescent="0.3">
      <c r="A815" s="8"/>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c r="FZ815" s="6"/>
      <c r="GA815" s="6"/>
      <c r="GB815" s="6"/>
      <c r="GC815" s="6"/>
      <c r="GD815" s="6"/>
      <c r="GE815" s="6"/>
      <c r="GF815" s="6"/>
      <c r="GG815" s="6"/>
      <c r="GH815" s="6"/>
      <c r="GI815" s="6"/>
      <c r="GJ815" s="6"/>
      <c r="GK815" s="6"/>
      <c r="GL815" s="6"/>
      <c r="GM815" s="6"/>
      <c r="GN815" s="6"/>
      <c r="GO815" s="6"/>
      <c r="GP815" s="6"/>
      <c r="GQ815" s="6"/>
      <c r="GR815" s="6"/>
      <c r="GS815" s="6"/>
      <c r="GT815" s="6"/>
      <c r="GU815" s="6"/>
      <c r="GV815" s="6"/>
      <c r="GW815" s="6"/>
      <c r="GX815" s="6"/>
      <c r="GY815" s="6"/>
      <c r="GZ815" s="6"/>
      <c r="HA815" s="6"/>
      <c r="HB815" s="6"/>
      <c r="HC815" s="6"/>
      <c r="HD815" s="6"/>
      <c r="HE815" s="6"/>
      <c r="HF815" s="6"/>
      <c r="HG815" s="6"/>
      <c r="HH815" s="6"/>
    </row>
    <row r="816" spans="1:216" x14ac:dyDescent="0.3">
      <c r="A816" s="8"/>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row>
    <row r="817" spans="1:216" x14ac:dyDescent="0.3">
      <c r="A817" s="8"/>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row>
    <row r="818" spans="1:216" x14ac:dyDescent="0.3">
      <c r="A818" s="8"/>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c r="FZ818" s="6"/>
      <c r="GA818" s="6"/>
      <c r="GB818" s="6"/>
      <c r="GC818" s="6"/>
      <c r="GD818" s="6"/>
      <c r="GE818" s="6"/>
      <c r="GF818" s="6"/>
      <c r="GG818" s="6"/>
      <c r="GH818" s="6"/>
      <c r="GI818" s="6"/>
      <c r="GJ818" s="6"/>
      <c r="GK818" s="6"/>
      <c r="GL818" s="6"/>
      <c r="GM818" s="6"/>
      <c r="GN818" s="6"/>
      <c r="GO818" s="6"/>
      <c r="GP818" s="6"/>
      <c r="GQ818" s="6"/>
      <c r="GR818" s="6"/>
      <c r="GS818" s="6"/>
      <c r="GT818" s="6"/>
      <c r="GU818" s="6"/>
      <c r="GV818" s="6"/>
      <c r="GW818" s="6"/>
      <c r="GX818" s="6"/>
      <c r="GY818" s="6"/>
      <c r="GZ818" s="6"/>
      <c r="HA818" s="6"/>
      <c r="HB818" s="6"/>
      <c r="HC818" s="6"/>
      <c r="HD818" s="6"/>
      <c r="HE818" s="6"/>
      <c r="HF818" s="6"/>
      <c r="HG818" s="6"/>
      <c r="HH818" s="6"/>
    </row>
    <row r="819" spans="1:216" x14ac:dyDescent="0.3">
      <c r="A819" s="8"/>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c r="FZ819" s="6"/>
      <c r="GA819" s="6"/>
      <c r="GB819" s="6"/>
      <c r="GC819" s="6"/>
      <c r="GD819" s="6"/>
      <c r="GE819" s="6"/>
      <c r="GF819" s="6"/>
      <c r="GG819" s="6"/>
      <c r="GH819" s="6"/>
      <c r="GI819" s="6"/>
      <c r="GJ819" s="6"/>
      <c r="GK819" s="6"/>
      <c r="GL819" s="6"/>
      <c r="GM819" s="6"/>
      <c r="GN819" s="6"/>
      <c r="GO819" s="6"/>
      <c r="GP819" s="6"/>
      <c r="GQ819" s="6"/>
      <c r="GR819" s="6"/>
      <c r="GS819" s="6"/>
      <c r="GT819" s="6"/>
      <c r="GU819" s="6"/>
      <c r="GV819" s="6"/>
      <c r="GW819" s="6"/>
      <c r="GX819" s="6"/>
      <c r="GY819" s="6"/>
      <c r="GZ819" s="6"/>
      <c r="HA819" s="6"/>
      <c r="HB819" s="6"/>
      <c r="HC819" s="6"/>
      <c r="HD819" s="6"/>
      <c r="HE819" s="6"/>
      <c r="HF819" s="6"/>
      <c r="HG819" s="6"/>
      <c r="HH819" s="6"/>
    </row>
    <row r="820" spans="1:216" x14ac:dyDescent="0.3">
      <c r="A820" s="8"/>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c r="FZ820" s="6"/>
      <c r="GA820" s="6"/>
      <c r="GB820" s="6"/>
      <c r="GC820" s="6"/>
      <c r="GD820" s="6"/>
      <c r="GE820" s="6"/>
      <c r="GF820" s="6"/>
      <c r="GG820" s="6"/>
      <c r="GH820" s="6"/>
      <c r="GI820" s="6"/>
      <c r="GJ820" s="6"/>
      <c r="GK820" s="6"/>
      <c r="GL820" s="6"/>
      <c r="GM820" s="6"/>
      <c r="GN820" s="6"/>
      <c r="GO820" s="6"/>
      <c r="GP820" s="6"/>
      <c r="GQ820" s="6"/>
      <c r="GR820" s="6"/>
      <c r="GS820" s="6"/>
      <c r="GT820" s="6"/>
      <c r="GU820" s="6"/>
      <c r="GV820" s="6"/>
      <c r="GW820" s="6"/>
      <c r="GX820" s="6"/>
      <c r="GY820" s="6"/>
      <c r="GZ820" s="6"/>
      <c r="HA820" s="6"/>
      <c r="HB820" s="6"/>
      <c r="HC820" s="6"/>
      <c r="HD820" s="6"/>
      <c r="HE820" s="6"/>
      <c r="HF820" s="6"/>
      <c r="HG820" s="6"/>
      <c r="HH820" s="6"/>
    </row>
    <row r="821" spans="1:216" x14ac:dyDescent="0.3">
      <c r="A821" s="8"/>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c r="FZ821" s="6"/>
      <c r="GA821" s="6"/>
      <c r="GB821" s="6"/>
      <c r="GC821" s="6"/>
      <c r="GD821" s="6"/>
      <c r="GE821" s="6"/>
      <c r="GF821" s="6"/>
      <c r="GG821" s="6"/>
      <c r="GH821" s="6"/>
      <c r="GI821" s="6"/>
      <c r="GJ821" s="6"/>
      <c r="GK821" s="6"/>
      <c r="GL821" s="6"/>
      <c r="GM821" s="6"/>
      <c r="GN821" s="6"/>
      <c r="GO821" s="6"/>
      <c r="GP821" s="6"/>
      <c r="GQ821" s="6"/>
      <c r="GR821" s="6"/>
      <c r="GS821" s="6"/>
      <c r="GT821" s="6"/>
      <c r="GU821" s="6"/>
      <c r="GV821" s="6"/>
      <c r="GW821" s="6"/>
      <c r="GX821" s="6"/>
      <c r="GY821" s="6"/>
      <c r="GZ821" s="6"/>
      <c r="HA821" s="6"/>
      <c r="HB821" s="6"/>
      <c r="HC821" s="6"/>
      <c r="HD821" s="6"/>
      <c r="HE821" s="6"/>
      <c r="HF821" s="6"/>
      <c r="HG821" s="6"/>
      <c r="HH821" s="6"/>
    </row>
    <row r="822" spans="1:216" x14ac:dyDescent="0.3">
      <c r="A822" s="8"/>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c r="FZ822" s="6"/>
      <c r="GA822" s="6"/>
      <c r="GB822" s="6"/>
      <c r="GC822" s="6"/>
      <c r="GD822" s="6"/>
      <c r="GE822" s="6"/>
      <c r="GF822" s="6"/>
      <c r="GG822" s="6"/>
      <c r="GH822" s="6"/>
      <c r="GI822" s="6"/>
      <c r="GJ822" s="6"/>
      <c r="GK822" s="6"/>
      <c r="GL822" s="6"/>
      <c r="GM822" s="6"/>
      <c r="GN822" s="6"/>
      <c r="GO822" s="6"/>
      <c r="GP822" s="6"/>
      <c r="GQ822" s="6"/>
      <c r="GR822" s="6"/>
      <c r="GS822" s="6"/>
      <c r="GT822" s="6"/>
      <c r="GU822" s="6"/>
      <c r="GV822" s="6"/>
      <c r="GW822" s="6"/>
      <c r="GX822" s="6"/>
      <c r="GY822" s="6"/>
      <c r="GZ822" s="6"/>
      <c r="HA822" s="6"/>
      <c r="HB822" s="6"/>
      <c r="HC822" s="6"/>
      <c r="HD822" s="6"/>
      <c r="HE822" s="6"/>
      <c r="HF822" s="6"/>
      <c r="HG822" s="6"/>
      <c r="HH822" s="6"/>
    </row>
    <row r="823" spans="1:216" x14ac:dyDescent="0.3">
      <c r="A823" s="8"/>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c r="FZ823" s="6"/>
      <c r="GA823" s="6"/>
      <c r="GB823" s="6"/>
      <c r="GC823" s="6"/>
      <c r="GD823" s="6"/>
      <c r="GE823" s="6"/>
      <c r="GF823" s="6"/>
      <c r="GG823" s="6"/>
      <c r="GH823" s="6"/>
      <c r="GI823" s="6"/>
      <c r="GJ823" s="6"/>
      <c r="GK823" s="6"/>
      <c r="GL823" s="6"/>
      <c r="GM823" s="6"/>
      <c r="GN823" s="6"/>
      <c r="GO823" s="6"/>
      <c r="GP823" s="6"/>
      <c r="GQ823" s="6"/>
      <c r="GR823" s="6"/>
      <c r="GS823" s="6"/>
      <c r="GT823" s="6"/>
      <c r="GU823" s="6"/>
      <c r="GV823" s="6"/>
      <c r="GW823" s="6"/>
      <c r="GX823" s="6"/>
      <c r="GY823" s="6"/>
      <c r="GZ823" s="6"/>
      <c r="HA823" s="6"/>
      <c r="HB823" s="6"/>
      <c r="HC823" s="6"/>
      <c r="HD823" s="6"/>
      <c r="HE823" s="6"/>
      <c r="HF823" s="6"/>
      <c r="HG823" s="6"/>
      <c r="HH823" s="6"/>
    </row>
    <row r="824" spans="1:216" x14ac:dyDescent="0.3">
      <c r="A824" s="8"/>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c r="FZ824" s="6"/>
      <c r="GA824" s="6"/>
      <c r="GB824" s="6"/>
      <c r="GC824" s="6"/>
      <c r="GD824" s="6"/>
      <c r="GE824" s="6"/>
      <c r="GF824" s="6"/>
      <c r="GG824" s="6"/>
      <c r="GH824" s="6"/>
      <c r="GI824" s="6"/>
      <c r="GJ824" s="6"/>
      <c r="GK824" s="6"/>
      <c r="GL824" s="6"/>
      <c r="GM824" s="6"/>
      <c r="GN824" s="6"/>
      <c r="GO824" s="6"/>
      <c r="GP824" s="6"/>
      <c r="GQ824" s="6"/>
      <c r="GR824" s="6"/>
      <c r="GS824" s="6"/>
      <c r="GT824" s="6"/>
      <c r="GU824" s="6"/>
      <c r="GV824" s="6"/>
      <c r="GW824" s="6"/>
      <c r="GX824" s="6"/>
      <c r="GY824" s="6"/>
      <c r="GZ824" s="6"/>
      <c r="HA824" s="6"/>
      <c r="HB824" s="6"/>
      <c r="HC824" s="6"/>
      <c r="HD824" s="6"/>
      <c r="HE824" s="6"/>
      <c r="HF824" s="6"/>
      <c r="HG824" s="6"/>
      <c r="HH824" s="6"/>
    </row>
    <row r="825" spans="1:216" x14ac:dyDescent="0.3">
      <c r="A825" s="8"/>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c r="FZ825" s="6"/>
      <c r="GA825" s="6"/>
      <c r="GB825" s="6"/>
      <c r="GC825" s="6"/>
      <c r="GD825" s="6"/>
      <c r="GE825" s="6"/>
      <c r="GF825" s="6"/>
      <c r="GG825" s="6"/>
      <c r="GH825" s="6"/>
      <c r="GI825" s="6"/>
      <c r="GJ825" s="6"/>
      <c r="GK825" s="6"/>
      <c r="GL825" s="6"/>
      <c r="GM825" s="6"/>
      <c r="GN825" s="6"/>
      <c r="GO825" s="6"/>
      <c r="GP825" s="6"/>
      <c r="GQ825" s="6"/>
      <c r="GR825" s="6"/>
      <c r="GS825" s="6"/>
      <c r="GT825" s="6"/>
      <c r="GU825" s="6"/>
      <c r="GV825" s="6"/>
      <c r="GW825" s="6"/>
      <c r="GX825" s="6"/>
      <c r="GY825" s="6"/>
      <c r="GZ825" s="6"/>
      <c r="HA825" s="6"/>
      <c r="HB825" s="6"/>
      <c r="HC825" s="6"/>
      <c r="HD825" s="6"/>
      <c r="HE825" s="6"/>
      <c r="HF825" s="6"/>
      <c r="HG825" s="6"/>
      <c r="HH825" s="6"/>
    </row>
    <row r="826" spans="1:216" x14ac:dyDescent="0.3">
      <c r="A826" s="8"/>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c r="FZ826" s="6"/>
      <c r="GA826" s="6"/>
      <c r="GB826" s="6"/>
      <c r="GC826" s="6"/>
      <c r="GD826" s="6"/>
      <c r="GE826" s="6"/>
      <c r="GF826" s="6"/>
      <c r="GG826" s="6"/>
      <c r="GH826" s="6"/>
      <c r="GI826" s="6"/>
      <c r="GJ826" s="6"/>
      <c r="GK826" s="6"/>
      <c r="GL826" s="6"/>
      <c r="GM826" s="6"/>
      <c r="GN826" s="6"/>
      <c r="GO826" s="6"/>
      <c r="GP826" s="6"/>
      <c r="GQ826" s="6"/>
      <c r="GR826" s="6"/>
      <c r="GS826" s="6"/>
      <c r="GT826" s="6"/>
      <c r="GU826" s="6"/>
      <c r="GV826" s="6"/>
      <c r="GW826" s="6"/>
      <c r="GX826" s="6"/>
      <c r="GY826" s="6"/>
      <c r="GZ826" s="6"/>
      <c r="HA826" s="6"/>
      <c r="HB826" s="6"/>
      <c r="HC826" s="6"/>
      <c r="HD826" s="6"/>
      <c r="HE826" s="6"/>
      <c r="HF826" s="6"/>
      <c r="HG826" s="6"/>
      <c r="HH826" s="6"/>
    </row>
    <row r="827" spans="1:216" x14ac:dyDescent="0.3">
      <c r="A827" s="8"/>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c r="FZ827" s="6"/>
      <c r="GA827" s="6"/>
      <c r="GB827" s="6"/>
      <c r="GC827" s="6"/>
      <c r="GD827" s="6"/>
      <c r="GE827" s="6"/>
      <c r="GF827" s="6"/>
      <c r="GG827" s="6"/>
      <c r="GH827" s="6"/>
      <c r="GI827" s="6"/>
      <c r="GJ827" s="6"/>
      <c r="GK827" s="6"/>
      <c r="GL827" s="6"/>
      <c r="GM827" s="6"/>
      <c r="GN827" s="6"/>
      <c r="GO827" s="6"/>
      <c r="GP827" s="6"/>
      <c r="GQ827" s="6"/>
      <c r="GR827" s="6"/>
      <c r="GS827" s="6"/>
      <c r="GT827" s="6"/>
      <c r="GU827" s="6"/>
      <c r="GV827" s="6"/>
      <c r="GW827" s="6"/>
      <c r="GX827" s="6"/>
      <c r="GY827" s="6"/>
      <c r="GZ827" s="6"/>
      <c r="HA827" s="6"/>
      <c r="HB827" s="6"/>
      <c r="HC827" s="6"/>
      <c r="HD827" s="6"/>
      <c r="HE827" s="6"/>
      <c r="HF827" s="6"/>
      <c r="HG827" s="6"/>
      <c r="HH827" s="6"/>
    </row>
    <row r="828" spans="1:216" x14ac:dyDescent="0.3">
      <c r="A828" s="8"/>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c r="FZ828" s="6"/>
      <c r="GA828" s="6"/>
      <c r="GB828" s="6"/>
      <c r="GC828" s="6"/>
      <c r="GD828" s="6"/>
      <c r="GE828" s="6"/>
      <c r="GF828" s="6"/>
      <c r="GG828" s="6"/>
      <c r="GH828" s="6"/>
      <c r="GI828" s="6"/>
      <c r="GJ828" s="6"/>
      <c r="GK828" s="6"/>
      <c r="GL828" s="6"/>
      <c r="GM828" s="6"/>
      <c r="GN828" s="6"/>
      <c r="GO828" s="6"/>
      <c r="GP828" s="6"/>
      <c r="GQ828" s="6"/>
      <c r="GR828" s="6"/>
      <c r="GS828" s="6"/>
      <c r="GT828" s="6"/>
      <c r="GU828" s="6"/>
      <c r="GV828" s="6"/>
      <c r="GW828" s="6"/>
      <c r="GX828" s="6"/>
      <c r="GY828" s="6"/>
      <c r="GZ828" s="6"/>
      <c r="HA828" s="6"/>
      <c r="HB828" s="6"/>
      <c r="HC828" s="6"/>
      <c r="HD828" s="6"/>
      <c r="HE828" s="6"/>
      <c r="HF828" s="6"/>
      <c r="HG828" s="6"/>
      <c r="HH828" s="6"/>
    </row>
    <row r="829" spans="1:216" x14ac:dyDescent="0.3">
      <c r="A829" s="8"/>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c r="FZ829" s="6"/>
      <c r="GA829" s="6"/>
      <c r="GB829" s="6"/>
      <c r="GC829" s="6"/>
      <c r="GD829" s="6"/>
      <c r="GE829" s="6"/>
      <c r="GF829" s="6"/>
      <c r="GG829" s="6"/>
      <c r="GH829" s="6"/>
      <c r="GI829" s="6"/>
      <c r="GJ829" s="6"/>
      <c r="GK829" s="6"/>
      <c r="GL829" s="6"/>
      <c r="GM829" s="6"/>
      <c r="GN829" s="6"/>
      <c r="GO829" s="6"/>
      <c r="GP829" s="6"/>
      <c r="GQ829" s="6"/>
      <c r="GR829" s="6"/>
      <c r="GS829" s="6"/>
      <c r="GT829" s="6"/>
      <c r="GU829" s="6"/>
      <c r="GV829" s="6"/>
      <c r="GW829" s="6"/>
      <c r="GX829" s="6"/>
      <c r="GY829" s="6"/>
      <c r="GZ829" s="6"/>
      <c r="HA829" s="6"/>
      <c r="HB829" s="6"/>
      <c r="HC829" s="6"/>
      <c r="HD829" s="6"/>
      <c r="HE829" s="6"/>
      <c r="HF829" s="6"/>
      <c r="HG829" s="6"/>
      <c r="HH829" s="6"/>
    </row>
    <row r="830" spans="1:216" x14ac:dyDescent="0.3">
      <c r="A830" s="8"/>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c r="FZ830" s="6"/>
      <c r="GA830" s="6"/>
      <c r="GB830" s="6"/>
      <c r="GC830" s="6"/>
      <c r="GD830" s="6"/>
      <c r="GE830" s="6"/>
      <c r="GF830" s="6"/>
      <c r="GG830" s="6"/>
      <c r="GH830" s="6"/>
      <c r="GI830" s="6"/>
      <c r="GJ830" s="6"/>
      <c r="GK830" s="6"/>
      <c r="GL830" s="6"/>
      <c r="GM830" s="6"/>
      <c r="GN830" s="6"/>
      <c r="GO830" s="6"/>
      <c r="GP830" s="6"/>
      <c r="GQ830" s="6"/>
      <c r="GR830" s="6"/>
      <c r="GS830" s="6"/>
      <c r="GT830" s="6"/>
      <c r="GU830" s="6"/>
      <c r="GV830" s="6"/>
      <c r="GW830" s="6"/>
      <c r="GX830" s="6"/>
      <c r="GY830" s="6"/>
      <c r="GZ830" s="6"/>
      <c r="HA830" s="6"/>
      <c r="HB830" s="6"/>
      <c r="HC830" s="6"/>
      <c r="HD830" s="6"/>
      <c r="HE830" s="6"/>
      <c r="HF830" s="6"/>
      <c r="HG830" s="6"/>
      <c r="HH830" s="6"/>
    </row>
    <row r="831" spans="1:216" x14ac:dyDescent="0.3">
      <c r="A831" s="8"/>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c r="FZ831" s="6"/>
      <c r="GA831" s="6"/>
      <c r="GB831" s="6"/>
      <c r="GC831" s="6"/>
      <c r="GD831" s="6"/>
      <c r="GE831" s="6"/>
      <c r="GF831" s="6"/>
      <c r="GG831" s="6"/>
      <c r="GH831" s="6"/>
      <c r="GI831" s="6"/>
      <c r="GJ831" s="6"/>
      <c r="GK831" s="6"/>
      <c r="GL831" s="6"/>
      <c r="GM831" s="6"/>
      <c r="GN831" s="6"/>
      <c r="GO831" s="6"/>
      <c r="GP831" s="6"/>
      <c r="GQ831" s="6"/>
      <c r="GR831" s="6"/>
      <c r="GS831" s="6"/>
      <c r="GT831" s="6"/>
      <c r="GU831" s="6"/>
      <c r="GV831" s="6"/>
      <c r="GW831" s="6"/>
      <c r="GX831" s="6"/>
      <c r="GY831" s="6"/>
      <c r="GZ831" s="6"/>
      <c r="HA831" s="6"/>
      <c r="HB831" s="6"/>
      <c r="HC831" s="6"/>
      <c r="HD831" s="6"/>
      <c r="HE831" s="6"/>
      <c r="HF831" s="6"/>
      <c r="HG831" s="6"/>
      <c r="HH831" s="6"/>
    </row>
    <row r="832" spans="1:216" x14ac:dyDescent="0.3">
      <c r="A832" s="8"/>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c r="FZ832" s="6"/>
      <c r="GA832" s="6"/>
      <c r="GB832" s="6"/>
      <c r="GC832" s="6"/>
      <c r="GD832" s="6"/>
      <c r="GE832" s="6"/>
      <c r="GF832" s="6"/>
      <c r="GG832" s="6"/>
      <c r="GH832" s="6"/>
      <c r="GI832" s="6"/>
      <c r="GJ832" s="6"/>
      <c r="GK832" s="6"/>
      <c r="GL832" s="6"/>
      <c r="GM832" s="6"/>
      <c r="GN832" s="6"/>
      <c r="GO832" s="6"/>
      <c r="GP832" s="6"/>
      <c r="GQ832" s="6"/>
      <c r="GR832" s="6"/>
      <c r="GS832" s="6"/>
      <c r="GT832" s="6"/>
      <c r="GU832" s="6"/>
      <c r="GV832" s="6"/>
      <c r="GW832" s="6"/>
      <c r="GX832" s="6"/>
      <c r="GY832" s="6"/>
      <c r="GZ832" s="6"/>
      <c r="HA832" s="6"/>
      <c r="HB832" s="6"/>
      <c r="HC832" s="6"/>
      <c r="HD832" s="6"/>
      <c r="HE832" s="6"/>
      <c r="HF832" s="6"/>
      <c r="HG832" s="6"/>
      <c r="HH832" s="6"/>
    </row>
    <row r="833" spans="1:216" x14ac:dyDescent="0.3">
      <c r="A833" s="8"/>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c r="FZ833" s="6"/>
      <c r="GA833" s="6"/>
      <c r="GB833" s="6"/>
      <c r="GC833" s="6"/>
      <c r="GD833" s="6"/>
      <c r="GE833" s="6"/>
      <c r="GF833" s="6"/>
      <c r="GG833" s="6"/>
      <c r="GH833" s="6"/>
      <c r="GI833" s="6"/>
      <c r="GJ833" s="6"/>
      <c r="GK833" s="6"/>
      <c r="GL833" s="6"/>
      <c r="GM833" s="6"/>
      <c r="GN833" s="6"/>
      <c r="GO833" s="6"/>
      <c r="GP833" s="6"/>
      <c r="GQ833" s="6"/>
      <c r="GR833" s="6"/>
      <c r="GS833" s="6"/>
      <c r="GT833" s="6"/>
      <c r="GU833" s="6"/>
      <c r="GV833" s="6"/>
      <c r="GW833" s="6"/>
      <c r="GX833" s="6"/>
      <c r="GY833" s="6"/>
      <c r="GZ833" s="6"/>
      <c r="HA833" s="6"/>
      <c r="HB833" s="6"/>
      <c r="HC833" s="6"/>
      <c r="HD833" s="6"/>
      <c r="HE833" s="6"/>
      <c r="HF833" s="6"/>
      <c r="HG833" s="6"/>
      <c r="HH833" s="6"/>
    </row>
    <row r="834" spans="1:216" x14ac:dyDescent="0.3">
      <c r="A834" s="8"/>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c r="FZ834" s="6"/>
      <c r="GA834" s="6"/>
      <c r="GB834" s="6"/>
      <c r="GC834" s="6"/>
      <c r="GD834" s="6"/>
      <c r="GE834" s="6"/>
      <c r="GF834" s="6"/>
      <c r="GG834" s="6"/>
      <c r="GH834" s="6"/>
      <c r="GI834" s="6"/>
      <c r="GJ834" s="6"/>
      <c r="GK834" s="6"/>
      <c r="GL834" s="6"/>
      <c r="GM834" s="6"/>
      <c r="GN834" s="6"/>
      <c r="GO834" s="6"/>
      <c r="GP834" s="6"/>
      <c r="GQ834" s="6"/>
      <c r="GR834" s="6"/>
      <c r="GS834" s="6"/>
      <c r="GT834" s="6"/>
      <c r="GU834" s="6"/>
      <c r="GV834" s="6"/>
      <c r="GW834" s="6"/>
      <c r="GX834" s="6"/>
      <c r="GY834" s="6"/>
      <c r="GZ834" s="6"/>
      <c r="HA834" s="6"/>
      <c r="HB834" s="6"/>
      <c r="HC834" s="6"/>
      <c r="HD834" s="6"/>
      <c r="HE834" s="6"/>
      <c r="HF834" s="6"/>
      <c r="HG834" s="6"/>
      <c r="HH834" s="6"/>
    </row>
    <row r="835" spans="1:216" x14ac:dyDescent="0.3">
      <c r="A835" s="8"/>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c r="FZ835" s="6"/>
      <c r="GA835" s="6"/>
      <c r="GB835" s="6"/>
      <c r="GC835" s="6"/>
      <c r="GD835" s="6"/>
      <c r="GE835" s="6"/>
      <c r="GF835" s="6"/>
      <c r="GG835" s="6"/>
      <c r="GH835" s="6"/>
      <c r="GI835" s="6"/>
      <c r="GJ835" s="6"/>
      <c r="GK835" s="6"/>
      <c r="GL835" s="6"/>
      <c r="GM835" s="6"/>
      <c r="GN835" s="6"/>
      <c r="GO835" s="6"/>
      <c r="GP835" s="6"/>
      <c r="GQ835" s="6"/>
      <c r="GR835" s="6"/>
      <c r="GS835" s="6"/>
      <c r="GT835" s="6"/>
      <c r="GU835" s="6"/>
      <c r="GV835" s="6"/>
      <c r="GW835" s="6"/>
      <c r="GX835" s="6"/>
      <c r="GY835" s="6"/>
      <c r="GZ835" s="6"/>
      <c r="HA835" s="6"/>
      <c r="HB835" s="6"/>
      <c r="HC835" s="6"/>
      <c r="HD835" s="6"/>
      <c r="HE835" s="6"/>
      <c r="HF835" s="6"/>
      <c r="HG835" s="6"/>
      <c r="HH835" s="6"/>
    </row>
    <row r="836" spans="1:216" x14ac:dyDescent="0.3">
      <c r="A836" s="8"/>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c r="FZ836" s="6"/>
      <c r="GA836" s="6"/>
      <c r="GB836" s="6"/>
      <c r="GC836" s="6"/>
      <c r="GD836" s="6"/>
      <c r="GE836" s="6"/>
      <c r="GF836" s="6"/>
      <c r="GG836" s="6"/>
      <c r="GH836" s="6"/>
      <c r="GI836" s="6"/>
      <c r="GJ836" s="6"/>
      <c r="GK836" s="6"/>
      <c r="GL836" s="6"/>
      <c r="GM836" s="6"/>
      <c r="GN836" s="6"/>
      <c r="GO836" s="6"/>
      <c r="GP836" s="6"/>
      <c r="GQ836" s="6"/>
      <c r="GR836" s="6"/>
      <c r="GS836" s="6"/>
      <c r="GT836" s="6"/>
      <c r="GU836" s="6"/>
      <c r="GV836" s="6"/>
      <c r="GW836" s="6"/>
      <c r="GX836" s="6"/>
      <c r="GY836" s="6"/>
      <c r="GZ836" s="6"/>
      <c r="HA836" s="6"/>
      <c r="HB836" s="6"/>
      <c r="HC836" s="6"/>
      <c r="HD836" s="6"/>
      <c r="HE836" s="6"/>
      <c r="HF836" s="6"/>
      <c r="HG836" s="6"/>
      <c r="HH836" s="6"/>
    </row>
    <row r="837" spans="1:216" x14ac:dyDescent="0.3">
      <c r="A837" s="8"/>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c r="FZ837" s="6"/>
      <c r="GA837" s="6"/>
      <c r="GB837" s="6"/>
      <c r="GC837" s="6"/>
      <c r="GD837" s="6"/>
      <c r="GE837" s="6"/>
      <c r="GF837" s="6"/>
      <c r="GG837" s="6"/>
      <c r="GH837" s="6"/>
      <c r="GI837" s="6"/>
      <c r="GJ837" s="6"/>
      <c r="GK837" s="6"/>
      <c r="GL837" s="6"/>
      <c r="GM837" s="6"/>
      <c r="GN837" s="6"/>
      <c r="GO837" s="6"/>
      <c r="GP837" s="6"/>
      <c r="GQ837" s="6"/>
      <c r="GR837" s="6"/>
      <c r="GS837" s="6"/>
      <c r="GT837" s="6"/>
      <c r="GU837" s="6"/>
      <c r="GV837" s="6"/>
      <c r="GW837" s="6"/>
      <c r="GX837" s="6"/>
      <c r="GY837" s="6"/>
      <c r="GZ837" s="6"/>
      <c r="HA837" s="6"/>
      <c r="HB837" s="6"/>
      <c r="HC837" s="6"/>
      <c r="HD837" s="6"/>
      <c r="HE837" s="6"/>
      <c r="HF837" s="6"/>
      <c r="HG837" s="6"/>
      <c r="HH837" s="6"/>
    </row>
    <row r="838" spans="1:216" x14ac:dyDescent="0.3">
      <c r="A838" s="8"/>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c r="FZ838" s="6"/>
      <c r="GA838" s="6"/>
      <c r="GB838" s="6"/>
      <c r="GC838" s="6"/>
      <c r="GD838" s="6"/>
      <c r="GE838" s="6"/>
      <c r="GF838" s="6"/>
      <c r="GG838" s="6"/>
      <c r="GH838" s="6"/>
      <c r="GI838" s="6"/>
      <c r="GJ838" s="6"/>
      <c r="GK838" s="6"/>
      <c r="GL838" s="6"/>
      <c r="GM838" s="6"/>
      <c r="GN838" s="6"/>
      <c r="GO838" s="6"/>
      <c r="GP838" s="6"/>
      <c r="GQ838" s="6"/>
      <c r="GR838" s="6"/>
      <c r="GS838" s="6"/>
      <c r="GT838" s="6"/>
      <c r="GU838" s="6"/>
      <c r="GV838" s="6"/>
      <c r="GW838" s="6"/>
      <c r="GX838" s="6"/>
      <c r="GY838" s="6"/>
      <c r="GZ838" s="6"/>
      <c r="HA838" s="6"/>
      <c r="HB838" s="6"/>
      <c r="HC838" s="6"/>
      <c r="HD838" s="6"/>
      <c r="HE838" s="6"/>
      <c r="HF838" s="6"/>
      <c r="HG838" s="6"/>
      <c r="HH838" s="6"/>
    </row>
    <row r="839" spans="1:216" x14ac:dyDescent="0.3">
      <c r="A839" s="8"/>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c r="FZ839" s="6"/>
      <c r="GA839" s="6"/>
      <c r="GB839" s="6"/>
      <c r="GC839" s="6"/>
      <c r="GD839" s="6"/>
      <c r="GE839" s="6"/>
      <c r="GF839" s="6"/>
      <c r="GG839" s="6"/>
      <c r="GH839" s="6"/>
      <c r="GI839" s="6"/>
      <c r="GJ839" s="6"/>
      <c r="GK839" s="6"/>
      <c r="GL839" s="6"/>
      <c r="GM839" s="6"/>
      <c r="GN839" s="6"/>
      <c r="GO839" s="6"/>
      <c r="GP839" s="6"/>
      <c r="GQ839" s="6"/>
      <c r="GR839" s="6"/>
      <c r="GS839" s="6"/>
      <c r="GT839" s="6"/>
      <c r="GU839" s="6"/>
      <c r="GV839" s="6"/>
      <c r="GW839" s="6"/>
      <c r="GX839" s="6"/>
      <c r="GY839" s="6"/>
      <c r="GZ839" s="6"/>
      <c r="HA839" s="6"/>
      <c r="HB839" s="6"/>
      <c r="HC839" s="6"/>
      <c r="HD839" s="6"/>
      <c r="HE839" s="6"/>
      <c r="HF839" s="6"/>
      <c r="HG839" s="6"/>
      <c r="HH839" s="6"/>
    </row>
    <row r="840" spans="1:216" x14ac:dyDescent="0.3">
      <c r="A840" s="8"/>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c r="FZ840" s="6"/>
      <c r="GA840" s="6"/>
      <c r="GB840" s="6"/>
      <c r="GC840" s="6"/>
      <c r="GD840" s="6"/>
      <c r="GE840" s="6"/>
      <c r="GF840" s="6"/>
      <c r="GG840" s="6"/>
      <c r="GH840" s="6"/>
      <c r="GI840" s="6"/>
      <c r="GJ840" s="6"/>
      <c r="GK840" s="6"/>
      <c r="GL840" s="6"/>
      <c r="GM840" s="6"/>
      <c r="GN840" s="6"/>
      <c r="GO840" s="6"/>
      <c r="GP840" s="6"/>
      <c r="GQ840" s="6"/>
      <c r="GR840" s="6"/>
      <c r="GS840" s="6"/>
      <c r="GT840" s="6"/>
      <c r="GU840" s="6"/>
      <c r="GV840" s="6"/>
      <c r="GW840" s="6"/>
      <c r="GX840" s="6"/>
      <c r="GY840" s="6"/>
      <c r="GZ840" s="6"/>
      <c r="HA840" s="6"/>
      <c r="HB840" s="6"/>
      <c r="HC840" s="6"/>
      <c r="HD840" s="6"/>
      <c r="HE840" s="6"/>
      <c r="HF840" s="6"/>
      <c r="HG840" s="6"/>
      <c r="HH840" s="6"/>
    </row>
    <row r="841" spans="1:216" x14ac:dyDescent="0.3">
      <c r="A841" s="8"/>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c r="FZ841" s="6"/>
      <c r="GA841" s="6"/>
      <c r="GB841" s="6"/>
      <c r="GC841" s="6"/>
      <c r="GD841" s="6"/>
      <c r="GE841" s="6"/>
      <c r="GF841" s="6"/>
      <c r="GG841" s="6"/>
      <c r="GH841" s="6"/>
      <c r="GI841" s="6"/>
      <c r="GJ841" s="6"/>
      <c r="GK841" s="6"/>
      <c r="GL841" s="6"/>
      <c r="GM841" s="6"/>
      <c r="GN841" s="6"/>
      <c r="GO841" s="6"/>
      <c r="GP841" s="6"/>
      <c r="GQ841" s="6"/>
      <c r="GR841" s="6"/>
      <c r="GS841" s="6"/>
      <c r="GT841" s="6"/>
      <c r="GU841" s="6"/>
      <c r="GV841" s="6"/>
      <c r="GW841" s="6"/>
      <c r="GX841" s="6"/>
      <c r="GY841" s="6"/>
      <c r="GZ841" s="6"/>
      <c r="HA841" s="6"/>
      <c r="HB841" s="6"/>
      <c r="HC841" s="6"/>
      <c r="HD841" s="6"/>
      <c r="HE841" s="6"/>
      <c r="HF841" s="6"/>
      <c r="HG841" s="6"/>
      <c r="HH841" s="6"/>
    </row>
    <row r="842" spans="1:216" x14ac:dyDescent="0.3">
      <c r="A842" s="8"/>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c r="FZ842" s="6"/>
      <c r="GA842" s="6"/>
      <c r="GB842" s="6"/>
      <c r="GC842" s="6"/>
      <c r="GD842" s="6"/>
      <c r="GE842" s="6"/>
      <c r="GF842" s="6"/>
      <c r="GG842" s="6"/>
      <c r="GH842" s="6"/>
      <c r="GI842" s="6"/>
      <c r="GJ842" s="6"/>
      <c r="GK842" s="6"/>
      <c r="GL842" s="6"/>
      <c r="GM842" s="6"/>
      <c r="GN842" s="6"/>
      <c r="GO842" s="6"/>
      <c r="GP842" s="6"/>
      <c r="GQ842" s="6"/>
      <c r="GR842" s="6"/>
      <c r="GS842" s="6"/>
      <c r="GT842" s="6"/>
      <c r="GU842" s="6"/>
      <c r="GV842" s="6"/>
      <c r="GW842" s="6"/>
      <c r="GX842" s="6"/>
      <c r="GY842" s="6"/>
      <c r="GZ842" s="6"/>
      <c r="HA842" s="6"/>
      <c r="HB842" s="6"/>
      <c r="HC842" s="6"/>
      <c r="HD842" s="6"/>
      <c r="HE842" s="6"/>
      <c r="HF842" s="6"/>
      <c r="HG842" s="6"/>
      <c r="HH842" s="6"/>
    </row>
    <row r="843" spans="1:216" x14ac:dyDescent="0.3">
      <c r="A843" s="8"/>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c r="FZ843" s="6"/>
      <c r="GA843" s="6"/>
      <c r="GB843" s="6"/>
      <c r="GC843" s="6"/>
      <c r="GD843" s="6"/>
      <c r="GE843" s="6"/>
      <c r="GF843" s="6"/>
      <c r="GG843" s="6"/>
      <c r="GH843" s="6"/>
      <c r="GI843" s="6"/>
      <c r="GJ843" s="6"/>
      <c r="GK843" s="6"/>
      <c r="GL843" s="6"/>
      <c r="GM843" s="6"/>
      <c r="GN843" s="6"/>
      <c r="GO843" s="6"/>
      <c r="GP843" s="6"/>
      <c r="GQ843" s="6"/>
      <c r="GR843" s="6"/>
      <c r="GS843" s="6"/>
      <c r="GT843" s="6"/>
      <c r="GU843" s="6"/>
      <c r="GV843" s="6"/>
      <c r="GW843" s="6"/>
      <c r="GX843" s="6"/>
      <c r="GY843" s="6"/>
      <c r="GZ843" s="6"/>
      <c r="HA843" s="6"/>
      <c r="HB843" s="6"/>
      <c r="HC843" s="6"/>
      <c r="HD843" s="6"/>
      <c r="HE843" s="6"/>
      <c r="HF843" s="6"/>
      <c r="HG843" s="6"/>
      <c r="HH843" s="6"/>
    </row>
    <row r="844" spans="1:216" x14ac:dyDescent="0.3">
      <c r="A844" s="8"/>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c r="FZ844" s="6"/>
      <c r="GA844" s="6"/>
      <c r="GB844" s="6"/>
      <c r="GC844" s="6"/>
      <c r="GD844" s="6"/>
      <c r="GE844" s="6"/>
      <c r="GF844" s="6"/>
      <c r="GG844" s="6"/>
      <c r="GH844" s="6"/>
      <c r="GI844" s="6"/>
      <c r="GJ844" s="6"/>
      <c r="GK844" s="6"/>
      <c r="GL844" s="6"/>
      <c r="GM844" s="6"/>
      <c r="GN844" s="6"/>
      <c r="GO844" s="6"/>
      <c r="GP844" s="6"/>
      <c r="GQ844" s="6"/>
      <c r="GR844" s="6"/>
      <c r="GS844" s="6"/>
      <c r="GT844" s="6"/>
      <c r="GU844" s="6"/>
      <c r="GV844" s="6"/>
      <c r="GW844" s="6"/>
      <c r="GX844" s="6"/>
      <c r="GY844" s="6"/>
      <c r="GZ844" s="6"/>
      <c r="HA844" s="6"/>
      <c r="HB844" s="6"/>
      <c r="HC844" s="6"/>
      <c r="HD844" s="6"/>
      <c r="HE844" s="6"/>
      <c r="HF844" s="6"/>
      <c r="HG844" s="6"/>
      <c r="HH844" s="6"/>
    </row>
    <row r="845" spans="1:216" x14ac:dyDescent="0.3">
      <c r="A845" s="8"/>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c r="FZ845" s="6"/>
      <c r="GA845" s="6"/>
      <c r="GB845" s="6"/>
      <c r="GC845" s="6"/>
      <c r="GD845" s="6"/>
      <c r="GE845" s="6"/>
      <c r="GF845" s="6"/>
      <c r="GG845" s="6"/>
      <c r="GH845" s="6"/>
      <c r="GI845" s="6"/>
      <c r="GJ845" s="6"/>
      <c r="GK845" s="6"/>
      <c r="GL845" s="6"/>
      <c r="GM845" s="6"/>
      <c r="GN845" s="6"/>
      <c r="GO845" s="6"/>
      <c r="GP845" s="6"/>
      <c r="GQ845" s="6"/>
      <c r="GR845" s="6"/>
      <c r="GS845" s="6"/>
      <c r="GT845" s="6"/>
      <c r="GU845" s="6"/>
      <c r="GV845" s="6"/>
      <c r="GW845" s="6"/>
      <c r="GX845" s="6"/>
      <c r="GY845" s="6"/>
      <c r="GZ845" s="6"/>
      <c r="HA845" s="6"/>
      <c r="HB845" s="6"/>
      <c r="HC845" s="6"/>
      <c r="HD845" s="6"/>
      <c r="HE845" s="6"/>
      <c r="HF845" s="6"/>
      <c r="HG845" s="6"/>
      <c r="HH845" s="6"/>
    </row>
    <row r="846" spans="1:216" x14ac:dyDescent="0.3">
      <c r="A846" s="8"/>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c r="FZ846" s="6"/>
      <c r="GA846" s="6"/>
      <c r="GB846" s="6"/>
      <c r="GC846" s="6"/>
      <c r="GD846" s="6"/>
      <c r="GE846" s="6"/>
      <c r="GF846" s="6"/>
      <c r="GG846" s="6"/>
      <c r="GH846" s="6"/>
      <c r="GI846" s="6"/>
      <c r="GJ846" s="6"/>
      <c r="GK846" s="6"/>
      <c r="GL846" s="6"/>
      <c r="GM846" s="6"/>
      <c r="GN846" s="6"/>
      <c r="GO846" s="6"/>
      <c r="GP846" s="6"/>
      <c r="GQ846" s="6"/>
      <c r="GR846" s="6"/>
      <c r="GS846" s="6"/>
      <c r="GT846" s="6"/>
      <c r="GU846" s="6"/>
      <c r="GV846" s="6"/>
      <c r="GW846" s="6"/>
      <c r="GX846" s="6"/>
      <c r="GY846" s="6"/>
      <c r="GZ846" s="6"/>
      <c r="HA846" s="6"/>
      <c r="HB846" s="6"/>
      <c r="HC846" s="6"/>
      <c r="HD846" s="6"/>
      <c r="HE846" s="6"/>
      <c r="HF846" s="6"/>
      <c r="HG846" s="6"/>
      <c r="HH846" s="6"/>
    </row>
    <row r="847" spans="1:216" x14ac:dyDescent="0.3">
      <c r="A847" s="8"/>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c r="FZ847" s="6"/>
      <c r="GA847" s="6"/>
      <c r="GB847" s="6"/>
      <c r="GC847" s="6"/>
      <c r="GD847" s="6"/>
      <c r="GE847" s="6"/>
      <c r="GF847" s="6"/>
      <c r="GG847" s="6"/>
      <c r="GH847" s="6"/>
      <c r="GI847" s="6"/>
      <c r="GJ847" s="6"/>
      <c r="GK847" s="6"/>
      <c r="GL847" s="6"/>
      <c r="GM847" s="6"/>
      <c r="GN847" s="6"/>
      <c r="GO847" s="6"/>
      <c r="GP847" s="6"/>
      <c r="GQ847" s="6"/>
      <c r="GR847" s="6"/>
      <c r="GS847" s="6"/>
      <c r="GT847" s="6"/>
      <c r="GU847" s="6"/>
      <c r="GV847" s="6"/>
      <c r="GW847" s="6"/>
      <c r="GX847" s="6"/>
      <c r="GY847" s="6"/>
      <c r="GZ847" s="6"/>
      <c r="HA847" s="6"/>
      <c r="HB847" s="6"/>
      <c r="HC847" s="6"/>
      <c r="HD847" s="6"/>
      <c r="HE847" s="6"/>
      <c r="HF847" s="6"/>
      <c r="HG847" s="6"/>
      <c r="HH847" s="6"/>
    </row>
    <row r="848" spans="1:216" x14ac:dyDescent="0.3">
      <c r="A848" s="8"/>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c r="FZ848" s="6"/>
      <c r="GA848" s="6"/>
      <c r="GB848" s="6"/>
      <c r="GC848" s="6"/>
      <c r="GD848" s="6"/>
      <c r="GE848" s="6"/>
      <c r="GF848" s="6"/>
      <c r="GG848" s="6"/>
      <c r="GH848" s="6"/>
      <c r="GI848" s="6"/>
      <c r="GJ848" s="6"/>
      <c r="GK848" s="6"/>
      <c r="GL848" s="6"/>
      <c r="GM848" s="6"/>
      <c r="GN848" s="6"/>
      <c r="GO848" s="6"/>
      <c r="GP848" s="6"/>
      <c r="GQ848" s="6"/>
      <c r="GR848" s="6"/>
      <c r="GS848" s="6"/>
      <c r="GT848" s="6"/>
      <c r="GU848" s="6"/>
      <c r="GV848" s="6"/>
      <c r="GW848" s="6"/>
      <c r="GX848" s="6"/>
      <c r="GY848" s="6"/>
      <c r="GZ848" s="6"/>
      <c r="HA848" s="6"/>
      <c r="HB848" s="6"/>
      <c r="HC848" s="6"/>
      <c r="HD848" s="6"/>
      <c r="HE848" s="6"/>
      <c r="HF848" s="6"/>
      <c r="HG848" s="6"/>
      <c r="HH848" s="6"/>
    </row>
    <row r="849" spans="1:216" x14ac:dyDescent="0.3">
      <c r="A849" s="8"/>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c r="FZ849" s="6"/>
      <c r="GA849" s="6"/>
      <c r="GB849" s="6"/>
      <c r="GC849" s="6"/>
      <c r="GD849" s="6"/>
      <c r="GE849" s="6"/>
      <c r="GF849" s="6"/>
      <c r="GG849" s="6"/>
      <c r="GH849" s="6"/>
      <c r="GI849" s="6"/>
      <c r="GJ849" s="6"/>
      <c r="GK849" s="6"/>
      <c r="GL849" s="6"/>
      <c r="GM849" s="6"/>
      <c r="GN849" s="6"/>
      <c r="GO849" s="6"/>
      <c r="GP849" s="6"/>
      <c r="GQ849" s="6"/>
      <c r="GR849" s="6"/>
      <c r="GS849" s="6"/>
      <c r="GT849" s="6"/>
      <c r="GU849" s="6"/>
      <c r="GV849" s="6"/>
      <c r="GW849" s="6"/>
      <c r="GX849" s="6"/>
      <c r="GY849" s="6"/>
      <c r="GZ849" s="6"/>
      <c r="HA849" s="6"/>
      <c r="HB849" s="6"/>
      <c r="HC849" s="6"/>
      <c r="HD849" s="6"/>
      <c r="HE849" s="6"/>
      <c r="HF849" s="6"/>
      <c r="HG849" s="6"/>
      <c r="HH849" s="6"/>
    </row>
    <row r="850" spans="1:216" x14ac:dyDescent="0.3">
      <c r="A850" s="8"/>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c r="FZ850" s="6"/>
      <c r="GA850" s="6"/>
      <c r="GB850" s="6"/>
      <c r="GC850" s="6"/>
      <c r="GD850" s="6"/>
      <c r="GE850" s="6"/>
      <c r="GF850" s="6"/>
      <c r="GG850" s="6"/>
      <c r="GH850" s="6"/>
      <c r="GI850" s="6"/>
      <c r="GJ850" s="6"/>
      <c r="GK850" s="6"/>
      <c r="GL850" s="6"/>
      <c r="GM850" s="6"/>
      <c r="GN850" s="6"/>
      <c r="GO850" s="6"/>
      <c r="GP850" s="6"/>
      <c r="GQ850" s="6"/>
      <c r="GR850" s="6"/>
      <c r="GS850" s="6"/>
      <c r="GT850" s="6"/>
      <c r="GU850" s="6"/>
      <c r="GV850" s="6"/>
      <c r="GW850" s="6"/>
      <c r="GX850" s="6"/>
      <c r="GY850" s="6"/>
      <c r="GZ850" s="6"/>
      <c r="HA850" s="6"/>
      <c r="HB850" s="6"/>
      <c r="HC850" s="6"/>
      <c r="HD850" s="6"/>
      <c r="HE850" s="6"/>
      <c r="HF850" s="6"/>
      <c r="HG850" s="6"/>
      <c r="HH850" s="6"/>
    </row>
    <row r="851" spans="1:216" x14ac:dyDescent="0.3">
      <c r="A851" s="8"/>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c r="FZ851" s="6"/>
      <c r="GA851" s="6"/>
      <c r="GB851" s="6"/>
      <c r="GC851" s="6"/>
      <c r="GD851" s="6"/>
      <c r="GE851" s="6"/>
      <c r="GF851" s="6"/>
      <c r="GG851" s="6"/>
      <c r="GH851" s="6"/>
      <c r="GI851" s="6"/>
      <c r="GJ851" s="6"/>
      <c r="GK851" s="6"/>
      <c r="GL851" s="6"/>
      <c r="GM851" s="6"/>
      <c r="GN851" s="6"/>
      <c r="GO851" s="6"/>
      <c r="GP851" s="6"/>
      <c r="GQ851" s="6"/>
      <c r="GR851" s="6"/>
      <c r="GS851" s="6"/>
      <c r="GT851" s="6"/>
      <c r="GU851" s="6"/>
      <c r="GV851" s="6"/>
      <c r="GW851" s="6"/>
      <c r="GX851" s="6"/>
      <c r="GY851" s="6"/>
      <c r="GZ851" s="6"/>
      <c r="HA851" s="6"/>
      <c r="HB851" s="6"/>
      <c r="HC851" s="6"/>
      <c r="HD851" s="6"/>
      <c r="HE851" s="6"/>
      <c r="HF851" s="6"/>
      <c r="HG851" s="6"/>
      <c r="HH851" s="6"/>
    </row>
    <row r="852" spans="1:216" x14ac:dyDescent="0.3">
      <c r="A852" s="8"/>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c r="FZ852" s="6"/>
      <c r="GA852" s="6"/>
      <c r="GB852" s="6"/>
      <c r="GC852" s="6"/>
      <c r="GD852" s="6"/>
      <c r="GE852" s="6"/>
      <c r="GF852" s="6"/>
      <c r="GG852" s="6"/>
      <c r="GH852" s="6"/>
      <c r="GI852" s="6"/>
      <c r="GJ852" s="6"/>
      <c r="GK852" s="6"/>
      <c r="GL852" s="6"/>
      <c r="GM852" s="6"/>
      <c r="GN852" s="6"/>
      <c r="GO852" s="6"/>
      <c r="GP852" s="6"/>
      <c r="GQ852" s="6"/>
      <c r="GR852" s="6"/>
      <c r="GS852" s="6"/>
      <c r="GT852" s="6"/>
      <c r="GU852" s="6"/>
      <c r="GV852" s="6"/>
      <c r="GW852" s="6"/>
      <c r="GX852" s="6"/>
      <c r="GY852" s="6"/>
      <c r="GZ852" s="6"/>
      <c r="HA852" s="6"/>
      <c r="HB852" s="6"/>
      <c r="HC852" s="6"/>
      <c r="HD852" s="6"/>
      <c r="HE852" s="6"/>
      <c r="HF852" s="6"/>
      <c r="HG852" s="6"/>
      <c r="HH852" s="6"/>
    </row>
    <row r="853" spans="1:216" x14ac:dyDescent="0.3">
      <c r="A853" s="8"/>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c r="FZ853" s="6"/>
      <c r="GA853" s="6"/>
      <c r="GB853" s="6"/>
      <c r="GC853" s="6"/>
      <c r="GD853" s="6"/>
      <c r="GE853" s="6"/>
      <c r="GF853" s="6"/>
      <c r="GG853" s="6"/>
      <c r="GH853" s="6"/>
      <c r="GI853" s="6"/>
      <c r="GJ853" s="6"/>
      <c r="GK853" s="6"/>
      <c r="GL853" s="6"/>
      <c r="GM853" s="6"/>
      <c r="GN853" s="6"/>
      <c r="GO853" s="6"/>
      <c r="GP853" s="6"/>
      <c r="GQ853" s="6"/>
      <c r="GR853" s="6"/>
      <c r="GS853" s="6"/>
      <c r="GT853" s="6"/>
      <c r="GU853" s="6"/>
      <c r="GV853" s="6"/>
      <c r="GW853" s="6"/>
      <c r="GX853" s="6"/>
      <c r="GY853" s="6"/>
      <c r="GZ853" s="6"/>
      <c r="HA853" s="6"/>
      <c r="HB853" s="6"/>
      <c r="HC853" s="6"/>
      <c r="HD853" s="6"/>
      <c r="HE853" s="6"/>
      <c r="HF853" s="6"/>
      <c r="HG853" s="6"/>
      <c r="HH853" s="6"/>
    </row>
    <row r="854" spans="1:216" x14ac:dyDescent="0.3">
      <c r="A854" s="8"/>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c r="FZ854" s="6"/>
      <c r="GA854" s="6"/>
      <c r="GB854" s="6"/>
      <c r="GC854" s="6"/>
      <c r="GD854" s="6"/>
      <c r="GE854" s="6"/>
      <c r="GF854" s="6"/>
      <c r="GG854" s="6"/>
      <c r="GH854" s="6"/>
      <c r="GI854" s="6"/>
      <c r="GJ854" s="6"/>
      <c r="GK854" s="6"/>
      <c r="GL854" s="6"/>
      <c r="GM854" s="6"/>
      <c r="GN854" s="6"/>
      <c r="GO854" s="6"/>
      <c r="GP854" s="6"/>
      <c r="GQ854" s="6"/>
      <c r="GR854" s="6"/>
      <c r="GS854" s="6"/>
      <c r="GT854" s="6"/>
      <c r="GU854" s="6"/>
      <c r="GV854" s="6"/>
      <c r="GW854" s="6"/>
      <c r="GX854" s="6"/>
      <c r="GY854" s="6"/>
      <c r="GZ854" s="6"/>
      <c r="HA854" s="6"/>
      <c r="HB854" s="6"/>
      <c r="HC854" s="6"/>
      <c r="HD854" s="6"/>
      <c r="HE854" s="6"/>
      <c r="HF854" s="6"/>
      <c r="HG854" s="6"/>
      <c r="HH854" s="6"/>
    </row>
    <row r="855" spans="1:216" x14ac:dyDescent="0.3">
      <c r="A855" s="8"/>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c r="FZ855" s="6"/>
      <c r="GA855" s="6"/>
      <c r="GB855" s="6"/>
      <c r="GC855" s="6"/>
      <c r="GD855" s="6"/>
      <c r="GE855" s="6"/>
      <c r="GF855" s="6"/>
      <c r="GG855" s="6"/>
      <c r="GH855" s="6"/>
      <c r="GI855" s="6"/>
      <c r="GJ855" s="6"/>
      <c r="GK855" s="6"/>
      <c r="GL855" s="6"/>
      <c r="GM855" s="6"/>
      <c r="GN855" s="6"/>
      <c r="GO855" s="6"/>
      <c r="GP855" s="6"/>
      <c r="GQ855" s="6"/>
      <c r="GR855" s="6"/>
      <c r="GS855" s="6"/>
      <c r="GT855" s="6"/>
      <c r="GU855" s="6"/>
      <c r="GV855" s="6"/>
      <c r="GW855" s="6"/>
      <c r="GX855" s="6"/>
      <c r="GY855" s="6"/>
      <c r="GZ855" s="6"/>
      <c r="HA855" s="6"/>
      <c r="HB855" s="6"/>
      <c r="HC855" s="6"/>
      <c r="HD855" s="6"/>
      <c r="HE855" s="6"/>
      <c r="HF855" s="6"/>
      <c r="HG855" s="6"/>
      <c r="HH855" s="6"/>
    </row>
    <row r="856" spans="1:216" x14ac:dyDescent="0.3">
      <c r="A856" s="8"/>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c r="FZ856" s="6"/>
      <c r="GA856" s="6"/>
      <c r="GB856" s="6"/>
      <c r="GC856" s="6"/>
      <c r="GD856" s="6"/>
      <c r="GE856" s="6"/>
      <c r="GF856" s="6"/>
      <c r="GG856" s="6"/>
      <c r="GH856" s="6"/>
      <c r="GI856" s="6"/>
      <c r="GJ856" s="6"/>
      <c r="GK856" s="6"/>
      <c r="GL856" s="6"/>
      <c r="GM856" s="6"/>
      <c r="GN856" s="6"/>
      <c r="GO856" s="6"/>
      <c r="GP856" s="6"/>
      <c r="GQ856" s="6"/>
      <c r="GR856" s="6"/>
      <c r="GS856" s="6"/>
      <c r="GT856" s="6"/>
      <c r="GU856" s="6"/>
      <c r="GV856" s="6"/>
      <c r="GW856" s="6"/>
      <c r="GX856" s="6"/>
      <c r="GY856" s="6"/>
      <c r="GZ856" s="6"/>
      <c r="HA856" s="6"/>
      <c r="HB856" s="6"/>
      <c r="HC856" s="6"/>
      <c r="HD856" s="6"/>
      <c r="HE856" s="6"/>
      <c r="HF856" s="6"/>
      <c r="HG856" s="6"/>
      <c r="HH856" s="6"/>
    </row>
    <row r="857" spans="1:216" x14ac:dyDescent="0.3">
      <c r="A857" s="8"/>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c r="FZ857" s="6"/>
      <c r="GA857" s="6"/>
      <c r="GB857" s="6"/>
      <c r="GC857" s="6"/>
      <c r="GD857" s="6"/>
      <c r="GE857" s="6"/>
      <c r="GF857" s="6"/>
      <c r="GG857" s="6"/>
      <c r="GH857" s="6"/>
      <c r="GI857" s="6"/>
      <c r="GJ857" s="6"/>
      <c r="GK857" s="6"/>
      <c r="GL857" s="6"/>
      <c r="GM857" s="6"/>
      <c r="GN857" s="6"/>
      <c r="GO857" s="6"/>
      <c r="GP857" s="6"/>
      <c r="GQ857" s="6"/>
      <c r="GR857" s="6"/>
      <c r="GS857" s="6"/>
      <c r="GT857" s="6"/>
      <c r="GU857" s="6"/>
      <c r="GV857" s="6"/>
      <c r="GW857" s="6"/>
      <c r="GX857" s="6"/>
      <c r="GY857" s="6"/>
      <c r="GZ857" s="6"/>
      <c r="HA857" s="6"/>
      <c r="HB857" s="6"/>
      <c r="HC857" s="6"/>
      <c r="HD857" s="6"/>
      <c r="HE857" s="6"/>
      <c r="HF857" s="6"/>
      <c r="HG857" s="6"/>
      <c r="HH857" s="6"/>
    </row>
    <row r="858" spans="1:216" x14ac:dyDescent="0.3">
      <c r="A858" s="8"/>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c r="FZ858" s="6"/>
      <c r="GA858" s="6"/>
      <c r="GB858" s="6"/>
      <c r="GC858" s="6"/>
      <c r="GD858" s="6"/>
      <c r="GE858" s="6"/>
      <c r="GF858" s="6"/>
      <c r="GG858" s="6"/>
      <c r="GH858" s="6"/>
      <c r="GI858" s="6"/>
      <c r="GJ858" s="6"/>
      <c r="GK858" s="6"/>
      <c r="GL858" s="6"/>
      <c r="GM858" s="6"/>
      <c r="GN858" s="6"/>
      <c r="GO858" s="6"/>
      <c r="GP858" s="6"/>
      <c r="GQ858" s="6"/>
      <c r="GR858" s="6"/>
      <c r="GS858" s="6"/>
      <c r="GT858" s="6"/>
      <c r="GU858" s="6"/>
      <c r="GV858" s="6"/>
      <c r="GW858" s="6"/>
      <c r="GX858" s="6"/>
      <c r="GY858" s="6"/>
      <c r="GZ858" s="6"/>
      <c r="HA858" s="6"/>
      <c r="HB858" s="6"/>
      <c r="HC858" s="6"/>
      <c r="HD858" s="6"/>
      <c r="HE858" s="6"/>
      <c r="HF858" s="6"/>
      <c r="HG858" s="6"/>
      <c r="HH858" s="6"/>
    </row>
    <row r="859" spans="1:216" x14ac:dyDescent="0.3">
      <c r="A859" s="8"/>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c r="FZ859" s="6"/>
      <c r="GA859" s="6"/>
      <c r="GB859" s="6"/>
      <c r="GC859" s="6"/>
      <c r="GD859" s="6"/>
      <c r="GE859" s="6"/>
      <c r="GF859" s="6"/>
      <c r="GG859" s="6"/>
      <c r="GH859" s="6"/>
      <c r="GI859" s="6"/>
      <c r="GJ859" s="6"/>
      <c r="GK859" s="6"/>
      <c r="GL859" s="6"/>
      <c r="GM859" s="6"/>
      <c r="GN859" s="6"/>
      <c r="GO859" s="6"/>
      <c r="GP859" s="6"/>
      <c r="GQ859" s="6"/>
      <c r="GR859" s="6"/>
      <c r="GS859" s="6"/>
      <c r="GT859" s="6"/>
      <c r="GU859" s="6"/>
      <c r="GV859" s="6"/>
      <c r="GW859" s="6"/>
      <c r="GX859" s="6"/>
      <c r="GY859" s="6"/>
      <c r="GZ859" s="6"/>
      <c r="HA859" s="6"/>
      <c r="HB859" s="6"/>
      <c r="HC859" s="6"/>
      <c r="HD859" s="6"/>
      <c r="HE859" s="6"/>
      <c r="HF859" s="6"/>
      <c r="HG859" s="6"/>
      <c r="HH859" s="6"/>
    </row>
    <row r="860" spans="1:216" x14ac:dyDescent="0.3">
      <c r="A860" s="8"/>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c r="FZ860" s="6"/>
      <c r="GA860" s="6"/>
      <c r="GB860" s="6"/>
      <c r="GC860" s="6"/>
      <c r="GD860" s="6"/>
      <c r="GE860" s="6"/>
      <c r="GF860" s="6"/>
      <c r="GG860" s="6"/>
      <c r="GH860" s="6"/>
      <c r="GI860" s="6"/>
      <c r="GJ860" s="6"/>
      <c r="GK860" s="6"/>
      <c r="GL860" s="6"/>
      <c r="GM860" s="6"/>
      <c r="GN860" s="6"/>
      <c r="GO860" s="6"/>
      <c r="GP860" s="6"/>
      <c r="GQ860" s="6"/>
      <c r="GR860" s="6"/>
      <c r="GS860" s="6"/>
      <c r="GT860" s="6"/>
      <c r="GU860" s="6"/>
      <c r="GV860" s="6"/>
      <c r="GW860" s="6"/>
      <c r="GX860" s="6"/>
      <c r="GY860" s="6"/>
      <c r="GZ860" s="6"/>
      <c r="HA860" s="6"/>
      <c r="HB860" s="6"/>
      <c r="HC860" s="6"/>
      <c r="HD860" s="6"/>
      <c r="HE860" s="6"/>
      <c r="HF860" s="6"/>
      <c r="HG860" s="6"/>
      <c r="HH860" s="6"/>
    </row>
    <row r="861" spans="1:216" x14ac:dyDescent="0.3">
      <c r="A861" s="8"/>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c r="FZ861" s="6"/>
      <c r="GA861" s="6"/>
      <c r="GB861" s="6"/>
      <c r="GC861" s="6"/>
      <c r="GD861" s="6"/>
      <c r="GE861" s="6"/>
      <c r="GF861" s="6"/>
      <c r="GG861" s="6"/>
      <c r="GH861" s="6"/>
      <c r="GI861" s="6"/>
      <c r="GJ861" s="6"/>
      <c r="GK861" s="6"/>
      <c r="GL861" s="6"/>
      <c r="GM861" s="6"/>
      <c r="GN861" s="6"/>
      <c r="GO861" s="6"/>
      <c r="GP861" s="6"/>
      <c r="GQ861" s="6"/>
      <c r="GR861" s="6"/>
      <c r="GS861" s="6"/>
      <c r="GT861" s="6"/>
      <c r="GU861" s="6"/>
      <c r="GV861" s="6"/>
      <c r="GW861" s="6"/>
      <c r="GX861" s="6"/>
      <c r="GY861" s="6"/>
      <c r="GZ861" s="6"/>
      <c r="HA861" s="6"/>
      <c r="HB861" s="6"/>
      <c r="HC861" s="6"/>
      <c r="HD861" s="6"/>
      <c r="HE861" s="6"/>
      <c r="HF861" s="6"/>
      <c r="HG861" s="6"/>
      <c r="HH861" s="6"/>
    </row>
    <row r="862" spans="1:216" x14ac:dyDescent="0.3">
      <c r="A862" s="8"/>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c r="FZ862" s="6"/>
      <c r="GA862" s="6"/>
      <c r="GB862" s="6"/>
      <c r="GC862" s="6"/>
      <c r="GD862" s="6"/>
      <c r="GE862" s="6"/>
      <c r="GF862" s="6"/>
      <c r="GG862" s="6"/>
      <c r="GH862" s="6"/>
      <c r="GI862" s="6"/>
      <c r="GJ862" s="6"/>
      <c r="GK862" s="6"/>
      <c r="GL862" s="6"/>
      <c r="GM862" s="6"/>
      <c r="GN862" s="6"/>
      <c r="GO862" s="6"/>
      <c r="GP862" s="6"/>
      <c r="GQ862" s="6"/>
      <c r="GR862" s="6"/>
      <c r="GS862" s="6"/>
      <c r="GT862" s="6"/>
      <c r="GU862" s="6"/>
      <c r="GV862" s="6"/>
      <c r="GW862" s="6"/>
      <c r="GX862" s="6"/>
      <c r="GY862" s="6"/>
      <c r="GZ862" s="6"/>
      <c r="HA862" s="6"/>
      <c r="HB862" s="6"/>
      <c r="HC862" s="6"/>
      <c r="HD862" s="6"/>
      <c r="HE862" s="6"/>
      <c r="HF862" s="6"/>
      <c r="HG862" s="6"/>
      <c r="HH862" s="6"/>
    </row>
    <row r="863" spans="1:216" x14ac:dyDescent="0.3">
      <c r="A863" s="8"/>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c r="FZ863" s="6"/>
      <c r="GA863" s="6"/>
      <c r="GB863" s="6"/>
      <c r="GC863" s="6"/>
      <c r="GD863" s="6"/>
      <c r="GE863" s="6"/>
      <c r="GF863" s="6"/>
      <c r="GG863" s="6"/>
      <c r="GH863" s="6"/>
      <c r="GI863" s="6"/>
      <c r="GJ863" s="6"/>
      <c r="GK863" s="6"/>
      <c r="GL863" s="6"/>
      <c r="GM863" s="6"/>
      <c r="GN863" s="6"/>
      <c r="GO863" s="6"/>
      <c r="GP863" s="6"/>
      <c r="GQ863" s="6"/>
      <c r="GR863" s="6"/>
      <c r="GS863" s="6"/>
      <c r="GT863" s="6"/>
      <c r="GU863" s="6"/>
      <c r="GV863" s="6"/>
      <c r="GW863" s="6"/>
      <c r="GX863" s="6"/>
      <c r="GY863" s="6"/>
      <c r="GZ863" s="6"/>
      <c r="HA863" s="6"/>
      <c r="HB863" s="6"/>
      <c r="HC863" s="6"/>
      <c r="HD863" s="6"/>
      <c r="HE863" s="6"/>
      <c r="HF863" s="6"/>
      <c r="HG863" s="6"/>
      <c r="HH863" s="6"/>
    </row>
    <row r="864" spans="1:216" x14ac:dyDescent="0.3">
      <c r="A864" s="8"/>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c r="FZ864" s="6"/>
      <c r="GA864" s="6"/>
      <c r="GB864" s="6"/>
      <c r="GC864" s="6"/>
      <c r="GD864" s="6"/>
      <c r="GE864" s="6"/>
      <c r="GF864" s="6"/>
      <c r="GG864" s="6"/>
      <c r="GH864" s="6"/>
      <c r="GI864" s="6"/>
      <c r="GJ864" s="6"/>
      <c r="GK864" s="6"/>
      <c r="GL864" s="6"/>
      <c r="GM864" s="6"/>
      <c r="GN864" s="6"/>
      <c r="GO864" s="6"/>
      <c r="GP864" s="6"/>
      <c r="GQ864" s="6"/>
      <c r="GR864" s="6"/>
      <c r="GS864" s="6"/>
      <c r="GT864" s="6"/>
      <c r="GU864" s="6"/>
      <c r="GV864" s="6"/>
      <c r="GW864" s="6"/>
      <c r="GX864" s="6"/>
      <c r="GY864" s="6"/>
      <c r="GZ864" s="6"/>
      <c r="HA864" s="6"/>
      <c r="HB864" s="6"/>
      <c r="HC864" s="6"/>
      <c r="HD864" s="6"/>
      <c r="HE864" s="6"/>
      <c r="HF864" s="6"/>
      <c r="HG864" s="6"/>
      <c r="HH864" s="6"/>
    </row>
    <row r="865" spans="1:216" x14ac:dyDescent="0.3">
      <c r="A865" s="8"/>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c r="FZ865" s="6"/>
      <c r="GA865" s="6"/>
      <c r="GB865" s="6"/>
      <c r="GC865" s="6"/>
      <c r="GD865" s="6"/>
      <c r="GE865" s="6"/>
      <c r="GF865" s="6"/>
      <c r="GG865" s="6"/>
      <c r="GH865" s="6"/>
      <c r="GI865" s="6"/>
      <c r="GJ865" s="6"/>
      <c r="GK865" s="6"/>
      <c r="GL865" s="6"/>
      <c r="GM865" s="6"/>
      <c r="GN865" s="6"/>
      <c r="GO865" s="6"/>
      <c r="GP865" s="6"/>
      <c r="GQ865" s="6"/>
      <c r="GR865" s="6"/>
      <c r="GS865" s="6"/>
      <c r="GT865" s="6"/>
      <c r="GU865" s="6"/>
      <c r="GV865" s="6"/>
      <c r="GW865" s="6"/>
      <c r="GX865" s="6"/>
      <c r="GY865" s="6"/>
      <c r="GZ865" s="6"/>
      <c r="HA865" s="6"/>
      <c r="HB865" s="6"/>
      <c r="HC865" s="6"/>
      <c r="HD865" s="6"/>
      <c r="HE865" s="6"/>
      <c r="HF865" s="6"/>
      <c r="HG865" s="6"/>
      <c r="HH865" s="6"/>
    </row>
    <row r="866" spans="1:216" x14ac:dyDescent="0.3">
      <c r="A866" s="8"/>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c r="FZ866" s="6"/>
      <c r="GA866" s="6"/>
      <c r="GB866" s="6"/>
      <c r="GC866" s="6"/>
      <c r="GD866" s="6"/>
      <c r="GE866" s="6"/>
      <c r="GF866" s="6"/>
      <c r="GG866" s="6"/>
      <c r="GH866" s="6"/>
      <c r="GI866" s="6"/>
      <c r="GJ866" s="6"/>
      <c r="GK866" s="6"/>
      <c r="GL866" s="6"/>
      <c r="GM866" s="6"/>
      <c r="GN866" s="6"/>
      <c r="GO866" s="6"/>
      <c r="GP866" s="6"/>
      <c r="GQ866" s="6"/>
      <c r="GR866" s="6"/>
      <c r="GS866" s="6"/>
      <c r="GT866" s="6"/>
      <c r="GU866" s="6"/>
      <c r="GV866" s="6"/>
      <c r="GW866" s="6"/>
      <c r="GX866" s="6"/>
      <c r="GY866" s="6"/>
      <c r="GZ866" s="6"/>
      <c r="HA866" s="6"/>
      <c r="HB866" s="6"/>
      <c r="HC866" s="6"/>
      <c r="HD866" s="6"/>
      <c r="HE866" s="6"/>
      <c r="HF866" s="6"/>
      <c r="HG866" s="6"/>
      <c r="HH866" s="6"/>
    </row>
    <row r="867" spans="1:216" x14ac:dyDescent="0.3">
      <c r="A867" s="8"/>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c r="FZ867" s="6"/>
      <c r="GA867" s="6"/>
      <c r="GB867" s="6"/>
      <c r="GC867" s="6"/>
      <c r="GD867" s="6"/>
      <c r="GE867" s="6"/>
      <c r="GF867" s="6"/>
      <c r="GG867" s="6"/>
      <c r="GH867" s="6"/>
      <c r="GI867" s="6"/>
      <c r="GJ867" s="6"/>
      <c r="GK867" s="6"/>
      <c r="GL867" s="6"/>
      <c r="GM867" s="6"/>
      <c r="GN867" s="6"/>
      <c r="GO867" s="6"/>
      <c r="GP867" s="6"/>
      <c r="GQ867" s="6"/>
      <c r="GR867" s="6"/>
      <c r="GS867" s="6"/>
      <c r="GT867" s="6"/>
      <c r="GU867" s="6"/>
      <c r="GV867" s="6"/>
      <c r="GW867" s="6"/>
      <c r="GX867" s="6"/>
      <c r="GY867" s="6"/>
      <c r="GZ867" s="6"/>
      <c r="HA867" s="6"/>
      <c r="HB867" s="6"/>
      <c r="HC867" s="6"/>
      <c r="HD867" s="6"/>
      <c r="HE867" s="6"/>
      <c r="HF867" s="6"/>
      <c r="HG867" s="6"/>
      <c r="HH867" s="6"/>
    </row>
    <row r="868" spans="1:216" x14ac:dyDescent="0.3">
      <c r="A868" s="8"/>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c r="FZ868" s="6"/>
      <c r="GA868" s="6"/>
      <c r="GB868" s="6"/>
      <c r="GC868" s="6"/>
      <c r="GD868" s="6"/>
      <c r="GE868" s="6"/>
      <c r="GF868" s="6"/>
      <c r="GG868" s="6"/>
      <c r="GH868" s="6"/>
      <c r="GI868" s="6"/>
      <c r="GJ868" s="6"/>
      <c r="GK868" s="6"/>
      <c r="GL868" s="6"/>
      <c r="GM868" s="6"/>
      <c r="GN868" s="6"/>
      <c r="GO868" s="6"/>
      <c r="GP868" s="6"/>
      <c r="GQ868" s="6"/>
      <c r="GR868" s="6"/>
      <c r="GS868" s="6"/>
      <c r="GT868" s="6"/>
      <c r="GU868" s="6"/>
      <c r="GV868" s="6"/>
      <c r="GW868" s="6"/>
      <c r="GX868" s="6"/>
      <c r="GY868" s="6"/>
      <c r="GZ868" s="6"/>
      <c r="HA868" s="6"/>
      <c r="HB868" s="6"/>
      <c r="HC868" s="6"/>
      <c r="HD868" s="6"/>
      <c r="HE868" s="6"/>
      <c r="HF868" s="6"/>
      <c r="HG868" s="6"/>
      <c r="HH868" s="6"/>
    </row>
    <row r="869" spans="1:216" x14ac:dyDescent="0.3">
      <c r="A869" s="8"/>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row>
    <row r="870" spans="1:216" x14ac:dyDescent="0.3">
      <c r="A870" s="8"/>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row>
    <row r="871" spans="1:216" x14ac:dyDescent="0.3">
      <c r="A871" s="8"/>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row>
    <row r="872" spans="1:216" x14ac:dyDescent="0.3">
      <c r="A872" s="8"/>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row>
    <row r="873" spans="1:216" x14ac:dyDescent="0.3">
      <c r="A873" s="8"/>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row>
    <row r="874" spans="1:216" x14ac:dyDescent="0.3">
      <c r="A874" s="8"/>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row>
    <row r="875" spans="1:216" x14ac:dyDescent="0.3">
      <c r="A875" s="8"/>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row>
    <row r="876" spans="1:216" x14ac:dyDescent="0.3">
      <c r="A876" s="8"/>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row>
    <row r="877" spans="1:216" x14ac:dyDescent="0.3">
      <c r="A877" s="8"/>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c r="FZ877" s="6"/>
      <c r="GA877" s="6"/>
      <c r="GB877" s="6"/>
      <c r="GC877" s="6"/>
      <c r="GD877" s="6"/>
      <c r="GE877" s="6"/>
      <c r="GF877" s="6"/>
      <c r="GG877" s="6"/>
      <c r="GH877" s="6"/>
      <c r="GI877" s="6"/>
      <c r="GJ877" s="6"/>
      <c r="GK877" s="6"/>
      <c r="GL877" s="6"/>
      <c r="GM877" s="6"/>
      <c r="GN877" s="6"/>
      <c r="GO877" s="6"/>
      <c r="GP877" s="6"/>
      <c r="GQ877" s="6"/>
      <c r="GR877" s="6"/>
      <c r="GS877" s="6"/>
      <c r="GT877" s="6"/>
      <c r="GU877" s="6"/>
      <c r="GV877" s="6"/>
      <c r="GW877" s="6"/>
      <c r="GX877" s="6"/>
      <c r="GY877" s="6"/>
      <c r="GZ877" s="6"/>
      <c r="HA877" s="6"/>
      <c r="HB877" s="6"/>
      <c r="HC877" s="6"/>
      <c r="HD877" s="6"/>
      <c r="HE877" s="6"/>
      <c r="HF877" s="6"/>
      <c r="HG877" s="6"/>
      <c r="HH877" s="6"/>
    </row>
    <row r="878" spans="1:216" x14ac:dyDescent="0.3">
      <c r="A878" s="8"/>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c r="FZ878" s="6"/>
      <c r="GA878" s="6"/>
      <c r="GB878" s="6"/>
      <c r="GC878" s="6"/>
      <c r="GD878" s="6"/>
      <c r="GE878" s="6"/>
      <c r="GF878" s="6"/>
      <c r="GG878" s="6"/>
      <c r="GH878" s="6"/>
      <c r="GI878" s="6"/>
      <c r="GJ878" s="6"/>
      <c r="GK878" s="6"/>
      <c r="GL878" s="6"/>
      <c r="GM878" s="6"/>
      <c r="GN878" s="6"/>
      <c r="GO878" s="6"/>
      <c r="GP878" s="6"/>
      <c r="GQ878" s="6"/>
      <c r="GR878" s="6"/>
      <c r="GS878" s="6"/>
      <c r="GT878" s="6"/>
      <c r="GU878" s="6"/>
      <c r="GV878" s="6"/>
      <c r="GW878" s="6"/>
      <c r="GX878" s="6"/>
      <c r="GY878" s="6"/>
      <c r="GZ878" s="6"/>
      <c r="HA878" s="6"/>
      <c r="HB878" s="6"/>
      <c r="HC878" s="6"/>
      <c r="HD878" s="6"/>
      <c r="HE878" s="6"/>
      <c r="HF878" s="6"/>
      <c r="HG878" s="6"/>
      <c r="HH878" s="6"/>
    </row>
    <row r="879" spans="1:216" x14ac:dyDescent="0.3">
      <c r="A879" s="8"/>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c r="FZ879" s="6"/>
      <c r="GA879" s="6"/>
      <c r="GB879" s="6"/>
      <c r="GC879" s="6"/>
      <c r="GD879" s="6"/>
      <c r="GE879" s="6"/>
      <c r="GF879" s="6"/>
      <c r="GG879" s="6"/>
      <c r="GH879" s="6"/>
      <c r="GI879" s="6"/>
      <c r="GJ879" s="6"/>
      <c r="GK879" s="6"/>
      <c r="GL879" s="6"/>
      <c r="GM879" s="6"/>
      <c r="GN879" s="6"/>
      <c r="GO879" s="6"/>
      <c r="GP879" s="6"/>
      <c r="GQ879" s="6"/>
      <c r="GR879" s="6"/>
      <c r="GS879" s="6"/>
      <c r="GT879" s="6"/>
      <c r="GU879" s="6"/>
      <c r="GV879" s="6"/>
      <c r="GW879" s="6"/>
      <c r="GX879" s="6"/>
      <c r="GY879" s="6"/>
      <c r="GZ879" s="6"/>
      <c r="HA879" s="6"/>
      <c r="HB879" s="6"/>
      <c r="HC879" s="6"/>
      <c r="HD879" s="6"/>
      <c r="HE879" s="6"/>
      <c r="HF879" s="6"/>
      <c r="HG879" s="6"/>
      <c r="HH879" s="6"/>
    </row>
    <row r="880" spans="1:216" x14ac:dyDescent="0.3">
      <c r="A880" s="8"/>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c r="FZ880" s="6"/>
      <c r="GA880" s="6"/>
      <c r="GB880" s="6"/>
      <c r="GC880" s="6"/>
      <c r="GD880" s="6"/>
      <c r="GE880" s="6"/>
      <c r="GF880" s="6"/>
      <c r="GG880" s="6"/>
      <c r="GH880" s="6"/>
      <c r="GI880" s="6"/>
      <c r="GJ880" s="6"/>
      <c r="GK880" s="6"/>
      <c r="GL880" s="6"/>
      <c r="GM880" s="6"/>
      <c r="GN880" s="6"/>
      <c r="GO880" s="6"/>
      <c r="GP880" s="6"/>
      <c r="GQ880" s="6"/>
      <c r="GR880" s="6"/>
      <c r="GS880" s="6"/>
      <c r="GT880" s="6"/>
      <c r="GU880" s="6"/>
      <c r="GV880" s="6"/>
      <c r="GW880" s="6"/>
      <c r="GX880" s="6"/>
      <c r="GY880" s="6"/>
      <c r="GZ880" s="6"/>
      <c r="HA880" s="6"/>
      <c r="HB880" s="6"/>
      <c r="HC880" s="6"/>
      <c r="HD880" s="6"/>
      <c r="HE880" s="6"/>
      <c r="HF880" s="6"/>
      <c r="HG880" s="6"/>
      <c r="HH880" s="6"/>
    </row>
    <row r="881" spans="1:216" x14ac:dyDescent="0.3">
      <c r="A881" s="8"/>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c r="FZ881" s="6"/>
      <c r="GA881" s="6"/>
      <c r="GB881" s="6"/>
      <c r="GC881" s="6"/>
      <c r="GD881" s="6"/>
      <c r="GE881" s="6"/>
      <c r="GF881" s="6"/>
      <c r="GG881" s="6"/>
      <c r="GH881" s="6"/>
      <c r="GI881" s="6"/>
      <c r="GJ881" s="6"/>
      <c r="GK881" s="6"/>
      <c r="GL881" s="6"/>
      <c r="GM881" s="6"/>
      <c r="GN881" s="6"/>
      <c r="GO881" s="6"/>
      <c r="GP881" s="6"/>
      <c r="GQ881" s="6"/>
      <c r="GR881" s="6"/>
      <c r="GS881" s="6"/>
      <c r="GT881" s="6"/>
      <c r="GU881" s="6"/>
      <c r="GV881" s="6"/>
      <c r="GW881" s="6"/>
      <c r="GX881" s="6"/>
      <c r="GY881" s="6"/>
      <c r="GZ881" s="6"/>
      <c r="HA881" s="6"/>
      <c r="HB881" s="6"/>
      <c r="HC881" s="6"/>
      <c r="HD881" s="6"/>
      <c r="HE881" s="6"/>
      <c r="HF881" s="6"/>
      <c r="HG881" s="6"/>
      <c r="HH881" s="6"/>
    </row>
    <row r="882" spans="1:216" x14ac:dyDescent="0.3">
      <c r="A882" s="8"/>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c r="FZ882" s="6"/>
      <c r="GA882" s="6"/>
      <c r="GB882" s="6"/>
      <c r="GC882" s="6"/>
      <c r="GD882" s="6"/>
      <c r="GE882" s="6"/>
      <c r="GF882" s="6"/>
      <c r="GG882" s="6"/>
      <c r="GH882" s="6"/>
      <c r="GI882" s="6"/>
      <c r="GJ882" s="6"/>
      <c r="GK882" s="6"/>
      <c r="GL882" s="6"/>
      <c r="GM882" s="6"/>
      <c r="GN882" s="6"/>
      <c r="GO882" s="6"/>
      <c r="GP882" s="6"/>
      <c r="GQ882" s="6"/>
      <c r="GR882" s="6"/>
      <c r="GS882" s="6"/>
      <c r="GT882" s="6"/>
      <c r="GU882" s="6"/>
      <c r="GV882" s="6"/>
      <c r="GW882" s="6"/>
      <c r="GX882" s="6"/>
      <c r="GY882" s="6"/>
      <c r="GZ882" s="6"/>
      <c r="HA882" s="6"/>
      <c r="HB882" s="6"/>
      <c r="HC882" s="6"/>
      <c r="HD882" s="6"/>
      <c r="HE882" s="6"/>
      <c r="HF882" s="6"/>
      <c r="HG882" s="6"/>
      <c r="HH882" s="6"/>
    </row>
    <row r="883" spans="1:216" x14ac:dyDescent="0.3">
      <c r="A883" s="8"/>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c r="FZ883" s="6"/>
      <c r="GA883" s="6"/>
      <c r="GB883" s="6"/>
      <c r="GC883" s="6"/>
      <c r="GD883" s="6"/>
      <c r="GE883" s="6"/>
      <c r="GF883" s="6"/>
      <c r="GG883" s="6"/>
      <c r="GH883" s="6"/>
      <c r="GI883" s="6"/>
      <c r="GJ883" s="6"/>
      <c r="GK883" s="6"/>
      <c r="GL883" s="6"/>
      <c r="GM883" s="6"/>
      <c r="GN883" s="6"/>
      <c r="GO883" s="6"/>
      <c r="GP883" s="6"/>
      <c r="GQ883" s="6"/>
      <c r="GR883" s="6"/>
      <c r="GS883" s="6"/>
      <c r="GT883" s="6"/>
      <c r="GU883" s="6"/>
      <c r="GV883" s="6"/>
      <c r="GW883" s="6"/>
      <c r="GX883" s="6"/>
      <c r="GY883" s="6"/>
      <c r="GZ883" s="6"/>
      <c r="HA883" s="6"/>
      <c r="HB883" s="6"/>
      <c r="HC883" s="6"/>
      <c r="HD883" s="6"/>
      <c r="HE883" s="6"/>
      <c r="HF883" s="6"/>
      <c r="HG883" s="6"/>
      <c r="HH883" s="6"/>
    </row>
    <row r="884" spans="1:216" x14ac:dyDescent="0.3">
      <c r="A884" s="8"/>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c r="FZ884" s="6"/>
      <c r="GA884" s="6"/>
      <c r="GB884" s="6"/>
      <c r="GC884" s="6"/>
      <c r="GD884" s="6"/>
      <c r="GE884" s="6"/>
      <c r="GF884" s="6"/>
      <c r="GG884" s="6"/>
      <c r="GH884" s="6"/>
      <c r="GI884" s="6"/>
      <c r="GJ884" s="6"/>
      <c r="GK884" s="6"/>
      <c r="GL884" s="6"/>
      <c r="GM884" s="6"/>
      <c r="GN884" s="6"/>
      <c r="GO884" s="6"/>
      <c r="GP884" s="6"/>
      <c r="GQ884" s="6"/>
      <c r="GR884" s="6"/>
      <c r="GS884" s="6"/>
      <c r="GT884" s="6"/>
      <c r="GU884" s="6"/>
      <c r="GV884" s="6"/>
      <c r="GW884" s="6"/>
      <c r="GX884" s="6"/>
      <c r="GY884" s="6"/>
      <c r="GZ884" s="6"/>
      <c r="HA884" s="6"/>
      <c r="HB884" s="6"/>
      <c r="HC884" s="6"/>
      <c r="HD884" s="6"/>
      <c r="HE884" s="6"/>
      <c r="HF884" s="6"/>
      <c r="HG884" s="6"/>
      <c r="HH884" s="6"/>
    </row>
    <row r="885" spans="1:216" x14ac:dyDescent="0.3">
      <c r="A885" s="8"/>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c r="FZ885" s="6"/>
      <c r="GA885" s="6"/>
      <c r="GB885" s="6"/>
      <c r="GC885" s="6"/>
      <c r="GD885" s="6"/>
      <c r="GE885" s="6"/>
      <c r="GF885" s="6"/>
      <c r="GG885" s="6"/>
      <c r="GH885" s="6"/>
      <c r="GI885" s="6"/>
      <c r="GJ885" s="6"/>
      <c r="GK885" s="6"/>
      <c r="GL885" s="6"/>
      <c r="GM885" s="6"/>
      <c r="GN885" s="6"/>
      <c r="GO885" s="6"/>
      <c r="GP885" s="6"/>
      <c r="GQ885" s="6"/>
      <c r="GR885" s="6"/>
      <c r="GS885" s="6"/>
      <c r="GT885" s="6"/>
      <c r="GU885" s="6"/>
      <c r="GV885" s="6"/>
      <c r="GW885" s="6"/>
      <c r="GX885" s="6"/>
      <c r="GY885" s="6"/>
      <c r="GZ885" s="6"/>
      <c r="HA885" s="6"/>
      <c r="HB885" s="6"/>
      <c r="HC885" s="6"/>
      <c r="HD885" s="6"/>
      <c r="HE885" s="6"/>
      <c r="HF885" s="6"/>
      <c r="HG885" s="6"/>
      <c r="HH885" s="6"/>
    </row>
    <row r="886" spans="1:216" x14ac:dyDescent="0.3">
      <c r="A886" s="8"/>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c r="FZ886" s="6"/>
      <c r="GA886" s="6"/>
      <c r="GB886" s="6"/>
      <c r="GC886" s="6"/>
      <c r="GD886" s="6"/>
      <c r="GE886" s="6"/>
      <c r="GF886" s="6"/>
      <c r="GG886" s="6"/>
      <c r="GH886" s="6"/>
      <c r="GI886" s="6"/>
      <c r="GJ886" s="6"/>
      <c r="GK886" s="6"/>
      <c r="GL886" s="6"/>
      <c r="GM886" s="6"/>
      <c r="GN886" s="6"/>
      <c r="GO886" s="6"/>
      <c r="GP886" s="6"/>
      <c r="GQ886" s="6"/>
      <c r="GR886" s="6"/>
      <c r="GS886" s="6"/>
      <c r="GT886" s="6"/>
      <c r="GU886" s="6"/>
      <c r="GV886" s="6"/>
      <c r="GW886" s="6"/>
      <c r="GX886" s="6"/>
      <c r="GY886" s="6"/>
      <c r="GZ886" s="6"/>
      <c r="HA886" s="6"/>
      <c r="HB886" s="6"/>
      <c r="HC886" s="6"/>
      <c r="HD886" s="6"/>
      <c r="HE886" s="6"/>
      <c r="HF886" s="6"/>
      <c r="HG886" s="6"/>
      <c r="HH886" s="6"/>
    </row>
    <row r="887" spans="1:216" x14ac:dyDescent="0.3">
      <c r="A887" s="8"/>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c r="FZ887" s="6"/>
      <c r="GA887" s="6"/>
      <c r="GB887" s="6"/>
      <c r="GC887" s="6"/>
      <c r="GD887" s="6"/>
      <c r="GE887" s="6"/>
      <c r="GF887" s="6"/>
      <c r="GG887" s="6"/>
      <c r="GH887" s="6"/>
      <c r="GI887" s="6"/>
      <c r="GJ887" s="6"/>
      <c r="GK887" s="6"/>
      <c r="GL887" s="6"/>
      <c r="GM887" s="6"/>
      <c r="GN887" s="6"/>
      <c r="GO887" s="6"/>
      <c r="GP887" s="6"/>
      <c r="GQ887" s="6"/>
      <c r="GR887" s="6"/>
      <c r="GS887" s="6"/>
      <c r="GT887" s="6"/>
      <c r="GU887" s="6"/>
      <c r="GV887" s="6"/>
      <c r="GW887" s="6"/>
      <c r="GX887" s="6"/>
      <c r="GY887" s="6"/>
      <c r="GZ887" s="6"/>
      <c r="HA887" s="6"/>
      <c r="HB887" s="6"/>
      <c r="HC887" s="6"/>
      <c r="HD887" s="6"/>
      <c r="HE887" s="6"/>
      <c r="HF887" s="6"/>
      <c r="HG887" s="6"/>
      <c r="HH887" s="6"/>
    </row>
    <row r="888" spans="1:216" x14ac:dyDescent="0.3">
      <c r="A888" s="8"/>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c r="FZ888" s="6"/>
      <c r="GA888" s="6"/>
      <c r="GB888" s="6"/>
      <c r="GC888" s="6"/>
      <c r="GD888" s="6"/>
      <c r="GE888" s="6"/>
      <c r="GF888" s="6"/>
      <c r="GG888" s="6"/>
      <c r="GH888" s="6"/>
      <c r="GI888" s="6"/>
      <c r="GJ888" s="6"/>
      <c r="GK888" s="6"/>
      <c r="GL888" s="6"/>
      <c r="GM888" s="6"/>
      <c r="GN888" s="6"/>
      <c r="GO888" s="6"/>
      <c r="GP888" s="6"/>
      <c r="GQ888" s="6"/>
      <c r="GR888" s="6"/>
      <c r="GS888" s="6"/>
      <c r="GT888" s="6"/>
      <c r="GU888" s="6"/>
      <c r="GV888" s="6"/>
      <c r="GW888" s="6"/>
      <c r="GX888" s="6"/>
      <c r="GY888" s="6"/>
      <c r="GZ888" s="6"/>
      <c r="HA888" s="6"/>
      <c r="HB888" s="6"/>
      <c r="HC888" s="6"/>
      <c r="HD888" s="6"/>
      <c r="HE888" s="6"/>
      <c r="HF888" s="6"/>
      <c r="HG888" s="6"/>
      <c r="HH888" s="6"/>
    </row>
    <row r="889" spans="1:216" x14ac:dyDescent="0.3">
      <c r="A889" s="8"/>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c r="FZ889" s="6"/>
      <c r="GA889" s="6"/>
      <c r="GB889" s="6"/>
      <c r="GC889" s="6"/>
      <c r="GD889" s="6"/>
      <c r="GE889" s="6"/>
      <c r="GF889" s="6"/>
      <c r="GG889" s="6"/>
      <c r="GH889" s="6"/>
      <c r="GI889" s="6"/>
      <c r="GJ889" s="6"/>
      <c r="GK889" s="6"/>
      <c r="GL889" s="6"/>
      <c r="GM889" s="6"/>
      <c r="GN889" s="6"/>
      <c r="GO889" s="6"/>
      <c r="GP889" s="6"/>
      <c r="GQ889" s="6"/>
      <c r="GR889" s="6"/>
      <c r="GS889" s="6"/>
      <c r="GT889" s="6"/>
      <c r="GU889" s="6"/>
      <c r="GV889" s="6"/>
      <c r="GW889" s="6"/>
      <c r="GX889" s="6"/>
      <c r="GY889" s="6"/>
      <c r="GZ889" s="6"/>
      <c r="HA889" s="6"/>
      <c r="HB889" s="6"/>
      <c r="HC889" s="6"/>
      <c r="HD889" s="6"/>
      <c r="HE889" s="6"/>
      <c r="HF889" s="6"/>
      <c r="HG889" s="6"/>
      <c r="HH889" s="6"/>
    </row>
    <row r="890" spans="1:216" x14ac:dyDescent="0.3">
      <c r="A890" s="8"/>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c r="FZ890" s="6"/>
      <c r="GA890" s="6"/>
      <c r="GB890" s="6"/>
      <c r="GC890" s="6"/>
      <c r="GD890" s="6"/>
      <c r="GE890" s="6"/>
      <c r="GF890" s="6"/>
      <c r="GG890" s="6"/>
      <c r="GH890" s="6"/>
      <c r="GI890" s="6"/>
      <c r="GJ890" s="6"/>
      <c r="GK890" s="6"/>
      <c r="GL890" s="6"/>
      <c r="GM890" s="6"/>
      <c r="GN890" s="6"/>
      <c r="GO890" s="6"/>
      <c r="GP890" s="6"/>
      <c r="GQ890" s="6"/>
      <c r="GR890" s="6"/>
      <c r="GS890" s="6"/>
      <c r="GT890" s="6"/>
      <c r="GU890" s="6"/>
      <c r="GV890" s="6"/>
      <c r="GW890" s="6"/>
      <c r="GX890" s="6"/>
      <c r="GY890" s="6"/>
      <c r="GZ890" s="6"/>
      <c r="HA890" s="6"/>
      <c r="HB890" s="6"/>
      <c r="HC890" s="6"/>
      <c r="HD890" s="6"/>
      <c r="HE890" s="6"/>
      <c r="HF890" s="6"/>
      <c r="HG890" s="6"/>
      <c r="HH890" s="6"/>
    </row>
    <row r="891" spans="1:216" x14ac:dyDescent="0.3">
      <c r="A891" s="8"/>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c r="FZ891" s="6"/>
      <c r="GA891" s="6"/>
      <c r="GB891" s="6"/>
      <c r="GC891" s="6"/>
      <c r="GD891" s="6"/>
      <c r="GE891" s="6"/>
      <c r="GF891" s="6"/>
      <c r="GG891" s="6"/>
      <c r="GH891" s="6"/>
      <c r="GI891" s="6"/>
      <c r="GJ891" s="6"/>
      <c r="GK891" s="6"/>
      <c r="GL891" s="6"/>
      <c r="GM891" s="6"/>
      <c r="GN891" s="6"/>
      <c r="GO891" s="6"/>
      <c r="GP891" s="6"/>
      <c r="GQ891" s="6"/>
      <c r="GR891" s="6"/>
      <c r="GS891" s="6"/>
      <c r="GT891" s="6"/>
      <c r="GU891" s="6"/>
      <c r="GV891" s="6"/>
      <c r="GW891" s="6"/>
      <c r="GX891" s="6"/>
      <c r="GY891" s="6"/>
      <c r="GZ891" s="6"/>
      <c r="HA891" s="6"/>
      <c r="HB891" s="6"/>
      <c r="HC891" s="6"/>
      <c r="HD891" s="6"/>
      <c r="HE891" s="6"/>
      <c r="HF891" s="6"/>
      <c r="HG891" s="6"/>
      <c r="HH891" s="6"/>
    </row>
    <row r="892" spans="1:216" x14ac:dyDescent="0.3">
      <c r="A892" s="8"/>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c r="FZ892" s="6"/>
      <c r="GA892" s="6"/>
      <c r="GB892" s="6"/>
      <c r="GC892" s="6"/>
      <c r="GD892" s="6"/>
      <c r="GE892" s="6"/>
      <c r="GF892" s="6"/>
      <c r="GG892" s="6"/>
      <c r="GH892" s="6"/>
      <c r="GI892" s="6"/>
      <c r="GJ892" s="6"/>
      <c r="GK892" s="6"/>
      <c r="GL892" s="6"/>
      <c r="GM892" s="6"/>
      <c r="GN892" s="6"/>
      <c r="GO892" s="6"/>
      <c r="GP892" s="6"/>
      <c r="GQ892" s="6"/>
      <c r="GR892" s="6"/>
      <c r="GS892" s="6"/>
      <c r="GT892" s="6"/>
      <c r="GU892" s="6"/>
      <c r="GV892" s="6"/>
      <c r="GW892" s="6"/>
      <c r="GX892" s="6"/>
      <c r="GY892" s="6"/>
      <c r="GZ892" s="6"/>
      <c r="HA892" s="6"/>
      <c r="HB892" s="6"/>
      <c r="HC892" s="6"/>
      <c r="HD892" s="6"/>
      <c r="HE892" s="6"/>
      <c r="HF892" s="6"/>
      <c r="HG892" s="6"/>
      <c r="HH892" s="6"/>
    </row>
    <row r="893" spans="1:216" x14ac:dyDescent="0.3">
      <c r="A893" s="8"/>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c r="FZ893" s="6"/>
      <c r="GA893" s="6"/>
      <c r="GB893" s="6"/>
      <c r="GC893" s="6"/>
      <c r="GD893" s="6"/>
      <c r="GE893" s="6"/>
      <c r="GF893" s="6"/>
      <c r="GG893" s="6"/>
      <c r="GH893" s="6"/>
      <c r="GI893" s="6"/>
      <c r="GJ893" s="6"/>
      <c r="GK893" s="6"/>
      <c r="GL893" s="6"/>
      <c r="GM893" s="6"/>
      <c r="GN893" s="6"/>
      <c r="GO893" s="6"/>
      <c r="GP893" s="6"/>
      <c r="GQ893" s="6"/>
      <c r="GR893" s="6"/>
      <c r="GS893" s="6"/>
      <c r="GT893" s="6"/>
      <c r="GU893" s="6"/>
      <c r="GV893" s="6"/>
      <c r="GW893" s="6"/>
      <c r="GX893" s="6"/>
      <c r="GY893" s="6"/>
      <c r="GZ893" s="6"/>
      <c r="HA893" s="6"/>
      <c r="HB893" s="6"/>
      <c r="HC893" s="6"/>
      <c r="HD893" s="6"/>
      <c r="HE893" s="6"/>
      <c r="HF893" s="6"/>
      <c r="HG893" s="6"/>
      <c r="HH893" s="6"/>
    </row>
    <row r="894" spans="1:216" x14ac:dyDescent="0.3">
      <c r="A894" s="8"/>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c r="FZ894" s="6"/>
      <c r="GA894" s="6"/>
      <c r="GB894" s="6"/>
      <c r="GC894" s="6"/>
      <c r="GD894" s="6"/>
      <c r="GE894" s="6"/>
      <c r="GF894" s="6"/>
      <c r="GG894" s="6"/>
      <c r="GH894" s="6"/>
      <c r="GI894" s="6"/>
      <c r="GJ894" s="6"/>
      <c r="GK894" s="6"/>
      <c r="GL894" s="6"/>
      <c r="GM894" s="6"/>
      <c r="GN894" s="6"/>
      <c r="GO894" s="6"/>
      <c r="GP894" s="6"/>
      <c r="GQ894" s="6"/>
      <c r="GR894" s="6"/>
      <c r="GS894" s="6"/>
      <c r="GT894" s="6"/>
      <c r="GU894" s="6"/>
      <c r="GV894" s="6"/>
      <c r="GW894" s="6"/>
      <c r="GX894" s="6"/>
      <c r="GY894" s="6"/>
      <c r="GZ894" s="6"/>
      <c r="HA894" s="6"/>
      <c r="HB894" s="6"/>
      <c r="HC894" s="6"/>
      <c r="HD894" s="6"/>
      <c r="HE894" s="6"/>
      <c r="HF894" s="6"/>
      <c r="HG894" s="6"/>
      <c r="HH894" s="6"/>
    </row>
    <row r="895" spans="1:216" x14ac:dyDescent="0.3">
      <c r="A895" s="8"/>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c r="FZ895" s="6"/>
      <c r="GA895" s="6"/>
      <c r="GB895" s="6"/>
      <c r="GC895" s="6"/>
      <c r="GD895" s="6"/>
      <c r="GE895" s="6"/>
      <c r="GF895" s="6"/>
      <c r="GG895" s="6"/>
      <c r="GH895" s="6"/>
      <c r="GI895" s="6"/>
      <c r="GJ895" s="6"/>
      <c r="GK895" s="6"/>
      <c r="GL895" s="6"/>
      <c r="GM895" s="6"/>
      <c r="GN895" s="6"/>
      <c r="GO895" s="6"/>
      <c r="GP895" s="6"/>
      <c r="GQ895" s="6"/>
      <c r="GR895" s="6"/>
      <c r="GS895" s="6"/>
      <c r="GT895" s="6"/>
      <c r="GU895" s="6"/>
      <c r="GV895" s="6"/>
      <c r="GW895" s="6"/>
      <c r="GX895" s="6"/>
      <c r="GY895" s="6"/>
      <c r="GZ895" s="6"/>
      <c r="HA895" s="6"/>
      <c r="HB895" s="6"/>
      <c r="HC895" s="6"/>
      <c r="HD895" s="6"/>
      <c r="HE895" s="6"/>
      <c r="HF895" s="6"/>
      <c r="HG895" s="6"/>
      <c r="HH895" s="6"/>
    </row>
    <row r="896" spans="1:216" x14ac:dyDescent="0.3">
      <c r="A896" s="8"/>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c r="FZ896" s="6"/>
      <c r="GA896" s="6"/>
      <c r="GB896" s="6"/>
      <c r="GC896" s="6"/>
      <c r="GD896" s="6"/>
      <c r="GE896" s="6"/>
      <c r="GF896" s="6"/>
      <c r="GG896" s="6"/>
      <c r="GH896" s="6"/>
      <c r="GI896" s="6"/>
      <c r="GJ896" s="6"/>
      <c r="GK896" s="6"/>
      <c r="GL896" s="6"/>
      <c r="GM896" s="6"/>
      <c r="GN896" s="6"/>
      <c r="GO896" s="6"/>
      <c r="GP896" s="6"/>
      <c r="GQ896" s="6"/>
      <c r="GR896" s="6"/>
      <c r="GS896" s="6"/>
      <c r="GT896" s="6"/>
      <c r="GU896" s="6"/>
      <c r="GV896" s="6"/>
      <c r="GW896" s="6"/>
      <c r="GX896" s="6"/>
      <c r="GY896" s="6"/>
      <c r="GZ896" s="6"/>
      <c r="HA896" s="6"/>
      <c r="HB896" s="6"/>
      <c r="HC896" s="6"/>
      <c r="HD896" s="6"/>
      <c r="HE896" s="6"/>
      <c r="HF896" s="6"/>
      <c r="HG896" s="6"/>
      <c r="HH896" s="6"/>
    </row>
    <row r="897" spans="1:216" x14ac:dyDescent="0.3">
      <c r="A897" s="8"/>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c r="FZ897" s="6"/>
      <c r="GA897" s="6"/>
      <c r="GB897" s="6"/>
      <c r="GC897" s="6"/>
      <c r="GD897" s="6"/>
      <c r="GE897" s="6"/>
      <c r="GF897" s="6"/>
      <c r="GG897" s="6"/>
      <c r="GH897" s="6"/>
      <c r="GI897" s="6"/>
      <c r="GJ897" s="6"/>
      <c r="GK897" s="6"/>
      <c r="GL897" s="6"/>
      <c r="GM897" s="6"/>
      <c r="GN897" s="6"/>
      <c r="GO897" s="6"/>
      <c r="GP897" s="6"/>
      <c r="GQ897" s="6"/>
      <c r="GR897" s="6"/>
      <c r="GS897" s="6"/>
      <c r="GT897" s="6"/>
      <c r="GU897" s="6"/>
      <c r="GV897" s="6"/>
      <c r="GW897" s="6"/>
      <c r="GX897" s="6"/>
      <c r="GY897" s="6"/>
      <c r="GZ897" s="6"/>
      <c r="HA897" s="6"/>
      <c r="HB897" s="6"/>
      <c r="HC897" s="6"/>
      <c r="HD897" s="6"/>
      <c r="HE897" s="6"/>
      <c r="HF897" s="6"/>
      <c r="HG897" s="6"/>
      <c r="HH897" s="6"/>
    </row>
    <row r="898" spans="1:216" x14ac:dyDescent="0.3">
      <c r="A898" s="8"/>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c r="FZ898" s="6"/>
      <c r="GA898" s="6"/>
      <c r="GB898" s="6"/>
      <c r="GC898" s="6"/>
      <c r="GD898" s="6"/>
      <c r="GE898" s="6"/>
      <c r="GF898" s="6"/>
      <c r="GG898" s="6"/>
      <c r="GH898" s="6"/>
      <c r="GI898" s="6"/>
      <c r="GJ898" s="6"/>
      <c r="GK898" s="6"/>
      <c r="GL898" s="6"/>
      <c r="GM898" s="6"/>
      <c r="GN898" s="6"/>
      <c r="GO898" s="6"/>
      <c r="GP898" s="6"/>
      <c r="GQ898" s="6"/>
      <c r="GR898" s="6"/>
      <c r="GS898" s="6"/>
      <c r="GT898" s="6"/>
      <c r="GU898" s="6"/>
      <c r="GV898" s="6"/>
      <c r="GW898" s="6"/>
      <c r="GX898" s="6"/>
      <c r="GY898" s="6"/>
      <c r="GZ898" s="6"/>
      <c r="HA898" s="6"/>
      <c r="HB898" s="6"/>
      <c r="HC898" s="6"/>
      <c r="HD898" s="6"/>
      <c r="HE898" s="6"/>
      <c r="HF898" s="6"/>
      <c r="HG898" s="6"/>
      <c r="HH898" s="6"/>
    </row>
    <row r="899" spans="1:216" x14ac:dyDescent="0.3">
      <c r="A899" s="8"/>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c r="FZ899" s="6"/>
      <c r="GA899" s="6"/>
      <c r="GB899" s="6"/>
      <c r="GC899" s="6"/>
      <c r="GD899" s="6"/>
      <c r="GE899" s="6"/>
      <c r="GF899" s="6"/>
      <c r="GG899" s="6"/>
      <c r="GH899" s="6"/>
      <c r="GI899" s="6"/>
      <c r="GJ899" s="6"/>
      <c r="GK899" s="6"/>
      <c r="GL899" s="6"/>
      <c r="GM899" s="6"/>
      <c r="GN899" s="6"/>
      <c r="GO899" s="6"/>
      <c r="GP899" s="6"/>
      <c r="GQ899" s="6"/>
      <c r="GR899" s="6"/>
      <c r="GS899" s="6"/>
      <c r="GT899" s="6"/>
      <c r="GU899" s="6"/>
      <c r="GV899" s="6"/>
      <c r="GW899" s="6"/>
      <c r="GX899" s="6"/>
      <c r="GY899" s="6"/>
      <c r="GZ899" s="6"/>
      <c r="HA899" s="6"/>
      <c r="HB899" s="6"/>
      <c r="HC899" s="6"/>
      <c r="HD899" s="6"/>
      <c r="HE899" s="6"/>
      <c r="HF899" s="6"/>
      <c r="HG899" s="6"/>
      <c r="HH899" s="6"/>
    </row>
    <row r="900" spans="1:216" x14ac:dyDescent="0.3">
      <c r="A900" s="8"/>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c r="FZ900" s="6"/>
      <c r="GA900" s="6"/>
      <c r="GB900" s="6"/>
      <c r="GC900" s="6"/>
      <c r="GD900" s="6"/>
      <c r="GE900" s="6"/>
      <c r="GF900" s="6"/>
      <c r="GG900" s="6"/>
      <c r="GH900" s="6"/>
      <c r="GI900" s="6"/>
      <c r="GJ900" s="6"/>
      <c r="GK900" s="6"/>
      <c r="GL900" s="6"/>
      <c r="GM900" s="6"/>
      <c r="GN900" s="6"/>
      <c r="GO900" s="6"/>
      <c r="GP900" s="6"/>
      <c r="GQ900" s="6"/>
      <c r="GR900" s="6"/>
      <c r="GS900" s="6"/>
      <c r="GT900" s="6"/>
      <c r="GU900" s="6"/>
      <c r="GV900" s="6"/>
      <c r="GW900" s="6"/>
      <c r="GX900" s="6"/>
      <c r="GY900" s="6"/>
      <c r="GZ900" s="6"/>
      <c r="HA900" s="6"/>
      <c r="HB900" s="6"/>
      <c r="HC900" s="6"/>
      <c r="HD900" s="6"/>
      <c r="HE900" s="6"/>
      <c r="HF900" s="6"/>
      <c r="HG900" s="6"/>
      <c r="HH900" s="6"/>
    </row>
    <row r="901" spans="1:216" x14ac:dyDescent="0.3">
      <c r="A901" s="8"/>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c r="FZ901" s="6"/>
      <c r="GA901" s="6"/>
      <c r="GB901" s="6"/>
      <c r="GC901" s="6"/>
      <c r="GD901" s="6"/>
      <c r="GE901" s="6"/>
      <c r="GF901" s="6"/>
      <c r="GG901" s="6"/>
      <c r="GH901" s="6"/>
      <c r="GI901" s="6"/>
      <c r="GJ901" s="6"/>
      <c r="GK901" s="6"/>
      <c r="GL901" s="6"/>
      <c r="GM901" s="6"/>
      <c r="GN901" s="6"/>
      <c r="GO901" s="6"/>
      <c r="GP901" s="6"/>
      <c r="GQ901" s="6"/>
      <c r="GR901" s="6"/>
      <c r="GS901" s="6"/>
      <c r="GT901" s="6"/>
      <c r="GU901" s="6"/>
      <c r="GV901" s="6"/>
      <c r="GW901" s="6"/>
      <c r="GX901" s="6"/>
      <c r="GY901" s="6"/>
      <c r="GZ901" s="6"/>
      <c r="HA901" s="6"/>
      <c r="HB901" s="6"/>
      <c r="HC901" s="6"/>
      <c r="HD901" s="6"/>
      <c r="HE901" s="6"/>
      <c r="HF901" s="6"/>
      <c r="HG901" s="6"/>
      <c r="HH901" s="6"/>
    </row>
    <row r="902" spans="1:216" x14ac:dyDescent="0.3">
      <c r="A902" s="8"/>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c r="FZ902" s="6"/>
      <c r="GA902" s="6"/>
      <c r="GB902" s="6"/>
      <c r="GC902" s="6"/>
      <c r="GD902" s="6"/>
      <c r="GE902" s="6"/>
      <c r="GF902" s="6"/>
      <c r="GG902" s="6"/>
      <c r="GH902" s="6"/>
      <c r="GI902" s="6"/>
      <c r="GJ902" s="6"/>
      <c r="GK902" s="6"/>
      <c r="GL902" s="6"/>
      <c r="GM902" s="6"/>
      <c r="GN902" s="6"/>
      <c r="GO902" s="6"/>
      <c r="GP902" s="6"/>
      <c r="GQ902" s="6"/>
      <c r="GR902" s="6"/>
      <c r="GS902" s="6"/>
      <c r="GT902" s="6"/>
      <c r="GU902" s="6"/>
      <c r="GV902" s="6"/>
      <c r="GW902" s="6"/>
      <c r="GX902" s="6"/>
      <c r="GY902" s="6"/>
      <c r="GZ902" s="6"/>
      <c r="HA902" s="6"/>
      <c r="HB902" s="6"/>
      <c r="HC902" s="6"/>
      <c r="HD902" s="6"/>
      <c r="HE902" s="6"/>
      <c r="HF902" s="6"/>
      <c r="HG902" s="6"/>
      <c r="HH902" s="6"/>
    </row>
    <row r="903" spans="1:216" x14ac:dyDescent="0.3">
      <c r="A903" s="8"/>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c r="FZ903" s="6"/>
      <c r="GA903" s="6"/>
      <c r="GB903" s="6"/>
      <c r="GC903" s="6"/>
      <c r="GD903" s="6"/>
      <c r="GE903" s="6"/>
      <c r="GF903" s="6"/>
      <c r="GG903" s="6"/>
      <c r="GH903" s="6"/>
      <c r="GI903" s="6"/>
      <c r="GJ903" s="6"/>
      <c r="GK903" s="6"/>
      <c r="GL903" s="6"/>
      <c r="GM903" s="6"/>
      <c r="GN903" s="6"/>
      <c r="GO903" s="6"/>
      <c r="GP903" s="6"/>
      <c r="GQ903" s="6"/>
      <c r="GR903" s="6"/>
      <c r="GS903" s="6"/>
      <c r="GT903" s="6"/>
      <c r="GU903" s="6"/>
      <c r="GV903" s="6"/>
      <c r="GW903" s="6"/>
      <c r="GX903" s="6"/>
      <c r="GY903" s="6"/>
      <c r="GZ903" s="6"/>
      <c r="HA903" s="6"/>
      <c r="HB903" s="6"/>
      <c r="HC903" s="6"/>
      <c r="HD903" s="6"/>
      <c r="HE903" s="6"/>
      <c r="HF903" s="6"/>
      <c r="HG903" s="6"/>
      <c r="HH903" s="6"/>
    </row>
    <row r="904" spans="1:216" x14ac:dyDescent="0.3">
      <c r="A904" s="8"/>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c r="FZ904" s="6"/>
      <c r="GA904" s="6"/>
      <c r="GB904" s="6"/>
      <c r="GC904" s="6"/>
      <c r="GD904" s="6"/>
      <c r="GE904" s="6"/>
      <c r="GF904" s="6"/>
      <c r="GG904" s="6"/>
      <c r="GH904" s="6"/>
      <c r="GI904" s="6"/>
      <c r="GJ904" s="6"/>
      <c r="GK904" s="6"/>
      <c r="GL904" s="6"/>
      <c r="GM904" s="6"/>
      <c r="GN904" s="6"/>
      <c r="GO904" s="6"/>
      <c r="GP904" s="6"/>
      <c r="GQ904" s="6"/>
      <c r="GR904" s="6"/>
      <c r="GS904" s="6"/>
      <c r="GT904" s="6"/>
      <c r="GU904" s="6"/>
      <c r="GV904" s="6"/>
      <c r="GW904" s="6"/>
      <c r="GX904" s="6"/>
      <c r="GY904" s="6"/>
      <c r="GZ904" s="6"/>
      <c r="HA904" s="6"/>
      <c r="HB904" s="6"/>
      <c r="HC904" s="6"/>
      <c r="HD904" s="6"/>
      <c r="HE904" s="6"/>
      <c r="HF904" s="6"/>
      <c r="HG904" s="6"/>
      <c r="HH904" s="6"/>
    </row>
    <row r="905" spans="1:216" x14ac:dyDescent="0.3">
      <c r="A905" s="8"/>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c r="FZ905" s="6"/>
      <c r="GA905" s="6"/>
      <c r="GB905" s="6"/>
      <c r="GC905" s="6"/>
      <c r="GD905" s="6"/>
      <c r="GE905" s="6"/>
      <c r="GF905" s="6"/>
      <c r="GG905" s="6"/>
      <c r="GH905" s="6"/>
      <c r="GI905" s="6"/>
      <c r="GJ905" s="6"/>
      <c r="GK905" s="6"/>
      <c r="GL905" s="6"/>
      <c r="GM905" s="6"/>
      <c r="GN905" s="6"/>
      <c r="GO905" s="6"/>
      <c r="GP905" s="6"/>
      <c r="GQ905" s="6"/>
      <c r="GR905" s="6"/>
      <c r="GS905" s="6"/>
      <c r="GT905" s="6"/>
      <c r="GU905" s="6"/>
      <c r="GV905" s="6"/>
      <c r="GW905" s="6"/>
      <c r="GX905" s="6"/>
      <c r="GY905" s="6"/>
      <c r="GZ905" s="6"/>
      <c r="HA905" s="6"/>
      <c r="HB905" s="6"/>
      <c r="HC905" s="6"/>
      <c r="HD905" s="6"/>
      <c r="HE905" s="6"/>
      <c r="HF905" s="6"/>
      <c r="HG905" s="6"/>
      <c r="HH905" s="6"/>
    </row>
    <row r="906" spans="1:216" x14ac:dyDescent="0.3">
      <c r="A906" s="8"/>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c r="FZ906" s="6"/>
      <c r="GA906" s="6"/>
      <c r="GB906" s="6"/>
      <c r="GC906" s="6"/>
      <c r="GD906" s="6"/>
      <c r="GE906" s="6"/>
      <c r="GF906" s="6"/>
      <c r="GG906" s="6"/>
      <c r="GH906" s="6"/>
      <c r="GI906" s="6"/>
      <c r="GJ906" s="6"/>
      <c r="GK906" s="6"/>
      <c r="GL906" s="6"/>
      <c r="GM906" s="6"/>
      <c r="GN906" s="6"/>
      <c r="GO906" s="6"/>
      <c r="GP906" s="6"/>
      <c r="GQ906" s="6"/>
      <c r="GR906" s="6"/>
      <c r="GS906" s="6"/>
      <c r="GT906" s="6"/>
      <c r="GU906" s="6"/>
      <c r="GV906" s="6"/>
      <c r="GW906" s="6"/>
      <c r="GX906" s="6"/>
      <c r="GY906" s="6"/>
      <c r="GZ906" s="6"/>
      <c r="HA906" s="6"/>
      <c r="HB906" s="6"/>
      <c r="HC906" s="6"/>
      <c r="HD906" s="6"/>
      <c r="HE906" s="6"/>
      <c r="HF906" s="6"/>
      <c r="HG906" s="6"/>
      <c r="HH906" s="6"/>
    </row>
    <row r="907" spans="1:216" x14ac:dyDescent="0.3">
      <c r="A907" s="8"/>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c r="FZ907" s="6"/>
      <c r="GA907" s="6"/>
      <c r="GB907" s="6"/>
      <c r="GC907" s="6"/>
      <c r="GD907" s="6"/>
      <c r="GE907" s="6"/>
      <c r="GF907" s="6"/>
      <c r="GG907" s="6"/>
      <c r="GH907" s="6"/>
      <c r="GI907" s="6"/>
      <c r="GJ907" s="6"/>
      <c r="GK907" s="6"/>
      <c r="GL907" s="6"/>
      <c r="GM907" s="6"/>
      <c r="GN907" s="6"/>
      <c r="GO907" s="6"/>
      <c r="GP907" s="6"/>
      <c r="GQ907" s="6"/>
      <c r="GR907" s="6"/>
      <c r="GS907" s="6"/>
      <c r="GT907" s="6"/>
      <c r="GU907" s="6"/>
      <c r="GV907" s="6"/>
      <c r="GW907" s="6"/>
      <c r="GX907" s="6"/>
      <c r="GY907" s="6"/>
      <c r="GZ907" s="6"/>
      <c r="HA907" s="6"/>
      <c r="HB907" s="6"/>
      <c r="HC907" s="6"/>
      <c r="HD907" s="6"/>
      <c r="HE907" s="6"/>
      <c r="HF907" s="6"/>
      <c r="HG907" s="6"/>
      <c r="HH907" s="6"/>
    </row>
    <row r="908" spans="1:216" x14ac:dyDescent="0.3">
      <c r="A908" s="8"/>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c r="FZ908" s="6"/>
      <c r="GA908" s="6"/>
      <c r="GB908" s="6"/>
      <c r="GC908" s="6"/>
      <c r="GD908" s="6"/>
      <c r="GE908" s="6"/>
      <c r="GF908" s="6"/>
      <c r="GG908" s="6"/>
      <c r="GH908" s="6"/>
      <c r="GI908" s="6"/>
      <c r="GJ908" s="6"/>
      <c r="GK908" s="6"/>
      <c r="GL908" s="6"/>
      <c r="GM908" s="6"/>
      <c r="GN908" s="6"/>
      <c r="GO908" s="6"/>
      <c r="GP908" s="6"/>
      <c r="GQ908" s="6"/>
      <c r="GR908" s="6"/>
      <c r="GS908" s="6"/>
      <c r="GT908" s="6"/>
      <c r="GU908" s="6"/>
      <c r="GV908" s="6"/>
      <c r="GW908" s="6"/>
      <c r="GX908" s="6"/>
      <c r="GY908" s="6"/>
      <c r="GZ908" s="6"/>
      <c r="HA908" s="6"/>
      <c r="HB908" s="6"/>
      <c r="HC908" s="6"/>
      <c r="HD908" s="6"/>
      <c r="HE908" s="6"/>
      <c r="HF908" s="6"/>
      <c r="HG908" s="6"/>
      <c r="HH908" s="6"/>
    </row>
    <row r="909" spans="1:216" x14ac:dyDescent="0.3">
      <c r="A909" s="8"/>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c r="FZ909" s="6"/>
      <c r="GA909" s="6"/>
      <c r="GB909" s="6"/>
      <c r="GC909" s="6"/>
      <c r="GD909" s="6"/>
      <c r="GE909" s="6"/>
      <c r="GF909" s="6"/>
      <c r="GG909" s="6"/>
      <c r="GH909" s="6"/>
      <c r="GI909" s="6"/>
      <c r="GJ909" s="6"/>
      <c r="GK909" s="6"/>
      <c r="GL909" s="6"/>
      <c r="GM909" s="6"/>
      <c r="GN909" s="6"/>
      <c r="GO909" s="6"/>
      <c r="GP909" s="6"/>
      <c r="GQ909" s="6"/>
      <c r="GR909" s="6"/>
      <c r="GS909" s="6"/>
      <c r="GT909" s="6"/>
      <c r="GU909" s="6"/>
      <c r="GV909" s="6"/>
      <c r="GW909" s="6"/>
      <c r="GX909" s="6"/>
      <c r="GY909" s="6"/>
      <c r="GZ909" s="6"/>
      <c r="HA909" s="6"/>
      <c r="HB909" s="6"/>
      <c r="HC909" s="6"/>
      <c r="HD909" s="6"/>
      <c r="HE909" s="6"/>
      <c r="HF909" s="6"/>
      <c r="HG909" s="6"/>
      <c r="HH909" s="6"/>
    </row>
    <row r="910" spans="1:216" x14ac:dyDescent="0.3">
      <c r="A910" s="8"/>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c r="FZ910" s="6"/>
      <c r="GA910" s="6"/>
      <c r="GB910" s="6"/>
      <c r="GC910" s="6"/>
      <c r="GD910" s="6"/>
      <c r="GE910" s="6"/>
      <c r="GF910" s="6"/>
      <c r="GG910" s="6"/>
      <c r="GH910" s="6"/>
      <c r="GI910" s="6"/>
      <c r="GJ910" s="6"/>
      <c r="GK910" s="6"/>
      <c r="GL910" s="6"/>
      <c r="GM910" s="6"/>
      <c r="GN910" s="6"/>
      <c r="GO910" s="6"/>
      <c r="GP910" s="6"/>
      <c r="GQ910" s="6"/>
      <c r="GR910" s="6"/>
      <c r="GS910" s="6"/>
      <c r="GT910" s="6"/>
      <c r="GU910" s="6"/>
      <c r="GV910" s="6"/>
      <c r="GW910" s="6"/>
      <c r="GX910" s="6"/>
      <c r="GY910" s="6"/>
      <c r="GZ910" s="6"/>
      <c r="HA910" s="6"/>
      <c r="HB910" s="6"/>
      <c r="HC910" s="6"/>
      <c r="HD910" s="6"/>
      <c r="HE910" s="6"/>
      <c r="HF910" s="6"/>
      <c r="HG910" s="6"/>
      <c r="HH910" s="6"/>
    </row>
    <row r="911" spans="1:216" x14ac:dyDescent="0.3">
      <c r="A911" s="8"/>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c r="FZ911" s="6"/>
      <c r="GA911" s="6"/>
      <c r="GB911" s="6"/>
      <c r="GC911" s="6"/>
      <c r="GD911" s="6"/>
      <c r="GE911" s="6"/>
      <c r="GF911" s="6"/>
      <c r="GG911" s="6"/>
      <c r="GH911" s="6"/>
      <c r="GI911" s="6"/>
      <c r="GJ911" s="6"/>
      <c r="GK911" s="6"/>
      <c r="GL911" s="6"/>
      <c r="GM911" s="6"/>
      <c r="GN911" s="6"/>
      <c r="GO911" s="6"/>
      <c r="GP911" s="6"/>
      <c r="GQ911" s="6"/>
      <c r="GR911" s="6"/>
      <c r="GS911" s="6"/>
      <c r="GT911" s="6"/>
      <c r="GU911" s="6"/>
      <c r="GV911" s="6"/>
      <c r="GW911" s="6"/>
      <c r="GX911" s="6"/>
      <c r="GY911" s="6"/>
      <c r="GZ911" s="6"/>
      <c r="HA911" s="6"/>
      <c r="HB911" s="6"/>
      <c r="HC911" s="6"/>
      <c r="HD911" s="6"/>
      <c r="HE911" s="6"/>
      <c r="HF911" s="6"/>
      <c r="HG911" s="6"/>
      <c r="HH911" s="6"/>
    </row>
    <row r="912" spans="1:216" x14ac:dyDescent="0.3">
      <c r="A912" s="8"/>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c r="FZ912" s="6"/>
      <c r="GA912" s="6"/>
      <c r="GB912" s="6"/>
      <c r="GC912" s="6"/>
      <c r="GD912" s="6"/>
      <c r="GE912" s="6"/>
      <c r="GF912" s="6"/>
      <c r="GG912" s="6"/>
      <c r="GH912" s="6"/>
      <c r="GI912" s="6"/>
      <c r="GJ912" s="6"/>
      <c r="GK912" s="6"/>
      <c r="GL912" s="6"/>
      <c r="GM912" s="6"/>
      <c r="GN912" s="6"/>
      <c r="GO912" s="6"/>
      <c r="GP912" s="6"/>
      <c r="GQ912" s="6"/>
      <c r="GR912" s="6"/>
      <c r="GS912" s="6"/>
      <c r="GT912" s="6"/>
      <c r="GU912" s="6"/>
      <c r="GV912" s="6"/>
      <c r="GW912" s="6"/>
      <c r="GX912" s="6"/>
      <c r="GY912" s="6"/>
      <c r="GZ912" s="6"/>
      <c r="HA912" s="6"/>
      <c r="HB912" s="6"/>
      <c r="HC912" s="6"/>
      <c r="HD912" s="6"/>
      <c r="HE912" s="6"/>
      <c r="HF912" s="6"/>
      <c r="HG912" s="6"/>
      <c r="HH912" s="6"/>
    </row>
    <row r="913" spans="1:216" x14ac:dyDescent="0.3">
      <c r="A913" s="8"/>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c r="FZ913" s="6"/>
      <c r="GA913" s="6"/>
      <c r="GB913" s="6"/>
      <c r="GC913" s="6"/>
      <c r="GD913" s="6"/>
      <c r="GE913" s="6"/>
      <c r="GF913" s="6"/>
      <c r="GG913" s="6"/>
      <c r="GH913" s="6"/>
      <c r="GI913" s="6"/>
      <c r="GJ913" s="6"/>
      <c r="GK913" s="6"/>
      <c r="GL913" s="6"/>
      <c r="GM913" s="6"/>
      <c r="GN913" s="6"/>
      <c r="GO913" s="6"/>
      <c r="GP913" s="6"/>
      <c r="GQ913" s="6"/>
      <c r="GR913" s="6"/>
      <c r="GS913" s="6"/>
      <c r="GT913" s="6"/>
      <c r="GU913" s="6"/>
      <c r="GV913" s="6"/>
      <c r="GW913" s="6"/>
      <c r="GX913" s="6"/>
      <c r="GY913" s="6"/>
      <c r="GZ913" s="6"/>
      <c r="HA913" s="6"/>
      <c r="HB913" s="6"/>
      <c r="HC913" s="6"/>
      <c r="HD913" s="6"/>
      <c r="HE913" s="6"/>
      <c r="HF913" s="6"/>
      <c r="HG913" s="6"/>
      <c r="HH913" s="6"/>
    </row>
    <row r="914" spans="1:216" x14ac:dyDescent="0.3">
      <c r="A914" s="8"/>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c r="FZ914" s="6"/>
      <c r="GA914" s="6"/>
      <c r="GB914" s="6"/>
      <c r="GC914" s="6"/>
      <c r="GD914" s="6"/>
      <c r="GE914" s="6"/>
      <c r="GF914" s="6"/>
      <c r="GG914" s="6"/>
      <c r="GH914" s="6"/>
      <c r="GI914" s="6"/>
      <c r="GJ914" s="6"/>
      <c r="GK914" s="6"/>
      <c r="GL914" s="6"/>
      <c r="GM914" s="6"/>
      <c r="GN914" s="6"/>
      <c r="GO914" s="6"/>
      <c r="GP914" s="6"/>
      <c r="GQ914" s="6"/>
      <c r="GR914" s="6"/>
      <c r="GS914" s="6"/>
      <c r="GT914" s="6"/>
      <c r="GU914" s="6"/>
      <c r="GV914" s="6"/>
      <c r="GW914" s="6"/>
      <c r="GX914" s="6"/>
      <c r="GY914" s="6"/>
      <c r="GZ914" s="6"/>
      <c r="HA914" s="6"/>
      <c r="HB914" s="6"/>
      <c r="HC914" s="6"/>
      <c r="HD914" s="6"/>
      <c r="HE914" s="6"/>
      <c r="HF914" s="6"/>
      <c r="HG914" s="6"/>
      <c r="HH914" s="6"/>
    </row>
    <row r="915" spans="1:216" x14ac:dyDescent="0.3">
      <c r="A915" s="8"/>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c r="FZ915" s="6"/>
      <c r="GA915" s="6"/>
      <c r="GB915" s="6"/>
      <c r="GC915" s="6"/>
      <c r="GD915" s="6"/>
      <c r="GE915" s="6"/>
      <c r="GF915" s="6"/>
      <c r="GG915" s="6"/>
      <c r="GH915" s="6"/>
      <c r="GI915" s="6"/>
      <c r="GJ915" s="6"/>
      <c r="GK915" s="6"/>
      <c r="GL915" s="6"/>
      <c r="GM915" s="6"/>
      <c r="GN915" s="6"/>
      <c r="GO915" s="6"/>
      <c r="GP915" s="6"/>
      <c r="GQ915" s="6"/>
      <c r="GR915" s="6"/>
      <c r="GS915" s="6"/>
      <c r="GT915" s="6"/>
      <c r="GU915" s="6"/>
      <c r="GV915" s="6"/>
      <c r="GW915" s="6"/>
      <c r="GX915" s="6"/>
      <c r="GY915" s="6"/>
      <c r="GZ915" s="6"/>
      <c r="HA915" s="6"/>
      <c r="HB915" s="6"/>
      <c r="HC915" s="6"/>
      <c r="HD915" s="6"/>
      <c r="HE915" s="6"/>
      <c r="HF915" s="6"/>
      <c r="HG915" s="6"/>
      <c r="HH915" s="6"/>
    </row>
    <row r="916" spans="1:216" x14ac:dyDescent="0.3">
      <c r="A916" s="8"/>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c r="FZ916" s="6"/>
      <c r="GA916" s="6"/>
      <c r="GB916" s="6"/>
      <c r="GC916" s="6"/>
      <c r="GD916" s="6"/>
      <c r="GE916" s="6"/>
      <c r="GF916" s="6"/>
      <c r="GG916" s="6"/>
      <c r="GH916" s="6"/>
      <c r="GI916" s="6"/>
      <c r="GJ916" s="6"/>
      <c r="GK916" s="6"/>
      <c r="GL916" s="6"/>
      <c r="GM916" s="6"/>
      <c r="GN916" s="6"/>
      <c r="GO916" s="6"/>
      <c r="GP916" s="6"/>
      <c r="GQ916" s="6"/>
      <c r="GR916" s="6"/>
      <c r="GS916" s="6"/>
      <c r="GT916" s="6"/>
      <c r="GU916" s="6"/>
      <c r="GV916" s="6"/>
      <c r="GW916" s="6"/>
      <c r="GX916" s="6"/>
      <c r="GY916" s="6"/>
      <c r="GZ916" s="6"/>
      <c r="HA916" s="6"/>
      <c r="HB916" s="6"/>
      <c r="HC916" s="6"/>
      <c r="HD916" s="6"/>
      <c r="HE916" s="6"/>
      <c r="HF916" s="6"/>
      <c r="HG916" s="6"/>
      <c r="HH916" s="6"/>
    </row>
    <row r="917" spans="1:216" x14ac:dyDescent="0.3">
      <c r="A917" s="8"/>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c r="FZ917" s="6"/>
      <c r="GA917" s="6"/>
      <c r="GB917" s="6"/>
      <c r="GC917" s="6"/>
      <c r="GD917" s="6"/>
      <c r="GE917" s="6"/>
      <c r="GF917" s="6"/>
      <c r="GG917" s="6"/>
      <c r="GH917" s="6"/>
      <c r="GI917" s="6"/>
      <c r="GJ917" s="6"/>
      <c r="GK917" s="6"/>
      <c r="GL917" s="6"/>
      <c r="GM917" s="6"/>
      <c r="GN917" s="6"/>
      <c r="GO917" s="6"/>
      <c r="GP917" s="6"/>
      <c r="GQ917" s="6"/>
      <c r="GR917" s="6"/>
      <c r="GS917" s="6"/>
      <c r="GT917" s="6"/>
      <c r="GU917" s="6"/>
      <c r="GV917" s="6"/>
      <c r="GW917" s="6"/>
      <c r="GX917" s="6"/>
      <c r="GY917" s="6"/>
      <c r="GZ917" s="6"/>
      <c r="HA917" s="6"/>
      <c r="HB917" s="6"/>
      <c r="HC917" s="6"/>
      <c r="HD917" s="6"/>
      <c r="HE917" s="6"/>
      <c r="HF917" s="6"/>
      <c r="HG917" s="6"/>
      <c r="HH917" s="6"/>
    </row>
    <row r="918" spans="1:216" x14ac:dyDescent="0.3">
      <c r="A918" s="8"/>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c r="FZ918" s="6"/>
      <c r="GA918" s="6"/>
      <c r="GB918" s="6"/>
      <c r="GC918" s="6"/>
      <c r="GD918" s="6"/>
      <c r="GE918" s="6"/>
      <c r="GF918" s="6"/>
      <c r="GG918" s="6"/>
      <c r="GH918" s="6"/>
      <c r="GI918" s="6"/>
      <c r="GJ918" s="6"/>
      <c r="GK918" s="6"/>
      <c r="GL918" s="6"/>
      <c r="GM918" s="6"/>
      <c r="GN918" s="6"/>
      <c r="GO918" s="6"/>
      <c r="GP918" s="6"/>
      <c r="GQ918" s="6"/>
      <c r="GR918" s="6"/>
      <c r="GS918" s="6"/>
      <c r="GT918" s="6"/>
      <c r="GU918" s="6"/>
      <c r="GV918" s="6"/>
      <c r="GW918" s="6"/>
      <c r="GX918" s="6"/>
      <c r="GY918" s="6"/>
      <c r="GZ918" s="6"/>
      <c r="HA918" s="6"/>
      <c r="HB918" s="6"/>
      <c r="HC918" s="6"/>
      <c r="HD918" s="6"/>
      <c r="HE918" s="6"/>
      <c r="HF918" s="6"/>
      <c r="HG918" s="6"/>
      <c r="HH918" s="6"/>
    </row>
    <row r="919" spans="1:216" x14ac:dyDescent="0.3">
      <c r="A919" s="8"/>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c r="FZ919" s="6"/>
      <c r="GA919" s="6"/>
      <c r="GB919" s="6"/>
      <c r="GC919" s="6"/>
      <c r="GD919" s="6"/>
      <c r="GE919" s="6"/>
      <c r="GF919" s="6"/>
      <c r="GG919" s="6"/>
      <c r="GH919" s="6"/>
      <c r="GI919" s="6"/>
      <c r="GJ919" s="6"/>
      <c r="GK919" s="6"/>
      <c r="GL919" s="6"/>
      <c r="GM919" s="6"/>
      <c r="GN919" s="6"/>
      <c r="GO919" s="6"/>
      <c r="GP919" s="6"/>
      <c r="GQ919" s="6"/>
      <c r="GR919" s="6"/>
      <c r="GS919" s="6"/>
      <c r="GT919" s="6"/>
      <c r="GU919" s="6"/>
      <c r="GV919" s="6"/>
      <c r="GW919" s="6"/>
      <c r="GX919" s="6"/>
      <c r="GY919" s="6"/>
      <c r="GZ919" s="6"/>
      <c r="HA919" s="6"/>
      <c r="HB919" s="6"/>
      <c r="HC919" s="6"/>
      <c r="HD919" s="6"/>
      <c r="HE919" s="6"/>
      <c r="HF919" s="6"/>
      <c r="HG919" s="6"/>
      <c r="HH919" s="6"/>
    </row>
    <row r="920" spans="1:216" x14ac:dyDescent="0.3">
      <c r="A920" s="8"/>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c r="FZ920" s="6"/>
      <c r="GA920" s="6"/>
      <c r="GB920" s="6"/>
      <c r="GC920" s="6"/>
      <c r="GD920" s="6"/>
      <c r="GE920" s="6"/>
      <c r="GF920" s="6"/>
      <c r="GG920" s="6"/>
      <c r="GH920" s="6"/>
      <c r="GI920" s="6"/>
      <c r="GJ920" s="6"/>
      <c r="GK920" s="6"/>
      <c r="GL920" s="6"/>
      <c r="GM920" s="6"/>
      <c r="GN920" s="6"/>
      <c r="GO920" s="6"/>
      <c r="GP920" s="6"/>
      <c r="GQ920" s="6"/>
      <c r="GR920" s="6"/>
      <c r="GS920" s="6"/>
      <c r="GT920" s="6"/>
      <c r="GU920" s="6"/>
      <c r="GV920" s="6"/>
      <c r="GW920" s="6"/>
      <c r="GX920" s="6"/>
      <c r="GY920" s="6"/>
      <c r="GZ920" s="6"/>
      <c r="HA920" s="6"/>
      <c r="HB920" s="6"/>
      <c r="HC920" s="6"/>
      <c r="HD920" s="6"/>
      <c r="HE920" s="6"/>
      <c r="HF920" s="6"/>
      <c r="HG920" s="6"/>
      <c r="HH920" s="6"/>
    </row>
    <row r="921" spans="1:216" x14ac:dyDescent="0.3">
      <c r="A921" s="8"/>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c r="FZ921" s="6"/>
      <c r="GA921" s="6"/>
      <c r="GB921" s="6"/>
      <c r="GC921" s="6"/>
      <c r="GD921" s="6"/>
      <c r="GE921" s="6"/>
      <c r="GF921" s="6"/>
      <c r="GG921" s="6"/>
      <c r="GH921" s="6"/>
      <c r="GI921" s="6"/>
      <c r="GJ921" s="6"/>
      <c r="GK921" s="6"/>
      <c r="GL921" s="6"/>
      <c r="GM921" s="6"/>
      <c r="GN921" s="6"/>
      <c r="GO921" s="6"/>
      <c r="GP921" s="6"/>
      <c r="GQ921" s="6"/>
      <c r="GR921" s="6"/>
      <c r="GS921" s="6"/>
      <c r="GT921" s="6"/>
      <c r="GU921" s="6"/>
      <c r="GV921" s="6"/>
      <c r="GW921" s="6"/>
      <c r="GX921" s="6"/>
      <c r="GY921" s="6"/>
      <c r="GZ921" s="6"/>
      <c r="HA921" s="6"/>
      <c r="HB921" s="6"/>
      <c r="HC921" s="6"/>
      <c r="HD921" s="6"/>
      <c r="HE921" s="6"/>
      <c r="HF921" s="6"/>
      <c r="HG921" s="6"/>
      <c r="HH921" s="6"/>
    </row>
    <row r="922" spans="1:216" x14ac:dyDescent="0.3">
      <c r="A922" s="8"/>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c r="FZ922" s="6"/>
      <c r="GA922" s="6"/>
      <c r="GB922" s="6"/>
      <c r="GC922" s="6"/>
      <c r="GD922" s="6"/>
      <c r="GE922" s="6"/>
      <c r="GF922" s="6"/>
      <c r="GG922" s="6"/>
      <c r="GH922" s="6"/>
      <c r="GI922" s="6"/>
      <c r="GJ922" s="6"/>
      <c r="GK922" s="6"/>
      <c r="GL922" s="6"/>
      <c r="GM922" s="6"/>
      <c r="GN922" s="6"/>
      <c r="GO922" s="6"/>
      <c r="GP922" s="6"/>
      <c r="GQ922" s="6"/>
      <c r="GR922" s="6"/>
      <c r="GS922" s="6"/>
      <c r="GT922" s="6"/>
      <c r="GU922" s="6"/>
      <c r="GV922" s="6"/>
      <c r="GW922" s="6"/>
      <c r="GX922" s="6"/>
      <c r="GY922" s="6"/>
      <c r="GZ922" s="6"/>
      <c r="HA922" s="6"/>
      <c r="HB922" s="6"/>
      <c r="HC922" s="6"/>
      <c r="HD922" s="6"/>
      <c r="HE922" s="6"/>
      <c r="HF922" s="6"/>
      <c r="HG922" s="6"/>
      <c r="HH922" s="6"/>
    </row>
    <row r="923" spans="1:216" x14ac:dyDescent="0.3">
      <c r="A923" s="8"/>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c r="FZ923" s="6"/>
      <c r="GA923" s="6"/>
      <c r="GB923" s="6"/>
      <c r="GC923" s="6"/>
      <c r="GD923" s="6"/>
      <c r="GE923" s="6"/>
      <c r="GF923" s="6"/>
      <c r="GG923" s="6"/>
      <c r="GH923" s="6"/>
      <c r="GI923" s="6"/>
      <c r="GJ923" s="6"/>
      <c r="GK923" s="6"/>
      <c r="GL923" s="6"/>
      <c r="GM923" s="6"/>
      <c r="GN923" s="6"/>
      <c r="GO923" s="6"/>
      <c r="GP923" s="6"/>
      <c r="GQ923" s="6"/>
      <c r="GR923" s="6"/>
      <c r="GS923" s="6"/>
      <c r="GT923" s="6"/>
      <c r="GU923" s="6"/>
      <c r="GV923" s="6"/>
      <c r="GW923" s="6"/>
      <c r="GX923" s="6"/>
      <c r="GY923" s="6"/>
      <c r="GZ923" s="6"/>
      <c r="HA923" s="6"/>
      <c r="HB923" s="6"/>
      <c r="HC923" s="6"/>
      <c r="HD923" s="6"/>
      <c r="HE923" s="6"/>
      <c r="HF923" s="6"/>
      <c r="HG923" s="6"/>
      <c r="HH923" s="6"/>
    </row>
    <row r="924" spans="1:216" x14ac:dyDescent="0.3">
      <c r="A924" s="8"/>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c r="FZ924" s="6"/>
      <c r="GA924" s="6"/>
      <c r="GB924" s="6"/>
      <c r="GC924" s="6"/>
      <c r="GD924" s="6"/>
      <c r="GE924" s="6"/>
      <c r="GF924" s="6"/>
      <c r="GG924" s="6"/>
      <c r="GH924" s="6"/>
      <c r="GI924" s="6"/>
      <c r="GJ924" s="6"/>
      <c r="GK924" s="6"/>
      <c r="GL924" s="6"/>
      <c r="GM924" s="6"/>
      <c r="GN924" s="6"/>
      <c r="GO924" s="6"/>
      <c r="GP924" s="6"/>
      <c r="GQ924" s="6"/>
      <c r="GR924" s="6"/>
      <c r="GS924" s="6"/>
      <c r="GT924" s="6"/>
      <c r="GU924" s="6"/>
      <c r="GV924" s="6"/>
      <c r="GW924" s="6"/>
      <c r="GX924" s="6"/>
      <c r="GY924" s="6"/>
      <c r="GZ924" s="6"/>
      <c r="HA924" s="6"/>
      <c r="HB924" s="6"/>
      <c r="HC924" s="6"/>
      <c r="HD924" s="6"/>
      <c r="HE924" s="6"/>
      <c r="HF924" s="6"/>
      <c r="HG924" s="6"/>
      <c r="HH924" s="6"/>
    </row>
    <row r="925" spans="1:216" x14ac:dyDescent="0.3">
      <c r="A925" s="8"/>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c r="FZ925" s="6"/>
      <c r="GA925" s="6"/>
      <c r="GB925" s="6"/>
      <c r="GC925" s="6"/>
      <c r="GD925" s="6"/>
      <c r="GE925" s="6"/>
      <c r="GF925" s="6"/>
      <c r="GG925" s="6"/>
      <c r="GH925" s="6"/>
      <c r="GI925" s="6"/>
      <c r="GJ925" s="6"/>
      <c r="GK925" s="6"/>
      <c r="GL925" s="6"/>
      <c r="GM925" s="6"/>
      <c r="GN925" s="6"/>
      <c r="GO925" s="6"/>
      <c r="GP925" s="6"/>
      <c r="GQ925" s="6"/>
      <c r="GR925" s="6"/>
      <c r="GS925" s="6"/>
      <c r="GT925" s="6"/>
      <c r="GU925" s="6"/>
      <c r="GV925" s="6"/>
      <c r="GW925" s="6"/>
      <c r="GX925" s="6"/>
      <c r="GY925" s="6"/>
      <c r="GZ925" s="6"/>
      <c r="HA925" s="6"/>
      <c r="HB925" s="6"/>
      <c r="HC925" s="6"/>
      <c r="HD925" s="6"/>
      <c r="HE925" s="6"/>
      <c r="HF925" s="6"/>
      <c r="HG925" s="6"/>
      <c r="HH925" s="6"/>
    </row>
    <row r="926" spans="1:216" x14ac:dyDescent="0.3">
      <c r="A926" s="8"/>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c r="FZ926" s="6"/>
      <c r="GA926" s="6"/>
      <c r="GB926" s="6"/>
      <c r="GC926" s="6"/>
      <c r="GD926" s="6"/>
      <c r="GE926" s="6"/>
      <c r="GF926" s="6"/>
      <c r="GG926" s="6"/>
      <c r="GH926" s="6"/>
      <c r="GI926" s="6"/>
      <c r="GJ926" s="6"/>
      <c r="GK926" s="6"/>
      <c r="GL926" s="6"/>
      <c r="GM926" s="6"/>
      <c r="GN926" s="6"/>
      <c r="GO926" s="6"/>
      <c r="GP926" s="6"/>
      <c r="GQ926" s="6"/>
      <c r="GR926" s="6"/>
      <c r="GS926" s="6"/>
      <c r="GT926" s="6"/>
      <c r="GU926" s="6"/>
      <c r="GV926" s="6"/>
      <c r="GW926" s="6"/>
      <c r="GX926" s="6"/>
      <c r="GY926" s="6"/>
      <c r="GZ926" s="6"/>
      <c r="HA926" s="6"/>
      <c r="HB926" s="6"/>
      <c r="HC926" s="6"/>
      <c r="HD926" s="6"/>
      <c r="HE926" s="6"/>
      <c r="HF926" s="6"/>
      <c r="HG926" s="6"/>
      <c r="HH926" s="6"/>
    </row>
    <row r="927" spans="1:216" x14ac:dyDescent="0.3">
      <c r="A927" s="8"/>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c r="FZ927" s="6"/>
      <c r="GA927" s="6"/>
      <c r="GB927" s="6"/>
      <c r="GC927" s="6"/>
      <c r="GD927" s="6"/>
      <c r="GE927" s="6"/>
      <c r="GF927" s="6"/>
      <c r="GG927" s="6"/>
      <c r="GH927" s="6"/>
      <c r="GI927" s="6"/>
      <c r="GJ927" s="6"/>
      <c r="GK927" s="6"/>
      <c r="GL927" s="6"/>
      <c r="GM927" s="6"/>
      <c r="GN927" s="6"/>
      <c r="GO927" s="6"/>
      <c r="GP927" s="6"/>
      <c r="GQ927" s="6"/>
      <c r="GR927" s="6"/>
      <c r="GS927" s="6"/>
      <c r="GT927" s="6"/>
      <c r="GU927" s="6"/>
      <c r="GV927" s="6"/>
      <c r="GW927" s="6"/>
      <c r="GX927" s="6"/>
      <c r="GY927" s="6"/>
      <c r="GZ927" s="6"/>
      <c r="HA927" s="6"/>
      <c r="HB927" s="6"/>
      <c r="HC927" s="6"/>
      <c r="HD927" s="6"/>
      <c r="HE927" s="6"/>
      <c r="HF927" s="6"/>
      <c r="HG927" s="6"/>
      <c r="HH927" s="6"/>
    </row>
    <row r="928" spans="1:216" x14ac:dyDescent="0.3">
      <c r="A928" s="8"/>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c r="FZ928" s="6"/>
      <c r="GA928" s="6"/>
      <c r="GB928" s="6"/>
      <c r="GC928" s="6"/>
      <c r="GD928" s="6"/>
      <c r="GE928" s="6"/>
      <c r="GF928" s="6"/>
      <c r="GG928" s="6"/>
      <c r="GH928" s="6"/>
      <c r="GI928" s="6"/>
      <c r="GJ928" s="6"/>
      <c r="GK928" s="6"/>
      <c r="GL928" s="6"/>
      <c r="GM928" s="6"/>
      <c r="GN928" s="6"/>
      <c r="GO928" s="6"/>
      <c r="GP928" s="6"/>
      <c r="GQ928" s="6"/>
      <c r="GR928" s="6"/>
      <c r="GS928" s="6"/>
      <c r="GT928" s="6"/>
      <c r="GU928" s="6"/>
      <c r="GV928" s="6"/>
      <c r="GW928" s="6"/>
      <c r="GX928" s="6"/>
      <c r="GY928" s="6"/>
      <c r="GZ928" s="6"/>
      <c r="HA928" s="6"/>
      <c r="HB928" s="6"/>
      <c r="HC928" s="6"/>
      <c r="HD928" s="6"/>
      <c r="HE928" s="6"/>
      <c r="HF928" s="6"/>
      <c r="HG928" s="6"/>
      <c r="HH928" s="6"/>
    </row>
    <row r="929" spans="1:216" x14ac:dyDescent="0.3">
      <c r="A929" s="8"/>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c r="FZ929" s="6"/>
      <c r="GA929" s="6"/>
      <c r="GB929" s="6"/>
      <c r="GC929" s="6"/>
      <c r="GD929" s="6"/>
      <c r="GE929" s="6"/>
      <c r="GF929" s="6"/>
      <c r="GG929" s="6"/>
      <c r="GH929" s="6"/>
      <c r="GI929" s="6"/>
      <c r="GJ929" s="6"/>
      <c r="GK929" s="6"/>
      <c r="GL929" s="6"/>
      <c r="GM929" s="6"/>
      <c r="GN929" s="6"/>
      <c r="GO929" s="6"/>
      <c r="GP929" s="6"/>
      <c r="GQ929" s="6"/>
      <c r="GR929" s="6"/>
      <c r="GS929" s="6"/>
      <c r="GT929" s="6"/>
      <c r="GU929" s="6"/>
      <c r="GV929" s="6"/>
      <c r="GW929" s="6"/>
      <c r="GX929" s="6"/>
      <c r="GY929" s="6"/>
      <c r="GZ929" s="6"/>
      <c r="HA929" s="6"/>
      <c r="HB929" s="6"/>
      <c r="HC929" s="6"/>
      <c r="HD929" s="6"/>
      <c r="HE929" s="6"/>
      <c r="HF929" s="6"/>
      <c r="HG929" s="6"/>
      <c r="HH929" s="6"/>
    </row>
    <row r="930" spans="1:216" x14ac:dyDescent="0.3">
      <c r="A930" s="8"/>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c r="FZ930" s="6"/>
      <c r="GA930" s="6"/>
      <c r="GB930" s="6"/>
      <c r="GC930" s="6"/>
      <c r="GD930" s="6"/>
      <c r="GE930" s="6"/>
      <c r="GF930" s="6"/>
      <c r="GG930" s="6"/>
      <c r="GH930" s="6"/>
      <c r="GI930" s="6"/>
      <c r="GJ930" s="6"/>
      <c r="GK930" s="6"/>
      <c r="GL930" s="6"/>
      <c r="GM930" s="6"/>
      <c r="GN930" s="6"/>
      <c r="GO930" s="6"/>
      <c r="GP930" s="6"/>
      <c r="GQ930" s="6"/>
      <c r="GR930" s="6"/>
      <c r="GS930" s="6"/>
      <c r="GT930" s="6"/>
      <c r="GU930" s="6"/>
      <c r="GV930" s="6"/>
      <c r="GW930" s="6"/>
      <c r="GX930" s="6"/>
      <c r="GY930" s="6"/>
      <c r="GZ930" s="6"/>
      <c r="HA930" s="6"/>
      <c r="HB930" s="6"/>
      <c r="HC930" s="6"/>
      <c r="HD930" s="6"/>
      <c r="HE930" s="6"/>
      <c r="HF930" s="6"/>
      <c r="HG930" s="6"/>
      <c r="HH930" s="6"/>
    </row>
    <row r="931" spans="1:216" x14ac:dyDescent="0.3">
      <c r="A931" s="8"/>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c r="FZ931" s="6"/>
      <c r="GA931" s="6"/>
      <c r="GB931" s="6"/>
      <c r="GC931" s="6"/>
      <c r="GD931" s="6"/>
      <c r="GE931" s="6"/>
      <c r="GF931" s="6"/>
      <c r="GG931" s="6"/>
      <c r="GH931" s="6"/>
      <c r="GI931" s="6"/>
      <c r="GJ931" s="6"/>
      <c r="GK931" s="6"/>
      <c r="GL931" s="6"/>
      <c r="GM931" s="6"/>
      <c r="GN931" s="6"/>
      <c r="GO931" s="6"/>
      <c r="GP931" s="6"/>
      <c r="GQ931" s="6"/>
      <c r="GR931" s="6"/>
      <c r="GS931" s="6"/>
      <c r="GT931" s="6"/>
      <c r="GU931" s="6"/>
      <c r="GV931" s="6"/>
      <c r="GW931" s="6"/>
      <c r="GX931" s="6"/>
      <c r="GY931" s="6"/>
      <c r="GZ931" s="6"/>
      <c r="HA931" s="6"/>
      <c r="HB931" s="6"/>
      <c r="HC931" s="6"/>
      <c r="HD931" s="6"/>
      <c r="HE931" s="6"/>
      <c r="HF931" s="6"/>
      <c r="HG931" s="6"/>
      <c r="HH931" s="6"/>
    </row>
    <row r="932" spans="1:216" x14ac:dyDescent="0.3">
      <c r="A932" s="8"/>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c r="FZ932" s="6"/>
      <c r="GA932" s="6"/>
      <c r="GB932" s="6"/>
      <c r="GC932" s="6"/>
      <c r="GD932" s="6"/>
      <c r="GE932" s="6"/>
      <c r="GF932" s="6"/>
      <c r="GG932" s="6"/>
      <c r="GH932" s="6"/>
      <c r="GI932" s="6"/>
      <c r="GJ932" s="6"/>
      <c r="GK932" s="6"/>
      <c r="GL932" s="6"/>
      <c r="GM932" s="6"/>
      <c r="GN932" s="6"/>
      <c r="GO932" s="6"/>
      <c r="GP932" s="6"/>
      <c r="GQ932" s="6"/>
      <c r="GR932" s="6"/>
      <c r="GS932" s="6"/>
      <c r="GT932" s="6"/>
      <c r="GU932" s="6"/>
      <c r="GV932" s="6"/>
      <c r="GW932" s="6"/>
      <c r="GX932" s="6"/>
      <c r="GY932" s="6"/>
      <c r="GZ932" s="6"/>
      <c r="HA932" s="6"/>
      <c r="HB932" s="6"/>
      <c r="HC932" s="6"/>
      <c r="HD932" s="6"/>
      <c r="HE932" s="6"/>
      <c r="HF932" s="6"/>
      <c r="HG932" s="6"/>
      <c r="HH932" s="6"/>
    </row>
    <row r="933" spans="1:216" x14ac:dyDescent="0.3">
      <c r="A933" s="8"/>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c r="FZ933" s="6"/>
      <c r="GA933" s="6"/>
      <c r="GB933" s="6"/>
      <c r="GC933" s="6"/>
      <c r="GD933" s="6"/>
      <c r="GE933" s="6"/>
      <c r="GF933" s="6"/>
      <c r="GG933" s="6"/>
      <c r="GH933" s="6"/>
      <c r="GI933" s="6"/>
      <c r="GJ933" s="6"/>
      <c r="GK933" s="6"/>
      <c r="GL933" s="6"/>
      <c r="GM933" s="6"/>
      <c r="GN933" s="6"/>
      <c r="GO933" s="6"/>
      <c r="GP933" s="6"/>
      <c r="GQ933" s="6"/>
      <c r="GR933" s="6"/>
      <c r="GS933" s="6"/>
      <c r="GT933" s="6"/>
      <c r="GU933" s="6"/>
      <c r="GV933" s="6"/>
      <c r="GW933" s="6"/>
      <c r="GX933" s="6"/>
      <c r="GY933" s="6"/>
      <c r="GZ933" s="6"/>
      <c r="HA933" s="6"/>
      <c r="HB933" s="6"/>
      <c r="HC933" s="6"/>
      <c r="HD933" s="6"/>
      <c r="HE933" s="6"/>
      <c r="HF933" s="6"/>
      <c r="HG933" s="6"/>
      <c r="HH933" s="6"/>
    </row>
    <row r="934" spans="1:216" x14ac:dyDescent="0.3">
      <c r="A934" s="8"/>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c r="FZ934" s="6"/>
      <c r="GA934" s="6"/>
      <c r="GB934" s="6"/>
      <c r="GC934" s="6"/>
      <c r="GD934" s="6"/>
      <c r="GE934" s="6"/>
      <c r="GF934" s="6"/>
      <c r="GG934" s="6"/>
      <c r="GH934" s="6"/>
      <c r="GI934" s="6"/>
      <c r="GJ934" s="6"/>
      <c r="GK934" s="6"/>
      <c r="GL934" s="6"/>
      <c r="GM934" s="6"/>
      <c r="GN934" s="6"/>
      <c r="GO934" s="6"/>
      <c r="GP934" s="6"/>
      <c r="GQ934" s="6"/>
      <c r="GR934" s="6"/>
      <c r="GS934" s="6"/>
      <c r="GT934" s="6"/>
      <c r="GU934" s="6"/>
      <c r="GV934" s="6"/>
      <c r="GW934" s="6"/>
      <c r="GX934" s="6"/>
      <c r="GY934" s="6"/>
      <c r="GZ934" s="6"/>
      <c r="HA934" s="6"/>
      <c r="HB934" s="6"/>
      <c r="HC934" s="6"/>
      <c r="HD934" s="6"/>
      <c r="HE934" s="6"/>
      <c r="HF934" s="6"/>
      <c r="HG934" s="6"/>
      <c r="HH934" s="6"/>
    </row>
    <row r="935" spans="1:216" x14ac:dyDescent="0.3">
      <c r="A935" s="8"/>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c r="FZ935" s="6"/>
      <c r="GA935" s="6"/>
      <c r="GB935" s="6"/>
      <c r="GC935" s="6"/>
      <c r="GD935" s="6"/>
      <c r="GE935" s="6"/>
      <c r="GF935" s="6"/>
      <c r="GG935" s="6"/>
      <c r="GH935" s="6"/>
      <c r="GI935" s="6"/>
      <c r="GJ935" s="6"/>
      <c r="GK935" s="6"/>
      <c r="GL935" s="6"/>
      <c r="GM935" s="6"/>
      <c r="GN935" s="6"/>
      <c r="GO935" s="6"/>
      <c r="GP935" s="6"/>
      <c r="GQ935" s="6"/>
      <c r="GR935" s="6"/>
      <c r="GS935" s="6"/>
      <c r="GT935" s="6"/>
      <c r="GU935" s="6"/>
      <c r="GV935" s="6"/>
      <c r="GW935" s="6"/>
      <c r="GX935" s="6"/>
      <c r="GY935" s="6"/>
      <c r="GZ935" s="6"/>
      <c r="HA935" s="6"/>
      <c r="HB935" s="6"/>
      <c r="HC935" s="6"/>
      <c r="HD935" s="6"/>
      <c r="HE935" s="6"/>
      <c r="HF935" s="6"/>
      <c r="HG935" s="6"/>
      <c r="HH935" s="6"/>
    </row>
    <row r="936" spans="1:216" x14ac:dyDescent="0.3">
      <c r="A936" s="8"/>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c r="FZ936" s="6"/>
      <c r="GA936" s="6"/>
      <c r="GB936" s="6"/>
      <c r="GC936" s="6"/>
      <c r="GD936" s="6"/>
      <c r="GE936" s="6"/>
      <c r="GF936" s="6"/>
      <c r="GG936" s="6"/>
      <c r="GH936" s="6"/>
      <c r="GI936" s="6"/>
      <c r="GJ936" s="6"/>
      <c r="GK936" s="6"/>
      <c r="GL936" s="6"/>
      <c r="GM936" s="6"/>
      <c r="GN936" s="6"/>
      <c r="GO936" s="6"/>
      <c r="GP936" s="6"/>
      <c r="GQ936" s="6"/>
      <c r="GR936" s="6"/>
      <c r="GS936" s="6"/>
      <c r="GT936" s="6"/>
      <c r="GU936" s="6"/>
      <c r="GV936" s="6"/>
      <c r="GW936" s="6"/>
      <c r="GX936" s="6"/>
      <c r="GY936" s="6"/>
      <c r="GZ936" s="6"/>
      <c r="HA936" s="6"/>
      <c r="HB936" s="6"/>
      <c r="HC936" s="6"/>
      <c r="HD936" s="6"/>
      <c r="HE936" s="6"/>
      <c r="HF936" s="6"/>
      <c r="HG936" s="6"/>
      <c r="HH936" s="6"/>
    </row>
    <row r="937" spans="1:216" x14ac:dyDescent="0.3">
      <c r="A937" s="8"/>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c r="FZ937" s="6"/>
      <c r="GA937" s="6"/>
      <c r="GB937" s="6"/>
      <c r="GC937" s="6"/>
      <c r="GD937" s="6"/>
      <c r="GE937" s="6"/>
      <c r="GF937" s="6"/>
      <c r="GG937" s="6"/>
      <c r="GH937" s="6"/>
      <c r="GI937" s="6"/>
      <c r="GJ937" s="6"/>
      <c r="GK937" s="6"/>
      <c r="GL937" s="6"/>
      <c r="GM937" s="6"/>
      <c r="GN937" s="6"/>
      <c r="GO937" s="6"/>
      <c r="GP937" s="6"/>
      <c r="GQ937" s="6"/>
      <c r="GR937" s="6"/>
      <c r="GS937" s="6"/>
      <c r="GT937" s="6"/>
      <c r="GU937" s="6"/>
      <c r="GV937" s="6"/>
      <c r="GW937" s="6"/>
      <c r="GX937" s="6"/>
      <c r="GY937" s="6"/>
      <c r="GZ937" s="6"/>
      <c r="HA937" s="6"/>
      <c r="HB937" s="6"/>
      <c r="HC937" s="6"/>
      <c r="HD937" s="6"/>
      <c r="HE937" s="6"/>
      <c r="HF937" s="6"/>
      <c r="HG937" s="6"/>
      <c r="HH937" s="6"/>
    </row>
    <row r="938" spans="1:216" x14ac:dyDescent="0.3">
      <c r="A938" s="8"/>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c r="FZ938" s="6"/>
      <c r="GA938" s="6"/>
      <c r="GB938" s="6"/>
      <c r="GC938" s="6"/>
      <c r="GD938" s="6"/>
      <c r="GE938" s="6"/>
      <c r="GF938" s="6"/>
      <c r="GG938" s="6"/>
      <c r="GH938" s="6"/>
      <c r="GI938" s="6"/>
      <c r="GJ938" s="6"/>
      <c r="GK938" s="6"/>
      <c r="GL938" s="6"/>
      <c r="GM938" s="6"/>
      <c r="GN938" s="6"/>
      <c r="GO938" s="6"/>
      <c r="GP938" s="6"/>
      <c r="GQ938" s="6"/>
      <c r="GR938" s="6"/>
      <c r="GS938" s="6"/>
      <c r="GT938" s="6"/>
      <c r="GU938" s="6"/>
      <c r="GV938" s="6"/>
      <c r="GW938" s="6"/>
      <c r="GX938" s="6"/>
      <c r="GY938" s="6"/>
      <c r="GZ938" s="6"/>
      <c r="HA938" s="6"/>
      <c r="HB938" s="6"/>
      <c r="HC938" s="6"/>
      <c r="HD938" s="6"/>
      <c r="HE938" s="6"/>
      <c r="HF938" s="6"/>
      <c r="HG938" s="6"/>
      <c r="HH938" s="6"/>
    </row>
    <row r="939" spans="1:216" x14ac:dyDescent="0.3">
      <c r="A939" s="8"/>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c r="FZ939" s="6"/>
      <c r="GA939" s="6"/>
      <c r="GB939" s="6"/>
      <c r="GC939" s="6"/>
      <c r="GD939" s="6"/>
      <c r="GE939" s="6"/>
      <c r="GF939" s="6"/>
      <c r="GG939" s="6"/>
      <c r="GH939" s="6"/>
      <c r="GI939" s="6"/>
      <c r="GJ939" s="6"/>
      <c r="GK939" s="6"/>
      <c r="GL939" s="6"/>
      <c r="GM939" s="6"/>
      <c r="GN939" s="6"/>
      <c r="GO939" s="6"/>
      <c r="GP939" s="6"/>
      <c r="GQ939" s="6"/>
      <c r="GR939" s="6"/>
      <c r="GS939" s="6"/>
      <c r="GT939" s="6"/>
      <c r="GU939" s="6"/>
      <c r="GV939" s="6"/>
      <c r="GW939" s="6"/>
      <c r="GX939" s="6"/>
      <c r="GY939" s="6"/>
      <c r="GZ939" s="6"/>
      <c r="HA939" s="6"/>
      <c r="HB939" s="6"/>
      <c r="HC939" s="6"/>
      <c r="HD939" s="6"/>
      <c r="HE939" s="6"/>
      <c r="HF939" s="6"/>
      <c r="HG939" s="6"/>
      <c r="HH939" s="6"/>
    </row>
    <row r="940" spans="1:216" x14ac:dyDescent="0.3">
      <c r="A940" s="8"/>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c r="FZ940" s="6"/>
      <c r="GA940" s="6"/>
      <c r="GB940" s="6"/>
      <c r="GC940" s="6"/>
      <c r="GD940" s="6"/>
      <c r="GE940" s="6"/>
      <c r="GF940" s="6"/>
      <c r="GG940" s="6"/>
      <c r="GH940" s="6"/>
      <c r="GI940" s="6"/>
      <c r="GJ940" s="6"/>
      <c r="GK940" s="6"/>
      <c r="GL940" s="6"/>
      <c r="GM940" s="6"/>
      <c r="GN940" s="6"/>
      <c r="GO940" s="6"/>
      <c r="GP940" s="6"/>
      <c r="GQ940" s="6"/>
      <c r="GR940" s="6"/>
      <c r="GS940" s="6"/>
      <c r="GT940" s="6"/>
      <c r="GU940" s="6"/>
      <c r="GV940" s="6"/>
      <c r="GW940" s="6"/>
      <c r="GX940" s="6"/>
      <c r="GY940" s="6"/>
      <c r="GZ940" s="6"/>
      <c r="HA940" s="6"/>
      <c r="HB940" s="6"/>
      <c r="HC940" s="6"/>
      <c r="HD940" s="6"/>
      <c r="HE940" s="6"/>
      <c r="HF940" s="6"/>
      <c r="HG940" s="6"/>
      <c r="HH940" s="6"/>
    </row>
    <row r="941" spans="1:216" x14ac:dyDescent="0.3">
      <c r="A941" s="8"/>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c r="FZ941" s="6"/>
      <c r="GA941" s="6"/>
      <c r="GB941" s="6"/>
      <c r="GC941" s="6"/>
      <c r="GD941" s="6"/>
      <c r="GE941" s="6"/>
      <c r="GF941" s="6"/>
      <c r="GG941" s="6"/>
      <c r="GH941" s="6"/>
      <c r="GI941" s="6"/>
      <c r="GJ941" s="6"/>
      <c r="GK941" s="6"/>
      <c r="GL941" s="6"/>
      <c r="GM941" s="6"/>
      <c r="GN941" s="6"/>
      <c r="GO941" s="6"/>
      <c r="GP941" s="6"/>
      <c r="GQ941" s="6"/>
      <c r="GR941" s="6"/>
      <c r="GS941" s="6"/>
      <c r="GT941" s="6"/>
      <c r="GU941" s="6"/>
      <c r="GV941" s="6"/>
      <c r="GW941" s="6"/>
      <c r="GX941" s="6"/>
      <c r="GY941" s="6"/>
      <c r="GZ941" s="6"/>
      <c r="HA941" s="6"/>
      <c r="HB941" s="6"/>
      <c r="HC941" s="6"/>
      <c r="HD941" s="6"/>
      <c r="HE941" s="6"/>
      <c r="HF941" s="6"/>
      <c r="HG941" s="6"/>
      <c r="HH941" s="6"/>
    </row>
    <row r="942" spans="1:216" x14ac:dyDescent="0.3">
      <c r="A942" s="8"/>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c r="FZ942" s="6"/>
      <c r="GA942" s="6"/>
      <c r="GB942" s="6"/>
      <c r="GC942" s="6"/>
      <c r="GD942" s="6"/>
      <c r="GE942" s="6"/>
      <c r="GF942" s="6"/>
      <c r="GG942" s="6"/>
      <c r="GH942" s="6"/>
      <c r="GI942" s="6"/>
      <c r="GJ942" s="6"/>
      <c r="GK942" s="6"/>
      <c r="GL942" s="6"/>
      <c r="GM942" s="6"/>
      <c r="GN942" s="6"/>
      <c r="GO942" s="6"/>
      <c r="GP942" s="6"/>
      <c r="GQ942" s="6"/>
      <c r="GR942" s="6"/>
      <c r="GS942" s="6"/>
      <c r="GT942" s="6"/>
      <c r="GU942" s="6"/>
      <c r="GV942" s="6"/>
      <c r="GW942" s="6"/>
      <c r="GX942" s="6"/>
      <c r="GY942" s="6"/>
      <c r="GZ942" s="6"/>
      <c r="HA942" s="6"/>
      <c r="HB942" s="6"/>
      <c r="HC942" s="6"/>
      <c r="HD942" s="6"/>
      <c r="HE942" s="6"/>
      <c r="HF942" s="6"/>
      <c r="HG942" s="6"/>
      <c r="HH942" s="6"/>
    </row>
    <row r="943" spans="1:216" x14ac:dyDescent="0.3">
      <c r="A943" s="8"/>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c r="FZ943" s="6"/>
      <c r="GA943" s="6"/>
      <c r="GB943" s="6"/>
      <c r="GC943" s="6"/>
      <c r="GD943" s="6"/>
      <c r="GE943" s="6"/>
      <c r="GF943" s="6"/>
      <c r="GG943" s="6"/>
      <c r="GH943" s="6"/>
      <c r="GI943" s="6"/>
      <c r="GJ943" s="6"/>
      <c r="GK943" s="6"/>
      <c r="GL943" s="6"/>
      <c r="GM943" s="6"/>
      <c r="GN943" s="6"/>
      <c r="GO943" s="6"/>
      <c r="GP943" s="6"/>
      <c r="GQ943" s="6"/>
      <c r="GR943" s="6"/>
      <c r="GS943" s="6"/>
      <c r="GT943" s="6"/>
      <c r="GU943" s="6"/>
      <c r="GV943" s="6"/>
      <c r="GW943" s="6"/>
      <c r="GX943" s="6"/>
      <c r="GY943" s="6"/>
      <c r="GZ943" s="6"/>
      <c r="HA943" s="6"/>
      <c r="HB943" s="6"/>
      <c r="HC943" s="6"/>
      <c r="HD943" s="6"/>
      <c r="HE943" s="6"/>
      <c r="HF943" s="6"/>
      <c r="HG943" s="6"/>
      <c r="HH943" s="6"/>
    </row>
    <row r="944" spans="1:216" x14ac:dyDescent="0.3">
      <c r="A944" s="8"/>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c r="FZ944" s="6"/>
      <c r="GA944" s="6"/>
      <c r="GB944" s="6"/>
      <c r="GC944" s="6"/>
      <c r="GD944" s="6"/>
      <c r="GE944" s="6"/>
      <c r="GF944" s="6"/>
      <c r="GG944" s="6"/>
      <c r="GH944" s="6"/>
      <c r="GI944" s="6"/>
      <c r="GJ944" s="6"/>
      <c r="GK944" s="6"/>
      <c r="GL944" s="6"/>
      <c r="GM944" s="6"/>
      <c r="GN944" s="6"/>
      <c r="GO944" s="6"/>
      <c r="GP944" s="6"/>
      <c r="GQ944" s="6"/>
      <c r="GR944" s="6"/>
      <c r="GS944" s="6"/>
      <c r="GT944" s="6"/>
      <c r="GU944" s="6"/>
      <c r="GV944" s="6"/>
      <c r="GW944" s="6"/>
      <c r="GX944" s="6"/>
      <c r="GY944" s="6"/>
      <c r="GZ944" s="6"/>
      <c r="HA944" s="6"/>
      <c r="HB944" s="6"/>
      <c r="HC944" s="6"/>
      <c r="HD944" s="6"/>
      <c r="HE944" s="6"/>
      <c r="HF944" s="6"/>
      <c r="HG944" s="6"/>
      <c r="HH944" s="6"/>
    </row>
    <row r="945" spans="1:216" x14ac:dyDescent="0.3">
      <c r="A945" s="8"/>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c r="FZ945" s="6"/>
      <c r="GA945" s="6"/>
      <c r="GB945" s="6"/>
      <c r="GC945" s="6"/>
      <c r="GD945" s="6"/>
      <c r="GE945" s="6"/>
      <c r="GF945" s="6"/>
      <c r="GG945" s="6"/>
      <c r="GH945" s="6"/>
      <c r="GI945" s="6"/>
      <c r="GJ945" s="6"/>
      <c r="GK945" s="6"/>
      <c r="GL945" s="6"/>
      <c r="GM945" s="6"/>
      <c r="GN945" s="6"/>
      <c r="GO945" s="6"/>
      <c r="GP945" s="6"/>
      <c r="GQ945" s="6"/>
      <c r="GR945" s="6"/>
      <c r="GS945" s="6"/>
      <c r="GT945" s="6"/>
      <c r="GU945" s="6"/>
      <c r="GV945" s="6"/>
      <c r="GW945" s="6"/>
      <c r="GX945" s="6"/>
      <c r="GY945" s="6"/>
      <c r="GZ945" s="6"/>
      <c r="HA945" s="6"/>
      <c r="HB945" s="6"/>
      <c r="HC945" s="6"/>
      <c r="HD945" s="6"/>
      <c r="HE945" s="6"/>
      <c r="HF945" s="6"/>
      <c r="HG945" s="6"/>
      <c r="HH945" s="6"/>
    </row>
    <row r="946" spans="1:216" x14ac:dyDescent="0.3">
      <c r="A946" s="8"/>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c r="FZ946" s="6"/>
      <c r="GA946" s="6"/>
      <c r="GB946" s="6"/>
      <c r="GC946" s="6"/>
      <c r="GD946" s="6"/>
      <c r="GE946" s="6"/>
      <c r="GF946" s="6"/>
      <c r="GG946" s="6"/>
      <c r="GH946" s="6"/>
      <c r="GI946" s="6"/>
      <c r="GJ946" s="6"/>
      <c r="GK946" s="6"/>
      <c r="GL946" s="6"/>
      <c r="GM946" s="6"/>
      <c r="GN946" s="6"/>
      <c r="GO946" s="6"/>
      <c r="GP946" s="6"/>
      <c r="GQ946" s="6"/>
      <c r="GR946" s="6"/>
      <c r="GS946" s="6"/>
      <c r="GT946" s="6"/>
      <c r="GU946" s="6"/>
      <c r="GV946" s="6"/>
      <c r="GW946" s="6"/>
      <c r="GX946" s="6"/>
      <c r="GY946" s="6"/>
      <c r="GZ946" s="6"/>
      <c r="HA946" s="6"/>
      <c r="HB946" s="6"/>
      <c r="HC946" s="6"/>
      <c r="HD946" s="6"/>
      <c r="HE946" s="6"/>
      <c r="HF946" s="6"/>
      <c r="HG946" s="6"/>
      <c r="HH946" s="6"/>
    </row>
    <row r="947" spans="1:216" x14ac:dyDescent="0.3">
      <c r="A947" s="8"/>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c r="GA947" s="6"/>
      <c r="GB947" s="6"/>
      <c r="GC947" s="6"/>
      <c r="GD947" s="6"/>
      <c r="GE947" s="6"/>
      <c r="GF947" s="6"/>
      <c r="GG947" s="6"/>
      <c r="GH947" s="6"/>
      <c r="GI947" s="6"/>
      <c r="GJ947" s="6"/>
      <c r="GK947" s="6"/>
      <c r="GL947" s="6"/>
      <c r="GM947" s="6"/>
      <c r="GN947" s="6"/>
      <c r="GO947" s="6"/>
      <c r="GP947" s="6"/>
      <c r="GQ947" s="6"/>
      <c r="GR947" s="6"/>
      <c r="GS947" s="6"/>
      <c r="GT947" s="6"/>
      <c r="GU947" s="6"/>
      <c r="GV947" s="6"/>
      <c r="GW947" s="6"/>
      <c r="GX947" s="6"/>
      <c r="GY947" s="6"/>
      <c r="GZ947" s="6"/>
      <c r="HA947" s="6"/>
      <c r="HB947" s="6"/>
      <c r="HC947" s="6"/>
      <c r="HD947" s="6"/>
      <c r="HE947" s="6"/>
      <c r="HF947" s="6"/>
      <c r="HG947" s="6"/>
      <c r="HH947" s="6"/>
    </row>
    <row r="948" spans="1:216" x14ac:dyDescent="0.3">
      <c r="A948" s="8"/>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row>
    <row r="949" spans="1:216" x14ac:dyDescent="0.3">
      <c r="A949" s="8"/>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c r="FZ949" s="6"/>
      <c r="GA949" s="6"/>
      <c r="GB949" s="6"/>
      <c r="GC949" s="6"/>
      <c r="GD949" s="6"/>
      <c r="GE949" s="6"/>
      <c r="GF949" s="6"/>
      <c r="GG949" s="6"/>
      <c r="GH949" s="6"/>
      <c r="GI949" s="6"/>
      <c r="GJ949" s="6"/>
      <c r="GK949" s="6"/>
      <c r="GL949" s="6"/>
      <c r="GM949" s="6"/>
      <c r="GN949" s="6"/>
      <c r="GO949" s="6"/>
      <c r="GP949" s="6"/>
      <c r="GQ949" s="6"/>
      <c r="GR949" s="6"/>
      <c r="GS949" s="6"/>
      <c r="GT949" s="6"/>
      <c r="GU949" s="6"/>
      <c r="GV949" s="6"/>
      <c r="GW949" s="6"/>
      <c r="GX949" s="6"/>
      <c r="GY949" s="6"/>
      <c r="GZ949" s="6"/>
      <c r="HA949" s="6"/>
      <c r="HB949" s="6"/>
      <c r="HC949" s="6"/>
      <c r="HD949" s="6"/>
      <c r="HE949" s="6"/>
      <c r="HF949" s="6"/>
      <c r="HG949" s="6"/>
      <c r="HH949" s="6"/>
    </row>
    <row r="950" spans="1:216" x14ac:dyDescent="0.3">
      <c r="A950" s="8"/>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row>
    <row r="951" spans="1:216" x14ac:dyDescent="0.3">
      <c r="A951" s="8"/>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c r="GV951" s="6"/>
      <c r="GW951" s="6"/>
      <c r="GX951" s="6"/>
      <c r="GY951" s="6"/>
      <c r="GZ951" s="6"/>
      <c r="HA951" s="6"/>
      <c r="HB951" s="6"/>
      <c r="HC951" s="6"/>
      <c r="HD951" s="6"/>
      <c r="HE951" s="6"/>
      <c r="HF951" s="6"/>
      <c r="HG951" s="6"/>
      <c r="HH951" s="6"/>
    </row>
    <row r="952" spans="1:216" x14ac:dyDescent="0.3">
      <c r="A952" s="8"/>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row>
    <row r="953" spans="1:216" x14ac:dyDescent="0.3">
      <c r="A953" s="8"/>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row>
    <row r="954" spans="1:216" x14ac:dyDescent="0.3">
      <c r="A954" s="8"/>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row>
    <row r="955" spans="1:216" x14ac:dyDescent="0.3">
      <c r="A955" s="8"/>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row>
    <row r="956" spans="1:216" x14ac:dyDescent="0.3">
      <c r="A956" s="8"/>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row>
    <row r="957" spans="1:216" x14ac:dyDescent="0.3">
      <c r="A957" s="8"/>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c r="FZ957" s="6"/>
      <c r="GA957" s="6"/>
      <c r="GB957" s="6"/>
      <c r="GC957" s="6"/>
      <c r="GD957" s="6"/>
      <c r="GE957" s="6"/>
      <c r="GF957" s="6"/>
      <c r="GG957" s="6"/>
      <c r="GH957" s="6"/>
      <c r="GI957" s="6"/>
      <c r="GJ957" s="6"/>
      <c r="GK957" s="6"/>
      <c r="GL957" s="6"/>
      <c r="GM957" s="6"/>
      <c r="GN957" s="6"/>
      <c r="GO957" s="6"/>
      <c r="GP957" s="6"/>
      <c r="GQ957" s="6"/>
      <c r="GR957" s="6"/>
      <c r="GS957" s="6"/>
      <c r="GT957" s="6"/>
      <c r="GU957" s="6"/>
      <c r="GV957" s="6"/>
      <c r="GW957" s="6"/>
      <c r="GX957" s="6"/>
      <c r="GY957" s="6"/>
      <c r="GZ957" s="6"/>
      <c r="HA957" s="6"/>
      <c r="HB957" s="6"/>
      <c r="HC957" s="6"/>
      <c r="HD957" s="6"/>
      <c r="HE957" s="6"/>
      <c r="HF957" s="6"/>
      <c r="HG957" s="6"/>
      <c r="HH957" s="6"/>
    </row>
    <row r="958" spans="1:216" x14ac:dyDescent="0.3">
      <c r="A958" s="8"/>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row>
    <row r="959" spans="1:216" x14ac:dyDescent="0.3">
      <c r="A959" s="8"/>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row>
    <row r="960" spans="1:216" x14ac:dyDescent="0.3">
      <c r="A960" s="8"/>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row>
    <row r="961" spans="1:216" x14ac:dyDescent="0.3">
      <c r="A961" s="8"/>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c r="GR961" s="6"/>
      <c r="GS961" s="6"/>
      <c r="GT961" s="6"/>
      <c r="GU961" s="6"/>
      <c r="GV961" s="6"/>
      <c r="GW961" s="6"/>
      <c r="GX961" s="6"/>
      <c r="GY961" s="6"/>
      <c r="GZ961" s="6"/>
      <c r="HA961" s="6"/>
      <c r="HB961" s="6"/>
      <c r="HC961" s="6"/>
      <c r="HD961" s="6"/>
      <c r="HE961" s="6"/>
      <c r="HF961" s="6"/>
      <c r="HG961" s="6"/>
      <c r="HH961" s="6"/>
    </row>
    <row r="962" spans="1:216" x14ac:dyDescent="0.3">
      <c r="A962" s="8"/>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row>
    <row r="963" spans="1:216" x14ac:dyDescent="0.3">
      <c r="A963" s="8"/>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row>
    <row r="964" spans="1:216" x14ac:dyDescent="0.3">
      <c r="A964" s="8"/>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row>
    <row r="965" spans="1:216" x14ac:dyDescent="0.3">
      <c r="A965" s="8"/>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row>
    <row r="966" spans="1:216" x14ac:dyDescent="0.3">
      <c r="A966" s="8"/>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row>
    <row r="967" spans="1:216" x14ac:dyDescent="0.3">
      <c r="A967" s="8"/>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row>
    <row r="968" spans="1:216" x14ac:dyDescent="0.3">
      <c r="A968" s="8"/>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row>
    <row r="969" spans="1:216" x14ac:dyDescent="0.3">
      <c r="A969" s="8"/>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row>
    <row r="970" spans="1:216" x14ac:dyDescent="0.3">
      <c r="A970" s="8"/>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row>
    <row r="971" spans="1:216" x14ac:dyDescent="0.3">
      <c r="A971" s="8"/>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row>
    <row r="972" spans="1:216" x14ac:dyDescent="0.3">
      <c r="A972" s="8"/>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row>
    <row r="973" spans="1:216" x14ac:dyDescent="0.3">
      <c r="A973" s="8"/>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row>
    <row r="974" spans="1:216" x14ac:dyDescent="0.3">
      <c r="A974" s="8"/>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row>
    <row r="975" spans="1:216" x14ac:dyDescent="0.3">
      <c r="A975" s="8"/>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row>
    <row r="976" spans="1:216" x14ac:dyDescent="0.3">
      <c r="A976" s="8"/>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row>
    <row r="977" spans="1:216" x14ac:dyDescent="0.3">
      <c r="A977" s="8"/>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row>
    <row r="978" spans="1:216" x14ac:dyDescent="0.3">
      <c r="A978" s="8"/>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row>
    <row r="979" spans="1:216" x14ac:dyDescent="0.3">
      <c r="A979" s="8"/>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row>
    <row r="980" spans="1:216" x14ac:dyDescent="0.3">
      <c r="A980" s="8"/>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row>
    <row r="981" spans="1:216" x14ac:dyDescent="0.3">
      <c r="A981" s="8"/>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row>
    <row r="982" spans="1:216" x14ac:dyDescent="0.3">
      <c r="A982" s="8"/>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row>
    <row r="983" spans="1:216" x14ac:dyDescent="0.3">
      <c r="A983" s="8"/>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row>
    <row r="984" spans="1:216" x14ac:dyDescent="0.3">
      <c r="A984" s="8"/>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row>
    <row r="985" spans="1:216" x14ac:dyDescent="0.3">
      <c r="A985" s="8"/>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row>
    <row r="986" spans="1:216" x14ac:dyDescent="0.3">
      <c r="A986" s="8"/>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row>
    <row r="987" spans="1:216" x14ac:dyDescent="0.3">
      <c r="A987" s="8"/>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row>
    <row r="988" spans="1:216" x14ac:dyDescent="0.3">
      <c r="A988" s="8"/>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row>
    <row r="989" spans="1:216" x14ac:dyDescent="0.3">
      <c r="A989" s="8"/>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c r="GV989" s="6"/>
      <c r="GW989" s="6"/>
      <c r="GX989" s="6"/>
      <c r="GY989" s="6"/>
      <c r="GZ989" s="6"/>
      <c r="HA989" s="6"/>
      <c r="HB989" s="6"/>
      <c r="HC989" s="6"/>
      <c r="HD989" s="6"/>
      <c r="HE989" s="6"/>
      <c r="HF989" s="6"/>
      <c r="HG989" s="6"/>
      <c r="HH989" s="6"/>
    </row>
    <row r="990" spans="1:216" x14ac:dyDescent="0.3">
      <c r="A990" s="8"/>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row>
    <row r="991" spans="1:216" x14ac:dyDescent="0.3">
      <c r="A991" s="8"/>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row>
    <row r="992" spans="1:216" x14ac:dyDescent="0.3">
      <c r="A992" s="8"/>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row>
    <row r="993" spans="1:216" x14ac:dyDescent="0.3">
      <c r="A993" s="8"/>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c r="GX993" s="6"/>
      <c r="GY993" s="6"/>
      <c r="GZ993" s="6"/>
      <c r="HA993" s="6"/>
      <c r="HB993" s="6"/>
      <c r="HC993" s="6"/>
      <c r="HD993" s="6"/>
      <c r="HE993" s="6"/>
      <c r="HF993" s="6"/>
      <c r="HG993" s="6"/>
      <c r="HH993" s="6"/>
    </row>
    <row r="994" spans="1:216" x14ac:dyDescent="0.3">
      <c r="A994" s="8"/>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row>
    <row r="995" spans="1:216" x14ac:dyDescent="0.3">
      <c r="A995" s="8"/>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row>
    <row r="996" spans="1:216" x14ac:dyDescent="0.3">
      <c r="A996" s="8"/>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c r="FZ996" s="6"/>
      <c r="GA996" s="6"/>
      <c r="GB996" s="6"/>
      <c r="GC996" s="6"/>
      <c r="GD996" s="6"/>
      <c r="GE996" s="6"/>
      <c r="GF996" s="6"/>
      <c r="GG996" s="6"/>
      <c r="GH996" s="6"/>
      <c r="GI996" s="6"/>
      <c r="GJ996" s="6"/>
      <c r="GK996" s="6"/>
      <c r="GL996" s="6"/>
      <c r="GM996" s="6"/>
      <c r="GN996" s="6"/>
      <c r="GO996" s="6"/>
      <c r="GP996" s="6"/>
      <c r="GQ996" s="6"/>
      <c r="GR996" s="6"/>
      <c r="GS996" s="6"/>
      <c r="GT996" s="6"/>
      <c r="GU996" s="6"/>
      <c r="GV996" s="6"/>
      <c r="GW996" s="6"/>
      <c r="GX996" s="6"/>
      <c r="GY996" s="6"/>
      <c r="GZ996" s="6"/>
      <c r="HA996" s="6"/>
      <c r="HB996" s="6"/>
      <c r="HC996" s="6"/>
      <c r="HD996" s="6"/>
      <c r="HE996" s="6"/>
      <c r="HF996" s="6"/>
      <c r="HG996" s="6"/>
      <c r="HH996" s="6"/>
    </row>
    <row r="997" spans="1:216" x14ac:dyDescent="0.3">
      <c r="A997" s="8"/>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c r="FZ997" s="6"/>
      <c r="GA997" s="6"/>
      <c r="GB997" s="6"/>
      <c r="GC997" s="6"/>
      <c r="GD997" s="6"/>
      <c r="GE997" s="6"/>
      <c r="GF997" s="6"/>
      <c r="GG997" s="6"/>
      <c r="GH997" s="6"/>
      <c r="GI997" s="6"/>
      <c r="GJ997" s="6"/>
      <c r="GK997" s="6"/>
      <c r="GL997" s="6"/>
      <c r="GM997" s="6"/>
      <c r="GN997" s="6"/>
      <c r="GO997" s="6"/>
      <c r="GP997" s="6"/>
      <c r="GQ997" s="6"/>
      <c r="GR997" s="6"/>
      <c r="GS997" s="6"/>
      <c r="GT997" s="6"/>
      <c r="GU997" s="6"/>
      <c r="GV997" s="6"/>
      <c r="GW997" s="6"/>
      <c r="GX997" s="6"/>
      <c r="GY997" s="6"/>
      <c r="GZ997" s="6"/>
      <c r="HA997" s="6"/>
      <c r="HB997" s="6"/>
      <c r="HC997" s="6"/>
      <c r="HD997" s="6"/>
      <c r="HE997" s="6"/>
      <c r="HF997" s="6"/>
      <c r="HG997" s="6"/>
      <c r="HH997" s="6"/>
    </row>
    <row r="998" spans="1:216" x14ac:dyDescent="0.3">
      <c r="A998" s="8"/>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c r="FZ998" s="6"/>
      <c r="GA998" s="6"/>
      <c r="GB998" s="6"/>
      <c r="GC998" s="6"/>
      <c r="GD998" s="6"/>
      <c r="GE998" s="6"/>
      <c r="GF998" s="6"/>
      <c r="GG998" s="6"/>
      <c r="GH998" s="6"/>
      <c r="GI998" s="6"/>
      <c r="GJ998" s="6"/>
      <c r="GK998" s="6"/>
      <c r="GL998" s="6"/>
      <c r="GM998" s="6"/>
      <c r="GN998" s="6"/>
      <c r="GO998" s="6"/>
      <c r="GP998" s="6"/>
      <c r="GQ998" s="6"/>
      <c r="GR998" s="6"/>
      <c r="GS998" s="6"/>
      <c r="GT998" s="6"/>
      <c r="GU998" s="6"/>
      <c r="GV998" s="6"/>
      <c r="GW998" s="6"/>
      <c r="GX998" s="6"/>
      <c r="GY998" s="6"/>
      <c r="GZ998" s="6"/>
      <c r="HA998" s="6"/>
      <c r="HB998" s="6"/>
      <c r="HC998" s="6"/>
      <c r="HD998" s="6"/>
      <c r="HE998" s="6"/>
      <c r="HF998" s="6"/>
      <c r="HG998" s="6"/>
      <c r="HH998" s="6"/>
    </row>
    <row r="999" spans="1:216" x14ac:dyDescent="0.3">
      <c r="A999" s="8"/>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c r="FZ999" s="6"/>
      <c r="GA999" s="6"/>
      <c r="GB999" s="6"/>
      <c r="GC999" s="6"/>
      <c r="GD999" s="6"/>
      <c r="GE999" s="6"/>
      <c r="GF999" s="6"/>
      <c r="GG999" s="6"/>
      <c r="GH999" s="6"/>
      <c r="GI999" s="6"/>
      <c r="GJ999" s="6"/>
      <c r="GK999" s="6"/>
      <c r="GL999" s="6"/>
      <c r="GM999" s="6"/>
      <c r="GN999" s="6"/>
      <c r="GO999" s="6"/>
      <c r="GP999" s="6"/>
      <c r="GQ999" s="6"/>
      <c r="GR999" s="6"/>
      <c r="GS999" s="6"/>
      <c r="GT999" s="6"/>
      <c r="GU999" s="6"/>
      <c r="GV999" s="6"/>
      <c r="GW999" s="6"/>
      <c r="GX999" s="6"/>
      <c r="GY999" s="6"/>
      <c r="GZ999" s="6"/>
      <c r="HA999" s="6"/>
      <c r="HB999" s="6"/>
      <c r="HC999" s="6"/>
      <c r="HD999" s="6"/>
      <c r="HE999" s="6"/>
      <c r="HF999" s="6"/>
      <c r="HG999" s="6"/>
      <c r="HH999" s="6"/>
    </row>
    <row r="1000" spans="1:216" x14ac:dyDescent="0.3">
      <c r="A1000" s="8"/>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c r="FZ1000" s="6"/>
      <c r="GA1000" s="6"/>
      <c r="GB1000" s="6"/>
      <c r="GC1000" s="6"/>
      <c r="GD1000" s="6"/>
      <c r="GE1000" s="6"/>
      <c r="GF1000" s="6"/>
      <c r="GG1000" s="6"/>
      <c r="GH1000" s="6"/>
      <c r="GI1000" s="6"/>
      <c r="GJ1000" s="6"/>
      <c r="GK1000" s="6"/>
      <c r="GL1000" s="6"/>
      <c r="GM1000" s="6"/>
      <c r="GN1000" s="6"/>
      <c r="GO1000" s="6"/>
      <c r="GP1000" s="6"/>
      <c r="GQ1000" s="6"/>
      <c r="GR1000" s="6"/>
      <c r="GS1000" s="6"/>
      <c r="GT1000" s="6"/>
      <c r="GU1000" s="6"/>
      <c r="GV1000" s="6"/>
      <c r="GW1000" s="6"/>
      <c r="GX1000" s="6"/>
      <c r="GY1000" s="6"/>
      <c r="GZ1000" s="6"/>
      <c r="HA1000" s="6"/>
      <c r="HB1000" s="6"/>
      <c r="HC1000" s="6"/>
      <c r="HD1000" s="6"/>
      <c r="HE1000" s="6"/>
      <c r="HF1000" s="6"/>
      <c r="HG1000" s="6"/>
      <c r="HH1000" s="6"/>
    </row>
    <row r="1001" spans="1:216" x14ac:dyDescent="0.3">
      <c r="A1001" s="8"/>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c r="DX1001" s="6"/>
      <c r="DY1001" s="6"/>
      <c r="DZ1001" s="6"/>
      <c r="EA1001" s="6"/>
      <c r="EB1001" s="6"/>
      <c r="EC1001" s="6"/>
      <c r="ED1001" s="6"/>
      <c r="EE1001" s="6"/>
      <c r="EF1001" s="6"/>
      <c r="EG1001" s="6"/>
      <c r="EH1001" s="6"/>
      <c r="EI1001" s="6"/>
      <c r="EJ1001" s="6"/>
      <c r="EK1001" s="6"/>
      <c r="EL1001" s="6"/>
      <c r="EM1001" s="6"/>
      <c r="EN1001" s="6"/>
      <c r="EO1001" s="6"/>
      <c r="EP1001" s="6"/>
      <c r="EQ1001" s="6"/>
      <c r="ER1001" s="6"/>
      <c r="ES1001" s="6"/>
      <c r="ET1001" s="6"/>
      <c r="EU1001" s="6"/>
      <c r="EV1001" s="6"/>
      <c r="EW1001" s="6"/>
      <c r="EX1001" s="6"/>
      <c r="EY1001" s="6"/>
      <c r="EZ1001" s="6"/>
      <c r="FA1001" s="6"/>
      <c r="FB1001" s="6"/>
      <c r="FC1001" s="6"/>
      <c r="FD1001" s="6"/>
      <c r="FE1001" s="6"/>
      <c r="FF1001" s="6"/>
      <c r="FG1001" s="6"/>
      <c r="FH1001" s="6"/>
      <c r="FI1001" s="6"/>
      <c r="FJ1001" s="6"/>
      <c r="FK1001" s="6"/>
      <c r="FL1001" s="6"/>
      <c r="FM1001" s="6"/>
      <c r="FN1001" s="6"/>
      <c r="FO1001" s="6"/>
      <c r="FP1001" s="6"/>
      <c r="FQ1001" s="6"/>
      <c r="FR1001" s="6"/>
      <c r="FS1001" s="6"/>
      <c r="FT1001" s="6"/>
      <c r="FU1001" s="6"/>
      <c r="FV1001" s="6"/>
      <c r="FW1001" s="6"/>
      <c r="FX1001" s="6"/>
      <c r="FY1001" s="6"/>
      <c r="FZ1001" s="6"/>
      <c r="GA1001" s="6"/>
      <c r="GB1001" s="6"/>
      <c r="GC1001" s="6"/>
      <c r="GD1001" s="6"/>
      <c r="GE1001" s="6"/>
      <c r="GF1001" s="6"/>
      <c r="GG1001" s="6"/>
      <c r="GH1001" s="6"/>
      <c r="GI1001" s="6"/>
      <c r="GJ1001" s="6"/>
      <c r="GK1001" s="6"/>
      <c r="GL1001" s="6"/>
      <c r="GM1001" s="6"/>
      <c r="GN1001" s="6"/>
      <c r="GO1001" s="6"/>
      <c r="GP1001" s="6"/>
      <c r="GQ1001" s="6"/>
      <c r="GR1001" s="6"/>
      <c r="GS1001" s="6"/>
      <c r="GT1001" s="6"/>
      <c r="GU1001" s="6"/>
      <c r="GV1001" s="6"/>
      <c r="GW1001" s="6"/>
      <c r="GX1001" s="6"/>
      <c r="GY1001" s="6"/>
      <c r="GZ1001" s="6"/>
      <c r="HA1001" s="6"/>
      <c r="HB1001" s="6"/>
      <c r="HC1001" s="6"/>
      <c r="HD1001" s="6"/>
      <c r="HE1001" s="6"/>
      <c r="HF1001" s="6"/>
      <c r="HG1001" s="6"/>
      <c r="HH1001" s="6"/>
    </row>
    <row r="1002" spans="1:216" x14ac:dyDescent="0.3">
      <c r="A1002" s="8"/>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c r="DX1002" s="6"/>
      <c r="DY1002" s="6"/>
      <c r="DZ1002" s="6"/>
      <c r="EA1002" s="6"/>
      <c r="EB1002" s="6"/>
      <c r="EC1002" s="6"/>
      <c r="ED1002" s="6"/>
      <c r="EE1002" s="6"/>
      <c r="EF1002" s="6"/>
      <c r="EG1002" s="6"/>
      <c r="EH1002" s="6"/>
      <c r="EI1002" s="6"/>
      <c r="EJ1002" s="6"/>
      <c r="EK1002" s="6"/>
      <c r="EL1002" s="6"/>
      <c r="EM1002" s="6"/>
      <c r="EN1002" s="6"/>
      <c r="EO1002" s="6"/>
      <c r="EP1002" s="6"/>
      <c r="EQ1002" s="6"/>
      <c r="ER1002" s="6"/>
      <c r="ES1002" s="6"/>
      <c r="ET1002" s="6"/>
      <c r="EU1002" s="6"/>
      <c r="EV1002" s="6"/>
      <c r="EW1002" s="6"/>
      <c r="EX1002" s="6"/>
      <c r="EY1002" s="6"/>
      <c r="EZ1002" s="6"/>
      <c r="FA1002" s="6"/>
      <c r="FB1002" s="6"/>
      <c r="FC1002" s="6"/>
      <c r="FD1002" s="6"/>
      <c r="FE1002" s="6"/>
      <c r="FF1002" s="6"/>
      <c r="FG1002" s="6"/>
      <c r="FH1002" s="6"/>
      <c r="FI1002" s="6"/>
      <c r="FJ1002" s="6"/>
      <c r="FK1002" s="6"/>
      <c r="FL1002" s="6"/>
      <c r="FM1002" s="6"/>
      <c r="FN1002" s="6"/>
      <c r="FO1002" s="6"/>
      <c r="FP1002" s="6"/>
      <c r="FQ1002" s="6"/>
      <c r="FR1002" s="6"/>
      <c r="FS1002" s="6"/>
      <c r="FT1002" s="6"/>
      <c r="FU1002" s="6"/>
      <c r="FV1002" s="6"/>
      <c r="FW1002" s="6"/>
      <c r="FX1002" s="6"/>
      <c r="FY1002" s="6"/>
      <c r="FZ1002" s="6"/>
      <c r="GA1002" s="6"/>
      <c r="GB1002" s="6"/>
      <c r="GC1002" s="6"/>
      <c r="GD1002" s="6"/>
      <c r="GE1002" s="6"/>
      <c r="GF1002" s="6"/>
      <c r="GG1002" s="6"/>
      <c r="GH1002" s="6"/>
      <c r="GI1002" s="6"/>
      <c r="GJ1002" s="6"/>
      <c r="GK1002" s="6"/>
      <c r="GL1002" s="6"/>
      <c r="GM1002" s="6"/>
      <c r="GN1002" s="6"/>
      <c r="GO1002" s="6"/>
      <c r="GP1002" s="6"/>
      <c r="GQ1002" s="6"/>
      <c r="GR1002" s="6"/>
      <c r="GS1002" s="6"/>
      <c r="GT1002" s="6"/>
      <c r="GU1002" s="6"/>
      <c r="GV1002" s="6"/>
      <c r="GW1002" s="6"/>
      <c r="GX1002" s="6"/>
      <c r="GY1002" s="6"/>
      <c r="GZ1002" s="6"/>
      <c r="HA1002" s="6"/>
      <c r="HB1002" s="6"/>
      <c r="HC1002" s="6"/>
      <c r="HD1002" s="6"/>
      <c r="HE1002" s="6"/>
      <c r="HF1002" s="6"/>
      <c r="HG1002" s="6"/>
      <c r="HH1002" s="6"/>
    </row>
    <row r="1003" spans="1:216" x14ac:dyDescent="0.3">
      <c r="A1003" s="8"/>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c r="DX1003" s="6"/>
      <c r="DY1003" s="6"/>
      <c r="DZ1003" s="6"/>
      <c r="EA1003" s="6"/>
      <c r="EB1003" s="6"/>
      <c r="EC1003" s="6"/>
      <c r="ED1003" s="6"/>
      <c r="EE1003" s="6"/>
      <c r="EF1003" s="6"/>
      <c r="EG1003" s="6"/>
      <c r="EH1003" s="6"/>
      <c r="EI1003" s="6"/>
      <c r="EJ1003" s="6"/>
      <c r="EK1003" s="6"/>
      <c r="EL1003" s="6"/>
      <c r="EM1003" s="6"/>
      <c r="EN1003" s="6"/>
      <c r="EO1003" s="6"/>
      <c r="EP1003" s="6"/>
      <c r="EQ1003" s="6"/>
      <c r="ER1003" s="6"/>
      <c r="ES1003" s="6"/>
      <c r="ET1003" s="6"/>
      <c r="EU1003" s="6"/>
      <c r="EV1003" s="6"/>
      <c r="EW1003" s="6"/>
      <c r="EX1003" s="6"/>
      <c r="EY1003" s="6"/>
      <c r="EZ1003" s="6"/>
      <c r="FA1003" s="6"/>
      <c r="FB1003" s="6"/>
      <c r="FC1003" s="6"/>
      <c r="FD1003" s="6"/>
      <c r="FE1003" s="6"/>
      <c r="FF1003" s="6"/>
      <c r="FG1003" s="6"/>
      <c r="FH1003" s="6"/>
      <c r="FI1003" s="6"/>
      <c r="FJ1003" s="6"/>
      <c r="FK1003" s="6"/>
      <c r="FL1003" s="6"/>
      <c r="FM1003" s="6"/>
      <c r="FN1003" s="6"/>
      <c r="FO1003" s="6"/>
      <c r="FP1003" s="6"/>
      <c r="FQ1003" s="6"/>
      <c r="FR1003" s="6"/>
      <c r="FS1003" s="6"/>
      <c r="FT1003" s="6"/>
      <c r="FU1003" s="6"/>
      <c r="FV1003" s="6"/>
      <c r="FW1003" s="6"/>
      <c r="FX1003" s="6"/>
      <c r="FY1003" s="6"/>
      <c r="FZ1003" s="6"/>
      <c r="GA1003" s="6"/>
      <c r="GB1003" s="6"/>
      <c r="GC1003" s="6"/>
      <c r="GD1003" s="6"/>
      <c r="GE1003" s="6"/>
      <c r="GF1003" s="6"/>
      <c r="GG1003" s="6"/>
      <c r="GH1003" s="6"/>
      <c r="GI1003" s="6"/>
      <c r="GJ1003" s="6"/>
      <c r="GK1003" s="6"/>
      <c r="GL1003" s="6"/>
      <c r="GM1003" s="6"/>
      <c r="GN1003" s="6"/>
      <c r="GO1003" s="6"/>
      <c r="GP1003" s="6"/>
      <c r="GQ1003" s="6"/>
      <c r="GR1003" s="6"/>
      <c r="GS1003" s="6"/>
      <c r="GT1003" s="6"/>
      <c r="GU1003" s="6"/>
      <c r="GV1003" s="6"/>
      <c r="GW1003" s="6"/>
      <c r="GX1003" s="6"/>
      <c r="GY1003" s="6"/>
      <c r="GZ1003" s="6"/>
      <c r="HA1003" s="6"/>
      <c r="HB1003" s="6"/>
      <c r="HC1003" s="6"/>
      <c r="HD1003" s="6"/>
      <c r="HE1003" s="6"/>
      <c r="HF1003" s="6"/>
      <c r="HG1003" s="6"/>
      <c r="HH1003" s="6"/>
    </row>
    <row r="1004" spans="1:216" x14ac:dyDescent="0.3">
      <c r="A1004" s="8"/>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6"/>
      <c r="AR1004" s="6"/>
      <c r="AS1004" s="6"/>
      <c r="AT1004" s="6"/>
      <c r="AU1004" s="6"/>
      <c r="AV1004" s="6"/>
      <c r="AW1004" s="6"/>
      <c r="AX1004" s="6"/>
      <c r="AY1004" s="6"/>
      <c r="AZ1004" s="6"/>
      <c r="BA1004" s="6"/>
      <c r="BB1004" s="6"/>
      <c r="BC1004" s="6"/>
      <c r="BD1004" s="6"/>
      <c r="BE1004" s="6"/>
      <c r="BF1004" s="6"/>
      <c r="BG1004" s="6"/>
      <c r="BH1004" s="6"/>
      <c r="BI1004" s="6"/>
      <c r="BJ1004" s="6"/>
      <c r="BK1004" s="6"/>
      <c r="BL1004" s="6"/>
      <c r="BM1004" s="6"/>
      <c r="BN1004" s="6"/>
      <c r="BO1004" s="6"/>
      <c r="BP1004" s="6"/>
      <c r="BQ1004" s="6"/>
      <c r="BR1004" s="6"/>
      <c r="BS1004" s="6"/>
      <c r="BT1004" s="6"/>
      <c r="BU1004" s="6"/>
      <c r="BV1004" s="6"/>
      <c r="BW1004" s="6"/>
      <c r="BX1004" s="6"/>
      <c r="BY1004" s="6"/>
      <c r="BZ1004" s="6"/>
      <c r="CA1004" s="6"/>
      <c r="CB1004" s="6"/>
      <c r="CC1004" s="6"/>
      <c r="CD1004" s="6"/>
      <c r="CE1004" s="6"/>
      <c r="CF1004" s="6"/>
      <c r="CG1004" s="6"/>
      <c r="CH1004" s="6"/>
      <c r="CI1004" s="6"/>
      <c r="CJ1004" s="6"/>
      <c r="CK1004" s="6"/>
      <c r="CL1004" s="6"/>
      <c r="CM1004" s="6"/>
      <c r="CN1004" s="6"/>
      <c r="CO1004" s="6"/>
      <c r="CP1004" s="6"/>
      <c r="CQ1004" s="6"/>
      <c r="CR1004" s="6"/>
      <c r="CS1004" s="6"/>
      <c r="CT1004" s="6"/>
      <c r="CU1004" s="6"/>
      <c r="CV1004" s="6"/>
      <c r="CW1004" s="6"/>
      <c r="CX1004" s="6"/>
      <c r="CY1004" s="6"/>
      <c r="CZ1004" s="6"/>
      <c r="DA1004" s="6"/>
      <c r="DB1004" s="6"/>
      <c r="DC1004" s="6"/>
      <c r="DD1004" s="6"/>
      <c r="DE1004" s="6"/>
      <c r="DF1004" s="6"/>
      <c r="DG1004" s="6"/>
      <c r="DH1004" s="6"/>
      <c r="DI1004" s="6"/>
      <c r="DJ1004" s="6"/>
      <c r="DK1004" s="6"/>
      <c r="DL1004" s="6"/>
      <c r="DM1004" s="6"/>
      <c r="DN1004" s="6"/>
      <c r="DO1004" s="6"/>
      <c r="DP1004" s="6"/>
      <c r="DQ1004" s="6"/>
      <c r="DR1004" s="6"/>
      <c r="DS1004" s="6"/>
      <c r="DT1004" s="6"/>
      <c r="DU1004" s="6"/>
      <c r="DV1004" s="6"/>
      <c r="DW1004" s="6"/>
      <c r="DX1004" s="6"/>
      <c r="DY1004" s="6"/>
      <c r="DZ1004" s="6"/>
      <c r="EA1004" s="6"/>
      <c r="EB1004" s="6"/>
      <c r="EC1004" s="6"/>
      <c r="ED1004" s="6"/>
      <c r="EE1004" s="6"/>
      <c r="EF1004" s="6"/>
      <c r="EG1004" s="6"/>
      <c r="EH1004" s="6"/>
      <c r="EI1004" s="6"/>
      <c r="EJ1004" s="6"/>
      <c r="EK1004" s="6"/>
      <c r="EL1004" s="6"/>
      <c r="EM1004" s="6"/>
      <c r="EN1004" s="6"/>
      <c r="EO1004" s="6"/>
      <c r="EP1004" s="6"/>
      <c r="EQ1004" s="6"/>
      <c r="ER1004" s="6"/>
      <c r="ES1004" s="6"/>
      <c r="ET1004" s="6"/>
      <c r="EU1004" s="6"/>
      <c r="EV1004" s="6"/>
      <c r="EW1004" s="6"/>
      <c r="EX1004" s="6"/>
      <c r="EY1004" s="6"/>
      <c r="EZ1004" s="6"/>
      <c r="FA1004" s="6"/>
      <c r="FB1004" s="6"/>
      <c r="FC1004" s="6"/>
      <c r="FD1004" s="6"/>
      <c r="FE1004" s="6"/>
      <c r="FF1004" s="6"/>
      <c r="FG1004" s="6"/>
      <c r="FH1004" s="6"/>
      <c r="FI1004" s="6"/>
      <c r="FJ1004" s="6"/>
      <c r="FK1004" s="6"/>
      <c r="FL1004" s="6"/>
      <c r="FM1004" s="6"/>
      <c r="FN1004" s="6"/>
      <c r="FO1004" s="6"/>
      <c r="FP1004" s="6"/>
      <c r="FQ1004" s="6"/>
      <c r="FR1004" s="6"/>
      <c r="FS1004" s="6"/>
      <c r="FT1004" s="6"/>
      <c r="FU1004" s="6"/>
      <c r="FV1004" s="6"/>
      <c r="FW1004" s="6"/>
      <c r="FX1004" s="6"/>
      <c r="FY1004" s="6"/>
      <c r="FZ1004" s="6"/>
      <c r="GA1004" s="6"/>
      <c r="GB1004" s="6"/>
      <c r="GC1004" s="6"/>
      <c r="GD1004" s="6"/>
      <c r="GE1004" s="6"/>
      <c r="GF1004" s="6"/>
      <c r="GG1004" s="6"/>
      <c r="GH1004" s="6"/>
      <c r="GI1004" s="6"/>
      <c r="GJ1004" s="6"/>
      <c r="GK1004" s="6"/>
      <c r="GL1004" s="6"/>
      <c r="GM1004" s="6"/>
      <c r="GN1004" s="6"/>
      <c r="GO1004" s="6"/>
      <c r="GP1004" s="6"/>
      <c r="GQ1004" s="6"/>
      <c r="GR1004" s="6"/>
      <c r="GS1004" s="6"/>
      <c r="GT1004" s="6"/>
      <c r="GU1004" s="6"/>
      <c r="GV1004" s="6"/>
      <c r="GW1004" s="6"/>
      <c r="GX1004" s="6"/>
      <c r="GY1004" s="6"/>
      <c r="GZ1004" s="6"/>
      <c r="HA1004" s="6"/>
      <c r="HB1004" s="6"/>
      <c r="HC1004" s="6"/>
      <c r="HD1004" s="6"/>
      <c r="HE1004" s="6"/>
      <c r="HF1004" s="6"/>
      <c r="HG1004" s="6"/>
      <c r="HH1004" s="6"/>
    </row>
    <row r="1005" spans="1:216" x14ac:dyDescent="0.3">
      <c r="A1005" s="8"/>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6"/>
      <c r="AR1005" s="6"/>
      <c r="AS1005" s="6"/>
      <c r="AT1005" s="6"/>
      <c r="AU1005" s="6"/>
      <c r="AV1005" s="6"/>
      <c r="AW1005" s="6"/>
      <c r="AX1005" s="6"/>
      <c r="AY1005" s="6"/>
      <c r="AZ1005" s="6"/>
      <c r="BA1005" s="6"/>
      <c r="BB1005" s="6"/>
      <c r="BC1005" s="6"/>
      <c r="BD1005" s="6"/>
      <c r="BE1005" s="6"/>
      <c r="BF1005" s="6"/>
      <c r="BG1005" s="6"/>
      <c r="BH1005" s="6"/>
      <c r="BI1005" s="6"/>
      <c r="BJ1005" s="6"/>
      <c r="BK1005" s="6"/>
      <c r="BL1005" s="6"/>
      <c r="BM1005" s="6"/>
      <c r="BN1005" s="6"/>
      <c r="BO1005" s="6"/>
      <c r="BP1005" s="6"/>
      <c r="BQ1005" s="6"/>
      <c r="BR1005" s="6"/>
      <c r="BS1005" s="6"/>
      <c r="BT1005" s="6"/>
      <c r="BU1005" s="6"/>
      <c r="BV1005" s="6"/>
      <c r="BW1005" s="6"/>
      <c r="BX1005" s="6"/>
      <c r="BY1005" s="6"/>
      <c r="BZ1005" s="6"/>
      <c r="CA1005" s="6"/>
      <c r="CB1005" s="6"/>
      <c r="CC1005" s="6"/>
      <c r="CD1005" s="6"/>
      <c r="CE1005" s="6"/>
      <c r="CF1005" s="6"/>
      <c r="CG1005" s="6"/>
      <c r="CH1005" s="6"/>
      <c r="CI1005" s="6"/>
      <c r="CJ1005" s="6"/>
      <c r="CK1005" s="6"/>
      <c r="CL1005" s="6"/>
      <c r="CM1005" s="6"/>
      <c r="CN1005" s="6"/>
      <c r="CO1005" s="6"/>
      <c r="CP1005" s="6"/>
      <c r="CQ1005" s="6"/>
      <c r="CR1005" s="6"/>
      <c r="CS1005" s="6"/>
      <c r="CT1005" s="6"/>
      <c r="CU1005" s="6"/>
      <c r="CV1005" s="6"/>
      <c r="CW1005" s="6"/>
      <c r="CX1005" s="6"/>
      <c r="CY1005" s="6"/>
      <c r="CZ1005" s="6"/>
      <c r="DA1005" s="6"/>
      <c r="DB1005" s="6"/>
      <c r="DC1005" s="6"/>
      <c r="DD1005" s="6"/>
      <c r="DE1005" s="6"/>
      <c r="DF1005" s="6"/>
      <c r="DG1005" s="6"/>
      <c r="DH1005" s="6"/>
      <c r="DI1005" s="6"/>
      <c r="DJ1005" s="6"/>
      <c r="DK1005" s="6"/>
      <c r="DL1005" s="6"/>
      <c r="DM1005" s="6"/>
      <c r="DN1005" s="6"/>
      <c r="DO1005" s="6"/>
      <c r="DP1005" s="6"/>
      <c r="DQ1005" s="6"/>
      <c r="DR1005" s="6"/>
      <c r="DS1005" s="6"/>
      <c r="DT1005" s="6"/>
      <c r="DU1005" s="6"/>
      <c r="DV1005" s="6"/>
      <c r="DW1005" s="6"/>
      <c r="DX1005" s="6"/>
      <c r="DY1005" s="6"/>
      <c r="DZ1005" s="6"/>
      <c r="EA1005" s="6"/>
      <c r="EB1005" s="6"/>
      <c r="EC1005" s="6"/>
      <c r="ED1005" s="6"/>
      <c r="EE1005" s="6"/>
      <c r="EF1005" s="6"/>
      <c r="EG1005" s="6"/>
      <c r="EH1005" s="6"/>
      <c r="EI1005" s="6"/>
      <c r="EJ1005" s="6"/>
      <c r="EK1005" s="6"/>
      <c r="EL1005" s="6"/>
      <c r="EM1005" s="6"/>
      <c r="EN1005" s="6"/>
      <c r="EO1005" s="6"/>
      <c r="EP1005" s="6"/>
      <c r="EQ1005" s="6"/>
      <c r="ER1005" s="6"/>
      <c r="ES1005" s="6"/>
      <c r="ET1005" s="6"/>
      <c r="EU1005" s="6"/>
      <c r="EV1005" s="6"/>
      <c r="EW1005" s="6"/>
      <c r="EX1005" s="6"/>
      <c r="EY1005" s="6"/>
      <c r="EZ1005" s="6"/>
      <c r="FA1005" s="6"/>
      <c r="FB1005" s="6"/>
      <c r="FC1005" s="6"/>
      <c r="FD1005" s="6"/>
      <c r="FE1005" s="6"/>
      <c r="FF1005" s="6"/>
      <c r="FG1005" s="6"/>
      <c r="FH1005" s="6"/>
      <c r="FI1005" s="6"/>
      <c r="FJ1005" s="6"/>
      <c r="FK1005" s="6"/>
      <c r="FL1005" s="6"/>
      <c r="FM1005" s="6"/>
      <c r="FN1005" s="6"/>
      <c r="FO1005" s="6"/>
      <c r="FP1005" s="6"/>
      <c r="FQ1005" s="6"/>
      <c r="FR1005" s="6"/>
      <c r="FS1005" s="6"/>
      <c r="FT1005" s="6"/>
      <c r="FU1005" s="6"/>
      <c r="FV1005" s="6"/>
      <c r="FW1005" s="6"/>
      <c r="FX1005" s="6"/>
      <c r="FY1005" s="6"/>
      <c r="FZ1005" s="6"/>
      <c r="GA1005" s="6"/>
      <c r="GB1005" s="6"/>
      <c r="GC1005" s="6"/>
      <c r="GD1005" s="6"/>
      <c r="GE1005" s="6"/>
      <c r="GF1005" s="6"/>
      <c r="GG1005" s="6"/>
      <c r="GH1005" s="6"/>
      <c r="GI1005" s="6"/>
      <c r="GJ1005" s="6"/>
      <c r="GK1005" s="6"/>
      <c r="GL1005" s="6"/>
      <c r="GM1005" s="6"/>
      <c r="GN1005" s="6"/>
      <c r="GO1005" s="6"/>
      <c r="GP1005" s="6"/>
      <c r="GQ1005" s="6"/>
      <c r="GR1005" s="6"/>
      <c r="GS1005" s="6"/>
      <c r="GT1005" s="6"/>
      <c r="GU1005" s="6"/>
      <c r="GV1005" s="6"/>
      <c r="GW1005" s="6"/>
      <c r="GX1005" s="6"/>
      <c r="GY1005" s="6"/>
      <c r="GZ1005" s="6"/>
      <c r="HA1005" s="6"/>
      <c r="HB1005" s="6"/>
      <c r="HC1005" s="6"/>
      <c r="HD1005" s="6"/>
      <c r="HE1005" s="6"/>
      <c r="HF1005" s="6"/>
      <c r="HG1005" s="6"/>
      <c r="HH1005" s="6"/>
    </row>
    <row r="1006" spans="1:216" x14ac:dyDescent="0.3">
      <c r="A1006" s="8"/>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6"/>
      <c r="AR1006" s="6"/>
      <c r="AS1006" s="6"/>
      <c r="AT1006" s="6"/>
      <c r="AU1006" s="6"/>
      <c r="AV1006" s="6"/>
      <c r="AW1006" s="6"/>
      <c r="AX1006" s="6"/>
      <c r="AY1006" s="6"/>
      <c r="AZ1006" s="6"/>
      <c r="BA1006" s="6"/>
      <c r="BB1006" s="6"/>
      <c r="BC1006" s="6"/>
      <c r="BD1006" s="6"/>
      <c r="BE1006" s="6"/>
      <c r="BF1006" s="6"/>
      <c r="BG1006" s="6"/>
      <c r="BH1006" s="6"/>
      <c r="BI1006" s="6"/>
      <c r="BJ1006" s="6"/>
      <c r="BK1006" s="6"/>
      <c r="BL1006" s="6"/>
      <c r="BM1006" s="6"/>
      <c r="BN1006" s="6"/>
      <c r="BO1006" s="6"/>
      <c r="BP1006" s="6"/>
      <c r="BQ1006" s="6"/>
      <c r="BR1006" s="6"/>
      <c r="BS1006" s="6"/>
      <c r="BT1006" s="6"/>
      <c r="BU1006" s="6"/>
      <c r="BV1006" s="6"/>
      <c r="BW1006" s="6"/>
      <c r="BX1006" s="6"/>
      <c r="BY1006" s="6"/>
      <c r="BZ1006" s="6"/>
      <c r="CA1006" s="6"/>
      <c r="CB1006" s="6"/>
      <c r="CC1006" s="6"/>
      <c r="CD1006" s="6"/>
      <c r="CE1006" s="6"/>
      <c r="CF1006" s="6"/>
      <c r="CG1006" s="6"/>
      <c r="CH1006" s="6"/>
      <c r="CI1006" s="6"/>
      <c r="CJ1006" s="6"/>
      <c r="CK1006" s="6"/>
      <c r="CL1006" s="6"/>
      <c r="CM1006" s="6"/>
      <c r="CN1006" s="6"/>
      <c r="CO1006" s="6"/>
      <c r="CP1006" s="6"/>
      <c r="CQ1006" s="6"/>
      <c r="CR1006" s="6"/>
      <c r="CS1006" s="6"/>
      <c r="CT1006" s="6"/>
      <c r="CU1006" s="6"/>
      <c r="CV1006" s="6"/>
      <c r="CW1006" s="6"/>
      <c r="CX1006" s="6"/>
      <c r="CY1006" s="6"/>
      <c r="CZ1006" s="6"/>
      <c r="DA1006" s="6"/>
      <c r="DB1006" s="6"/>
      <c r="DC1006" s="6"/>
      <c r="DD1006" s="6"/>
      <c r="DE1006" s="6"/>
      <c r="DF1006" s="6"/>
      <c r="DG1006" s="6"/>
      <c r="DH1006" s="6"/>
      <c r="DI1006" s="6"/>
      <c r="DJ1006" s="6"/>
      <c r="DK1006" s="6"/>
      <c r="DL1006" s="6"/>
      <c r="DM1006" s="6"/>
      <c r="DN1006" s="6"/>
      <c r="DO1006" s="6"/>
      <c r="DP1006" s="6"/>
      <c r="DQ1006" s="6"/>
      <c r="DR1006" s="6"/>
      <c r="DS1006" s="6"/>
      <c r="DT1006" s="6"/>
      <c r="DU1006" s="6"/>
      <c r="DV1006" s="6"/>
      <c r="DW1006" s="6"/>
      <c r="DX1006" s="6"/>
      <c r="DY1006" s="6"/>
      <c r="DZ1006" s="6"/>
      <c r="EA1006" s="6"/>
      <c r="EB1006" s="6"/>
      <c r="EC1006" s="6"/>
      <c r="ED1006" s="6"/>
      <c r="EE1006" s="6"/>
      <c r="EF1006" s="6"/>
      <c r="EG1006" s="6"/>
      <c r="EH1006" s="6"/>
      <c r="EI1006" s="6"/>
      <c r="EJ1006" s="6"/>
      <c r="EK1006" s="6"/>
      <c r="EL1006" s="6"/>
      <c r="EM1006" s="6"/>
      <c r="EN1006" s="6"/>
      <c r="EO1006" s="6"/>
      <c r="EP1006" s="6"/>
      <c r="EQ1006" s="6"/>
      <c r="ER1006" s="6"/>
      <c r="ES1006" s="6"/>
      <c r="ET1006" s="6"/>
      <c r="EU1006" s="6"/>
      <c r="EV1006" s="6"/>
      <c r="EW1006" s="6"/>
      <c r="EX1006" s="6"/>
      <c r="EY1006" s="6"/>
      <c r="EZ1006" s="6"/>
      <c r="FA1006" s="6"/>
      <c r="FB1006" s="6"/>
      <c r="FC1006" s="6"/>
      <c r="FD1006" s="6"/>
      <c r="FE1006" s="6"/>
      <c r="FF1006" s="6"/>
      <c r="FG1006" s="6"/>
      <c r="FH1006" s="6"/>
      <c r="FI1006" s="6"/>
      <c r="FJ1006" s="6"/>
      <c r="FK1006" s="6"/>
      <c r="FL1006" s="6"/>
      <c r="FM1006" s="6"/>
      <c r="FN1006" s="6"/>
      <c r="FO1006" s="6"/>
      <c r="FP1006" s="6"/>
      <c r="FQ1006" s="6"/>
      <c r="FR1006" s="6"/>
      <c r="FS1006" s="6"/>
      <c r="FT1006" s="6"/>
      <c r="FU1006" s="6"/>
      <c r="FV1006" s="6"/>
      <c r="FW1006" s="6"/>
      <c r="FX1006" s="6"/>
      <c r="FY1006" s="6"/>
      <c r="FZ1006" s="6"/>
      <c r="GA1006" s="6"/>
      <c r="GB1006" s="6"/>
      <c r="GC1006" s="6"/>
      <c r="GD1006" s="6"/>
      <c r="GE1006" s="6"/>
      <c r="GF1006" s="6"/>
      <c r="GG1006" s="6"/>
      <c r="GH1006" s="6"/>
      <c r="GI1006" s="6"/>
      <c r="GJ1006" s="6"/>
      <c r="GK1006" s="6"/>
      <c r="GL1006" s="6"/>
      <c r="GM1006" s="6"/>
      <c r="GN1006" s="6"/>
      <c r="GO1006" s="6"/>
      <c r="GP1006" s="6"/>
      <c r="GQ1006" s="6"/>
      <c r="GR1006" s="6"/>
      <c r="GS1006" s="6"/>
      <c r="GT1006" s="6"/>
      <c r="GU1006" s="6"/>
      <c r="GV1006" s="6"/>
      <c r="GW1006" s="6"/>
      <c r="GX1006" s="6"/>
      <c r="GY1006" s="6"/>
      <c r="GZ1006" s="6"/>
      <c r="HA1006" s="6"/>
      <c r="HB1006" s="6"/>
      <c r="HC1006" s="6"/>
      <c r="HD1006" s="6"/>
      <c r="HE1006" s="6"/>
      <c r="HF1006" s="6"/>
      <c r="HG1006" s="6"/>
      <c r="HH1006" s="6"/>
    </row>
    <row r="1007" spans="1:216" x14ac:dyDescent="0.3">
      <c r="A1007" s="8"/>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c r="DX1007" s="6"/>
      <c r="DY1007" s="6"/>
      <c r="DZ1007" s="6"/>
      <c r="EA1007" s="6"/>
      <c r="EB1007" s="6"/>
      <c r="EC1007" s="6"/>
      <c r="ED1007" s="6"/>
      <c r="EE1007" s="6"/>
      <c r="EF1007" s="6"/>
      <c r="EG1007" s="6"/>
      <c r="EH1007" s="6"/>
      <c r="EI1007" s="6"/>
      <c r="EJ1007" s="6"/>
      <c r="EK1007" s="6"/>
      <c r="EL1007" s="6"/>
      <c r="EM1007" s="6"/>
      <c r="EN1007" s="6"/>
      <c r="EO1007" s="6"/>
      <c r="EP1007" s="6"/>
      <c r="EQ1007" s="6"/>
      <c r="ER1007" s="6"/>
      <c r="ES1007" s="6"/>
      <c r="ET1007" s="6"/>
      <c r="EU1007" s="6"/>
      <c r="EV1007" s="6"/>
      <c r="EW1007" s="6"/>
      <c r="EX1007" s="6"/>
      <c r="EY1007" s="6"/>
      <c r="EZ1007" s="6"/>
      <c r="FA1007" s="6"/>
      <c r="FB1007" s="6"/>
      <c r="FC1007" s="6"/>
      <c r="FD1007" s="6"/>
      <c r="FE1007" s="6"/>
      <c r="FF1007" s="6"/>
      <c r="FG1007" s="6"/>
      <c r="FH1007" s="6"/>
      <c r="FI1007" s="6"/>
      <c r="FJ1007" s="6"/>
      <c r="FK1007" s="6"/>
      <c r="FL1007" s="6"/>
      <c r="FM1007" s="6"/>
      <c r="FN1007" s="6"/>
      <c r="FO1007" s="6"/>
      <c r="FP1007" s="6"/>
      <c r="FQ1007" s="6"/>
      <c r="FR1007" s="6"/>
      <c r="FS1007" s="6"/>
      <c r="FT1007" s="6"/>
      <c r="FU1007" s="6"/>
      <c r="FV1007" s="6"/>
      <c r="FW1007" s="6"/>
      <c r="FX1007" s="6"/>
      <c r="FY1007" s="6"/>
      <c r="FZ1007" s="6"/>
      <c r="GA1007" s="6"/>
      <c r="GB1007" s="6"/>
      <c r="GC1007" s="6"/>
      <c r="GD1007" s="6"/>
      <c r="GE1007" s="6"/>
      <c r="GF1007" s="6"/>
      <c r="GG1007" s="6"/>
      <c r="GH1007" s="6"/>
      <c r="GI1007" s="6"/>
      <c r="GJ1007" s="6"/>
      <c r="GK1007" s="6"/>
      <c r="GL1007" s="6"/>
      <c r="GM1007" s="6"/>
      <c r="GN1007" s="6"/>
      <c r="GO1007" s="6"/>
      <c r="GP1007" s="6"/>
      <c r="GQ1007" s="6"/>
      <c r="GR1007" s="6"/>
      <c r="GS1007" s="6"/>
      <c r="GT1007" s="6"/>
      <c r="GU1007" s="6"/>
      <c r="GV1007" s="6"/>
      <c r="GW1007" s="6"/>
      <c r="GX1007" s="6"/>
      <c r="GY1007" s="6"/>
      <c r="GZ1007" s="6"/>
      <c r="HA1007" s="6"/>
      <c r="HB1007" s="6"/>
      <c r="HC1007" s="6"/>
      <c r="HD1007" s="6"/>
      <c r="HE1007" s="6"/>
      <c r="HF1007" s="6"/>
      <c r="HG1007" s="6"/>
      <c r="HH1007" s="6"/>
    </row>
    <row r="1008" spans="1:216" x14ac:dyDescent="0.3">
      <c r="A1008" s="8"/>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c r="DX1008" s="6"/>
      <c r="DY1008" s="6"/>
      <c r="DZ1008" s="6"/>
      <c r="EA1008" s="6"/>
      <c r="EB1008" s="6"/>
      <c r="EC1008" s="6"/>
      <c r="ED1008" s="6"/>
      <c r="EE1008" s="6"/>
      <c r="EF1008" s="6"/>
      <c r="EG1008" s="6"/>
      <c r="EH1008" s="6"/>
      <c r="EI1008" s="6"/>
      <c r="EJ1008" s="6"/>
      <c r="EK1008" s="6"/>
      <c r="EL1008" s="6"/>
      <c r="EM1008" s="6"/>
      <c r="EN1008" s="6"/>
      <c r="EO1008" s="6"/>
      <c r="EP1008" s="6"/>
      <c r="EQ1008" s="6"/>
      <c r="ER1008" s="6"/>
      <c r="ES1008" s="6"/>
      <c r="ET1008" s="6"/>
      <c r="EU1008" s="6"/>
      <c r="EV1008" s="6"/>
      <c r="EW1008" s="6"/>
      <c r="EX1008" s="6"/>
      <c r="EY1008" s="6"/>
      <c r="EZ1008" s="6"/>
      <c r="FA1008" s="6"/>
      <c r="FB1008" s="6"/>
      <c r="FC1008" s="6"/>
      <c r="FD1008" s="6"/>
      <c r="FE1008" s="6"/>
      <c r="FF1008" s="6"/>
      <c r="FG1008" s="6"/>
      <c r="FH1008" s="6"/>
      <c r="FI1008" s="6"/>
      <c r="FJ1008" s="6"/>
      <c r="FK1008" s="6"/>
      <c r="FL1008" s="6"/>
      <c r="FM1008" s="6"/>
      <c r="FN1008" s="6"/>
      <c r="FO1008" s="6"/>
      <c r="FP1008" s="6"/>
      <c r="FQ1008" s="6"/>
      <c r="FR1008" s="6"/>
      <c r="FS1008" s="6"/>
      <c r="FT1008" s="6"/>
      <c r="FU1008" s="6"/>
      <c r="FV1008" s="6"/>
      <c r="FW1008" s="6"/>
      <c r="FX1008" s="6"/>
      <c r="FY1008" s="6"/>
      <c r="FZ1008" s="6"/>
      <c r="GA1008" s="6"/>
      <c r="GB1008" s="6"/>
      <c r="GC1008" s="6"/>
      <c r="GD1008" s="6"/>
      <c r="GE1008" s="6"/>
      <c r="GF1008" s="6"/>
      <c r="GG1008" s="6"/>
      <c r="GH1008" s="6"/>
      <c r="GI1008" s="6"/>
      <c r="GJ1008" s="6"/>
      <c r="GK1008" s="6"/>
      <c r="GL1008" s="6"/>
      <c r="GM1008" s="6"/>
      <c r="GN1008" s="6"/>
      <c r="GO1008" s="6"/>
      <c r="GP1008" s="6"/>
      <c r="GQ1008" s="6"/>
      <c r="GR1008" s="6"/>
      <c r="GS1008" s="6"/>
      <c r="GT1008" s="6"/>
      <c r="GU1008" s="6"/>
      <c r="GV1008" s="6"/>
      <c r="GW1008" s="6"/>
      <c r="GX1008" s="6"/>
      <c r="GY1008" s="6"/>
      <c r="GZ1008" s="6"/>
      <c r="HA1008" s="6"/>
      <c r="HB1008" s="6"/>
      <c r="HC1008" s="6"/>
      <c r="HD1008" s="6"/>
      <c r="HE1008" s="6"/>
      <c r="HF1008" s="6"/>
      <c r="HG1008" s="6"/>
      <c r="HH1008" s="6"/>
    </row>
    <row r="1009" spans="1:216" x14ac:dyDescent="0.3">
      <c r="A1009" s="8"/>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6"/>
      <c r="AR1009" s="6"/>
      <c r="AS1009" s="6"/>
      <c r="AT1009" s="6"/>
      <c r="AU1009" s="6"/>
      <c r="AV1009" s="6"/>
      <c r="AW1009" s="6"/>
      <c r="AX1009" s="6"/>
      <c r="AY1009" s="6"/>
      <c r="AZ1009" s="6"/>
      <c r="BA1009" s="6"/>
      <c r="BB1009" s="6"/>
      <c r="BC1009" s="6"/>
      <c r="BD1009" s="6"/>
      <c r="BE1009" s="6"/>
      <c r="BF1009" s="6"/>
      <c r="BG1009" s="6"/>
      <c r="BH1009" s="6"/>
      <c r="BI1009" s="6"/>
      <c r="BJ1009" s="6"/>
      <c r="BK1009" s="6"/>
      <c r="BL1009" s="6"/>
      <c r="BM1009" s="6"/>
      <c r="BN1009" s="6"/>
      <c r="BO1009" s="6"/>
      <c r="BP1009" s="6"/>
      <c r="BQ1009" s="6"/>
      <c r="BR1009" s="6"/>
      <c r="BS1009" s="6"/>
      <c r="BT1009" s="6"/>
      <c r="BU1009" s="6"/>
      <c r="BV1009" s="6"/>
      <c r="BW1009" s="6"/>
      <c r="BX1009" s="6"/>
      <c r="BY1009" s="6"/>
      <c r="BZ1009" s="6"/>
      <c r="CA1009" s="6"/>
      <c r="CB1009" s="6"/>
      <c r="CC1009" s="6"/>
      <c r="CD1009" s="6"/>
      <c r="CE1009" s="6"/>
      <c r="CF1009" s="6"/>
      <c r="CG1009" s="6"/>
      <c r="CH1009" s="6"/>
      <c r="CI1009" s="6"/>
      <c r="CJ1009" s="6"/>
      <c r="CK1009" s="6"/>
      <c r="CL1009" s="6"/>
      <c r="CM1009" s="6"/>
      <c r="CN1009" s="6"/>
      <c r="CO1009" s="6"/>
      <c r="CP1009" s="6"/>
      <c r="CQ1009" s="6"/>
      <c r="CR1009" s="6"/>
      <c r="CS1009" s="6"/>
      <c r="CT1009" s="6"/>
      <c r="CU1009" s="6"/>
      <c r="CV1009" s="6"/>
      <c r="CW1009" s="6"/>
      <c r="CX1009" s="6"/>
      <c r="CY1009" s="6"/>
      <c r="CZ1009" s="6"/>
      <c r="DA1009" s="6"/>
      <c r="DB1009" s="6"/>
      <c r="DC1009" s="6"/>
      <c r="DD1009" s="6"/>
      <c r="DE1009" s="6"/>
      <c r="DF1009" s="6"/>
      <c r="DG1009" s="6"/>
      <c r="DH1009" s="6"/>
      <c r="DI1009" s="6"/>
      <c r="DJ1009" s="6"/>
      <c r="DK1009" s="6"/>
      <c r="DL1009" s="6"/>
      <c r="DM1009" s="6"/>
      <c r="DN1009" s="6"/>
      <c r="DO1009" s="6"/>
      <c r="DP1009" s="6"/>
      <c r="DQ1009" s="6"/>
      <c r="DR1009" s="6"/>
      <c r="DS1009" s="6"/>
      <c r="DT1009" s="6"/>
      <c r="DU1009" s="6"/>
      <c r="DV1009" s="6"/>
      <c r="DW1009" s="6"/>
      <c r="DX1009" s="6"/>
      <c r="DY1009" s="6"/>
      <c r="DZ1009" s="6"/>
      <c r="EA1009" s="6"/>
      <c r="EB1009" s="6"/>
      <c r="EC1009" s="6"/>
      <c r="ED1009" s="6"/>
      <c r="EE1009" s="6"/>
      <c r="EF1009" s="6"/>
      <c r="EG1009" s="6"/>
      <c r="EH1009" s="6"/>
      <c r="EI1009" s="6"/>
      <c r="EJ1009" s="6"/>
      <c r="EK1009" s="6"/>
      <c r="EL1009" s="6"/>
      <c r="EM1009" s="6"/>
      <c r="EN1009" s="6"/>
      <c r="EO1009" s="6"/>
      <c r="EP1009" s="6"/>
      <c r="EQ1009" s="6"/>
      <c r="ER1009" s="6"/>
      <c r="ES1009" s="6"/>
      <c r="ET1009" s="6"/>
      <c r="EU1009" s="6"/>
      <c r="EV1009" s="6"/>
      <c r="EW1009" s="6"/>
      <c r="EX1009" s="6"/>
      <c r="EY1009" s="6"/>
      <c r="EZ1009" s="6"/>
      <c r="FA1009" s="6"/>
      <c r="FB1009" s="6"/>
      <c r="FC1009" s="6"/>
      <c r="FD1009" s="6"/>
      <c r="FE1009" s="6"/>
      <c r="FF1009" s="6"/>
      <c r="FG1009" s="6"/>
      <c r="FH1009" s="6"/>
      <c r="FI1009" s="6"/>
      <c r="FJ1009" s="6"/>
      <c r="FK1009" s="6"/>
      <c r="FL1009" s="6"/>
      <c r="FM1009" s="6"/>
      <c r="FN1009" s="6"/>
      <c r="FO1009" s="6"/>
      <c r="FP1009" s="6"/>
      <c r="FQ1009" s="6"/>
      <c r="FR1009" s="6"/>
      <c r="FS1009" s="6"/>
      <c r="FT1009" s="6"/>
      <c r="FU1009" s="6"/>
      <c r="FV1009" s="6"/>
      <c r="FW1009" s="6"/>
      <c r="FX1009" s="6"/>
      <c r="FY1009" s="6"/>
      <c r="FZ1009" s="6"/>
      <c r="GA1009" s="6"/>
      <c r="GB1009" s="6"/>
      <c r="GC1009" s="6"/>
      <c r="GD1009" s="6"/>
      <c r="GE1009" s="6"/>
      <c r="GF1009" s="6"/>
      <c r="GG1009" s="6"/>
      <c r="GH1009" s="6"/>
      <c r="GI1009" s="6"/>
      <c r="GJ1009" s="6"/>
      <c r="GK1009" s="6"/>
      <c r="GL1009" s="6"/>
      <c r="GM1009" s="6"/>
      <c r="GN1009" s="6"/>
      <c r="GO1009" s="6"/>
      <c r="GP1009" s="6"/>
      <c r="GQ1009" s="6"/>
      <c r="GR1009" s="6"/>
      <c r="GS1009" s="6"/>
      <c r="GT1009" s="6"/>
      <c r="GU1009" s="6"/>
      <c r="GV1009" s="6"/>
      <c r="GW1009" s="6"/>
      <c r="GX1009" s="6"/>
      <c r="GY1009" s="6"/>
      <c r="GZ1009" s="6"/>
      <c r="HA1009" s="6"/>
      <c r="HB1009" s="6"/>
      <c r="HC1009" s="6"/>
      <c r="HD1009" s="6"/>
      <c r="HE1009" s="6"/>
      <c r="HF1009" s="6"/>
      <c r="HG1009" s="6"/>
      <c r="HH1009" s="6"/>
    </row>
    <row r="1010" spans="1:216" x14ac:dyDescent="0.3">
      <c r="A1010" s="8"/>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6"/>
      <c r="AR1010" s="6"/>
      <c r="AS1010" s="6"/>
      <c r="AT1010" s="6"/>
      <c r="AU1010" s="6"/>
      <c r="AV1010" s="6"/>
      <c r="AW1010" s="6"/>
      <c r="AX1010" s="6"/>
      <c r="AY1010" s="6"/>
      <c r="AZ1010" s="6"/>
      <c r="BA1010" s="6"/>
      <c r="BB1010" s="6"/>
      <c r="BC1010" s="6"/>
      <c r="BD1010" s="6"/>
      <c r="BE1010" s="6"/>
      <c r="BF1010" s="6"/>
      <c r="BG1010" s="6"/>
      <c r="BH1010" s="6"/>
      <c r="BI1010" s="6"/>
      <c r="BJ1010" s="6"/>
      <c r="BK1010" s="6"/>
      <c r="BL1010" s="6"/>
      <c r="BM1010" s="6"/>
      <c r="BN1010" s="6"/>
      <c r="BO1010" s="6"/>
      <c r="BP1010" s="6"/>
      <c r="BQ1010" s="6"/>
      <c r="BR1010" s="6"/>
      <c r="BS1010" s="6"/>
      <c r="BT1010" s="6"/>
      <c r="BU1010" s="6"/>
      <c r="BV1010" s="6"/>
      <c r="BW1010" s="6"/>
      <c r="BX1010" s="6"/>
      <c r="BY1010" s="6"/>
      <c r="BZ1010" s="6"/>
      <c r="CA1010" s="6"/>
      <c r="CB1010" s="6"/>
      <c r="CC1010" s="6"/>
      <c r="CD1010" s="6"/>
      <c r="CE1010" s="6"/>
      <c r="CF1010" s="6"/>
      <c r="CG1010" s="6"/>
      <c r="CH1010" s="6"/>
      <c r="CI1010" s="6"/>
      <c r="CJ1010" s="6"/>
      <c r="CK1010" s="6"/>
      <c r="CL1010" s="6"/>
      <c r="CM1010" s="6"/>
      <c r="CN1010" s="6"/>
      <c r="CO1010" s="6"/>
      <c r="CP1010" s="6"/>
      <c r="CQ1010" s="6"/>
      <c r="CR1010" s="6"/>
      <c r="CS1010" s="6"/>
      <c r="CT1010" s="6"/>
      <c r="CU1010" s="6"/>
      <c r="CV1010" s="6"/>
      <c r="CW1010" s="6"/>
      <c r="CX1010" s="6"/>
      <c r="CY1010" s="6"/>
      <c r="CZ1010" s="6"/>
      <c r="DA1010" s="6"/>
      <c r="DB1010" s="6"/>
      <c r="DC1010" s="6"/>
      <c r="DD1010" s="6"/>
      <c r="DE1010" s="6"/>
      <c r="DF1010" s="6"/>
      <c r="DG1010" s="6"/>
      <c r="DH1010" s="6"/>
      <c r="DI1010" s="6"/>
      <c r="DJ1010" s="6"/>
      <c r="DK1010" s="6"/>
      <c r="DL1010" s="6"/>
      <c r="DM1010" s="6"/>
      <c r="DN1010" s="6"/>
      <c r="DO1010" s="6"/>
      <c r="DP1010" s="6"/>
      <c r="DQ1010" s="6"/>
      <c r="DR1010" s="6"/>
      <c r="DS1010" s="6"/>
      <c r="DT1010" s="6"/>
      <c r="DU1010" s="6"/>
      <c r="DV1010" s="6"/>
      <c r="DW1010" s="6"/>
      <c r="DX1010" s="6"/>
      <c r="DY1010" s="6"/>
      <c r="DZ1010" s="6"/>
      <c r="EA1010" s="6"/>
      <c r="EB1010" s="6"/>
      <c r="EC1010" s="6"/>
      <c r="ED1010" s="6"/>
      <c r="EE1010" s="6"/>
      <c r="EF1010" s="6"/>
      <c r="EG1010" s="6"/>
      <c r="EH1010" s="6"/>
      <c r="EI1010" s="6"/>
      <c r="EJ1010" s="6"/>
      <c r="EK1010" s="6"/>
      <c r="EL1010" s="6"/>
      <c r="EM1010" s="6"/>
      <c r="EN1010" s="6"/>
      <c r="EO1010" s="6"/>
      <c r="EP1010" s="6"/>
      <c r="EQ1010" s="6"/>
      <c r="ER1010" s="6"/>
      <c r="ES1010" s="6"/>
      <c r="ET1010" s="6"/>
      <c r="EU1010" s="6"/>
      <c r="EV1010" s="6"/>
      <c r="EW1010" s="6"/>
      <c r="EX1010" s="6"/>
      <c r="EY1010" s="6"/>
      <c r="EZ1010" s="6"/>
      <c r="FA1010" s="6"/>
      <c r="FB1010" s="6"/>
      <c r="FC1010" s="6"/>
      <c r="FD1010" s="6"/>
      <c r="FE1010" s="6"/>
      <c r="FF1010" s="6"/>
      <c r="FG1010" s="6"/>
      <c r="FH1010" s="6"/>
      <c r="FI1010" s="6"/>
      <c r="FJ1010" s="6"/>
      <c r="FK1010" s="6"/>
      <c r="FL1010" s="6"/>
      <c r="FM1010" s="6"/>
      <c r="FN1010" s="6"/>
      <c r="FO1010" s="6"/>
      <c r="FP1010" s="6"/>
      <c r="FQ1010" s="6"/>
      <c r="FR1010" s="6"/>
      <c r="FS1010" s="6"/>
      <c r="FT1010" s="6"/>
      <c r="FU1010" s="6"/>
      <c r="FV1010" s="6"/>
      <c r="FW1010" s="6"/>
      <c r="FX1010" s="6"/>
      <c r="FY1010" s="6"/>
      <c r="FZ1010" s="6"/>
      <c r="GA1010" s="6"/>
      <c r="GB1010" s="6"/>
      <c r="GC1010" s="6"/>
      <c r="GD1010" s="6"/>
      <c r="GE1010" s="6"/>
      <c r="GF1010" s="6"/>
      <c r="GG1010" s="6"/>
      <c r="GH1010" s="6"/>
      <c r="GI1010" s="6"/>
      <c r="GJ1010" s="6"/>
      <c r="GK1010" s="6"/>
      <c r="GL1010" s="6"/>
      <c r="GM1010" s="6"/>
      <c r="GN1010" s="6"/>
      <c r="GO1010" s="6"/>
      <c r="GP1010" s="6"/>
      <c r="GQ1010" s="6"/>
      <c r="GR1010" s="6"/>
      <c r="GS1010" s="6"/>
      <c r="GT1010" s="6"/>
      <c r="GU1010" s="6"/>
      <c r="GV1010" s="6"/>
      <c r="GW1010" s="6"/>
      <c r="GX1010" s="6"/>
      <c r="GY1010" s="6"/>
      <c r="GZ1010" s="6"/>
      <c r="HA1010" s="6"/>
      <c r="HB1010" s="6"/>
      <c r="HC1010" s="6"/>
      <c r="HD1010" s="6"/>
      <c r="HE1010" s="6"/>
      <c r="HF1010" s="6"/>
      <c r="HG1010" s="6"/>
      <c r="HH1010" s="6"/>
    </row>
    <row r="1011" spans="1:216" x14ac:dyDescent="0.3">
      <c r="A1011" s="8"/>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6"/>
      <c r="AR1011" s="6"/>
      <c r="AS1011" s="6"/>
      <c r="AT1011" s="6"/>
      <c r="AU1011" s="6"/>
      <c r="AV1011" s="6"/>
      <c r="AW1011" s="6"/>
      <c r="AX1011" s="6"/>
      <c r="AY1011" s="6"/>
      <c r="AZ1011" s="6"/>
      <c r="BA1011" s="6"/>
      <c r="BB1011" s="6"/>
      <c r="BC1011" s="6"/>
      <c r="BD1011" s="6"/>
      <c r="BE1011" s="6"/>
      <c r="BF1011" s="6"/>
      <c r="BG1011" s="6"/>
      <c r="BH1011" s="6"/>
      <c r="BI1011" s="6"/>
      <c r="BJ1011" s="6"/>
      <c r="BK1011" s="6"/>
      <c r="BL1011" s="6"/>
      <c r="BM1011" s="6"/>
      <c r="BN1011" s="6"/>
      <c r="BO1011" s="6"/>
      <c r="BP1011" s="6"/>
      <c r="BQ1011" s="6"/>
      <c r="BR1011" s="6"/>
      <c r="BS1011" s="6"/>
      <c r="BT1011" s="6"/>
      <c r="BU1011" s="6"/>
      <c r="BV1011" s="6"/>
      <c r="BW1011" s="6"/>
      <c r="BX1011" s="6"/>
      <c r="BY1011" s="6"/>
      <c r="BZ1011" s="6"/>
      <c r="CA1011" s="6"/>
      <c r="CB1011" s="6"/>
      <c r="CC1011" s="6"/>
      <c r="CD1011" s="6"/>
      <c r="CE1011" s="6"/>
      <c r="CF1011" s="6"/>
      <c r="CG1011" s="6"/>
      <c r="CH1011" s="6"/>
      <c r="CI1011" s="6"/>
      <c r="CJ1011" s="6"/>
      <c r="CK1011" s="6"/>
      <c r="CL1011" s="6"/>
      <c r="CM1011" s="6"/>
      <c r="CN1011" s="6"/>
      <c r="CO1011" s="6"/>
      <c r="CP1011" s="6"/>
      <c r="CQ1011" s="6"/>
      <c r="CR1011" s="6"/>
      <c r="CS1011" s="6"/>
      <c r="CT1011" s="6"/>
      <c r="CU1011" s="6"/>
      <c r="CV1011" s="6"/>
      <c r="CW1011" s="6"/>
      <c r="CX1011" s="6"/>
      <c r="CY1011" s="6"/>
      <c r="CZ1011" s="6"/>
      <c r="DA1011" s="6"/>
      <c r="DB1011" s="6"/>
      <c r="DC1011" s="6"/>
      <c r="DD1011" s="6"/>
      <c r="DE1011" s="6"/>
      <c r="DF1011" s="6"/>
      <c r="DG1011" s="6"/>
      <c r="DH1011" s="6"/>
      <c r="DI1011" s="6"/>
      <c r="DJ1011" s="6"/>
      <c r="DK1011" s="6"/>
      <c r="DL1011" s="6"/>
      <c r="DM1011" s="6"/>
      <c r="DN1011" s="6"/>
      <c r="DO1011" s="6"/>
      <c r="DP1011" s="6"/>
      <c r="DQ1011" s="6"/>
      <c r="DR1011" s="6"/>
      <c r="DS1011" s="6"/>
      <c r="DT1011" s="6"/>
      <c r="DU1011" s="6"/>
      <c r="DV1011" s="6"/>
      <c r="DW1011" s="6"/>
      <c r="DX1011" s="6"/>
      <c r="DY1011" s="6"/>
      <c r="DZ1011" s="6"/>
      <c r="EA1011" s="6"/>
      <c r="EB1011" s="6"/>
      <c r="EC1011" s="6"/>
      <c r="ED1011" s="6"/>
      <c r="EE1011" s="6"/>
      <c r="EF1011" s="6"/>
      <c r="EG1011" s="6"/>
      <c r="EH1011" s="6"/>
      <c r="EI1011" s="6"/>
      <c r="EJ1011" s="6"/>
      <c r="EK1011" s="6"/>
      <c r="EL1011" s="6"/>
      <c r="EM1011" s="6"/>
      <c r="EN1011" s="6"/>
      <c r="EO1011" s="6"/>
      <c r="EP1011" s="6"/>
      <c r="EQ1011" s="6"/>
      <c r="ER1011" s="6"/>
      <c r="ES1011" s="6"/>
      <c r="ET1011" s="6"/>
      <c r="EU1011" s="6"/>
      <c r="EV1011" s="6"/>
      <c r="EW1011" s="6"/>
      <c r="EX1011" s="6"/>
      <c r="EY1011" s="6"/>
      <c r="EZ1011" s="6"/>
      <c r="FA1011" s="6"/>
      <c r="FB1011" s="6"/>
      <c r="FC1011" s="6"/>
      <c r="FD1011" s="6"/>
      <c r="FE1011" s="6"/>
      <c r="FF1011" s="6"/>
      <c r="FG1011" s="6"/>
      <c r="FH1011" s="6"/>
      <c r="FI1011" s="6"/>
      <c r="FJ1011" s="6"/>
      <c r="FK1011" s="6"/>
      <c r="FL1011" s="6"/>
      <c r="FM1011" s="6"/>
      <c r="FN1011" s="6"/>
      <c r="FO1011" s="6"/>
      <c r="FP1011" s="6"/>
      <c r="FQ1011" s="6"/>
      <c r="FR1011" s="6"/>
      <c r="FS1011" s="6"/>
      <c r="FT1011" s="6"/>
      <c r="FU1011" s="6"/>
      <c r="FV1011" s="6"/>
      <c r="FW1011" s="6"/>
      <c r="FX1011" s="6"/>
      <c r="FY1011" s="6"/>
      <c r="FZ1011" s="6"/>
      <c r="GA1011" s="6"/>
      <c r="GB1011" s="6"/>
      <c r="GC1011" s="6"/>
      <c r="GD1011" s="6"/>
      <c r="GE1011" s="6"/>
      <c r="GF1011" s="6"/>
      <c r="GG1011" s="6"/>
      <c r="GH1011" s="6"/>
      <c r="GI1011" s="6"/>
      <c r="GJ1011" s="6"/>
      <c r="GK1011" s="6"/>
      <c r="GL1011" s="6"/>
      <c r="GM1011" s="6"/>
      <c r="GN1011" s="6"/>
      <c r="GO1011" s="6"/>
      <c r="GP1011" s="6"/>
      <c r="GQ1011" s="6"/>
      <c r="GR1011" s="6"/>
      <c r="GS1011" s="6"/>
      <c r="GT1011" s="6"/>
      <c r="GU1011" s="6"/>
      <c r="GV1011" s="6"/>
      <c r="GW1011" s="6"/>
      <c r="GX1011" s="6"/>
      <c r="GY1011" s="6"/>
      <c r="GZ1011" s="6"/>
      <c r="HA1011" s="6"/>
      <c r="HB1011" s="6"/>
      <c r="HC1011" s="6"/>
      <c r="HD1011" s="6"/>
      <c r="HE1011" s="6"/>
      <c r="HF1011" s="6"/>
      <c r="HG1011" s="6"/>
      <c r="HH1011" s="6"/>
    </row>
    <row r="1012" spans="1:216" x14ac:dyDescent="0.3">
      <c r="A1012" s="8"/>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c r="DX1012" s="6"/>
      <c r="DY1012" s="6"/>
      <c r="DZ1012" s="6"/>
      <c r="EA1012" s="6"/>
      <c r="EB1012" s="6"/>
      <c r="EC1012" s="6"/>
      <c r="ED1012" s="6"/>
      <c r="EE1012" s="6"/>
      <c r="EF1012" s="6"/>
      <c r="EG1012" s="6"/>
      <c r="EH1012" s="6"/>
      <c r="EI1012" s="6"/>
      <c r="EJ1012" s="6"/>
      <c r="EK1012" s="6"/>
      <c r="EL1012" s="6"/>
      <c r="EM1012" s="6"/>
      <c r="EN1012" s="6"/>
      <c r="EO1012" s="6"/>
      <c r="EP1012" s="6"/>
      <c r="EQ1012" s="6"/>
      <c r="ER1012" s="6"/>
      <c r="ES1012" s="6"/>
      <c r="ET1012" s="6"/>
      <c r="EU1012" s="6"/>
      <c r="EV1012" s="6"/>
      <c r="EW1012" s="6"/>
      <c r="EX1012" s="6"/>
      <c r="EY1012" s="6"/>
      <c r="EZ1012" s="6"/>
      <c r="FA1012" s="6"/>
      <c r="FB1012" s="6"/>
      <c r="FC1012" s="6"/>
      <c r="FD1012" s="6"/>
      <c r="FE1012" s="6"/>
      <c r="FF1012" s="6"/>
      <c r="FG1012" s="6"/>
      <c r="FH1012" s="6"/>
      <c r="FI1012" s="6"/>
      <c r="FJ1012" s="6"/>
      <c r="FK1012" s="6"/>
      <c r="FL1012" s="6"/>
      <c r="FM1012" s="6"/>
      <c r="FN1012" s="6"/>
      <c r="FO1012" s="6"/>
      <c r="FP1012" s="6"/>
      <c r="FQ1012" s="6"/>
      <c r="FR1012" s="6"/>
      <c r="FS1012" s="6"/>
      <c r="FT1012" s="6"/>
      <c r="FU1012" s="6"/>
      <c r="FV1012" s="6"/>
      <c r="FW1012" s="6"/>
      <c r="FX1012" s="6"/>
      <c r="FY1012" s="6"/>
      <c r="FZ1012" s="6"/>
      <c r="GA1012" s="6"/>
      <c r="GB1012" s="6"/>
      <c r="GC1012" s="6"/>
      <c r="GD1012" s="6"/>
      <c r="GE1012" s="6"/>
      <c r="GF1012" s="6"/>
      <c r="GG1012" s="6"/>
      <c r="GH1012" s="6"/>
      <c r="GI1012" s="6"/>
      <c r="GJ1012" s="6"/>
      <c r="GK1012" s="6"/>
      <c r="GL1012" s="6"/>
      <c r="GM1012" s="6"/>
      <c r="GN1012" s="6"/>
      <c r="GO1012" s="6"/>
      <c r="GP1012" s="6"/>
      <c r="GQ1012" s="6"/>
      <c r="GR1012" s="6"/>
      <c r="GS1012" s="6"/>
      <c r="GT1012" s="6"/>
      <c r="GU1012" s="6"/>
      <c r="GV1012" s="6"/>
      <c r="GW1012" s="6"/>
      <c r="GX1012" s="6"/>
      <c r="GY1012" s="6"/>
      <c r="GZ1012" s="6"/>
      <c r="HA1012" s="6"/>
      <c r="HB1012" s="6"/>
      <c r="HC1012" s="6"/>
      <c r="HD1012" s="6"/>
      <c r="HE1012" s="6"/>
      <c r="HF1012" s="6"/>
      <c r="HG1012" s="6"/>
      <c r="HH1012" s="6"/>
    </row>
    <row r="1013" spans="1:216" x14ac:dyDescent="0.3">
      <c r="A1013" s="8"/>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6"/>
      <c r="AR1013" s="6"/>
      <c r="AS1013" s="6"/>
      <c r="AT1013" s="6"/>
      <c r="AU1013" s="6"/>
      <c r="AV1013" s="6"/>
      <c r="AW1013" s="6"/>
      <c r="AX1013" s="6"/>
      <c r="AY1013" s="6"/>
      <c r="AZ1013" s="6"/>
      <c r="BA1013" s="6"/>
      <c r="BB1013" s="6"/>
      <c r="BC1013" s="6"/>
      <c r="BD1013" s="6"/>
      <c r="BE1013" s="6"/>
      <c r="BF1013" s="6"/>
      <c r="BG1013" s="6"/>
      <c r="BH1013" s="6"/>
      <c r="BI1013" s="6"/>
      <c r="BJ1013" s="6"/>
      <c r="BK1013" s="6"/>
      <c r="BL1013" s="6"/>
      <c r="BM1013" s="6"/>
      <c r="BN1013" s="6"/>
      <c r="BO1013" s="6"/>
      <c r="BP1013" s="6"/>
      <c r="BQ1013" s="6"/>
      <c r="BR1013" s="6"/>
      <c r="BS1013" s="6"/>
      <c r="BT1013" s="6"/>
      <c r="BU1013" s="6"/>
      <c r="BV1013" s="6"/>
      <c r="BW1013" s="6"/>
      <c r="BX1013" s="6"/>
      <c r="BY1013" s="6"/>
      <c r="BZ1013" s="6"/>
      <c r="CA1013" s="6"/>
      <c r="CB1013" s="6"/>
      <c r="CC1013" s="6"/>
      <c r="CD1013" s="6"/>
      <c r="CE1013" s="6"/>
      <c r="CF1013" s="6"/>
      <c r="CG1013" s="6"/>
      <c r="CH1013" s="6"/>
      <c r="CI1013" s="6"/>
      <c r="CJ1013" s="6"/>
      <c r="CK1013" s="6"/>
      <c r="CL1013" s="6"/>
      <c r="CM1013" s="6"/>
      <c r="CN1013" s="6"/>
      <c r="CO1013" s="6"/>
      <c r="CP1013" s="6"/>
      <c r="CQ1013" s="6"/>
      <c r="CR1013" s="6"/>
      <c r="CS1013" s="6"/>
      <c r="CT1013" s="6"/>
      <c r="CU1013" s="6"/>
      <c r="CV1013" s="6"/>
      <c r="CW1013" s="6"/>
      <c r="CX1013" s="6"/>
      <c r="CY1013" s="6"/>
      <c r="CZ1013" s="6"/>
      <c r="DA1013" s="6"/>
      <c r="DB1013" s="6"/>
      <c r="DC1013" s="6"/>
      <c r="DD1013" s="6"/>
      <c r="DE1013" s="6"/>
      <c r="DF1013" s="6"/>
      <c r="DG1013" s="6"/>
      <c r="DH1013" s="6"/>
      <c r="DI1013" s="6"/>
      <c r="DJ1013" s="6"/>
      <c r="DK1013" s="6"/>
      <c r="DL1013" s="6"/>
      <c r="DM1013" s="6"/>
      <c r="DN1013" s="6"/>
      <c r="DO1013" s="6"/>
      <c r="DP1013" s="6"/>
      <c r="DQ1013" s="6"/>
      <c r="DR1013" s="6"/>
      <c r="DS1013" s="6"/>
      <c r="DT1013" s="6"/>
      <c r="DU1013" s="6"/>
      <c r="DV1013" s="6"/>
      <c r="DW1013" s="6"/>
      <c r="DX1013" s="6"/>
      <c r="DY1013" s="6"/>
      <c r="DZ1013" s="6"/>
      <c r="EA1013" s="6"/>
      <c r="EB1013" s="6"/>
      <c r="EC1013" s="6"/>
      <c r="ED1013" s="6"/>
      <c r="EE1013" s="6"/>
      <c r="EF1013" s="6"/>
      <c r="EG1013" s="6"/>
      <c r="EH1013" s="6"/>
      <c r="EI1013" s="6"/>
      <c r="EJ1013" s="6"/>
      <c r="EK1013" s="6"/>
      <c r="EL1013" s="6"/>
      <c r="EM1013" s="6"/>
      <c r="EN1013" s="6"/>
      <c r="EO1013" s="6"/>
      <c r="EP1013" s="6"/>
      <c r="EQ1013" s="6"/>
      <c r="ER1013" s="6"/>
      <c r="ES1013" s="6"/>
      <c r="ET1013" s="6"/>
      <c r="EU1013" s="6"/>
      <c r="EV1013" s="6"/>
      <c r="EW1013" s="6"/>
      <c r="EX1013" s="6"/>
      <c r="EY1013" s="6"/>
      <c r="EZ1013" s="6"/>
      <c r="FA1013" s="6"/>
      <c r="FB1013" s="6"/>
      <c r="FC1013" s="6"/>
      <c r="FD1013" s="6"/>
      <c r="FE1013" s="6"/>
      <c r="FF1013" s="6"/>
      <c r="FG1013" s="6"/>
      <c r="FH1013" s="6"/>
      <c r="FI1013" s="6"/>
      <c r="FJ1013" s="6"/>
      <c r="FK1013" s="6"/>
      <c r="FL1013" s="6"/>
      <c r="FM1013" s="6"/>
      <c r="FN1013" s="6"/>
      <c r="FO1013" s="6"/>
      <c r="FP1013" s="6"/>
      <c r="FQ1013" s="6"/>
      <c r="FR1013" s="6"/>
      <c r="FS1013" s="6"/>
      <c r="FT1013" s="6"/>
      <c r="FU1013" s="6"/>
      <c r="FV1013" s="6"/>
      <c r="FW1013" s="6"/>
      <c r="FX1013" s="6"/>
      <c r="FY1013" s="6"/>
      <c r="FZ1013" s="6"/>
      <c r="GA1013" s="6"/>
      <c r="GB1013" s="6"/>
      <c r="GC1013" s="6"/>
      <c r="GD1013" s="6"/>
      <c r="GE1013" s="6"/>
      <c r="GF1013" s="6"/>
      <c r="GG1013" s="6"/>
      <c r="GH1013" s="6"/>
      <c r="GI1013" s="6"/>
      <c r="GJ1013" s="6"/>
      <c r="GK1013" s="6"/>
      <c r="GL1013" s="6"/>
      <c r="GM1013" s="6"/>
      <c r="GN1013" s="6"/>
      <c r="GO1013" s="6"/>
      <c r="GP1013" s="6"/>
      <c r="GQ1013" s="6"/>
      <c r="GR1013" s="6"/>
      <c r="GS1013" s="6"/>
      <c r="GT1013" s="6"/>
      <c r="GU1013" s="6"/>
      <c r="GV1013" s="6"/>
      <c r="GW1013" s="6"/>
      <c r="GX1013" s="6"/>
      <c r="GY1013" s="6"/>
      <c r="GZ1013" s="6"/>
      <c r="HA1013" s="6"/>
      <c r="HB1013" s="6"/>
      <c r="HC1013" s="6"/>
      <c r="HD1013" s="6"/>
      <c r="HE1013" s="6"/>
      <c r="HF1013" s="6"/>
      <c r="HG1013" s="6"/>
      <c r="HH1013" s="6"/>
    </row>
    <row r="1014" spans="1:216" x14ac:dyDescent="0.3">
      <c r="A1014" s="8"/>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c r="AX1014" s="6"/>
      <c r="AY1014" s="6"/>
      <c r="AZ1014" s="6"/>
      <c r="BA1014" s="6"/>
      <c r="BB1014" s="6"/>
      <c r="BC1014" s="6"/>
      <c r="BD1014" s="6"/>
      <c r="BE1014" s="6"/>
      <c r="BF1014" s="6"/>
      <c r="BG1014" s="6"/>
      <c r="BH1014" s="6"/>
      <c r="BI1014" s="6"/>
      <c r="BJ1014" s="6"/>
      <c r="BK1014" s="6"/>
      <c r="BL1014" s="6"/>
      <c r="BM1014" s="6"/>
      <c r="BN1014" s="6"/>
      <c r="BO1014" s="6"/>
      <c r="BP1014" s="6"/>
      <c r="BQ1014" s="6"/>
      <c r="BR1014" s="6"/>
      <c r="BS1014" s="6"/>
      <c r="BT1014" s="6"/>
      <c r="BU1014" s="6"/>
      <c r="BV1014" s="6"/>
      <c r="BW1014" s="6"/>
      <c r="BX1014" s="6"/>
      <c r="BY1014" s="6"/>
      <c r="BZ1014" s="6"/>
      <c r="CA1014" s="6"/>
      <c r="CB1014" s="6"/>
      <c r="CC1014" s="6"/>
      <c r="CD1014" s="6"/>
      <c r="CE1014" s="6"/>
      <c r="CF1014" s="6"/>
      <c r="CG1014" s="6"/>
      <c r="CH1014" s="6"/>
      <c r="CI1014" s="6"/>
      <c r="CJ1014" s="6"/>
      <c r="CK1014" s="6"/>
      <c r="CL1014" s="6"/>
      <c r="CM1014" s="6"/>
      <c r="CN1014" s="6"/>
      <c r="CO1014" s="6"/>
      <c r="CP1014" s="6"/>
      <c r="CQ1014" s="6"/>
      <c r="CR1014" s="6"/>
      <c r="CS1014" s="6"/>
      <c r="CT1014" s="6"/>
      <c r="CU1014" s="6"/>
      <c r="CV1014" s="6"/>
      <c r="CW1014" s="6"/>
      <c r="CX1014" s="6"/>
      <c r="CY1014" s="6"/>
      <c r="CZ1014" s="6"/>
      <c r="DA1014" s="6"/>
      <c r="DB1014" s="6"/>
      <c r="DC1014" s="6"/>
      <c r="DD1014" s="6"/>
      <c r="DE1014" s="6"/>
      <c r="DF1014" s="6"/>
      <c r="DG1014" s="6"/>
      <c r="DH1014" s="6"/>
      <c r="DI1014" s="6"/>
      <c r="DJ1014" s="6"/>
      <c r="DK1014" s="6"/>
      <c r="DL1014" s="6"/>
      <c r="DM1014" s="6"/>
      <c r="DN1014" s="6"/>
      <c r="DO1014" s="6"/>
      <c r="DP1014" s="6"/>
      <c r="DQ1014" s="6"/>
      <c r="DR1014" s="6"/>
      <c r="DS1014" s="6"/>
      <c r="DT1014" s="6"/>
      <c r="DU1014" s="6"/>
      <c r="DV1014" s="6"/>
      <c r="DW1014" s="6"/>
      <c r="DX1014" s="6"/>
      <c r="DY1014" s="6"/>
      <c r="DZ1014" s="6"/>
      <c r="EA1014" s="6"/>
      <c r="EB1014" s="6"/>
      <c r="EC1014" s="6"/>
      <c r="ED1014" s="6"/>
      <c r="EE1014" s="6"/>
      <c r="EF1014" s="6"/>
      <c r="EG1014" s="6"/>
      <c r="EH1014" s="6"/>
      <c r="EI1014" s="6"/>
      <c r="EJ1014" s="6"/>
      <c r="EK1014" s="6"/>
      <c r="EL1014" s="6"/>
      <c r="EM1014" s="6"/>
      <c r="EN1014" s="6"/>
      <c r="EO1014" s="6"/>
      <c r="EP1014" s="6"/>
      <c r="EQ1014" s="6"/>
      <c r="ER1014" s="6"/>
      <c r="ES1014" s="6"/>
      <c r="ET1014" s="6"/>
      <c r="EU1014" s="6"/>
      <c r="EV1014" s="6"/>
      <c r="EW1014" s="6"/>
      <c r="EX1014" s="6"/>
      <c r="EY1014" s="6"/>
      <c r="EZ1014" s="6"/>
      <c r="FA1014" s="6"/>
      <c r="FB1014" s="6"/>
      <c r="FC1014" s="6"/>
      <c r="FD1014" s="6"/>
      <c r="FE1014" s="6"/>
      <c r="FF1014" s="6"/>
      <c r="FG1014" s="6"/>
      <c r="FH1014" s="6"/>
      <c r="FI1014" s="6"/>
      <c r="FJ1014" s="6"/>
      <c r="FK1014" s="6"/>
      <c r="FL1014" s="6"/>
      <c r="FM1014" s="6"/>
      <c r="FN1014" s="6"/>
      <c r="FO1014" s="6"/>
      <c r="FP1014" s="6"/>
      <c r="FQ1014" s="6"/>
      <c r="FR1014" s="6"/>
      <c r="FS1014" s="6"/>
      <c r="FT1014" s="6"/>
      <c r="FU1014" s="6"/>
      <c r="FV1014" s="6"/>
      <c r="FW1014" s="6"/>
      <c r="FX1014" s="6"/>
      <c r="FY1014" s="6"/>
      <c r="FZ1014" s="6"/>
      <c r="GA1014" s="6"/>
      <c r="GB1014" s="6"/>
      <c r="GC1014" s="6"/>
      <c r="GD1014" s="6"/>
      <c r="GE1014" s="6"/>
      <c r="GF1014" s="6"/>
      <c r="GG1014" s="6"/>
      <c r="GH1014" s="6"/>
      <c r="GI1014" s="6"/>
      <c r="GJ1014" s="6"/>
      <c r="GK1014" s="6"/>
      <c r="GL1014" s="6"/>
      <c r="GM1014" s="6"/>
      <c r="GN1014" s="6"/>
      <c r="GO1014" s="6"/>
      <c r="GP1014" s="6"/>
      <c r="GQ1014" s="6"/>
      <c r="GR1014" s="6"/>
      <c r="GS1014" s="6"/>
      <c r="GT1014" s="6"/>
      <c r="GU1014" s="6"/>
      <c r="GV1014" s="6"/>
      <c r="GW1014" s="6"/>
      <c r="GX1014" s="6"/>
      <c r="GY1014" s="6"/>
      <c r="GZ1014" s="6"/>
      <c r="HA1014" s="6"/>
      <c r="HB1014" s="6"/>
      <c r="HC1014" s="6"/>
      <c r="HD1014" s="6"/>
      <c r="HE1014" s="6"/>
      <c r="HF1014" s="6"/>
      <c r="HG1014" s="6"/>
      <c r="HH1014" s="6"/>
    </row>
    <row r="1015" spans="1:216" x14ac:dyDescent="0.3">
      <c r="A1015" s="8"/>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c r="AX1015" s="6"/>
      <c r="AY1015" s="6"/>
      <c r="AZ1015" s="6"/>
      <c r="BA1015" s="6"/>
      <c r="BB1015" s="6"/>
      <c r="BC1015" s="6"/>
      <c r="BD1015" s="6"/>
      <c r="BE1015" s="6"/>
      <c r="BF1015" s="6"/>
      <c r="BG1015" s="6"/>
      <c r="BH1015" s="6"/>
      <c r="BI1015" s="6"/>
      <c r="BJ1015" s="6"/>
      <c r="BK1015" s="6"/>
      <c r="BL1015" s="6"/>
      <c r="BM1015" s="6"/>
      <c r="BN1015" s="6"/>
      <c r="BO1015" s="6"/>
      <c r="BP1015" s="6"/>
      <c r="BQ1015" s="6"/>
      <c r="BR1015" s="6"/>
      <c r="BS1015" s="6"/>
      <c r="BT1015" s="6"/>
      <c r="BU1015" s="6"/>
      <c r="BV1015" s="6"/>
      <c r="BW1015" s="6"/>
      <c r="BX1015" s="6"/>
      <c r="BY1015" s="6"/>
      <c r="BZ1015" s="6"/>
      <c r="CA1015" s="6"/>
      <c r="CB1015" s="6"/>
      <c r="CC1015" s="6"/>
      <c r="CD1015" s="6"/>
      <c r="CE1015" s="6"/>
      <c r="CF1015" s="6"/>
      <c r="CG1015" s="6"/>
      <c r="CH1015" s="6"/>
      <c r="CI1015" s="6"/>
      <c r="CJ1015" s="6"/>
      <c r="CK1015" s="6"/>
      <c r="CL1015" s="6"/>
      <c r="CM1015" s="6"/>
      <c r="CN1015" s="6"/>
      <c r="CO1015" s="6"/>
      <c r="CP1015" s="6"/>
      <c r="CQ1015" s="6"/>
      <c r="CR1015" s="6"/>
      <c r="CS1015" s="6"/>
      <c r="CT1015" s="6"/>
      <c r="CU1015" s="6"/>
      <c r="CV1015" s="6"/>
      <c r="CW1015" s="6"/>
      <c r="CX1015" s="6"/>
      <c r="CY1015" s="6"/>
      <c r="CZ1015" s="6"/>
      <c r="DA1015" s="6"/>
      <c r="DB1015" s="6"/>
      <c r="DC1015" s="6"/>
      <c r="DD1015" s="6"/>
      <c r="DE1015" s="6"/>
      <c r="DF1015" s="6"/>
      <c r="DG1015" s="6"/>
      <c r="DH1015" s="6"/>
      <c r="DI1015" s="6"/>
      <c r="DJ1015" s="6"/>
      <c r="DK1015" s="6"/>
      <c r="DL1015" s="6"/>
      <c r="DM1015" s="6"/>
      <c r="DN1015" s="6"/>
      <c r="DO1015" s="6"/>
      <c r="DP1015" s="6"/>
      <c r="DQ1015" s="6"/>
      <c r="DR1015" s="6"/>
      <c r="DS1015" s="6"/>
      <c r="DT1015" s="6"/>
      <c r="DU1015" s="6"/>
      <c r="DV1015" s="6"/>
      <c r="DW1015" s="6"/>
      <c r="DX1015" s="6"/>
      <c r="DY1015" s="6"/>
      <c r="DZ1015" s="6"/>
      <c r="EA1015" s="6"/>
      <c r="EB1015" s="6"/>
      <c r="EC1015" s="6"/>
      <c r="ED1015" s="6"/>
      <c r="EE1015" s="6"/>
      <c r="EF1015" s="6"/>
      <c r="EG1015" s="6"/>
      <c r="EH1015" s="6"/>
      <c r="EI1015" s="6"/>
      <c r="EJ1015" s="6"/>
      <c r="EK1015" s="6"/>
      <c r="EL1015" s="6"/>
      <c r="EM1015" s="6"/>
      <c r="EN1015" s="6"/>
      <c r="EO1015" s="6"/>
      <c r="EP1015" s="6"/>
      <c r="EQ1015" s="6"/>
      <c r="ER1015" s="6"/>
      <c r="ES1015" s="6"/>
      <c r="ET1015" s="6"/>
      <c r="EU1015" s="6"/>
      <c r="EV1015" s="6"/>
      <c r="EW1015" s="6"/>
      <c r="EX1015" s="6"/>
      <c r="EY1015" s="6"/>
      <c r="EZ1015" s="6"/>
      <c r="FA1015" s="6"/>
      <c r="FB1015" s="6"/>
      <c r="FC1015" s="6"/>
      <c r="FD1015" s="6"/>
      <c r="FE1015" s="6"/>
      <c r="FF1015" s="6"/>
      <c r="FG1015" s="6"/>
      <c r="FH1015" s="6"/>
      <c r="FI1015" s="6"/>
      <c r="FJ1015" s="6"/>
      <c r="FK1015" s="6"/>
      <c r="FL1015" s="6"/>
      <c r="FM1015" s="6"/>
      <c r="FN1015" s="6"/>
      <c r="FO1015" s="6"/>
      <c r="FP1015" s="6"/>
      <c r="FQ1015" s="6"/>
      <c r="FR1015" s="6"/>
      <c r="FS1015" s="6"/>
      <c r="FT1015" s="6"/>
      <c r="FU1015" s="6"/>
      <c r="FV1015" s="6"/>
      <c r="FW1015" s="6"/>
      <c r="FX1015" s="6"/>
      <c r="FY1015" s="6"/>
      <c r="FZ1015" s="6"/>
      <c r="GA1015" s="6"/>
      <c r="GB1015" s="6"/>
      <c r="GC1015" s="6"/>
      <c r="GD1015" s="6"/>
      <c r="GE1015" s="6"/>
      <c r="GF1015" s="6"/>
      <c r="GG1015" s="6"/>
      <c r="GH1015" s="6"/>
      <c r="GI1015" s="6"/>
      <c r="GJ1015" s="6"/>
      <c r="GK1015" s="6"/>
      <c r="GL1015" s="6"/>
      <c r="GM1015" s="6"/>
      <c r="GN1015" s="6"/>
      <c r="GO1015" s="6"/>
      <c r="GP1015" s="6"/>
      <c r="GQ1015" s="6"/>
      <c r="GR1015" s="6"/>
      <c r="GS1015" s="6"/>
      <c r="GT1015" s="6"/>
      <c r="GU1015" s="6"/>
      <c r="GV1015" s="6"/>
      <c r="GW1015" s="6"/>
      <c r="GX1015" s="6"/>
      <c r="GY1015" s="6"/>
      <c r="GZ1015" s="6"/>
      <c r="HA1015" s="6"/>
      <c r="HB1015" s="6"/>
      <c r="HC1015" s="6"/>
      <c r="HD1015" s="6"/>
      <c r="HE1015" s="6"/>
      <c r="HF1015" s="6"/>
      <c r="HG1015" s="6"/>
      <c r="HH1015" s="6"/>
    </row>
    <row r="1016" spans="1:216" x14ac:dyDescent="0.3">
      <c r="A1016" s="8"/>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6"/>
      <c r="AR1016" s="6"/>
      <c r="AS1016" s="6"/>
      <c r="AT1016" s="6"/>
      <c r="AU1016" s="6"/>
      <c r="AV1016" s="6"/>
      <c r="AW1016" s="6"/>
      <c r="AX1016" s="6"/>
      <c r="AY1016" s="6"/>
      <c r="AZ1016" s="6"/>
      <c r="BA1016" s="6"/>
      <c r="BB1016" s="6"/>
      <c r="BC1016" s="6"/>
      <c r="BD1016" s="6"/>
      <c r="BE1016" s="6"/>
      <c r="BF1016" s="6"/>
      <c r="BG1016" s="6"/>
      <c r="BH1016" s="6"/>
      <c r="BI1016" s="6"/>
      <c r="BJ1016" s="6"/>
      <c r="BK1016" s="6"/>
      <c r="BL1016" s="6"/>
      <c r="BM1016" s="6"/>
      <c r="BN1016" s="6"/>
      <c r="BO1016" s="6"/>
      <c r="BP1016" s="6"/>
      <c r="BQ1016" s="6"/>
      <c r="BR1016" s="6"/>
      <c r="BS1016" s="6"/>
      <c r="BT1016" s="6"/>
      <c r="BU1016" s="6"/>
      <c r="BV1016" s="6"/>
      <c r="BW1016" s="6"/>
      <c r="BX1016" s="6"/>
      <c r="BY1016" s="6"/>
      <c r="BZ1016" s="6"/>
      <c r="CA1016" s="6"/>
      <c r="CB1016" s="6"/>
      <c r="CC1016" s="6"/>
      <c r="CD1016" s="6"/>
      <c r="CE1016" s="6"/>
      <c r="CF1016" s="6"/>
      <c r="CG1016" s="6"/>
      <c r="CH1016" s="6"/>
      <c r="CI1016" s="6"/>
      <c r="CJ1016" s="6"/>
      <c r="CK1016" s="6"/>
      <c r="CL1016" s="6"/>
      <c r="CM1016" s="6"/>
      <c r="CN1016" s="6"/>
      <c r="CO1016" s="6"/>
      <c r="CP1016" s="6"/>
      <c r="CQ1016" s="6"/>
      <c r="CR1016" s="6"/>
      <c r="CS1016" s="6"/>
      <c r="CT1016" s="6"/>
      <c r="CU1016" s="6"/>
      <c r="CV1016" s="6"/>
      <c r="CW1016" s="6"/>
      <c r="CX1016" s="6"/>
      <c r="CY1016" s="6"/>
      <c r="CZ1016" s="6"/>
      <c r="DA1016" s="6"/>
      <c r="DB1016" s="6"/>
      <c r="DC1016" s="6"/>
      <c r="DD1016" s="6"/>
      <c r="DE1016" s="6"/>
      <c r="DF1016" s="6"/>
      <c r="DG1016" s="6"/>
      <c r="DH1016" s="6"/>
      <c r="DI1016" s="6"/>
      <c r="DJ1016" s="6"/>
      <c r="DK1016" s="6"/>
      <c r="DL1016" s="6"/>
      <c r="DM1016" s="6"/>
      <c r="DN1016" s="6"/>
      <c r="DO1016" s="6"/>
      <c r="DP1016" s="6"/>
      <c r="DQ1016" s="6"/>
      <c r="DR1016" s="6"/>
      <c r="DS1016" s="6"/>
      <c r="DT1016" s="6"/>
      <c r="DU1016" s="6"/>
      <c r="DV1016" s="6"/>
      <c r="DW1016" s="6"/>
      <c r="DX1016" s="6"/>
      <c r="DY1016" s="6"/>
      <c r="DZ1016" s="6"/>
      <c r="EA1016" s="6"/>
      <c r="EB1016" s="6"/>
      <c r="EC1016" s="6"/>
      <c r="ED1016" s="6"/>
      <c r="EE1016" s="6"/>
      <c r="EF1016" s="6"/>
      <c r="EG1016" s="6"/>
      <c r="EH1016" s="6"/>
      <c r="EI1016" s="6"/>
      <c r="EJ1016" s="6"/>
      <c r="EK1016" s="6"/>
      <c r="EL1016" s="6"/>
      <c r="EM1016" s="6"/>
      <c r="EN1016" s="6"/>
      <c r="EO1016" s="6"/>
      <c r="EP1016" s="6"/>
      <c r="EQ1016" s="6"/>
      <c r="ER1016" s="6"/>
      <c r="ES1016" s="6"/>
      <c r="ET1016" s="6"/>
      <c r="EU1016" s="6"/>
      <c r="EV1016" s="6"/>
      <c r="EW1016" s="6"/>
      <c r="EX1016" s="6"/>
      <c r="EY1016" s="6"/>
      <c r="EZ1016" s="6"/>
      <c r="FA1016" s="6"/>
      <c r="FB1016" s="6"/>
      <c r="FC1016" s="6"/>
      <c r="FD1016" s="6"/>
      <c r="FE1016" s="6"/>
      <c r="FF1016" s="6"/>
      <c r="FG1016" s="6"/>
      <c r="FH1016" s="6"/>
      <c r="FI1016" s="6"/>
      <c r="FJ1016" s="6"/>
      <c r="FK1016" s="6"/>
      <c r="FL1016" s="6"/>
      <c r="FM1016" s="6"/>
      <c r="FN1016" s="6"/>
      <c r="FO1016" s="6"/>
      <c r="FP1016" s="6"/>
      <c r="FQ1016" s="6"/>
      <c r="FR1016" s="6"/>
      <c r="FS1016" s="6"/>
      <c r="FT1016" s="6"/>
      <c r="FU1016" s="6"/>
      <c r="FV1016" s="6"/>
      <c r="FW1016" s="6"/>
      <c r="FX1016" s="6"/>
      <c r="FY1016" s="6"/>
      <c r="FZ1016" s="6"/>
      <c r="GA1016" s="6"/>
      <c r="GB1016" s="6"/>
      <c r="GC1016" s="6"/>
      <c r="GD1016" s="6"/>
      <c r="GE1016" s="6"/>
      <c r="GF1016" s="6"/>
      <c r="GG1016" s="6"/>
      <c r="GH1016" s="6"/>
      <c r="GI1016" s="6"/>
      <c r="GJ1016" s="6"/>
      <c r="GK1016" s="6"/>
      <c r="GL1016" s="6"/>
      <c r="GM1016" s="6"/>
      <c r="GN1016" s="6"/>
      <c r="GO1016" s="6"/>
      <c r="GP1016" s="6"/>
      <c r="GQ1016" s="6"/>
      <c r="GR1016" s="6"/>
      <c r="GS1016" s="6"/>
      <c r="GT1016" s="6"/>
      <c r="GU1016" s="6"/>
      <c r="GV1016" s="6"/>
      <c r="GW1016" s="6"/>
      <c r="GX1016" s="6"/>
      <c r="GY1016" s="6"/>
      <c r="GZ1016" s="6"/>
      <c r="HA1016" s="6"/>
      <c r="HB1016" s="6"/>
      <c r="HC1016" s="6"/>
      <c r="HD1016" s="6"/>
      <c r="HE1016" s="6"/>
      <c r="HF1016" s="6"/>
      <c r="HG1016" s="6"/>
      <c r="HH1016" s="6"/>
    </row>
    <row r="1017" spans="1:216" x14ac:dyDescent="0.3">
      <c r="A1017" s="8"/>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6"/>
      <c r="AR1017" s="6"/>
      <c r="AS1017" s="6"/>
      <c r="AT1017" s="6"/>
      <c r="AU1017" s="6"/>
      <c r="AV1017" s="6"/>
      <c r="AW1017" s="6"/>
      <c r="AX1017" s="6"/>
      <c r="AY1017" s="6"/>
      <c r="AZ1017" s="6"/>
      <c r="BA1017" s="6"/>
      <c r="BB1017" s="6"/>
      <c r="BC1017" s="6"/>
      <c r="BD1017" s="6"/>
      <c r="BE1017" s="6"/>
      <c r="BF1017" s="6"/>
      <c r="BG1017" s="6"/>
      <c r="BH1017" s="6"/>
      <c r="BI1017" s="6"/>
      <c r="BJ1017" s="6"/>
      <c r="BK1017" s="6"/>
      <c r="BL1017" s="6"/>
      <c r="BM1017" s="6"/>
      <c r="BN1017" s="6"/>
      <c r="BO1017" s="6"/>
      <c r="BP1017" s="6"/>
      <c r="BQ1017" s="6"/>
      <c r="BR1017" s="6"/>
      <c r="BS1017" s="6"/>
      <c r="BT1017" s="6"/>
      <c r="BU1017" s="6"/>
      <c r="BV1017" s="6"/>
      <c r="BW1017" s="6"/>
      <c r="BX1017" s="6"/>
      <c r="BY1017" s="6"/>
      <c r="BZ1017" s="6"/>
      <c r="CA1017" s="6"/>
      <c r="CB1017" s="6"/>
      <c r="CC1017" s="6"/>
      <c r="CD1017" s="6"/>
      <c r="CE1017" s="6"/>
      <c r="CF1017" s="6"/>
      <c r="CG1017" s="6"/>
      <c r="CH1017" s="6"/>
      <c r="CI1017" s="6"/>
      <c r="CJ1017" s="6"/>
      <c r="CK1017" s="6"/>
      <c r="CL1017" s="6"/>
      <c r="CM1017" s="6"/>
      <c r="CN1017" s="6"/>
      <c r="CO1017" s="6"/>
      <c r="CP1017" s="6"/>
      <c r="CQ1017" s="6"/>
      <c r="CR1017" s="6"/>
      <c r="CS1017" s="6"/>
      <c r="CT1017" s="6"/>
      <c r="CU1017" s="6"/>
      <c r="CV1017" s="6"/>
      <c r="CW1017" s="6"/>
      <c r="CX1017" s="6"/>
      <c r="CY1017" s="6"/>
      <c r="CZ1017" s="6"/>
      <c r="DA1017" s="6"/>
      <c r="DB1017" s="6"/>
      <c r="DC1017" s="6"/>
      <c r="DD1017" s="6"/>
      <c r="DE1017" s="6"/>
      <c r="DF1017" s="6"/>
      <c r="DG1017" s="6"/>
      <c r="DH1017" s="6"/>
      <c r="DI1017" s="6"/>
      <c r="DJ1017" s="6"/>
      <c r="DK1017" s="6"/>
      <c r="DL1017" s="6"/>
      <c r="DM1017" s="6"/>
      <c r="DN1017" s="6"/>
      <c r="DO1017" s="6"/>
      <c r="DP1017" s="6"/>
      <c r="DQ1017" s="6"/>
      <c r="DR1017" s="6"/>
      <c r="DS1017" s="6"/>
      <c r="DT1017" s="6"/>
      <c r="DU1017" s="6"/>
      <c r="DV1017" s="6"/>
      <c r="DW1017" s="6"/>
      <c r="DX1017" s="6"/>
      <c r="DY1017" s="6"/>
      <c r="DZ1017" s="6"/>
      <c r="EA1017" s="6"/>
      <c r="EB1017" s="6"/>
      <c r="EC1017" s="6"/>
      <c r="ED1017" s="6"/>
      <c r="EE1017" s="6"/>
      <c r="EF1017" s="6"/>
      <c r="EG1017" s="6"/>
      <c r="EH1017" s="6"/>
      <c r="EI1017" s="6"/>
      <c r="EJ1017" s="6"/>
      <c r="EK1017" s="6"/>
      <c r="EL1017" s="6"/>
      <c r="EM1017" s="6"/>
      <c r="EN1017" s="6"/>
      <c r="EO1017" s="6"/>
      <c r="EP1017" s="6"/>
      <c r="EQ1017" s="6"/>
      <c r="ER1017" s="6"/>
      <c r="ES1017" s="6"/>
      <c r="ET1017" s="6"/>
      <c r="EU1017" s="6"/>
      <c r="EV1017" s="6"/>
      <c r="EW1017" s="6"/>
      <c r="EX1017" s="6"/>
      <c r="EY1017" s="6"/>
      <c r="EZ1017" s="6"/>
      <c r="FA1017" s="6"/>
      <c r="FB1017" s="6"/>
      <c r="FC1017" s="6"/>
      <c r="FD1017" s="6"/>
      <c r="FE1017" s="6"/>
      <c r="FF1017" s="6"/>
      <c r="FG1017" s="6"/>
      <c r="FH1017" s="6"/>
      <c r="FI1017" s="6"/>
      <c r="FJ1017" s="6"/>
      <c r="FK1017" s="6"/>
      <c r="FL1017" s="6"/>
      <c r="FM1017" s="6"/>
      <c r="FN1017" s="6"/>
      <c r="FO1017" s="6"/>
      <c r="FP1017" s="6"/>
      <c r="FQ1017" s="6"/>
      <c r="FR1017" s="6"/>
      <c r="FS1017" s="6"/>
      <c r="FT1017" s="6"/>
      <c r="FU1017" s="6"/>
      <c r="FV1017" s="6"/>
      <c r="FW1017" s="6"/>
      <c r="FX1017" s="6"/>
      <c r="FY1017" s="6"/>
      <c r="FZ1017" s="6"/>
      <c r="GA1017" s="6"/>
      <c r="GB1017" s="6"/>
      <c r="GC1017" s="6"/>
      <c r="GD1017" s="6"/>
      <c r="GE1017" s="6"/>
      <c r="GF1017" s="6"/>
      <c r="GG1017" s="6"/>
      <c r="GH1017" s="6"/>
      <c r="GI1017" s="6"/>
      <c r="GJ1017" s="6"/>
      <c r="GK1017" s="6"/>
      <c r="GL1017" s="6"/>
      <c r="GM1017" s="6"/>
      <c r="GN1017" s="6"/>
      <c r="GO1017" s="6"/>
      <c r="GP1017" s="6"/>
      <c r="GQ1017" s="6"/>
      <c r="GR1017" s="6"/>
      <c r="GS1017" s="6"/>
      <c r="GT1017" s="6"/>
      <c r="GU1017" s="6"/>
      <c r="GV1017" s="6"/>
      <c r="GW1017" s="6"/>
      <c r="GX1017" s="6"/>
      <c r="GY1017" s="6"/>
      <c r="GZ1017" s="6"/>
      <c r="HA1017" s="6"/>
      <c r="HB1017" s="6"/>
      <c r="HC1017" s="6"/>
      <c r="HD1017" s="6"/>
      <c r="HE1017" s="6"/>
      <c r="HF1017" s="6"/>
      <c r="HG1017" s="6"/>
      <c r="HH1017" s="6"/>
    </row>
    <row r="1018" spans="1:216" x14ac:dyDescent="0.3">
      <c r="A1018" s="8"/>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c r="DX1018" s="6"/>
      <c r="DY1018" s="6"/>
      <c r="DZ1018" s="6"/>
      <c r="EA1018" s="6"/>
      <c r="EB1018" s="6"/>
      <c r="EC1018" s="6"/>
      <c r="ED1018" s="6"/>
      <c r="EE1018" s="6"/>
      <c r="EF1018" s="6"/>
      <c r="EG1018" s="6"/>
      <c r="EH1018" s="6"/>
      <c r="EI1018" s="6"/>
      <c r="EJ1018" s="6"/>
      <c r="EK1018" s="6"/>
      <c r="EL1018" s="6"/>
      <c r="EM1018" s="6"/>
      <c r="EN1018" s="6"/>
      <c r="EO1018" s="6"/>
      <c r="EP1018" s="6"/>
      <c r="EQ1018" s="6"/>
      <c r="ER1018" s="6"/>
      <c r="ES1018" s="6"/>
      <c r="ET1018" s="6"/>
      <c r="EU1018" s="6"/>
      <c r="EV1018" s="6"/>
      <c r="EW1018" s="6"/>
      <c r="EX1018" s="6"/>
      <c r="EY1018" s="6"/>
      <c r="EZ1018" s="6"/>
      <c r="FA1018" s="6"/>
      <c r="FB1018" s="6"/>
      <c r="FC1018" s="6"/>
      <c r="FD1018" s="6"/>
      <c r="FE1018" s="6"/>
      <c r="FF1018" s="6"/>
      <c r="FG1018" s="6"/>
      <c r="FH1018" s="6"/>
      <c r="FI1018" s="6"/>
      <c r="FJ1018" s="6"/>
      <c r="FK1018" s="6"/>
      <c r="FL1018" s="6"/>
      <c r="FM1018" s="6"/>
      <c r="FN1018" s="6"/>
      <c r="FO1018" s="6"/>
      <c r="FP1018" s="6"/>
      <c r="FQ1018" s="6"/>
      <c r="FR1018" s="6"/>
      <c r="FS1018" s="6"/>
      <c r="FT1018" s="6"/>
      <c r="FU1018" s="6"/>
      <c r="FV1018" s="6"/>
      <c r="FW1018" s="6"/>
      <c r="FX1018" s="6"/>
      <c r="FY1018" s="6"/>
      <c r="FZ1018" s="6"/>
      <c r="GA1018" s="6"/>
      <c r="GB1018" s="6"/>
      <c r="GC1018" s="6"/>
      <c r="GD1018" s="6"/>
      <c r="GE1018" s="6"/>
      <c r="GF1018" s="6"/>
      <c r="GG1018" s="6"/>
      <c r="GH1018" s="6"/>
      <c r="GI1018" s="6"/>
      <c r="GJ1018" s="6"/>
      <c r="GK1018" s="6"/>
      <c r="GL1018" s="6"/>
      <c r="GM1018" s="6"/>
      <c r="GN1018" s="6"/>
      <c r="GO1018" s="6"/>
      <c r="GP1018" s="6"/>
      <c r="GQ1018" s="6"/>
      <c r="GR1018" s="6"/>
      <c r="GS1018" s="6"/>
      <c r="GT1018" s="6"/>
      <c r="GU1018" s="6"/>
      <c r="GV1018" s="6"/>
      <c r="GW1018" s="6"/>
      <c r="GX1018" s="6"/>
      <c r="GY1018" s="6"/>
      <c r="GZ1018" s="6"/>
      <c r="HA1018" s="6"/>
      <c r="HB1018" s="6"/>
      <c r="HC1018" s="6"/>
      <c r="HD1018" s="6"/>
      <c r="HE1018" s="6"/>
      <c r="HF1018" s="6"/>
      <c r="HG1018" s="6"/>
      <c r="HH1018" s="6"/>
    </row>
    <row r="1019" spans="1:216" x14ac:dyDescent="0.3">
      <c r="A1019" s="8"/>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c r="DX1019" s="6"/>
      <c r="DY1019" s="6"/>
      <c r="DZ1019" s="6"/>
      <c r="EA1019" s="6"/>
      <c r="EB1019" s="6"/>
      <c r="EC1019" s="6"/>
      <c r="ED1019" s="6"/>
      <c r="EE1019" s="6"/>
      <c r="EF1019" s="6"/>
      <c r="EG1019" s="6"/>
      <c r="EH1019" s="6"/>
      <c r="EI1019" s="6"/>
      <c r="EJ1019" s="6"/>
      <c r="EK1019" s="6"/>
      <c r="EL1019" s="6"/>
      <c r="EM1019" s="6"/>
      <c r="EN1019" s="6"/>
      <c r="EO1019" s="6"/>
      <c r="EP1019" s="6"/>
      <c r="EQ1019" s="6"/>
      <c r="ER1019" s="6"/>
      <c r="ES1019" s="6"/>
      <c r="ET1019" s="6"/>
      <c r="EU1019" s="6"/>
      <c r="EV1019" s="6"/>
      <c r="EW1019" s="6"/>
      <c r="EX1019" s="6"/>
      <c r="EY1019" s="6"/>
      <c r="EZ1019" s="6"/>
      <c r="FA1019" s="6"/>
      <c r="FB1019" s="6"/>
      <c r="FC1019" s="6"/>
      <c r="FD1019" s="6"/>
      <c r="FE1019" s="6"/>
      <c r="FF1019" s="6"/>
      <c r="FG1019" s="6"/>
      <c r="FH1019" s="6"/>
      <c r="FI1019" s="6"/>
      <c r="FJ1019" s="6"/>
      <c r="FK1019" s="6"/>
      <c r="FL1019" s="6"/>
      <c r="FM1019" s="6"/>
      <c r="FN1019" s="6"/>
      <c r="FO1019" s="6"/>
      <c r="FP1019" s="6"/>
      <c r="FQ1019" s="6"/>
      <c r="FR1019" s="6"/>
      <c r="FS1019" s="6"/>
      <c r="FT1019" s="6"/>
      <c r="FU1019" s="6"/>
      <c r="FV1019" s="6"/>
      <c r="FW1019" s="6"/>
      <c r="FX1019" s="6"/>
      <c r="FY1019" s="6"/>
      <c r="FZ1019" s="6"/>
      <c r="GA1019" s="6"/>
      <c r="GB1019" s="6"/>
      <c r="GC1019" s="6"/>
      <c r="GD1019" s="6"/>
      <c r="GE1019" s="6"/>
      <c r="GF1019" s="6"/>
      <c r="GG1019" s="6"/>
      <c r="GH1019" s="6"/>
      <c r="GI1019" s="6"/>
      <c r="GJ1019" s="6"/>
      <c r="GK1019" s="6"/>
      <c r="GL1019" s="6"/>
      <c r="GM1019" s="6"/>
      <c r="GN1019" s="6"/>
      <c r="GO1019" s="6"/>
      <c r="GP1019" s="6"/>
      <c r="GQ1019" s="6"/>
      <c r="GR1019" s="6"/>
      <c r="GS1019" s="6"/>
      <c r="GT1019" s="6"/>
      <c r="GU1019" s="6"/>
      <c r="GV1019" s="6"/>
      <c r="GW1019" s="6"/>
      <c r="GX1019" s="6"/>
      <c r="GY1019" s="6"/>
      <c r="GZ1019" s="6"/>
      <c r="HA1019" s="6"/>
      <c r="HB1019" s="6"/>
      <c r="HC1019" s="6"/>
      <c r="HD1019" s="6"/>
      <c r="HE1019" s="6"/>
      <c r="HF1019" s="6"/>
      <c r="HG1019" s="6"/>
      <c r="HH1019" s="6"/>
    </row>
    <row r="1020" spans="1:216" x14ac:dyDescent="0.3">
      <c r="A1020" s="8"/>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c r="DX1020" s="6"/>
      <c r="DY1020" s="6"/>
      <c r="DZ1020" s="6"/>
      <c r="EA1020" s="6"/>
      <c r="EB1020" s="6"/>
      <c r="EC1020" s="6"/>
      <c r="ED1020" s="6"/>
      <c r="EE1020" s="6"/>
      <c r="EF1020" s="6"/>
      <c r="EG1020" s="6"/>
      <c r="EH1020" s="6"/>
      <c r="EI1020" s="6"/>
      <c r="EJ1020" s="6"/>
      <c r="EK1020" s="6"/>
      <c r="EL1020" s="6"/>
      <c r="EM1020" s="6"/>
      <c r="EN1020" s="6"/>
      <c r="EO1020" s="6"/>
      <c r="EP1020" s="6"/>
      <c r="EQ1020" s="6"/>
      <c r="ER1020" s="6"/>
      <c r="ES1020" s="6"/>
      <c r="ET1020" s="6"/>
      <c r="EU1020" s="6"/>
      <c r="EV1020" s="6"/>
      <c r="EW1020" s="6"/>
      <c r="EX1020" s="6"/>
      <c r="EY1020" s="6"/>
      <c r="EZ1020" s="6"/>
      <c r="FA1020" s="6"/>
      <c r="FB1020" s="6"/>
      <c r="FC1020" s="6"/>
      <c r="FD1020" s="6"/>
      <c r="FE1020" s="6"/>
      <c r="FF1020" s="6"/>
      <c r="FG1020" s="6"/>
      <c r="FH1020" s="6"/>
      <c r="FI1020" s="6"/>
      <c r="FJ1020" s="6"/>
      <c r="FK1020" s="6"/>
      <c r="FL1020" s="6"/>
      <c r="FM1020" s="6"/>
      <c r="FN1020" s="6"/>
      <c r="FO1020" s="6"/>
      <c r="FP1020" s="6"/>
      <c r="FQ1020" s="6"/>
      <c r="FR1020" s="6"/>
      <c r="FS1020" s="6"/>
      <c r="FT1020" s="6"/>
      <c r="FU1020" s="6"/>
      <c r="FV1020" s="6"/>
      <c r="FW1020" s="6"/>
      <c r="FX1020" s="6"/>
      <c r="FY1020" s="6"/>
      <c r="FZ1020" s="6"/>
      <c r="GA1020" s="6"/>
      <c r="GB1020" s="6"/>
      <c r="GC1020" s="6"/>
      <c r="GD1020" s="6"/>
      <c r="GE1020" s="6"/>
      <c r="GF1020" s="6"/>
      <c r="GG1020" s="6"/>
      <c r="GH1020" s="6"/>
      <c r="GI1020" s="6"/>
      <c r="GJ1020" s="6"/>
      <c r="GK1020" s="6"/>
      <c r="GL1020" s="6"/>
      <c r="GM1020" s="6"/>
      <c r="GN1020" s="6"/>
      <c r="GO1020" s="6"/>
      <c r="GP1020" s="6"/>
      <c r="GQ1020" s="6"/>
      <c r="GR1020" s="6"/>
      <c r="GS1020" s="6"/>
      <c r="GT1020" s="6"/>
      <c r="GU1020" s="6"/>
      <c r="GV1020" s="6"/>
      <c r="GW1020" s="6"/>
      <c r="GX1020" s="6"/>
      <c r="GY1020" s="6"/>
      <c r="GZ1020" s="6"/>
      <c r="HA1020" s="6"/>
      <c r="HB1020" s="6"/>
      <c r="HC1020" s="6"/>
      <c r="HD1020" s="6"/>
      <c r="HE1020" s="6"/>
      <c r="HF1020" s="6"/>
      <c r="HG1020" s="6"/>
      <c r="HH1020" s="6"/>
    </row>
    <row r="1021" spans="1:216" x14ac:dyDescent="0.3">
      <c r="A1021" s="8"/>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c r="DX1021" s="6"/>
      <c r="DY1021" s="6"/>
      <c r="DZ1021" s="6"/>
      <c r="EA1021" s="6"/>
      <c r="EB1021" s="6"/>
      <c r="EC1021" s="6"/>
      <c r="ED1021" s="6"/>
      <c r="EE1021" s="6"/>
      <c r="EF1021" s="6"/>
      <c r="EG1021" s="6"/>
      <c r="EH1021" s="6"/>
      <c r="EI1021" s="6"/>
      <c r="EJ1021" s="6"/>
      <c r="EK1021" s="6"/>
      <c r="EL1021" s="6"/>
      <c r="EM1021" s="6"/>
      <c r="EN1021" s="6"/>
      <c r="EO1021" s="6"/>
      <c r="EP1021" s="6"/>
      <c r="EQ1021" s="6"/>
      <c r="ER1021" s="6"/>
      <c r="ES1021" s="6"/>
      <c r="ET1021" s="6"/>
      <c r="EU1021" s="6"/>
      <c r="EV1021" s="6"/>
      <c r="EW1021" s="6"/>
      <c r="EX1021" s="6"/>
      <c r="EY1021" s="6"/>
      <c r="EZ1021" s="6"/>
      <c r="FA1021" s="6"/>
      <c r="FB1021" s="6"/>
      <c r="FC1021" s="6"/>
      <c r="FD1021" s="6"/>
      <c r="FE1021" s="6"/>
      <c r="FF1021" s="6"/>
      <c r="FG1021" s="6"/>
      <c r="FH1021" s="6"/>
      <c r="FI1021" s="6"/>
      <c r="FJ1021" s="6"/>
      <c r="FK1021" s="6"/>
      <c r="FL1021" s="6"/>
      <c r="FM1021" s="6"/>
      <c r="FN1021" s="6"/>
      <c r="FO1021" s="6"/>
      <c r="FP1021" s="6"/>
      <c r="FQ1021" s="6"/>
      <c r="FR1021" s="6"/>
      <c r="FS1021" s="6"/>
      <c r="FT1021" s="6"/>
      <c r="FU1021" s="6"/>
      <c r="FV1021" s="6"/>
      <c r="FW1021" s="6"/>
      <c r="FX1021" s="6"/>
      <c r="FY1021" s="6"/>
      <c r="FZ1021" s="6"/>
      <c r="GA1021" s="6"/>
      <c r="GB1021" s="6"/>
      <c r="GC1021" s="6"/>
      <c r="GD1021" s="6"/>
      <c r="GE1021" s="6"/>
      <c r="GF1021" s="6"/>
      <c r="GG1021" s="6"/>
      <c r="GH1021" s="6"/>
      <c r="GI1021" s="6"/>
      <c r="GJ1021" s="6"/>
      <c r="GK1021" s="6"/>
      <c r="GL1021" s="6"/>
      <c r="GM1021" s="6"/>
      <c r="GN1021" s="6"/>
      <c r="GO1021" s="6"/>
      <c r="GP1021" s="6"/>
      <c r="GQ1021" s="6"/>
      <c r="GR1021" s="6"/>
      <c r="GS1021" s="6"/>
      <c r="GT1021" s="6"/>
      <c r="GU1021" s="6"/>
      <c r="GV1021" s="6"/>
      <c r="GW1021" s="6"/>
      <c r="GX1021" s="6"/>
      <c r="GY1021" s="6"/>
      <c r="GZ1021" s="6"/>
      <c r="HA1021" s="6"/>
      <c r="HB1021" s="6"/>
      <c r="HC1021" s="6"/>
      <c r="HD1021" s="6"/>
      <c r="HE1021" s="6"/>
      <c r="HF1021" s="6"/>
      <c r="HG1021" s="6"/>
      <c r="HH1021" s="6"/>
    </row>
    <row r="1022" spans="1:216" x14ac:dyDescent="0.3">
      <c r="A1022" s="8"/>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c r="DX1022" s="6"/>
      <c r="DY1022" s="6"/>
      <c r="DZ1022" s="6"/>
      <c r="EA1022" s="6"/>
      <c r="EB1022" s="6"/>
      <c r="EC1022" s="6"/>
      <c r="ED1022" s="6"/>
      <c r="EE1022" s="6"/>
      <c r="EF1022" s="6"/>
      <c r="EG1022" s="6"/>
      <c r="EH1022" s="6"/>
      <c r="EI1022" s="6"/>
      <c r="EJ1022" s="6"/>
      <c r="EK1022" s="6"/>
      <c r="EL1022" s="6"/>
      <c r="EM1022" s="6"/>
      <c r="EN1022" s="6"/>
      <c r="EO1022" s="6"/>
      <c r="EP1022" s="6"/>
      <c r="EQ1022" s="6"/>
      <c r="ER1022" s="6"/>
      <c r="ES1022" s="6"/>
      <c r="ET1022" s="6"/>
      <c r="EU1022" s="6"/>
      <c r="EV1022" s="6"/>
      <c r="EW1022" s="6"/>
      <c r="EX1022" s="6"/>
      <c r="EY1022" s="6"/>
      <c r="EZ1022" s="6"/>
      <c r="FA1022" s="6"/>
      <c r="FB1022" s="6"/>
      <c r="FC1022" s="6"/>
      <c r="FD1022" s="6"/>
      <c r="FE1022" s="6"/>
      <c r="FF1022" s="6"/>
      <c r="FG1022" s="6"/>
      <c r="FH1022" s="6"/>
      <c r="FI1022" s="6"/>
      <c r="FJ1022" s="6"/>
      <c r="FK1022" s="6"/>
      <c r="FL1022" s="6"/>
      <c r="FM1022" s="6"/>
      <c r="FN1022" s="6"/>
      <c r="FO1022" s="6"/>
      <c r="FP1022" s="6"/>
      <c r="FQ1022" s="6"/>
      <c r="FR1022" s="6"/>
      <c r="FS1022" s="6"/>
      <c r="FT1022" s="6"/>
      <c r="FU1022" s="6"/>
      <c r="FV1022" s="6"/>
      <c r="FW1022" s="6"/>
      <c r="FX1022" s="6"/>
      <c r="FY1022" s="6"/>
      <c r="FZ1022" s="6"/>
      <c r="GA1022" s="6"/>
      <c r="GB1022" s="6"/>
      <c r="GC1022" s="6"/>
      <c r="GD1022" s="6"/>
      <c r="GE1022" s="6"/>
      <c r="GF1022" s="6"/>
      <c r="GG1022" s="6"/>
      <c r="GH1022" s="6"/>
      <c r="GI1022" s="6"/>
      <c r="GJ1022" s="6"/>
      <c r="GK1022" s="6"/>
      <c r="GL1022" s="6"/>
      <c r="GM1022" s="6"/>
      <c r="GN1022" s="6"/>
      <c r="GO1022" s="6"/>
      <c r="GP1022" s="6"/>
      <c r="GQ1022" s="6"/>
      <c r="GR1022" s="6"/>
      <c r="GS1022" s="6"/>
      <c r="GT1022" s="6"/>
      <c r="GU1022" s="6"/>
      <c r="GV1022" s="6"/>
      <c r="GW1022" s="6"/>
      <c r="GX1022" s="6"/>
      <c r="GY1022" s="6"/>
      <c r="GZ1022" s="6"/>
      <c r="HA1022" s="6"/>
      <c r="HB1022" s="6"/>
      <c r="HC1022" s="6"/>
      <c r="HD1022" s="6"/>
      <c r="HE1022" s="6"/>
      <c r="HF1022" s="6"/>
      <c r="HG1022" s="6"/>
      <c r="HH1022" s="6"/>
    </row>
    <row r="1023" spans="1:216" x14ac:dyDescent="0.3">
      <c r="A1023" s="8"/>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6"/>
      <c r="AR1023" s="6"/>
      <c r="AS1023" s="6"/>
      <c r="AT1023" s="6"/>
      <c r="AU1023" s="6"/>
      <c r="AV1023" s="6"/>
      <c r="AW1023" s="6"/>
      <c r="AX1023" s="6"/>
      <c r="AY1023" s="6"/>
      <c r="AZ1023" s="6"/>
      <c r="BA1023" s="6"/>
      <c r="BB1023" s="6"/>
      <c r="BC1023" s="6"/>
      <c r="BD1023" s="6"/>
      <c r="BE1023" s="6"/>
      <c r="BF1023" s="6"/>
      <c r="BG1023" s="6"/>
      <c r="BH1023" s="6"/>
      <c r="BI1023" s="6"/>
      <c r="BJ1023" s="6"/>
      <c r="BK1023" s="6"/>
      <c r="BL1023" s="6"/>
      <c r="BM1023" s="6"/>
      <c r="BN1023" s="6"/>
      <c r="BO1023" s="6"/>
      <c r="BP1023" s="6"/>
      <c r="BQ1023" s="6"/>
      <c r="BR1023" s="6"/>
      <c r="BS1023" s="6"/>
      <c r="BT1023" s="6"/>
      <c r="BU1023" s="6"/>
      <c r="BV1023" s="6"/>
      <c r="BW1023" s="6"/>
      <c r="BX1023" s="6"/>
      <c r="BY1023" s="6"/>
      <c r="BZ1023" s="6"/>
      <c r="CA1023" s="6"/>
      <c r="CB1023" s="6"/>
      <c r="CC1023" s="6"/>
      <c r="CD1023" s="6"/>
      <c r="CE1023" s="6"/>
      <c r="CF1023" s="6"/>
      <c r="CG1023" s="6"/>
      <c r="CH1023" s="6"/>
      <c r="CI1023" s="6"/>
      <c r="CJ1023" s="6"/>
      <c r="CK1023" s="6"/>
      <c r="CL1023" s="6"/>
      <c r="CM1023" s="6"/>
      <c r="CN1023" s="6"/>
      <c r="CO1023" s="6"/>
      <c r="CP1023" s="6"/>
      <c r="CQ1023" s="6"/>
      <c r="CR1023" s="6"/>
      <c r="CS1023" s="6"/>
      <c r="CT1023" s="6"/>
      <c r="CU1023" s="6"/>
      <c r="CV1023" s="6"/>
      <c r="CW1023" s="6"/>
      <c r="CX1023" s="6"/>
      <c r="CY1023" s="6"/>
      <c r="CZ1023" s="6"/>
      <c r="DA1023" s="6"/>
      <c r="DB1023" s="6"/>
      <c r="DC1023" s="6"/>
      <c r="DD1023" s="6"/>
      <c r="DE1023" s="6"/>
      <c r="DF1023" s="6"/>
      <c r="DG1023" s="6"/>
      <c r="DH1023" s="6"/>
      <c r="DI1023" s="6"/>
      <c r="DJ1023" s="6"/>
      <c r="DK1023" s="6"/>
      <c r="DL1023" s="6"/>
      <c r="DM1023" s="6"/>
      <c r="DN1023" s="6"/>
      <c r="DO1023" s="6"/>
      <c r="DP1023" s="6"/>
      <c r="DQ1023" s="6"/>
      <c r="DR1023" s="6"/>
      <c r="DS1023" s="6"/>
      <c r="DT1023" s="6"/>
      <c r="DU1023" s="6"/>
      <c r="DV1023" s="6"/>
      <c r="DW1023" s="6"/>
      <c r="DX1023" s="6"/>
      <c r="DY1023" s="6"/>
      <c r="DZ1023" s="6"/>
      <c r="EA1023" s="6"/>
      <c r="EB1023" s="6"/>
      <c r="EC1023" s="6"/>
      <c r="ED1023" s="6"/>
      <c r="EE1023" s="6"/>
      <c r="EF1023" s="6"/>
      <c r="EG1023" s="6"/>
      <c r="EH1023" s="6"/>
      <c r="EI1023" s="6"/>
      <c r="EJ1023" s="6"/>
      <c r="EK1023" s="6"/>
      <c r="EL1023" s="6"/>
      <c r="EM1023" s="6"/>
      <c r="EN1023" s="6"/>
      <c r="EO1023" s="6"/>
      <c r="EP1023" s="6"/>
      <c r="EQ1023" s="6"/>
      <c r="ER1023" s="6"/>
      <c r="ES1023" s="6"/>
      <c r="ET1023" s="6"/>
      <c r="EU1023" s="6"/>
      <c r="EV1023" s="6"/>
      <c r="EW1023" s="6"/>
      <c r="EX1023" s="6"/>
      <c r="EY1023" s="6"/>
      <c r="EZ1023" s="6"/>
      <c r="FA1023" s="6"/>
      <c r="FB1023" s="6"/>
      <c r="FC1023" s="6"/>
      <c r="FD1023" s="6"/>
      <c r="FE1023" s="6"/>
      <c r="FF1023" s="6"/>
      <c r="FG1023" s="6"/>
      <c r="FH1023" s="6"/>
      <c r="FI1023" s="6"/>
      <c r="FJ1023" s="6"/>
      <c r="FK1023" s="6"/>
      <c r="FL1023" s="6"/>
      <c r="FM1023" s="6"/>
      <c r="FN1023" s="6"/>
      <c r="FO1023" s="6"/>
      <c r="FP1023" s="6"/>
      <c r="FQ1023" s="6"/>
      <c r="FR1023" s="6"/>
      <c r="FS1023" s="6"/>
      <c r="FT1023" s="6"/>
      <c r="FU1023" s="6"/>
      <c r="FV1023" s="6"/>
      <c r="FW1023" s="6"/>
      <c r="FX1023" s="6"/>
      <c r="FY1023" s="6"/>
      <c r="FZ1023" s="6"/>
      <c r="GA1023" s="6"/>
      <c r="GB1023" s="6"/>
      <c r="GC1023" s="6"/>
      <c r="GD1023" s="6"/>
      <c r="GE1023" s="6"/>
      <c r="GF1023" s="6"/>
      <c r="GG1023" s="6"/>
      <c r="GH1023" s="6"/>
      <c r="GI1023" s="6"/>
      <c r="GJ1023" s="6"/>
      <c r="GK1023" s="6"/>
      <c r="GL1023" s="6"/>
      <c r="GM1023" s="6"/>
      <c r="GN1023" s="6"/>
      <c r="GO1023" s="6"/>
      <c r="GP1023" s="6"/>
      <c r="GQ1023" s="6"/>
      <c r="GR1023" s="6"/>
      <c r="GS1023" s="6"/>
      <c r="GT1023" s="6"/>
      <c r="GU1023" s="6"/>
      <c r="GV1023" s="6"/>
      <c r="GW1023" s="6"/>
      <c r="GX1023" s="6"/>
      <c r="GY1023" s="6"/>
      <c r="GZ1023" s="6"/>
      <c r="HA1023" s="6"/>
      <c r="HB1023" s="6"/>
      <c r="HC1023" s="6"/>
      <c r="HD1023" s="6"/>
      <c r="HE1023" s="6"/>
      <c r="HF1023" s="6"/>
      <c r="HG1023" s="6"/>
      <c r="HH1023" s="6"/>
    </row>
    <row r="1024" spans="1:216" x14ac:dyDescent="0.3">
      <c r="A1024" s="8"/>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6"/>
      <c r="AR1024" s="6"/>
      <c r="AS1024" s="6"/>
      <c r="AT1024" s="6"/>
      <c r="AU1024" s="6"/>
      <c r="AV1024" s="6"/>
      <c r="AW1024" s="6"/>
      <c r="AX1024" s="6"/>
      <c r="AY1024" s="6"/>
      <c r="AZ1024" s="6"/>
      <c r="BA1024" s="6"/>
      <c r="BB1024" s="6"/>
      <c r="BC1024" s="6"/>
      <c r="BD1024" s="6"/>
      <c r="BE1024" s="6"/>
      <c r="BF1024" s="6"/>
      <c r="BG1024" s="6"/>
      <c r="BH1024" s="6"/>
      <c r="BI1024" s="6"/>
      <c r="BJ1024" s="6"/>
      <c r="BK1024" s="6"/>
      <c r="BL1024" s="6"/>
      <c r="BM1024" s="6"/>
      <c r="BN1024" s="6"/>
      <c r="BO1024" s="6"/>
      <c r="BP1024" s="6"/>
      <c r="BQ1024" s="6"/>
      <c r="BR1024" s="6"/>
      <c r="BS1024" s="6"/>
      <c r="BT1024" s="6"/>
      <c r="BU1024" s="6"/>
      <c r="BV1024" s="6"/>
      <c r="BW1024" s="6"/>
      <c r="BX1024" s="6"/>
      <c r="BY1024" s="6"/>
      <c r="BZ1024" s="6"/>
      <c r="CA1024" s="6"/>
      <c r="CB1024" s="6"/>
      <c r="CC1024" s="6"/>
      <c r="CD1024" s="6"/>
      <c r="CE1024" s="6"/>
      <c r="CF1024" s="6"/>
      <c r="CG1024" s="6"/>
      <c r="CH1024" s="6"/>
      <c r="CI1024" s="6"/>
      <c r="CJ1024" s="6"/>
      <c r="CK1024" s="6"/>
      <c r="CL1024" s="6"/>
      <c r="CM1024" s="6"/>
      <c r="CN1024" s="6"/>
      <c r="CO1024" s="6"/>
      <c r="CP1024" s="6"/>
      <c r="CQ1024" s="6"/>
      <c r="CR1024" s="6"/>
      <c r="CS1024" s="6"/>
      <c r="CT1024" s="6"/>
      <c r="CU1024" s="6"/>
      <c r="CV1024" s="6"/>
      <c r="CW1024" s="6"/>
      <c r="CX1024" s="6"/>
      <c r="CY1024" s="6"/>
      <c r="CZ1024" s="6"/>
      <c r="DA1024" s="6"/>
      <c r="DB1024" s="6"/>
      <c r="DC1024" s="6"/>
      <c r="DD1024" s="6"/>
      <c r="DE1024" s="6"/>
      <c r="DF1024" s="6"/>
      <c r="DG1024" s="6"/>
      <c r="DH1024" s="6"/>
      <c r="DI1024" s="6"/>
      <c r="DJ1024" s="6"/>
      <c r="DK1024" s="6"/>
      <c r="DL1024" s="6"/>
      <c r="DM1024" s="6"/>
      <c r="DN1024" s="6"/>
      <c r="DO1024" s="6"/>
      <c r="DP1024" s="6"/>
      <c r="DQ1024" s="6"/>
      <c r="DR1024" s="6"/>
      <c r="DS1024" s="6"/>
      <c r="DT1024" s="6"/>
      <c r="DU1024" s="6"/>
      <c r="DV1024" s="6"/>
      <c r="DW1024" s="6"/>
      <c r="DX1024" s="6"/>
      <c r="DY1024" s="6"/>
      <c r="DZ1024" s="6"/>
      <c r="EA1024" s="6"/>
      <c r="EB1024" s="6"/>
      <c r="EC1024" s="6"/>
      <c r="ED1024" s="6"/>
      <c r="EE1024" s="6"/>
      <c r="EF1024" s="6"/>
      <c r="EG1024" s="6"/>
      <c r="EH1024" s="6"/>
      <c r="EI1024" s="6"/>
      <c r="EJ1024" s="6"/>
      <c r="EK1024" s="6"/>
      <c r="EL1024" s="6"/>
      <c r="EM1024" s="6"/>
      <c r="EN1024" s="6"/>
      <c r="EO1024" s="6"/>
      <c r="EP1024" s="6"/>
      <c r="EQ1024" s="6"/>
      <c r="ER1024" s="6"/>
      <c r="ES1024" s="6"/>
      <c r="ET1024" s="6"/>
      <c r="EU1024" s="6"/>
      <c r="EV1024" s="6"/>
      <c r="EW1024" s="6"/>
      <c r="EX1024" s="6"/>
      <c r="EY1024" s="6"/>
      <c r="EZ1024" s="6"/>
      <c r="FA1024" s="6"/>
      <c r="FB1024" s="6"/>
      <c r="FC1024" s="6"/>
      <c r="FD1024" s="6"/>
      <c r="FE1024" s="6"/>
      <c r="FF1024" s="6"/>
      <c r="FG1024" s="6"/>
      <c r="FH1024" s="6"/>
      <c r="FI1024" s="6"/>
      <c r="FJ1024" s="6"/>
      <c r="FK1024" s="6"/>
      <c r="FL1024" s="6"/>
      <c r="FM1024" s="6"/>
      <c r="FN1024" s="6"/>
      <c r="FO1024" s="6"/>
      <c r="FP1024" s="6"/>
      <c r="FQ1024" s="6"/>
      <c r="FR1024" s="6"/>
      <c r="FS1024" s="6"/>
      <c r="FT1024" s="6"/>
      <c r="FU1024" s="6"/>
      <c r="FV1024" s="6"/>
      <c r="FW1024" s="6"/>
      <c r="FX1024" s="6"/>
      <c r="FY1024" s="6"/>
      <c r="FZ1024" s="6"/>
      <c r="GA1024" s="6"/>
      <c r="GB1024" s="6"/>
      <c r="GC1024" s="6"/>
      <c r="GD1024" s="6"/>
      <c r="GE1024" s="6"/>
      <c r="GF1024" s="6"/>
      <c r="GG1024" s="6"/>
      <c r="GH1024" s="6"/>
      <c r="GI1024" s="6"/>
      <c r="GJ1024" s="6"/>
      <c r="GK1024" s="6"/>
      <c r="GL1024" s="6"/>
      <c r="GM1024" s="6"/>
      <c r="GN1024" s="6"/>
      <c r="GO1024" s="6"/>
      <c r="GP1024" s="6"/>
      <c r="GQ1024" s="6"/>
      <c r="GR1024" s="6"/>
      <c r="GS1024" s="6"/>
      <c r="GT1024" s="6"/>
      <c r="GU1024" s="6"/>
      <c r="GV1024" s="6"/>
      <c r="GW1024" s="6"/>
      <c r="GX1024" s="6"/>
      <c r="GY1024" s="6"/>
      <c r="GZ1024" s="6"/>
      <c r="HA1024" s="6"/>
      <c r="HB1024" s="6"/>
      <c r="HC1024" s="6"/>
      <c r="HD1024" s="6"/>
      <c r="HE1024" s="6"/>
      <c r="HF1024" s="6"/>
      <c r="HG1024" s="6"/>
      <c r="HH1024" s="6"/>
    </row>
    <row r="1025" spans="1:216" x14ac:dyDescent="0.3">
      <c r="A1025" s="8"/>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6"/>
      <c r="AR1025" s="6"/>
      <c r="AS1025" s="6"/>
      <c r="AT1025" s="6"/>
      <c r="AU1025" s="6"/>
      <c r="AV1025" s="6"/>
      <c r="AW1025" s="6"/>
      <c r="AX1025" s="6"/>
      <c r="AY1025" s="6"/>
      <c r="AZ1025" s="6"/>
      <c r="BA1025" s="6"/>
      <c r="BB1025" s="6"/>
      <c r="BC1025" s="6"/>
      <c r="BD1025" s="6"/>
      <c r="BE1025" s="6"/>
      <c r="BF1025" s="6"/>
      <c r="BG1025" s="6"/>
      <c r="BH1025" s="6"/>
      <c r="BI1025" s="6"/>
      <c r="BJ1025" s="6"/>
      <c r="BK1025" s="6"/>
      <c r="BL1025" s="6"/>
      <c r="BM1025" s="6"/>
      <c r="BN1025" s="6"/>
      <c r="BO1025" s="6"/>
      <c r="BP1025" s="6"/>
      <c r="BQ1025" s="6"/>
      <c r="BR1025" s="6"/>
      <c r="BS1025" s="6"/>
      <c r="BT1025" s="6"/>
      <c r="BU1025" s="6"/>
      <c r="BV1025" s="6"/>
      <c r="BW1025" s="6"/>
      <c r="BX1025" s="6"/>
      <c r="BY1025" s="6"/>
      <c r="BZ1025" s="6"/>
      <c r="CA1025" s="6"/>
      <c r="CB1025" s="6"/>
      <c r="CC1025" s="6"/>
      <c r="CD1025" s="6"/>
      <c r="CE1025" s="6"/>
      <c r="CF1025" s="6"/>
      <c r="CG1025" s="6"/>
      <c r="CH1025" s="6"/>
      <c r="CI1025" s="6"/>
      <c r="CJ1025" s="6"/>
      <c r="CK1025" s="6"/>
      <c r="CL1025" s="6"/>
      <c r="CM1025" s="6"/>
      <c r="CN1025" s="6"/>
      <c r="CO1025" s="6"/>
      <c r="CP1025" s="6"/>
      <c r="CQ1025" s="6"/>
      <c r="CR1025" s="6"/>
      <c r="CS1025" s="6"/>
      <c r="CT1025" s="6"/>
      <c r="CU1025" s="6"/>
      <c r="CV1025" s="6"/>
      <c r="CW1025" s="6"/>
      <c r="CX1025" s="6"/>
      <c r="CY1025" s="6"/>
      <c r="CZ1025" s="6"/>
      <c r="DA1025" s="6"/>
      <c r="DB1025" s="6"/>
      <c r="DC1025" s="6"/>
      <c r="DD1025" s="6"/>
      <c r="DE1025" s="6"/>
      <c r="DF1025" s="6"/>
      <c r="DG1025" s="6"/>
      <c r="DH1025" s="6"/>
      <c r="DI1025" s="6"/>
      <c r="DJ1025" s="6"/>
      <c r="DK1025" s="6"/>
      <c r="DL1025" s="6"/>
      <c r="DM1025" s="6"/>
      <c r="DN1025" s="6"/>
      <c r="DO1025" s="6"/>
      <c r="DP1025" s="6"/>
      <c r="DQ1025" s="6"/>
      <c r="DR1025" s="6"/>
      <c r="DS1025" s="6"/>
      <c r="DT1025" s="6"/>
      <c r="DU1025" s="6"/>
      <c r="DV1025" s="6"/>
      <c r="DW1025" s="6"/>
      <c r="DX1025" s="6"/>
      <c r="DY1025" s="6"/>
      <c r="DZ1025" s="6"/>
      <c r="EA1025" s="6"/>
      <c r="EB1025" s="6"/>
      <c r="EC1025" s="6"/>
      <c r="ED1025" s="6"/>
      <c r="EE1025" s="6"/>
      <c r="EF1025" s="6"/>
      <c r="EG1025" s="6"/>
      <c r="EH1025" s="6"/>
      <c r="EI1025" s="6"/>
      <c r="EJ1025" s="6"/>
      <c r="EK1025" s="6"/>
      <c r="EL1025" s="6"/>
      <c r="EM1025" s="6"/>
      <c r="EN1025" s="6"/>
      <c r="EO1025" s="6"/>
      <c r="EP1025" s="6"/>
      <c r="EQ1025" s="6"/>
      <c r="ER1025" s="6"/>
      <c r="ES1025" s="6"/>
      <c r="ET1025" s="6"/>
      <c r="EU1025" s="6"/>
      <c r="EV1025" s="6"/>
      <c r="EW1025" s="6"/>
      <c r="EX1025" s="6"/>
      <c r="EY1025" s="6"/>
      <c r="EZ1025" s="6"/>
      <c r="FA1025" s="6"/>
      <c r="FB1025" s="6"/>
      <c r="FC1025" s="6"/>
      <c r="FD1025" s="6"/>
      <c r="FE1025" s="6"/>
      <c r="FF1025" s="6"/>
      <c r="FG1025" s="6"/>
      <c r="FH1025" s="6"/>
      <c r="FI1025" s="6"/>
      <c r="FJ1025" s="6"/>
      <c r="FK1025" s="6"/>
      <c r="FL1025" s="6"/>
      <c r="FM1025" s="6"/>
      <c r="FN1025" s="6"/>
      <c r="FO1025" s="6"/>
      <c r="FP1025" s="6"/>
      <c r="FQ1025" s="6"/>
      <c r="FR1025" s="6"/>
      <c r="FS1025" s="6"/>
      <c r="FT1025" s="6"/>
      <c r="FU1025" s="6"/>
      <c r="FV1025" s="6"/>
      <c r="FW1025" s="6"/>
      <c r="FX1025" s="6"/>
      <c r="FY1025" s="6"/>
      <c r="FZ1025" s="6"/>
      <c r="GA1025" s="6"/>
      <c r="GB1025" s="6"/>
      <c r="GC1025" s="6"/>
      <c r="GD1025" s="6"/>
      <c r="GE1025" s="6"/>
      <c r="GF1025" s="6"/>
      <c r="GG1025" s="6"/>
      <c r="GH1025" s="6"/>
      <c r="GI1025" s="6"/>
      <c r="GJ1025" s="6"/>
      <c r="GK1025" s="6"/>
      <c r="GL1025" s="6"/>
      <c r="GM1025" s="6"/>
      <c r="GN1025" s="6"/>
      <c r="GO1025" s="6"/>
      <c r="GP1025" s="6"/>
      <c r="GQ1025" s="6"/>
      <c r="GR1025" s="6"/>
      <c r="GS1025" s="6"/>
      <c r="GT1025" s="6"/>
      <c r="GU1025" s="6"/>
      <c r="GV1025" s="6"/>
      <c r="GW1025" s="6"/>
      <c r="GX1025" s="6"/>
      <c r="GY1025" s="6"/>
      <c r="GZ1025" s="6"/>
      <c r="HA1025" s="6"/>
      <c r="HB1025" s="6"/>
      <c r="HC1025" s="6"/>
      <c r="HD1025" s="6"/>
      <c r="HE1025" s="6"/>
      <c r="HF1025" s="6"/>
      <c r="HG1025" s="6"/>
      <c r="HH1025" s="6"/>
    </row>
    <row r="1026" spans="1:216" x14ac:dyDescent="0.3">
      <c r="A1026" s="8"/>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6"/>
      <c r="AR1026" s="6"/>
      <c r="AS1026" s="6"/>
      <c r="AT1026" s="6"/>
      <c r="AU1026" s="6"/>
      <c r="AV1026" s="6"/>
      <c r="AW1026" s="6"/>
      <c r="AX1026" s="6"/>
      <c r="AY1026" s="6"/>
      <c r="AZ1026" s="6"/>
      <c r="BA1026" s="6"/>
      <c r="BB1026" s="6"/>
      <c r="BC1026" s="6"/>
      <c r="BD1026" s="6"/>
      <c r="BE1026" s="6"/>
      <c r="BF1026" s="6"/>
      <c r="BG1026" s="6"/>
      <c r="BH1026" s="6"/>
      <c r="BI1026" s="6"/>
      <c r="BJ1026" s="6"/>
      <c r="BK1026" s="6"/>
      <c r="BL1026" s="6"/>
      <c r="BM1026" s="6"/>
      <c r="BN1026" s="6"/>
      <c r="BO1026" s="6"/>
      <c r="BP1026" s="6"/>
      <c r="BQ1026" s="6"/>
      <c r="BR1026" s="6"/>
      <c r="BS1026" s="6"/>
      <c r="BT1026" s="6"/>
      <c r="BU1026" s="6"/>
      <c r="BV1026" s="6"/>
      <c r="BW1026" s="6"/>
      <c r="BX1026" s="6"/>
      <c r="BY1026" s="6"/>
      <c r="BZ1026" s="6"/>
      <c r="CA1026" s="6"/>
      <c r="CB1026" s="6"/>
      <c r="CC1026" s="6"/>
      <c r="CD1026" s="6"/>
      <c r="CE1026" s="6"/>
      <c r="CF1026" s="6"/>
      <c r="CG1026" s="6"/>
      <c r="CH1026" s="6"/>
      <c r="CI1026" s="6"/>
      <c r="CJ1026" s="6"/>
      <c r="CK1026" s="6"/>
      <c r="CL1026" s="6"/>
      <c r="CM1026" s="6"/>
      <c r="CN1026" s="6"/>
      <c r="CO1026" s="6"/>
      <c r="CP1026" s="6"/>
      <c r="CQ1026" s="6"/>
      <c r="CR1026" s="6"/>
      <c r="CS1026" s="6"/>
      <c r="CT1026" s="6"/>
      <c r="CU1026" s="6"/>
      <c r="CV1026" s="6"/>
      <c r="CW1026" s="6"/>
      <c r="CX1026" s="6"/>
      <c r="CY1026" s="6"/>
      <c r="CZ1026" s="6"/>
      <c r="DA1026" s="6"/>
      <c r="DB1026" s="6"/>
      <c r="DC1026" s="6"/>
      <c r="DD1026" s="6"/>
      <c r="DE1026" s="6"/>
      <c r="DF1026" s="6"/>
      <c r="DG1026" s="6"/>
      <c r="DH1026" s="6"/>
      <c r="DI1026" s="6"/>
      <c r="DJ1026" s="6"/>
      <c r="DK1026" s="6"/>
      <c r="DL1026" s="6"/>
      <c r="DM1026" s="6"/>
      <c r="DN1026" s="6"/>
      <c r="DO1026" s="6"/>
      <c r="DP1026" s="6"/>
      <c r="DQ1026" s="6"/>
      <c r="DR1026" s="6"/>
      <c r="DS1026" s="6"/>
      <c r="DT1026" s="6"/>
      <c r="DU1026" s="6"/>
      <c r="DV1026" s="6"/>
      <c r="DW1026" s="6"/>
      <c r="DX1026" s="6"/>
      <c r="DY1026" s="6"/>
      <c r="DZ1026" s="6"/>
      <c r="EA1026" s="6"/>
      <c r="EB1026" s="6"/>
      <c r="EC1026" s="6"/>
      <c r="ED1026" s="6"/>
      <c r="EE1026" s="6"/>
      <c r="EF1026" s="6"/>
      <c r="EG1026" s="6"/>
      <c r="EH1026" s="6"/>
      <c r="EI1026" s="6"/>
      <c r="EJ1026" s="6"/>
      <c r="EK1026" s="6"/>
      <c r="EL1026" s="6"/>
      <c r="EM1026" s="6"/>
      <c r="EN1026" s="6"/>
      <c r="EO1026" s="6"/>
      <c r="EP1026" s="6"/>
      <c r="EQ1026" s="6"/>
      <c r="ER1026" s="6"/>
      <c r="ES1026" s="6"/>
      <c r="ET1026" s="6"/>
      <c r="EU1026" s="6"/>
      <c r="EV1026" s="6"/>
      <c r="EW1026" s="6"/>
      <c r="EX1026" s="6"/>
      <c r="EY1026" s="6"/>
      <c r="EZ1026" s="6"/>
      <c r="FA1026" s="6"/>
      <c r="FB1026" s="6"/>
      <c r="FC1026" s="6"/>
      <c r="FD1026" s="6"/>
      <c r="FE1026" s="6"/>
      <c r="FF1026" s="6"/>
      <c r="FG1026" s="6"/>
      <c r="FH1026" s="6"/>
      <c r="FI1026" s="6"/>
      <c r="FJ1026" s="6"/>
      <c r="FK1026" s="6"/>
      <c r="FL1026" s="6"/>
      <c r="FM1026" s="6"/>
      <c r="FN1026" s="6"/>
      <c r="FO1026" s="6"/>
      <c r="FP1026" s="6"/>
      <c r="FQ1026" s="6"/>
      <c r="FR1026" s="6"/>
      <c r="FS1026" s="6"/>
      <c r="FT1026" s="6"/>
      <c r="FU1026" s="6"/>
      <c r="FV1026" s="6"/>
      <c r="FW1026" s="6"/>
      <c r="FX1026" s="6"/>
      <c r="FY1026" s="6"/>
      <c r="FZ1026" s="6"/>
      <c r="GA1026" s="6"/>
      <c r="GB1026" s="6"/>
      <c r="GC1026" s="6"/>
      <c r="GD1026" s="6"/>
      <c r="GE1026" s="6"/>
      <c r="GF1026" s="6"/>
      <c r="GG1026" s="6"/>
      <c r="GH1026" s="6"/>
      <c r="GI1026" s="6"/>
      <c r="GJ1026" s="6"/>
      <c r="GK1026" s="6"/>
      <c r="GL1026" s="6"/>
      <c r="GM1026" s="6"/>
      <c r="GN1026" s="6"/>
      <c r="GO1026" s="6"/>
      <c r="GP1026" s="6"/>
      <c r="GQ1026" s="6"/>
      <c r="GR1026" s="6"/>
      <c r="GS1026" s="6"/>
      <c r="GT1026" s="6"/>
      <c r="GU1026" s="6"/>
      <c r="GV1026" s="6"/>
      <c r="GW1026" s="6"/>
      <c r="GX1026" s="6"/>
      <c r="GY1026" s="6"/>
      <c r="GZ1026" s="6"/>
      <c r="HA1026" s="6"/>
      <c r="HB1026" s="6"/>
      <c r="HC1026" s="6"/>
      <c r="HD1026" s="6"/>
      <c r="HE1026" s="6"/>
      <c r="HF1026" s="6"/>
      <c r="HG1026" s="6"/>
      <c r="HH1026" s="6"/>
    </row>
    <row r="1027" spans="1:216" x14ac:dyDescent="0.3">
      <c r="A1027" s="8"/>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row>
    <row r="1028" spans="1:216" x14ac:dyDescent="0.3">
      <c r="A1028" s="8"/>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row>
    <row r="1029" spans="1:216" x14ac:dyDescent="0.3">
      <c r="A1029" s="8"/>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6"/>
      <c r="AR1029" s="6"/>
      <c r="AS1029" s="6"/>
      <c r="AT1029" s="6"/>
      <c r="AU1029" s="6"/>
      <c r="AV1029" s="6"/>
      <c r="AW1029" s="6"/>
      <c r="AX1029" s="6"/>
      <c r="AY1029" s="6"/>
      <c r="AZ1029" s="6"/>
      <c r="BA1029" s="6"/>
      <c r="BB1029" s="6"/>
      <c r="BC1029" s="6"/>
      <c r="BD1029" s="6"/>
      <c r="BE1029" s="6"/>
      <c r="BF1029" s="6"/>
      <c r="BG1029" s="6"/>
      <c r="BH1029" s="6"/>
      <c r="BI1029" s="6"/>
      <c r="BJ1029" s="6"/>
      <c r="BK1029" s="6"/>
      <c r="BL1029" s="6"/>
      <c r="BM1029" s="6"/>
      <c r="BN1029" s="6"/>
      <c r="BO1029" s="6"/>
      <c r="BP1029" s="6"/>
      <c r="BQ1029" s="6"/>
      <c r="BR1029" s="6"/>
      <c r="BS1029" s="6"/>
      <c r="BT1029" s="6"/>
      <c r="BU1029" s="6"/>
      <c r="BV1029" s="6"/>
      <c r="BW1029" s="6"/>
      <c r="BX1029" s="6"/>
      <c r="BY1029" s="6"/>
      <c r="BZ1029" s="6"/>
      <c r="CA1029" s="6"/>
      <c r="CB1029" s="6"/>
      <c r="CC1029" s="6"/>
      <c r="CD1029" s="6"/>
      <c r="CE1029" s="6"/>
      <c r="CF1029" s="6"/>
      <c r="CG1029" s="6"/>
      <c r="CH1029" s="6"/>
      <c r="CI1029" s="6"/>
      <c r="CJ1029" s="6"/>
      <c r="CK1029" s="6"/>
      <c r="CL1029" s="6"/>
      <c r="CM1029" s="6"/>
      <c r="CN1029" s="6"/>
      <c r="CO1029" s="6"/>
      <c r="CP1029" s="6"/>
      <c r="CQ1029" s="6"/>
      <c r="CR1029" s="6"/>
      <c r="CS1029" s="6"/>
      <c r="CT1029" s="6"/>
      <c r="CU1029" s="6"/>
      <c r="CV1029" s="6"/>
      <c r="CW1029" s="6"/>
      <c r="CX1029" s="6"/>
      <c r="CY1029" s="6"/>
      <c r="CZ1029" s="6"/>
      <c r="DA1029" s="6"/>
      <c r="DB1029" s="6"/>
      <c r="DC1029" s="6"/>
      <c r="DD1029" s="6"/>
      <c r="DE1029" s="6"/>
      <c r="DF1029" s="6"/>
      <c r="DG1029" s="6"/>
      <c r="DH1029" s="6"/>
      <c r="DI1029" s="6"/>
      <c r="DJ1029" s="6"/>
      <c r="DK1029" s="6"/>
      <c r="DL1029" s="6"/>
      <c r="DM1029" s="6"/>
      <c r="DN1029" s="6"/>
      <c r="DO1029" s="6"/>
      <c r="DP1029" s="6"/>
      <c r="DQ1029" s="6"/>
      <c r="DR1029" s="6"/>
      <c r="DS1029" s="6"/>
      <c r="DT1029" s="6"/>
      <c r="DU1029" s="6"/>
      <c r="DV1029" s="6"/>
      <c r="DW1029" s="6"/>
      <c r="DX1029" s="6"/>
      <c r="DY1029" s="6"/>
      <c r="DZ1029" s="6"/>
      <c r="EA1029" s="6"/>
      <c r="EB1029" s="6"/>
      <c r="EC1029" s="6"/>
      <c r="ED1029" s="6"/>
      <c r="EE1029" s="6"/>
      <c r="EF1029" s="6"/>
      <c r="EG1029" s="6"/>
      <c r="EH1029" s="6"/>
      <c r="EI1029" s="6"/>
      <c r="EJ1029" s="6"/>
      <c r="EK1029" s="6"/>
      <c r="EL1029" s="6"/>
      <c r="EM1029" s="6"/>
      <c r="EN1029" s="6"/>
      <c r="EO1029" s="6"/>
      <c r="EP1029" s="6"/>
      <c r="EQ1029" s="6"/>
      <c r="ER1029" s="6"/>
      <c r="ES1029" s="6"/>
      <c r="ET1029" s="6"/>
      <c r="EU1029" s="6"/>
      <c r="EV1029" s="6"/>
      <c r="EW1029" s="6"/>
      <c r="EX1029" s="6"/>
      <c r="EY1029" s="6"/>
      <c r="EZ1029" s="6"/>
      <c r="FA1029" s="6"/>
      <c r="FB1029" s="6"/>
      <c r="FC1029" s="6"/>
      <c r="FD1029" s="6"/>
      <c r="FE1029" s="6"/>
      <c r="FF1029" s="6"/>
      <c r="FG1029" s="6"/>
      <c r="FH1029" s="6"/>
      <c r="FI1029" s="6"/>
      <c r="FJ1029" s="6"/>
      <c r="FK1029" s="6"/>
      <c r="FL1029" s="6"/>
      <c r="FM1029" s="6"/>
      <c r="FN1029" s="6"/>
      <c r="FO1029" s="6"/>
      <c r="FP1029" s="6"/>
      <c r="FQ1029" s="6"/>
      <c r="FR1029" s="6"/>
      <c r="FS1029" s="6"/>
      <c r="FT1029" s="6"/>
      <c r="FU1029" s="6"/>
      <c r="FV1029" s="6"/>
      <c r="FW1029" s="6"/>
      <c r="FX1029" s="6"/>
      <c r="FY1029" s="6"/>
      <c r="FZ1029" s="6"/>
      <c r="GA1029" s="6"/>
      <c r="GB1029" s="6"/>
      <c r="GC1029" s="6"/>
      <c r="GD1029" s="6"/>
      <c r="GE1029" s="6"/>
      <c r="GF1029" s="6"/>
      <c r="GG1029" s="6"/>
      <c r="GH1029" s="6"/>
      <c r="GI1029" s="6"/>
      <c r="GJ1029" s="6"/>
      <c r="GK1029" s="6"/>
      <c r="GL1029" s="6"/>
      <c r="GM1029" s="6"/>
      <c r="GN1029" s="6"/>
      <c r="GO1029" s="6"/>
      <c r="GP1029" s="6"/>
      <c r="GQ1029" s="6"/>
      <c r="GR1029" s="6"/>
      <c r="GS1029" s="6"/>
      <c r="GT1029" s="6"/>
      <c r="GU1029" s="6"/>
      <c r="GV1029" s="6"/>
      <c r="GW1029" s="6"/>
      <c r="GX1029" s="6"/>
      <c r="GY1029" s="6"/>
      <c r="GZ1029" s="6"/>
      <c r="HA1029" s="6"/>
      <c r="HB1029" s="6"/>
      <c r="HC1029" s="6"/>
      <c r="HD1029" s="6"/>
      <c r="HE1029" s="6"/>
      <c r="HF1029" s="6"/>
      <c r="HG1029" s="6"/>
      <c r="HH1029" s="6"/>
    </row>
    <row r="1030" spans="1:216" x14ac:dyDescent="0.3">
      <c r="A1030" s="8"/>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c r="DX1030" s="6"/>
      <c r="DY1030" s="6"/>
      <c r="DZ1030" s="6"/>
      <c r="EA1030" s="6"/>
      <c r="EB1030" s="6"/>
      <c r="EC1030" s="6"/>
      <c r="ED1030" s="6"/>
      <c r="EE1030" s="6"/>
      <c r="EF1030" s="6"/>
      <c r="EG1030" s="6"/>
      <c r="EH1030" s="6"/>
      <c r="EI1030" s="6"/>
      <c r="EJ1030" s="6"/>
      <c r="EK1030" s="6"/>
      <c r="EL1030" s="6"/>
      <c r="EM1030" s="6"/>
      <c r="EN1030" s="6"/>
      <c r="EO1030" s="6"/>
      <c r="EP1030" s="6"/>
      <c r="EQ1030" s="6"/>
      <c r="ER1030" s="6"/>
      <c r="ES1030" s="6"/>
      <c r="ET1030" s="6"/>
      <c r="EU1030" s="6"/>
      <c r="EV1030" s="6"/>
      <c r="EW1030" s="6"/>
      <c r="EX1030" s="6"/>
      <c r="EY1030" s="6"/>
      <c r="EZ1030" s="6"/>
      <c r="FA1030" s="6"/>
      <c r="FB1030" s="6"/>
      <c r="FC1030" s="6"/>
      <c r="FD1030" s="6"/>
      <c r="FE1030" s="6"/>
      <c r="FF1030" s="6"/>
      <c r="FG1030" s="6"/>
      <c r="FH1030" s="6"/>
      <c r="FI1030" s="6"/>
      <c r="FJ1030" s="6"/>
      <c r="FK1030" s="6"/>
      <c r="FL1030" s="6"/>
      <c r="FM1030" s="6"/>
      <c r="FN1030" s="6"/>
      <c r="FO1030" s="6"/>
      <c r="FP1030" s="6"/>
      <c r="FQ1030" s="6"/>
      <c r="FR1030" s="6"/>
      <c r="FS1030" s="6"/>
      <c r="FT1030" s="6"/>
      <c r="FU1030" s="6"/>
      <c r="FV1030" s="6"/>
      <c r="FW1030" s="6"/>
      <c r="FX1030" s="6"/>
      <c r="FY1030" s="6"/>
      <c r="FZ1030" s="6"/>
      <c r="GA1030" s="6"/>
      <c r="GB1030" s="6"/>
      <c r="GC1030" s="6"/>
      <c r="GD1030" s="6"/>
      <c r="GE1030" s="6"/>
      <c r="GF1030" s="6"/>
      <c r="GG1030" s="6"/>
      <c r="GH1030" s="6"/>
      <c r="GI1030" s="6"/>
      <c r="GJ1030" s="6"/>
      <c r="GK1030" s="6"/>
      <c r="GL1030" s="6"/>
      <c r="GM1030" s="6"/>
      <c r="GN1030" s="6"/>
      <c r="GO1030" s="6"/>
      <c r="GP1030" s="6"/>
      <c r="GQ1030" s="6"/>
      <c r="GR1030" s="6"/>
      <c r="GS1030" s="6"/>
      <c r="GT1030" s="6"/>
      <c r="GU1030" s="6"/>
      <c r="GV1030" s="6"/>
      <c r="GW1030" s="6"/>
      <c r="GX1030" s="6"/>
      <c r="GY1030" s="6"/>
      <c r="GZ1030" s="6"/>
      <c r="HA1030" s="6"/>
      <c r="HB1030" s="6"/>
      <c r="HC1030" s="6"/>
      <c r="HD1030" s="6"/>
      <c r="HE1030" s="6"/>
      <c r="HF1030" s="6"/>
      <c r="HG1030" s="6"/>
      <c r="HH1030" s="6"/>
    </row>
    <row r="1031" spans="1:216" x14ac:dyDescent="0.3">
      <c r="A1031" s="8"/>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6"/>
      <c r="AR1031" s="6"/>
      <c r="AS1031" s="6"/>
      <c r="AT1031" s="6"/>
      <c r="AU1031" s="6"/>
      <c r="AV1031" s="6"/>
      <c r="AW1031" s="6"/>
      <c r="AX1031" s="6"/>
      <c r="AY1031" s="6"/>
      <c r="AZ1031" s="6"/>
      <c r="BA1031" s="6"/>
      <c r="BB1031" s="6"/>
      <c r="BC1031" s="6"/>
      <c r="BD1031" s="6"/>
      <c r="BE1031" s="6"/>
      <c r="BF1031" s="6"/>
      <c r="BG1031" s="6"/>
      <c r="BH1031" s="6"/>
      <c r="BI1031" s="6"/>
      <c r="BJ1031" s="6"/>
      <c r="BK1031" s="6"/>
      <c r="BL1031" s="6"/>
      <c r="BM1031" s="6"/>
      <c r="BN1031" s="6"/>
      <c r="BO1031" s="6"/>
      <c r="BP1031" s="6"/>
      <c r="BQ1031" s="6"/>
      <c r="BR1031" s="6"/>
      <c r="BS1031" s="6"/>
      <c r="BT1031" s="6"/>
      <c r="BU1031" s="6"/>
      <c r="BV1031" s="6"/>
      <c r="BW1031" s="6"/>
      <c r="BX1031" s="6"/>
      <c r="BY1031" s="6"/>
      <c r="BZ1031" s="6"/>
      <c r="CA1031" s="6"/>
      <c r="CB1031" s="6"/>
      <c r="CC1031" s="6"/>
      <c r="CD1031" s="6"/>
      <c r="CE1031" s="6"/>
      <c r="CF1031" s="6"/>
      <c r="CG1031" s="6"/>
      <c r="CH1031" s="6"/>
      <c r="CI1031" s="6"/>
      <c r="CJ1031" s="6"/>
      <c r="CK1031" s="6"/>
      <c r="CL1031" s="6"/>
      <c r="CM1031" s="6"/>
      <c r="CN1031" s="6"/>
      <c r="CO1031" s="6"/>
      <c r="CP1031" s="6"/>
      <c r="CQ1031" s="6"/>
      <c r="CR1031" s="6"/>
      <c r="CS1031" s="6"/>
      <c r="CT1031" s="6"/>
      <c r="CU1031" s="6"/>
      <c r="CV1031" s="6"/>
      <c r="CW1031" s="6"/>
      <c r="CX1031" s="6"/>
      <c r="CY1031" s="6"/>
      <c r="CZ1031" s="6"/>
      <c r="DA1031" s="6"/>
      <c r="DB1031" s="6"/>
      <c r="DC1031" s="6"/>
      <c r="DD1031" s="6"/>
      <c r="DE1031" s="6"/>
      <c r="DF1031" s="6"/>
      <c r="DG1031" s="6"/>
      <c r="DH1031" s="6"/>
      <c r="DI1031" s="6"/>
      <c r="DJ1031" s="6"/>
      <c r="DK1031" s="6"/>
      <c r="DL1031" s="6"/>
      <c r="DM1031" s="6"/>
      <c r="DN1031" s="6"/>
      <c r="DO1031" s="6"/>
      <c r="DP1031" s="6"/>
      <c r="DQ1031" s="6"/>
      <c r="DR1031" s="6"/>
      <c r="DS1031" s="6"/>
      <c r="DT1031" s="6"/>
      <c r="DU1031" s="6"/>
      <c r="DV1031" s="6"/>
      <c r="DW1031" s="6"/>
      <c r="DX1031" s="6"/>
      <c r="DY1031" s="6"/>
      <c r="DZ1031" s="6"/>
      <c r="EA1031" s="6"/>
      <c r="EB1031" s="6"/>
      <c r="EC1031" s="6"/>
      <c r="ED1031" s="6"/>
      <c r="EE1031" s="6"/>
      <c r="EF1031" s="6"/>
      <c r="EG1031" s="6"/>
      <c r="EH1031" s="6"/>
      <c r="EI1031" s="6"/>
      <c r="EJ1031" s="6"/>
      <c r="EK1031" s="6"/>
      <c r="EL1031" s="6"/>
      <c r="EM1031" s="6"/>
      <c r="EN1031" s="6"/>
      <c r="EO1031" s="6"/>
      <c r="EP1031" s="6"/>
      <c r="EQ1031" s="6"/>
      <c r="ER1031" s="6"/>
      <c r="ES1031" s="6"/>
      <c r="ET1031" s="6"/>
      <c r="EU1031" s="6"/>
      <c r="EV1031" s="6"/>
      <c r="EW1031" s="6"/>
      <c r="EX1031" s="6"/>
      <c r="EY1031" s="6"/>
      <c r="EZ1031" s="6"/>
      <c r="FA1031" s="6"/>
      <c r="FB1031" s="6"/>
      <c r="FC1031" s="6"/>
      <c r="FD1031" s="6"/>
      <c r="FE1031" s="6"/>
      <c r="FF1031" s="6"/>
      <c r="FG1031" s="6"/>
      <c r="FH1031" s="6"/>
      <c r="FI1031" s="6"/>
      <c r="FJ1031" s="6"/>
      <c r="FK1031" s="6"/>
      <c r="FL1031" s="6"/>
      <c r="FM1031" s="6"/>
      <c r="FN1031" s="6"/>
      <c r="FO1031" s="6"/>
      <c r="FP1031" s="6"/>
      <c r="FQ1031" s="6"/>
      <c r="FR1031" s="6"/>
      <c r="FS1031" s="6"/>
      <c r="FT1031" s="6"/>
      <c r="FU1031" s="6"/>
      <c r="FV1031" s="6"/>
      <c r="FW1031" s="6"/>
      <c r="FX1031" s="6"/>
      <c r="FY1031" s="6"/>
      <c r="FZ1031" s="6"/>
      <c r="GA1031" s="6"/>
      <c r="GB1031" s="6"/>
      <c r="GC1031" s="6"/>
      <c r="GD1031" s="6"/>
      <c r="GE1031" s="6"/>
      <c r="GF1031" s="6"/>
      <c r="GG1031" s="6"/>
      <c r="GH1031" s="6"/>
      <c r="GI1031" s="6"/>
      <c r="GJ1031" s="6"/>
      <c r="GK1031" s="6"/>
      <c r="GL1031" s="6"/>
      <c r="GM1031" s="6"/>
      <c r="GN1031" s="6"/>
      <c r="GO1031" s="6"/>
      <c r="GP1031" s="6"/>
      <c r="GQ1031" s="6"/>
      <c r="GR1031" s="6"/>
      <c r="GS1031" s="6"/>
      <c r="GT1031" s="6"/>
      <c r="GU1031" s="6"/>
      <c r="GV1031" s="6"/>
      <c r="GW1031" s="6"/>
      <c r="GX1031" s="6"/>
      <c r="GY1031" s="6"/>
      <c r="GZ1031" s="6"/>
      <c r="HA1031" s="6"/>
      <c r="HB1031" s="6"/>
      <c r="HC1031" s="6"/>
      <c r="HD1031" s="6"/>
      <c r="HE1031" s="6"/>
      <c r="HF1031" s="6"/>
      <c r="HG1031" s="6"/>
      <c r="HH1031" s="6"/>
    </row>
    <row r="1032" spans="1:216" x14ac:dyDescent="0.3">
      <c r="A1032" s="8"/>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row>
    <row r="1033" spans="1:216" x14ac:dyDescent="0.3">
      <c r="A1033" s="8"/>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row>
    <row r="1034" spans="1:216" x14ac:dyDescent="0.3">
      <c r="A1034" s="8"/>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c r="DX1034" s="6"/>
      <c r="DY1034" s="6"/>
      <c r="DZ1034" s="6"/>
      <c r="EA1034" s="6"/>
      <c r="EB1034" s="6"/>
      <c r="EC1034" s="6"/>
      <c r="ED1034" s="6"/>
      <c r="EE1034" s="6"/>
      <c r="EF1034" s="6"/>
      <c r="EG1034" s="6"/>
      <c r="EH1034" s="6"/>
      <c r="EI1034" s="6"/>
      <c r="EJ1034" s="6"/>
      <c r="EK1034" s="6"/>
      <c r="EL1034" s="6"/>
      <c r="EM1034" s="6"/>
      <c r="EN1034" s="6"/>
      <c r="EO1034" s="6"/>
      <c r="EP1034" s="6"/>
      <c r="EQ1034" s="6"/>
      <c r="ER1034" s="6"/>
      <c r="ES1034" s="6"/>
      <c r="ET1034" s="6"/>
      <c r="EU1034" s="6"/>
      <c r="EV1034" s="6"/>
      <c r="EW1034" s="6"/>
      <c r="EX1034" s="6"/>
      <c r="EY1034" s="6"/>
      <c r="EZ1034" s="6"/>
      <c r="FA1034" s="6"/>
      <c r="FB1034" s="6"/>
      <c r="FC1034" s="6"/>
      <c r="FD1034" s="6"/>
      <c r="FE1034" s="6"/>
      <c r="FF1034" s="6"/>
      <c r="FG1034" s="6"/>
      <c r="FH1034" s="6"/>
      <c r="FI1034" s="6"/>
      <c r="FJ1034" s="6"/>
      <c r="FK1034" s="6"/>
      <c r="FL1034" s="6"/>
      <c r="FM1034" s="6"/>
      <c r="FN1034" s="6"/>
      <c r="FO1034" s="6"/>
      <c r="FP1034" s="6"/>
      <c r="FQ1034" s="6"/>
      <c r="FR1034" s="6"/>
      <c r="FS1034" s="6"/>
      <c r="FT1034" s="6"/>
      <c r="FU1034" s="6"/>
      <c r="FV1034" s="6"/>
      <c r="FW1034" s="6"/>
      <c r="FX1034" s="6"/>
      <c r="FY1034" s="6"/>
      <c r="FZ1034" s="6"/>
      <c r="GA1034" s="6"/>
      <c r="GB1034" s="6"/>
      <c r="GC1034" s="6"/>
      <c r="GD1034" s="6"/>
      <c r="GE1034" s="6"/>
      <c r="GF1034" s="6"/>
      <c r="GG1034" s="6"/>
      <c r="GH1034" s="6"/>
      <c r="GI1034" s="6"/>
      <c r="GJ1034" s="6"/>
      <c r="GK1034" s="6"/>
      <c r="GL1034" s="6"/>
      <c r="GM1034" s="6"/>
      <c r="GN1034" s="6"/>
      <c r="GO1034" s="6"/>
      <c r="GP1034" s="6"/>
      <c r="GQ1034" s="6"/>
      <c r="GR1034" s="6"/>
      <c r="GS1034" s="6"/>
      <c r="GT1034" s="6"/>
      <c r="GU1034" s="6"/>
      <c r="GV1034" s="6"/>
      <c r="GW1034" s="6"/>
      <c r="GX1034" s="6"/>
      <c r="GY1034" s="6"/>
      <c r="GZ1034" s="6"/>
      <c r="HA1034" s="6"/>
      <c r="HB1034" s="6"/>
      <c r="HC1034" s="6"/>
      <c r="HD1034" s="6"/>
      <c r="HE1034" s="6"/>
      <c r="HF1034" s="6"/>
      <c r="HG1034" s="6"/>
      <c r="HH1034" s="6"/>
    </row>
    <row r="1035" spans="1:216" x14ac:dyDescent="0.3">
      <c r="A1035" s="8"/>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6"/>
      <c r="AR1035" s="6"/>
      <c r="AS1035" s="6"/>
      <c r="AT1035" s="6"/>
      <c r="AU1035" s="6"/>
      <c r="AV1035" s="6"/>
      <c r="AW1035" s="6"/>
      <c r="AX1035" s="6"/>
      <c r="AY1035" s="6"/>
      <c r="AZ1035" s="6"/>
      <c r="BA1035" s="6"/>
      <c r="BB1035" s="6"/>
      <c r="BC1035" s="6"/>
      <c r="BD1035" s="6"/>
      <c r="BE1035" s="6"/>
      <c r="BF1035" s="6"/>
      <c r="BG1035" s="6"/>
      <c r="BH1035" s="6"/>
      <c r="BI1035" s="6"/>
      <c r="BJ1035" s="6"/>
      <c r="BK1035" s="6"/>
      <c r="BL1035" s="6"/>
      <c r="BM1035" s="6"/>
      <c r="BN1035" s="6"/>
      <c r="BO1035" s="6"/>
      <c r="BP1035" s="6"/>
      <c r="BQ1035" s="6"/>
      <c r="BR1035" s="6"/>
      <c r="BS1035" s="6"/>
      <c r="BT1035" s="6"/>
      <c r="BU1035" s="6"/>
      <c r="BV1035" s="6"/>
      <c r="BW1035" s="6"/>
      <c r="BX1035" s="6"/>
      <c r="BY1035" s="6"/>
      <c r="BZ1035" s="6"/>
      <c r="CA1035" s="6"/>
      <c r="CB1035" s="6"/>
      <c r="CC1035" s="6"/>
      <c r="CD1035" s="6"/>
      <c r="CE1035" s="6"/>
      <c r="CF1035" s="6"/>
      <c r="CG1035" s="6"/>
      <c r="CH1035" s="6"/>
      <c r="CI1035" s="6"/>
      <c r="CJ1035" s="6"/>
      <c r="CK1035" s="6"/>
      <c r="CL1035" s="6"/>
      <c r="CM1035" s="6"/>
      <c r="CN1035" s="6"/>
      <c r="CO1035" s="6"/>
      <c r="CP1035" s="6"/>
      <c r="CQ1035" s="6"/>
      <c r="CR1035" s="6"/>
      <c r="CS1035" s="6"/>
      <c r="CT1035" s="6"/>
      <c r="CU1035" s="6"/>
      <c r="CV1035" s="6"/>
      <c r="CW1035" s="6"/>
      <c r="CX1035" s="6"/>
      <c r="CY1035" s="6"/>
      <c r="CZ1035" s="6"/>
      <c r="DA1035" s="6"/>
      <c r="DB1035" s="6"/>
      <c r="DC1035" s="6"/>
      <c r="DD1035" s="6"/>
      <c r="DE1035" s="6"/>
      <c r="DF1035" s="6"/>
      <c r="DG1035" s="6"/>
      <c r="DH1035" s="6"/>
      <c r="DI1035" s="6"/>
      <c r="DJ1035" s="6"/>
      <c r="DK1035" s="6"/>
      <c r="DL1035" s="6"/>
      <c r="DM1035" s="6"/>
      <c r="DN1035" s="6"/>
      <c r="DO1035" s="6"/>
      <c r="DP1035" s="6"/>
      <c r="DQ1035" s="6"/>
      <c r="DR1035" s="6"/>
      <c r="DS1035" s="6"/>
      <c r="DT1035" s="6"/>
      <c r="DU1035" s="6"/>
      <c r="DV1035" s="6"/>
      <c r="DW1035" s="6"/>
      <c r="DX1035" s="6"/>
      <c r="DY1035" s="6"/>
      <c r="DZ1035" s="6"/>
      <c r="EA1035" s="6"/>
      <c r="EB1035" s="6"/>
      <c r="EC1035" s="6"/>
      <c r="ED1035" s="6"/>
      <c r="EE1035" s="6"/>
      <c r="EF1035" s="6"/>
      <c r="EG1035" s="6"/>
      <c r="EH1035" s="6"/>
      <c r="EI1035" s="6"/>
      <c r="EJ1035" s="6"/>
      <c r="EK1035" s="6"/>
      <c r="EL1035" s="6"/>
      <c r="EM1035" s="6"/>
      <c r="EN1035" s="6"/>
      <c r="EO1035" s="6"/>
      <c r="EP1035" s="6"/>
      <c r="EQ1035" s="6"/>
      <c r="ER1035" s="6"/>
      <c r="ES1035" s="6"/>
      <c r="ET1035" s="6"/>
      <c r="EU1035" s="6"/>
      <c r="EV1035" s="6"/>
      <c r="EW1035" s="6"/>
      <c r="EX1035" s="6"/>
      <c r="EY1035" s="6"/>
      <c r="EZ1035" s="6"/>
      <c r="FA1035" s="6"/>
      <c r="FB1035" s="6"/>
      <c r="FC1035" s="6"/>
      <c r="FD1035" s="6"/>
      <c r="FE1035" s="6"/>
      <c r="FF1035" s="6"/>
      <c r="FG1035" s="6"/>
      <c r="FH1035" s="6"/>
      <c r="FI1035" s="6"/>
      <c r="FJ1035" s="6"/>
      <c r="FK1035" s="6"/>
      <c r="FL1035" s="6"/>
      <c r="FM1035" s="6"/>
      <c r="FN1035" s="6"/>
      <c r="FO1035" s="6"/>
      <c r="FP1035" s="6"/>
      <c r="FQ1035" s="6"/>
      <c r="FR1035" s="6"/>
      <c r="FS1035" s="6"/>
      <c r="FT1035" s="6"/>
      <c r="FU1035" s="6"/>
      <c r="FV1035" s="6"/>
      <c r="FW1035" s="6"/>
      <c r="FX1035" s="6"/>
      <c r="FY1035" s="6"/>
      <c r="FZ1035" s="6"/>
      <c r="GA1035" s="6"/>
      <c r="GB1035" s="6"/>
      <c r="GC1035" s="6"/>
      <c r="GD1035" s="6"/>
      <c r="GE1035" s="6"/>
      <c r="GF1035" s="6"/>
      <c r="GG1035" s="6"/>
      <c r="GH1035" s="6"/>
      <c r="GI1035" s="6"/>
      <c r="GJ1035" s="6"/>
      <c r="GK1035" s="6"/>
      <c r="GL1035" s="6"/>
      <c r="GM1035" s="6"/>
      <c r="GN1035" s="6"/>
      <c r="GO1035" s="6"/>
      <c r="GP1035" s="6"/>
      <c r="GQ1035" s="6"/>
      <c r="GR1035" s="6"/>
      <c r="GS1035" s="6"/>
      <c r="GT1035" s="6"/>
      <c r="GU1035" s="6"/>
      <c r="GV1035" s="6"/>
      <c r="GW1035" s="6"/>
      <c r="GX1035" s="6"/>
      <c r="GY1035" s="6"/>
      <c r="GZ1035" s="6"/>
      <c r="HA1035" s="6"/>
      <c r="HB1035" s="6"/>
      <c r="HC1035" s="6"/>
      <c r="HD1035" s="6"/>
      <c r="HE1035" s="6"/>
      <c r="HF1035" s="6"/>
      <c r="HG1035" s="6"/>
      <c r="HH1035" s="6"/>
    </row>
    <row r="1036" spans="1:216" x14ac:dyDescent="0.3">
      <c r="A1036" s="8"/>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6"/>
      <c r="AR1036" s="6"/>
      <c r="AS1036" s="6"/>
      <c r="AT1036" s="6"/>
      <c r="AU1036" s="6"/>
      <c r="AV1036" s="6"/>
      <c r="AW1036" s="6"/>
      <c r="AX1036" s="6"/>
      <c r="AY1036" s="6"/>
      <c r="AZ1036" s="6"/>
      <c r="BA1036" s="6"/>
      <c r="BB1036" s="6"/>
      <c r="BC1036" s="6"/>
      <c r="BD1036" s="6"/>
      <c r="BE1036" s="6"/>
      <c r="BF1036" s="6"/>
      <c r="BG1036" s="6"/>
      <c r="BH1036" s="6"/>
      <c r="BI1036" s="6"/>
      <c r="BJ1036" s="6"/>
      <c r="BK1036" s="6"/>
      <c r="BL1036" s="6"/>
      <c r="BM1036" s="6"/>
      <c r="BN1036" s="6"/>
      <c r="BO1036" s="6"/>
      <c r="BP1036" s="6"/>
      <c r="BQ1036" s="6"/>
      <c r="BR1036" s="6"/>
      <c r="BS1036" s="6"/>
      <c r="BT1036" s="6"/>
      <c r="BU1036" s="6"/>
      <c r="BV1036" s="6"/>
      <c r="BW1036" s="6"/>
      <c r="BX1036" s="6"/>
      <c r="BY1036" s="6"/>
      <c r="BZ1036" s="6"/>
      <c r="CA1036" s="6"/>
      <c r="CB1036" s="6"/>
      <c r="CC1036" s="6"/>
      <c r="CD1036" s="6"/>
      <c r="CE1036" s="6"/>
      <c r="CF1036" s="6"/>
      <c r="CG1036" s="6"/>
      <c r="CH1036" s="6"/>
      <c r="CI1036" s="6"/>
      <c r="CJ1036" s="6"/>
      <c r="CK1036" s="6"/>
      <c r="CL1036" s="6"/>
      <c r="CM1036" s="6"/>
      <c r="CN1036" s="6"/>
      <c r="CO1036" s="6"/>
      <c r="CP1036" s="6"/>
      <c r="CQ1036" s="6"/>
      <c r="CR1036" s="6"/>
      <c r="CS1036" s="6"/>
      <c r="CT1036" s="6"/>
      <c r="CU1036" s="6"/>
      <c r="CV1036" s="6"/>
      <c r="CW1036" s="6"/>
      <c r="CX1036" s="6"/>
      <c r="CY1036" s="6"/>
      <c r="CZ1036" s="6"/>
      <c r="DA1036" s="6"/>
      <c r="DB1036" s="6"/>
      <c r="DC1036" s="6"/>
      <c r="DD1036" s="6"/>
      <c r="DE1036" s="6"/>
      <c r="DF1036" s="6"/>
      <c r="DG1036" s="6"/>
      <c r="DH1036" s="6"/>
      <c r="DI1036" s="6"/>
      <c r="DJ1036" s="6"/>
      <c r="DK1036" s="6"/>
      <c r="DL1036" s="6"/>
      <c r="DM1036" s="6"/>
      <c r="DN1036" s="6"/>
      <c r="DO1036" s="6"/>
      <c r="DP1036" s="6"/>
      <c r="DQ1036" s="6"/>
      <c r="DR1036" s="6"/>
      <c r="DS1036" s="6"/>
      <c r="DT1036" s="6"/>
      <c r="DU1036" s="6"/>
      <c r="DV1036" s="6"/>
      <c r="DW1036" s="6"/>
      <c r="DX1036" s="6"/>
      <c r="DY1036" s="6"/>
      <c r="DZ1036" s="6"/>
      <c r="EA1036" s="6"/>
      <c r="EB1036" s="6"/>
      <c r="EC1036" s="6"/>
      <c r="ED1036" s="6"/>
      <c r="EE1036" s="6"/>
      <c r="EF1036" s="6"/>
      <c r="EG1036" s="6"/>
      <c r="EH1036" s="6"/>
      <c r="EI1036" s="6"/>
      <c r="EJ1036" s="6"/>
      <c r="EK1036" s="6"/>
      <c r="EL1036" s="6"/>
      <c r="EM1036" s="6"/>
      <c r="EN1036" s="6"/>
      <c r="EO1036" s="6"/>
      <c r="EP1036" s="6"/>
      <c r="EQ1036" s="6"/>
      <c r="ER1036" s="6"/>
      <c r="ES1036" s="6"/>
      <c r="ET1036" s="6"/>
      <c r="EU1036" s="6"/>
      <c r="EV1036" s="6"/>
      <c r="EW1036" s="6"/>
      <c r="EX1036" s="6"/>
      <c r="EY1036" s="6"/>
      <c r="EZ1036" s="6"/>
      <c r="FA1036" s="6"/>
      <c r="FB1036" s="6"/>
      <c r="FC1036" s="6"/>
      <c r="FD1036" s="6"/>
      <c r="FE1036" s="6"/>
      <c r="FF1036" s="6"/>
      <c r="FG1036" s="6"/>
      <c r="FH1036" s="6"/>
      <c r="FI1036" s="6"/>
      <c r="FJ1036" s="6"/>
      <c r="FK1036" s="6"/>
      <c r="FL1036" s="6"/>
      <c r="FM1036" s="6"/>
      <c r="FN1036" s="6"/>
      <c r="FO1036" s="6"/>
      <c r="FP1036" s="6"/>
      <c r="FQ1036" s="6"/>
      <c r="FR1036" s="6"/>
      <c r="FS1036" s="6"/>
      <c r="FT1036" s="6"/>
      <c r="FU1036" s="6"/>
      <c r="FV1036" s="6"/>
      <c r="FW1036" s="6"/>
      <c r="FX1036" s="6"/>
      <c r="FY1036" s="6"/>
      <c r="FZ1036" s="6"/>
      <c r="GA1036" s="6"/>
      <c r="GB1036" s="6"/>
      <c r="GC1036" s="6"/>
      <c r="GD1036" s="6"/>
      <c r="GE1036" s="6"/>
      <c r="GF1036" s="6"/>
      <c r="GG1036" s="6"/>
      <c r="GH1036" s="6"/>
      <c r="GI1036" s="6"/>
      <c r="GJ1036" s="6"/>
      <c r="GK1036" s="6"/>
      <c r="GL1036" s="6"/>
      <c r="GM1036" s="6"/>
      <c r="GN1036" s="6"/>
      <c r="GO1036" s="6"/>
      <c r="GP1036" s="6"/>
      <c r="GQ1036" s="6"/>
      <c r="GR1036" s="6"/>
      <c r="GS1036" s="6"/>
      <c r="GT1036" s="6"/>
      <c r="GU1036" s="6"/>
      <c r="GV1036" s="6"/>
      <c r="GW1036" s="6"/>
      <c r="GX1036" s="6"/>
      <c r="GY1036" s="6"/>
      <c r="GZ1036" s="6"/>
      <c r="HA1036" s="6"/>
      <c r="HB1036" s="6"/>
      <c r="HC1036" s="6"/>
      <c r="HD1036" s="6"/>
      <c r="HE1036" s="6"/>
      <c r="HF1036" s="6"/>
      <c r="HG1036" s="6"/>
      <c r="HH1036" s="6"/>
    </row>
    <row r="1037" spans="1:216" x14ac:dyDescent="0.3">
      <c r="A1037" s="8"/>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c r="DX1037" s="6"/>
      <c r="DY1037" s="6"/>
      <c r="DZ1037" s="6"/>
      <c r="EA1037" s="6"/>
      <c r="EB1037" s="6"/>
      <c r="EC1037" s="6"/>
      <c r="ED1037" s="6"/>
      <c r="EE1037" s="6"/>
      <c r="EF1037" s="6"/>
      <c r="EG1037" s="6"/>
      <c r="EH1037" s="6"/>
      <c r="EI1037" s="6"/>
      <c r="EJ1037" s="6"/>
      <c r="EK1037" s="6"/>
      <c r="EL1037" s="6"/>
      <c r="EM1037" s="6"/>
      <c r="EN1037" s="6"/>
      <c r="EO1037" s="6"/>
      <c r="EP1037" s="6"/>
      <c r="EQ1037" s="6"/>
      <c r="ER1037" s="6"/>
      <c r="ES1037" s="6"/>
      <c r="ET1037" s="6"/>
      <c r="EU1037" s="6"/>
      <c r="EV1037" s="6"/>
      <c r="EW1037" s="6"/>
      <c r="EX1037" s="6"/>
      <c r="EY1037" s="6"/>
      <c r="EZ1037" s="6"/>
      <c r="FA1037" s="6"/>
      <c r="FB1037" s="6"/>
      <c r="FC1037" s="6"/>
      <c r="FD1037" s="6"/>
      <c r="FE1037" s="6"/>
      <c r="FF1037" s="6"/>
      <c r="FG1037" s="6"/>
      <c r="FH1037" s="6"/>
      <c r="FI1037" s="6"/>
      <c r="FJ1037" s="6"/>
      <c r="FK1037" s="6"/>
      <c r="FL1037" s="6"/>
      <c r="FM1037" s="6"/>
      <c r="FN1037" s="6"/>
      <c r="FO1037" s="6"/>
      <c r="FP1037" s="6"/>
      <c r="FQ1037" s="6"/>
      <c r="FR1037" s="6"/>
      <c r="FS1037" s="6"/>
      <c r="FT1037" s="6"/>
      <c r="FU1037" s="6"/>
      <c r="FV1037" s="6"/>
      <c r="FW1037" s="6"/>
      <c r="FX1037" s="6"/>
      <c r="FY1037" s="6"/>
      <c r="FZ1037" s="6"/>
      <c r="GA1037" s="6"/>
      <c r="GB1037" s="6"/>
      <c r="GC1037" s="6"/>
      <c r="GD1037" s="6"/>
      <c r="GE1037" s="6"/>
      <c r="GF1037" s="6"/>
      <c r="GG1037" s="6"/>
      <c r="GH1037" s="6"/>
      <c r="GI1037" s="6"/>
      <c r="GJ1037" s="6"/>
      <c r="GK1037" s="6"/>
      <c r="GL1037" s="6"/>
      <c r="GM1037" s="6"/>
      <c r="GN1037" s="6"/>
      <c r="GO1037" s="6"/>
      <c r="GP1037" s="6"/>
      <c r="GQ1037" s="6"/>
      <c r="GR1037" s="6"/>
      <c r="GS1037" s="6"/>
      <c r="GT1037" s="6"/>
      <c r="GU1037" s="6"/>
      <c r="GV1037" s="6"/>
      <c r="GW1037" s="6"/>
      <c r="GX1037" s="6"/>
      <c r="GY1037" s="6"/>
      <c r="GZ1037" s="6"/>
      <c r="HA1037" s="6"/>
      <c r="HB1037" s="6"/>
      <c r="HC1037" s="6"/>
      <c r="HD1037" s="6"/>
      <c r="HE1037" s="6"/>
      <c r="HF1037" s="6"/>
      <c r="HG1037" s="6"/>
      <c r="HH1037" s="6"/>
    </row>
    <row r="1038" spans="1:216" x14ac:dyDescent="0.3">
      <c r="A1038" s="8"/>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c r="DX1038" s="6"/>
      <c r="DY1038" s="6"/>
      <c r="DZ1038" s="6"/>
      <c r="EA1038" s="6"/>
      <c r="EB1038" s="6"/>
      <c r="EC1038" s="6"/>
      <c r="ED1038" s="6"/>
      <c r="EE1038" s="6"/>
      <c r="EF1038" s="6"/>
      <c r="EG1038" s="6"/>
      <c r="EH1038" s="6"/>
      <c r="EI1038" s="6"/>
      <c r="EJ1038" s="6"/>
      <c r="EK1038" s="6"/>
      <c r="EL1038" s="6"/>
      <c r="EM1038" s="6"/>
      <c r="EN1038" s="6"/>
      <c r="EO1038" s="6"/>
      <c r="EP1038" s="6"/>
      <c r="EQ1038" s="6"/>
      <c r="ER1038" s="6"/>
      <c r="ES1038" s="6"/>
      <c r="ET1038" s="6"/>
      <c r="EU1038" s="6"/>
      <c r="EV1038" s="6"/>
      <c r="EW1038" s="6"/>
      <c r="EX1038" s="6"/>
      <c r="EY1038" s="6"/>
      <c r="EZ1038" s="6"/>
      <c r="FA1038" s="6"/>
      <c r="FB1038" s="6"/>
      <c r="FC1038" s="6"/>
      <c r="FD1038" s="6"/>
      <c r="FE1038" s="6"/>
      <c r="FF1038" s="6"/>
      <c r="FG1038" s="6"/>
      <c r="FH1038" s="6"/>
      <c r="FI1038" s="6"/>
      <c r="FJ1038" s="6"/>
      <c r="FK1038" s="6"/>
      <c r="FL1038" s="6"/>
      <c r="FM1038" s="6"/>
      <c r="FN1038" s="6"/>
      <c r="FO1038" s="6"/>
      <c r="FP1038" s="6"/>
      <c r="FQ1038" s="6"/>
      <c r="FR1038" s="6"/>
      <c r="FS1038" s="6"/>
      <c r="FT1038" s="6"/>
      <c r="FU1038" s="6"/>
      <c r="FV1038" s="6"/>
      <c r="FW1038" s="6"/>
      <c r="FX1038" s="6"/>
      <c r="FY1038" s="6"/>
      <c r="FZ1038" s="6"/>
      <c r="GA1038" s="6"/>
      <c r="GB1038" s="6"/>
      <c r="GC1038" s="6"/>
      <c r="GD1038" s="6"/>
      <c r="GE1038" s="6"/>
      <c r="GF1038" s="6"/>
      <c r="GG1038" s="6"/>
      <c r="GH1038" s="6"/>
      <c r="GI1038" s="6"/>
      <c r="GJ1038" s="6"/>
      <c r="GK1038" s="6"/>
      <c r="GL1038" s="6"/>
      <c r="GM1038" s="6"/>
      <c r="GN1038" s="6"/>
      <c r="GO1038" s="6"/>
      <c r="GP1038" s="6"/>
      <c r="GQ1038" s="6"/>
      <c r="GR1038" s="6"/>
      <c r="GS1038" s="6"/>
      <c r="GT1038" s="6"/>
      <c r="GU1038" s="6"/>
      <c r="GV1038" s="6"/>
      <c r="GW1038" s="6"/>
      <c r="GX1038" s="6"/>
      <c r="GY1038" s="6"/>
      <c r="GZ1038" s="6"/>
      <c r="HA1038" s="6"/>
      <c r="HB1038" s="6"/>
      <c r="HC1038" s="6"/>
      <c r="HD1038" s="6"/>
      <c r="HE1038" s="6"/>
      <c r="HF1038" s="6"/>
      <c r="HG1038" s="6"/>
      <c r="HH1038" s="6"/>
    </row>
    <row r="1039" spans="1:216" x14ac:dyDescent="0.3">
      <c r="A1039" s="8"/>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6"/>
      <c r="AR1039" s="6"/>
      <c r="AS1039" s="6"/>
      <c r="AT1039" s="6"/>
      <c r="AU1039" s="6"/>
      <c r="AV1039" s="6"/>
      <c r="AW1039" s="6"/>
      <c r="AX1039" s="6"/>
      <c r="AY1039" s="6"/>
      <c r="AZ1039" s="6"/>
      <c r="BA1039" s="6"/>
      <c r="BB1039" s="6"/>
      <c r="BC1039" s="6"/>
      <c r="BD1039" s="6"/>
      <c r="BE1039" s="6"/>
      <c r="BF1039" s="6"/>
      <c r="BG1039" s="6"/>
      <c r="BH1039" s="6"/>
      <c r="BI1039" s="6"/>
      <c r="BJ1039" s="6"/>
      <c r="BK1039" s="6"/>
      <c r="BL1039" s="6"/>
      <c r="BM1039" s="6"/>
      <c r="BN1039" s="6"/>
      <c r="BO1039" s="6"/>
      <c r="BP1039" s="6"/>
      <c r="BQ1039" s="6"/>
      <c r="BR1039" s="6"/>
      <c r="BS1039" s="6"/>
      <c r="BT1039" s="6"/>
      <c r="BU1039" s="6"/>
      <c r="BV1039" s="6"/>
      <c r="BW1039" s="6"/>
      <c r="BX1039" s="6"/>
      <c r="BY1039" s="6"/>
      <c r="BZ1039" s="6"/>
      <c r="CA1039" s="6"/>
      <c r="CB1039" s="6"/>
      <c r="CC1039" s="6"/>
      <c r="CD1039" s="6"/>
      <c r="CE1039" s="6"/>
      <c r="CF1039" s="6"/>
      <c r="CG1039" s="6"/>
      <c r="CH1039" s="6"/>
      <c r="CI1039" s="6"/>
      <c r="CJ1039" s="6"/>
      <c r="CK1039" s="6"/>
      <c r="CL1039" s="6"/>
      <c r="CM1039" s="6"/>
      <c r="CN1039" s="6"/>
      <c r="CO1039" s="6"/>
      <c r="CP1039" s="6"/>
      <c r="CQ1039" s="6"/>
      <c r="CR1039" s="6"/>
      <c r="CS1039" s="6"/>
      <c r="CT1039" s="6"/>
      <c r="CU1039" s="6"/>
      <c r="CV1039" s="6"/>
      <c r="CW1039" s="6"/>
      <c r="CX1039" s="6"/>
      <c r="CY1039" s="6"/>
      <c r="CZ1039" s="6"/>
      <c r="DA1039" s="6"/>
      <c r="DB1039" s="6"/>
      <c r="DC1039" s="6"/>
      <c r="DD1039" s="6"/>
      <c r="DE1039" s="6"/>
      <c r="DF1039" s="6"/>
      <c r="DG1039" s="6"/>
      <c r="DH1039" s="6"/>
      <c r="DI1039" s="6"/>
      <c r="DJ1039" s="6"/>
      <c r="DK1039" s="6"/>
      <c r="DL1039" s="6"/>
      <c r="DM1039" s="6"/>
      <c r="DN1039" s="6"/>
      <c r="DO1039" s="6"/>
      <c r="DP1039" s="6"/>
      <c r="DQ1039" s="6"/>
      <c r="DR1039" s="6"/>
      <c r="DS1039" s="6"/>
      <c r="DT1039" s="6"/>
      <c r="DU1039" s="6"/>
      <c r="DV1039" s="6"/>
      <c r="DW1039" s="6"/>
      <c r="DX1039" s="6"/>
      <c r="DY1039" s="6"/>
      <c r="DZ1039" s="6"/>
      <c r="EA1039" s="6"/>
      <c r="EB1039" s="6"/>
      <c r="EC1039" s="6"/>
      <c r="ED1039" s="6"/>
      <c r="EE1039" s="6"/>
      <c r="EF1039" s="6"/>
      <c r="EG1039" s="6"/>
      <c r="EH1039" s="6"/>
      <c r="EI1039" s="6"/>
      <c r="EJ1039" s="6"/>
      <c r="EK1039" s="6"/>
      <c r="EL1039" s="6"/>
      <c r="EM1039" s="6"/>
      <c r="EN1039" s="6"/>
      <c r="EO1039" s="6"/>
      <c r="EP1039" s="6"/>
      <c r="EQ1039" s="6"/>
      <c r="ER1039" s="6"/>
      <c r="ES1039" s="6"/>
      <c r="ET1039" s="6"/>
      <c r="EU1039" s="6"/>
      <c r="EV1039" s="6"/>
      <c r="EW1039" s="6"/>
      <c r="EX1039" s="6"/>
      <c r="EY1039" s="6"/>
      <c r="EZ1039" s="6"/>
      <c r="FA1039" s="6"/>
      <c r="FB1039" s="6"/>
      <c r="FC1039" s="6"/>
      <c r="FD1039" s="6"/>
      <c r="FE1039" s="6"/>
      <c r="FF1039" s="6"/>
      <c r="FG1039" s="6"/>
      <c r="FH1039" s="6"/>
      <c r="FI1039" s="6"/>
      <c r="FJ1039" s="6"/>
      <c r="FK1039" s="6"/>
      <c r="FL1039" s="6"/>
      <c r="FM1039" s="6"/>
      <c r="FN1039" s="6"/>
      <c r="FO1039" s="6"/>
      <c r="FP1039" s="6"/>
      <c r="FQ1039" s="6"/>
      <c r="FR1039" s="6"/>
      <c r="FS1039" s="6"/>
      <c r="FT1039" s="6"/>
      <c r="FU1039" s="6"/>
      <c r="FV1039" s="6"/>
      <c r="FW1039" s="6"/>
      <c r="FX1039" s="6"/>
      <c r="FY1039" s="6"/>
      <c r="FZ1039" s="6"/>
      <c r="GA1039" s="6"/>
      <c r="GB1039" s="6"/>
      <c r="GC1039" s="6"/>
      <c r="GD1039" s="6"/>
      <c r="GE1039" s="6"/>
      <c r="GF1039" s="6"/>
      <c r="GG1039" s="6"/>
      <c r="GH1039" s="6"/>
      <c r="GI1039" s="6"/>
      <c r="GJ1039" s="6"/>
      <c r="GK1039" s="6"/>
      <c r="GL1039" s="6"/>
      <c r="GM1039" s="6"/>
      <c r="GN1039" s="6"/>
      <c r="GO1039" s="6"/>
      <c r="GP1039" s="6"/>
      <c r="GQ1039" s="6"/>
      <c r="GR1039" s="6"/>
      <c r="GS1039" s="6"/>
      <c r="GT1039" s="6"/>
      <c r="GU1039" s="6"/>
      <c r="GV1039" s="6"/>
      <c r="GW1039" s="6"/>
      <c r="GX1039" s="6"/>
      <c r="GY1039" s="6"/>
      <c r="GZ1039" s="6"/>
      <c r="HA1039" s="6"/>
      <c r="HB1039" s="6"/>
      <c r="HC1039" s="6"/>
      <c r="HD1039" s="6"/>
      <c r="HE1039" s="6"/>
      <c r="HF1039" s="6"/>
      <c r="HG1039" s="6"/>
      <c r="HH1039" s="6"/>
    </row>
    <row r="1040" spans="1:216" x14ac:dyDescent="0.3">
      <c r="A1040" s="8"/>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6"/>
      <c r="AR1040" s="6"/>
      <c r="AS1040" s="6"/>
      <c r="AT1040" s="6"/>
      <c r="AU1040" s="6"/>
      <c r="AV1040" s="6"/>
      <c r="AW1040" s="6"/>
      <c r="AX1040" s="6"/>
      <c r="AY1040" s="6"/>
      <c r="AZ1040" s="6"/>
      <c r="BA1040" s="6"/>
      <c r="BB1040" s="6"/>
      <c r="BC1040" s="6"/>
      <c r="BD1040" s="6"/>
      <c r="BE1040" s="6"/>
      <c r="BF1040" s="6"/>
      <c r="BG1040" s="6"/>
      <c r="BH1040" s="6"/>
      <c r="BI1040" s="6"/>
      <c r="BJ1040" s="6"/>
      <c r="BK1040" s="6"/>
      <c r="BL1040" s="6"/>
      <c r="BM1040" s="6"/>
      <c r="BN1040" s="6"/>
      <c r="BO1040" s="6"/>
      <c r="BP1040" s="6"/>
      <c r="BQ1040" s="6"/>
      <c r="BR1040" s="6"/>
      <c r="BS1040" s="6"/>
      <c r="BT1040" s="6"/>
      <c r="BU1040" s="6"/>
      <c r="BV1040" s="6"/>
      <c r="BW1040" s="6"/>
      <c r="BX1040" s="6"/>
      <c r="BY1040" s="6"/>
      <c r="BZ1040" s="6"/>
      <c r="CA1040" s="6"/>
      <c r="CB1040" s="6"/>
      <c r="CC1040" s="6"/>
      <c r="CD1040" s="6"/>
      <c r="CE1040" s="6"/>
      <c r="CF1040" s="6"/>
      <c r="CG1040" s="6"/>
      <c r="CH1040" s="6"/>
      <c r="CI1040" s="6"/>
      <c r="CJ1040" s="6"/>
      <c r="CK1040" s="6"/>
      <c r="CL1040" s="6"/>
      <c r="CM1040" s="6"/>
      <c r="CN1040" s="6"/>
      <c r="CO1040" s="6"/>
      <c r="CP1040" s="6"/>
      <c r="CQ1040" s="6"/>
      <c r="CR1040" s="6"/>
      <c r="CS1040" s="6"/>
      <c r="CT1040" s="6"/>
      <c r="CU1040" s="6"/>
      <c r="CV1040" s="6"/>
      <c r="CW1040" s="6"/>
      <c r="CX1040" s="6"/>
      <c r="CY1040" s="6"/>
      <c r="CZ1040" s="6"/>
      <c r="DA1040" s="6"/>
      <c r="DB1040" s="6"/>
      <c r="DC1040" s="6"/>
      <c r="DD1040" s="6"/>
      <c r="DE1040" s="6"/>
      <c r="DF1040" s="6"/>
      <c r="DG1040" s="6"/>
      <c r="DH1040" s="6"/>
      <c r="DI1040" s="6"/>
      <c r="DJ1040" s="6"/>
      <c r="DK1040" s="6"/>
      <c r="DL1040" s="6"/>
      <c r="DM1040" s="6"/>
      <c r="DN1040" s="6"/>
      <c r="DO1040" s="6"/>
      <c r="DP1040" s="6"/>
      <c r="DQ1040" s="6"/>
      <c r="DR1040" s="6"/>
      <c r="DS1040" s="6"/>
      <c r="DT1040" s="6"/>
      <c r="DU1040" s="6"/>
      <c r="DV1040" s="6"/>
      <c r="DW1040" s="6"/>
      <c r="DX1040" s="6"/>
      <c r="DY1040" s="6"/>
      <c r="DZ1040" s="6"/>
      <c r="EA1040" s="6"/>
      <c r="EB1040" s="6"/>
      <c r="EC1040" s="6"/>
      <c r="ED1040" s="6"/>
      <c r="EE1040" s="6"/>
      <c r="EF1040" s="6"/>
      <c r="EG1040" s="6"/>
      <c r="EH1040" s="6"/>
      <c r="EI1040" s="6"/>
      <c r="EJ1040" s="6"/>
      <c r="EK1040" s="6"/>
      <c r="EL1040" s="6"/>
      <c r="EM1040" s="6"/>
      <c r="EN1040" s="6"/>
      <c r="EO1040" s="6"/>
      <c r="EP1040" s="6"/>
      <c r="EQ1040" s="6"/>
      <c r="ER1040" s="6"/>
      <c r="ES1040" s="6"/>
      <c r="ET1040" s="6"/>
      <c r="EU1040" s="6"/>
      <c r="EV1040" s="6"/>
      <c r="EW1040" s="6"/>
      <c r="EX1040" s="6"/>
      <c r="EY1040" s="6"/>
      <c r="EZ1040" s="6"/>
      <c r="FA1040" s="6"/>
      <c r="FB1040" s="6"/>
      <c r="FC1040" s="6"/>
      <c r="FD1040" s="6"/>
      <c r="FE1040" s="6"/>
      <c r="FF1040" s="6"/>
      <c r="FG1040" s="6"/>
      <c r="FH1040" s="6"/>
      <c r="FI1040" s="6"/>
      <c r="FJ1040" s="6"/>
      <c r="FK1040" s="6"/>
      <c r="FL1040" s="6"/>
      <c r="FM1040" s="6"/>
      <c r="FN1040" s="6"/>
      <c r="FO1040" s="6"/>
      <c r="FP1040" s="6"/>
      <c r="FQ1040" s="6"/>
      <c r="FR1040" s="6"/>
      <c r="FS1040" s="6"/>
      <c r="FT1040" s="6"/>
      <c r="FU1040" s="6"/>
      <c r="FV1040" s="6"/>
      <c r="FW1040" s="6"/>
      <c r="FX1040" s="6"/>
      <c r="FY1040" s="6"/>
      <c r="FZ1040" s="6"/>
      <c r="GA1040" s="6"/>
      <c r="GB1040" s="6"/>
      <c r="GC1040" s="6"/>
      <c r="GD1040" s="6"/>
      <c r="GE1040" s="6"/>
      <c r="GF1040" s="6"/>
      <c r="GG1040" s="6"/>
      <c r="GH1040" s="6"/>
      <c r="GI1040" s="6"/>
      <c r="GJ1040" s="6"/>
      <c r="GK1040" s="6"/>
      <c r="GL1040" s="6"/>
      <c r="GM1040" s="6"/>
      <c r="GN1040" s="6"/>
      <c r="GO1040" s="6"/>
      <c r="GP1040" s="6"/>
      <c r="GQ1040" s="6"/>
      <c r="GR1040" s="6"/>
      <c r="GS1040" s="6"/>
      <c r="GT1040" s="6"/>
      <c r="GU1040" s="6"/>
      <c r="GV1040" s="6"/>
      <c r="GW1040" s="6"/>
      <c r="GX1040" s="6"/>
      <c r="GY1040" s="6"/>
      <c r="GZ1040" s="6"/>
      <c r="HA1040" s="6"/>
      <c r="HB1040" s="6"/>
      <c r="HC1040" s="6"/>
      <c r="HD1040" s="6"/>
      <c r="HE1040" s="6"/>
      <c r="HF1040" s="6"/>
      <c r="HG1040" s="6"/>
      <c r="HH1040" s="6"/>
    </row>
    <row r="1041" spans="1:216" x14ac:dyDescent="0.3">
      <c r="A1041" s="8"/>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6"/>
      <c r="AR1041" s="6"/>
      <c r="AS1041" s="6"/>
      <c r="AT1041" s="6"/>
      <c r="AU1041" s="6"/>
      <c r="AV1041" s="6"/>
      <c r="AW1041" s="6"/>
      <c r="AX1041" s="6"/>
      <c r="AY1041" s="6"/>
      <c r="AZ1041" s="6"/>
      <c r="BA1041" s="6"/>
      <c r="BB1041" s="6"/>
      <c r="BC1041" s="6"/>
      <c r="BD1041" s="6"/>
      <c r="BE1041" s="6"/>
      <c r="BF1041" s="6"/>
      <c r="BG1041" s="6"/>
      <c r="BH1041" s="6"/>
      <c r="BI1041" s="6"/>
      <c r="BJ1041" s="6"/>
      <c r="BK1041" s="6"/>
      <c r="BL1041" s="6"/>
      <c r="BM1041" s="6"/>
      <c r="BN1041" s="6"/>
      <c r="BO1041" s="6"/>
      <c r="BP1041" s="6"/>
      <c r="BQ1041" s="6"/>
      <c r="BR1041" s="6"/>
      <c r="BS1041" s="6"/>
      <c r="BT1041" s="6"/>
      <c r="BU1041" s="6"/>
      <c r="BV1041" s="6"/>
      <c r="BW1041" s="6"/>
      <c r="BX1041" s="6"/>
      <c r="BY1041" s="6"/>
      <c r="BZ1041" s="6"/>
      <c r="CA1041" s="6"/>
      <c r="CB1041" s="6"/>
      <c r="CC1041" s="6"/>
      <c r="CD1041" s="6"/>
      <c r="CE1041" s="6"/>
      <c r="CF1041" s="6"/>
      <c r="CG1041" s="6"/>
      <c r="CH1041" s="6"/>
      <c r="CI1041" s="6"/>
      <c r="CJ1041" s="6"/>
      <c r="CK1041" s="6"/>
      <c r="CL1041" s="6"/>
      <c r="CM1041" s="6"/>
      <c r="CN1041" s="6"/>
      <c r="CO1041" s="6"/>
      <c r="CP1041" s="6"/>
      <c r="CQ1041" s="6"/>
      <c r="CR1041" s="6"/>
      <c r="CS1041" s="6"/>
      <c r="CT1041" s="6"/>
      <c r="CU1041" s="6"/>
      <c r="CV1041" s="6"/>
      <c r="CW1041" s="6"/>
      <c r="CX1041" s="6"/>
      <c r="CY1041" s="6"/>
      <c r="CZ1041" s="6"/>
      <c r="DA1041" s="6"/>
      <c r="DB1041" s="6"/>
      <c r="DC1041" s="6"/>
      <c r="DD1041" s="6"/>
      <c r="DE1041" s="6"/>
      <c r="DF1041" s="6"/>
      <c r="DG1041" s="6"/>
      <c r="DH1041" s="6"/>
      <c r="DI1041" s="6"/>
      <c r="DJ1041" s="6"/>
      <c r="DK1041" s="6"/>
      <c r="DL1041" s="6"/>
      <c r="DM1041" s="6"/>
      <c r="DN1041" s="6"/>
      <c r="DO1041" s="6"/>
      <c r="DP1041" s="6"/>
      <c r="DQ1041" s="6"/>
      <c r="DR1041" s="6"/>
      <c r="DS1041" s="6"/>
      <c r="DT1041" s="6"/>
      <c r="DU1041" s="6"/>
      <c r="DV1041" s="6"/>
      <c r="DW1041" s="6"/>
      <c r="DX1041" s="6"/>
      <c r="DY1041" s="6"/>
      <c r="DZ1041" s="6"/>
      <c r="EA1041" s="6"/>
      <c r="EB1041" s="6"/>
      <c r="EC1041" s="6"/>
      <c r="ED1041" s="6"/>
      <c r="EE1041" s="6"/>
      <c r="EF1041" s="6"/>
      <c r="EG1041" s="6"/>
      <c r="EH1041" s="6"/>
      <c r="EI1041" s="6"/>
      <c r="EJ1041" s="6"/>
      <c r="EK1041" s="6"/>
      <c r="EL1041" s="6"/>
      <c r="EM1041" s="6"/>
      <c r="EN1041" s="6"/>
      <c r="EO1041" s="6"/>
      <c r="EP1041" s="6"/>
      <c r="EQ1041" s="6"/>
      <c r="ER1041" s="6"/>
      <c r="ES1041" s="6"/>
      <c r="ET1041" s="6"/>
      <c r="EU1041" s="6"/>
      <c r="EV1041" s="6"/>
      <c r="EW1041" s="6"/>
      <c r="EX1041" s="6"/>
      <c r="EY1041" s="6"/>
      <c r="EZ1041" s="6"/>
      <c r="FA1041" s="6"/>
      <c r="FB1041" s="6"/>
      <c r="FC1041" s="6"/>
      <c r="FD1041" s="6"/>
      <c r="FE1041" s="6"/>
      <c r="FF1041" s="6"/>
      <c r="FG1041" s="6"/>
      <c r="FH1041" s="6"/>
      <c r="FI1041" s="6"/>
      <c r="FJ1041" s="6"/>
      <c r="FK1041" s="6"/>
      <c r="FL1041" s="6"/>
      <c r="FM1041" s="6"/>
      <c r="FN1041" s="6"/>
      <c r="FO1041" s="6"/>
      <c r="FP1041" s="6"/>
      <c r="FQ1041" s="6"/>
      <c r="FR1041" s="6"/>
      <c r="FS1041" s="6"/>
      <c r="FT1041" s="6"/>
      <c r="FU1041" s="6"/>
      <c r="FV1041" s="6"/>
      <c r="FW1041" s="6"/>
      <c r="FX1041" s="6"/>
      <c r="FY1041" s="6"/>
      <c r="FZ1041" s="6"/>
      <c r="GA1041" s="6"/>
      <c r="GB1041" s="6"/>
      <c r="GC1041" s="6"/>
      <c r="GD1041" s="6"/>
      <c r="GE1041" s="6"/>
      <c r="GF1041" s="6"/>
      <c r="GG1041" s="6"/>
      <c r="GH1041" s="6"/>
      <c r="GI1041" s="6"/>
      <c r="GJ1041" s="6"/>
      <c r="GK1041" s="6"/>
      <c r="GL1041" s="6"/>
      <c r="GM1041" s="6"/>
      <c r="GN1041" s="6"/>
      <c r="GO1041" s="6"/>
      <c r="GP1041" s="6"/>
      <c r="GQ1041" s="6"/>
      <c r="GR1041" s="6"/>
      <c r="GS1041" s="6"/>
      <c r="GT1041" s="6"/>
      <c r="GU1041" s="6"/>
      <c r="GV1041" s="6"/>
      <c r="GW1041" s="6"/>
      <c r="GX1041" s="6"/>
      <c r="GY1041" s="6"/>
      <c r="GZ1041" s="6"/>
      <c r="HA1041" s="6"/>
      <c r="HB1041" s="6"/>
      <c r="HC1041" s="6"/>
      <c r="HD1041" s="6"/>
      <c r="HE1041" s="6"/>
      <c r="HF1041" s="6"/>
      <c r="HG1041" s="6"/>
      <c r="HH1041" s="6"/>
    </row>
    <row r="1042" spans="1:216" x14ac:dyDescent="0.3">
      <c r="A1042" s="8"/>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6"/>
      <c r="AR1042" s="6"/>
      <c r="AS1042" s="6"/>
      <c r="AT1042" s="6"/>
      <c r="AU1042" s="6"/>
      <c r="AV1042" s="6"/>
      <c r="AW1042" s="6"/>
      <c r="AX1042" s="6"/>
      <c r="AY1042" s="6"/>
      <c r="AZ1042" s="6"/>
      <c r="BA1042" s="6"/>
      <c r="BB1042" s="6"/>
      <c r="BC1042" s="6"/>
      <c r="BD1042" s="6"/>
      <c r="BE1042" s="6"/>
      <c r="BF1042" s="6"/>
      <c r="BG1042" s="6"/>
      <c r="BH1042" s="6"/>
      <c r="BI1042" s="6"/>
      <c r="BJ1042" s="6"/>
      <c r="BK1042" s="6"/>
      <c r="BL1042" s="6"/>
      <c r="BM1042" s="6"/>
      <c r="BN1042" s="6"/>
      <c r="BO1042" s="6"/>
      <c r="BP1042" s="6"/>
      <c r="BQ1042" s="6"/>
      <c r="BR1042" s="6"/>
      <c r="BS1042" s="6"/>
      <c r="BT1042" s="6"/>
      <c r="BU1042" s="6"/>
      <c r="BV1042" s="6"/>
      <c r="BW1042" s="6"/>
      <c r="BX1042" s="6"/>
      <c r="BY1042" s="6"/>
      <c r="BZ1042" s="6"/>
      <c r="CA1042" s="6"/>
      <c r="CB1042" s="6"/>
      <c r="CC1042" s="6"/>
      <c r="CD1042" s="6"/>
      <c r="CE1042" s="6"/>
      <c r="CF1042" s="6"/>
      <c r="CG1042" s="6"/>
      <c r="CH1042" s="6"/>
      <c r="CI1042" s="6"/>
      <c r="CJ1042" s="6"/>
      <c r="CK1042" s="6"/>
      <c r="CL1042" s="6"/>
      <c r="CM1042" s="6"/>
      <c r="CN1042" s="6"/>
      <c r="CO1042" s="6"/>
      <c r="CP1042" s="6"/>
      <c r="CQ1042" s="6"/>
      <c r="CR1042" s="6"/>
      <c r="CS1042" s="6"/>
      <c r="CT1042" s="6"/>
      <c r="CU1042" s="6"/>
      <c r="CV1042" s="6"/>
      <c r="CW1042" s="6"/>
      <c r="CX1042" s="6"/>
      <c r="CY1042" s="6"/>
      <c r="CZ1042" s="6"/>
      <c r="DA1042" s="6"/>
      <c r="DB1042" s="6"/>
      <c r="DC1042" s="6"/>
      <c r="DD1042" s="6"/>
      <c r="DE1042" s="6"/>
      <c r="DF1042" s="6"/>
      <c r="DG1042" s="6"/>
      <c r="DH1042" s="6"/>
      <c r="DI1042" s="6"/>
      <c r="DJ1042" s="6"/>
      <c r="DK1042" s="6"/>
      <c r="DL1042" s="6"/>
      <c r="DM1042" s="6"/>
      <c r="DN1042" s="6"/>
      <c r="DO1042" s="6"/>
      <c r="DP1042" s="6"/>
      <c r="DQ1042" s="6"/>
      <c r="DR1042" s="6"/>
      <c r="DS1042" s="6"/>
      <c r="DT1042" s="6"/>
      <c r="DU1042" s="6"/>
      <c r="DV1042" s="6"/>
      <c r="DW1042" s="6"/>
      <c r="DX1042" s="6"/>
      <c r="DY1042" s="6"/>
      <c r="DZ1042" s="6"/>
      <c r="EA1042" s="6"/>
      <c r="EB1042" s="6"/>
      <c r="EC1042" s="6"/>
      <c r="ED1042" s="6"/>
      <c r="EE1042" s="6"/>
      <c r="EF1042" s="6"/>
      <c r="EG1042" s="6"/>
      <c r="EH1042" s="6"/>
      <c r="EI1042" s="6"/>
      <c r="EJ1042" s="6"/>
      <c r="EK1042" s="6"/>
      <c r="EL1042" s="6"/>
      <c r="EM1042" s="6"/>
      <c r="EN1042" s="6"/>
      <c r="EO1042" s="6"/>
      <c r="EP1042" s="6"/>
      <c r="EQ1042" s="6"/>
      <c r="ER1042" s="6"/>
      <c r="ES1042" s="6"/>
      <c r="ET1042" s="6"/>
      <c r="EU1042" s="6"/>
      <c r="EV1042" s="6"/>
      <c r="EW1042" s="6"/>
      <c r="EX1042" s="6"/>
      <c r="EY1042" s="6"/>
      <c r="EZ1042" s="6"/>
      <c r="FA1042" s="6"/>
      <c r="FB1042" s="6"/>
      <c r="FC1042" s="6"/>
      <c r="FD1042" s="6"/>
      <c r="FE1042" s="6"/>
      <c r="FF1042" s="6"/>
      <c r="FG1042" s="6"/>
      <c r="FH1042" s="6"/>
      <c r="FI1042" s="6"/>
      <c r="FJ1042" s="6"/>
      <c r="FK1042" s="6"/>
      <c r="FL1042" s="6"/>
      <c r="FM1042" s="6"/>
      <c r="FN1042" s="6"/>
      <c r="FO1042" s="6"/>
      <c r="FP1042" s="6"/>
      <c r="FQ1042" s="6"/>
      <c r="FR1042" s="6"/>
      <c r="FS1042" s="6"/>
      <c r="FT1042" s="6"/>
      <c r="FU1042" s="6"/>
      <c r="FV1042" s="6"/>
      <c r="FW1042" s="6"/>
      <c r="FX1042" s="6"/>
      <c r="FY1042" s="6"/>
      <c r="FZ1042" s="6"/>
      <c r="GA1042" s="6"/>
      <c r="GB1042" s="6"/>
      <c r="GC1042" s="6"/>
      <c r="GD1042" s="6"/>
      <c r="GE1042" s="6"/>
      <c r="GF1042" s="6"/>
      <c r="GG1042" s="6"/>
      <c r="GH1042" s="6"/>
      <c r="GI1042" s="6"/>
      <c r="GJ1042" s="6"/>
      <c r="GK1042" s="6"/>
      <c r="GL1042" s="6"/>
      <c r="GM1042" s="6"/>
      <c r="GN1042" s="6"/>
      <c r="GO1042" s="6"/>
      <c r="GP1042" s="6"/>
      <c r="GQ1042" s="6"/>
      <c r="GR1042" s="6"/>
      <c r="GS1042" s="6"/>
      <c r="GT1042" s="6"/>
      <c r="GU1042" s="6"/>
      <c r="GV1042" s="6"/>
      <c r="GW1042" s="6"/>
      <c r="GX1042" s="6"/>
      <c r="GY1042" s="6"/>
      <c r="GZ1042" s="6"/>
      <c r="HA1042" s="6"/>
      <c r="HB1042" s="6"/>
      <c r="HC1042" s="6"/>
      <c r="HD1042" s="6"/>
      <c r="HE1042" s="6"/>
      <c r="HF1042" s="6"/>
      <c r="HG1042" s="6"/>
      <c r="HH1042" s="6"/>
    </row>
    <row r="1043" spans="1:216" x14ac:dyDescent="0.3">
      <c r="A1043" s="8"/>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c r="DX1043" s="6"/>
      <c r="DY1043" s="6"/>
      <c r="DZ1043" s="6"/>
      <c r="EA1043" s="6"/>
      <c r="EB1043" s="6"/>
      <c r="EC1043" s="6"/>
      <c r="ED1043" s="6"/>
      <c r="EE1043" s="6"/>
      <c r="EF1043" s="6"/>
      <c r="EG1043" s="6"/>
      <c r="EH1043" s="6"/>
      <c r="EI1043" s="6"/>
      <c r="EJ1043" s="6"/>
      <c r="EK1043" s="6"/>
      <c r="EL1043" s="6"/>
      <c r="EM1043" s="6"/>
      <c r="EN1043" s="6"/>
      <c r="EO1043" s="6"/>
      <c r="EP1043" s="6"/>
      <c r="EQ1043" s="6"/>
      <c r="ER1043" s="6"/>
      <c r="ES1043" s="6"/>
      <c r="ET1043" s="6"/>
      <c r="EU1043" s="6"/>
      <c r="EV1043" s="6"/>
      <c r="EW1043" s="6"/>
      <c r="EX1043" s="6"/>
      <c r="EY1043" s="6"/>
      <c r="EZ1043" s="6"/>
      <c r="FA1043" s="6"/>
      <c r="FB1043" s="6"/>
      <c r="FC1043" s="6"/>
      <c r="FD1043" s="6"/>
      <c r="FE1043" s="6"/>
      <c r="FF1043" s="6"/>
      <c r="FG1043" s="6"/>
      <c r="FH1043" s="6"/>
      <c r="FI1043" s="6"/>
      <c r="FJ1043" s="6"/>
      <c r="FK1043" s="6"/>
      <c r="FL1043" s="6"/>
      <c r="FM1043" s="6"/>
      <c r="FN1043" s="6"/>
      <c r="FO1043" s="6"/>
      <c r="FP1043" s="6"/>
      <c r="FQ1043" s="6"/>
      <c r="FR1043" s="6"/>
      <c r="FS1043" s="6"/>
      <c r="FT1043" s="6"/>
      <c r="FU1043" s="6"/>
      <c r="FV1043" s="6"/>
      <c r="FW1043" s="6"/>
      <c r="FX1043" s="6"/>
      <c r="FY1043" s="6"/>
      <c r="FZ1043" s="6"/>
      <c r="GA1043" s="6"/>
      <c r="GB1043" s="6"/>
      <c r="GC1043" s="6"/>
      <c r="GD1043" s="6"/>
      <c r="GE1043" s="6"/>
      <c r="GF1043" s="6"/>
      <c r="GG1043" s="6"/>
      <c r="GH1043" s="6"/>
      <c r="GI1043" s="6"/>
      <c r="GJ1043" s="6"/>
      <c r="GK1043" s="6"/>
      <c r="GL1043" s="6"/>
      <c r="GM1043" s="6"/>
      <c r="GN1043" s="6"/>
      <c r="GO1043" s="6"/>
      <c r="GP1043" s="6"/>
      <c r="GQ1043" s="6"/>
      <c r="GR1043" s="6"/>
      <c r="GS1043" s="6"/>
      <c r="GT1043" s="6"/>
      <c r="GU1043" s="6"/>
      <c r="GV1043" s="6"/>
      <c r="GW1043" s="6"/>
      <c r="GX1043" s="6"/>
      <c r="GY1043" s="6"/>
      <c r="GZ1043" s="6"/>
      <c r="HA1043" s="6"/>
      <c r="HB1043" s="6"/>
      <c r="HC1043" s="6"/>
      <c r="HD1043" s="6"/>
      <c r="HE1043" s="6"/>
      <c r="HF1043" s="6"/>
      <c r="HG1043" s="6"/>
      <c r="HH1043" s="6"/>
    </row>
    <row r="1044" spans="1:216" x14ac:dyDescent="0.3">
      <c r="A1044" s="8"/>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c r="DX1044" s="6"/>
      <c r="DY1044" s="6"/>
      <c r="DZ1044" s="6"/>
      <c r="EA1044" s="6"/>
      <c r="EB1044" s="6"/>
      <c r="EC1044" s="6"/>
      <c r="ED1044" s="6"/>
      <c r="EE1044" s="6"/>
      <c r="EF1044" s="6"/>
      <c r="EG1044" s="6"/>
      <c r="EH1044" s="6"/>
      <c r="EI1044" s="6"/>
      <c r="EJ1044" s="6"/>
      <c r="EK1044" s="6"/>
      <c r="EL1044" s="6"/>
      <c r="EM1044" s="6"/>
      <c r="EN1044" s="6"/>
      <c r="EO1044" s="6"/>
      <c r="EP1044" s="6"/>
      <c r="EQ1044" s="6"/>
      <c r="ER1044" s="6"/>
      <c r="ES1044" s="6"/>
      <c r="ET1044" s="6"/>
      <c r="EU1044" s="6"/>
      <c r="EV1044" s="6"/>
      <c r="EW1044" s="6"/>
      <c r="EX1044" s="6"/>
      <c r="EY1044" s="6"/>
      <c r="EZ1044" s="6"/>
      <c r="FA1044" s="6"/>
      <c r="FB1044" s="6"/>
      <c r="FC1044" s="6"/>
      <c r="FD1044" s="6"/>
      <c r="FE1044" s="6"/>
      <c r="FF1044" s="6"/>
      <c r="FG1044" s="6"/>
      <c r="FH1044" s="6"/>
      <c r="FI1044" s="6"/>
      <c r="FJ1044" s="6"/>
      <c r="FK1044" s="6"/>
      <c r="FL1044" s="6"/>
      <c r="FM1044" s="6"/>
      <c r="FN1044" s="6"/>
      <c r="FO1044" s="6"/>
      <c r="FP1044" s="6"/>
      <c r="FQ1044" s="6"/>
      <c r="FR1044" s="6"/>
      <c r="FS1044" s="6"/>
      <c r="FT1044" s="6"/>
      <c r="FU1044" s="6"/>
      <c r="FV1044" s="6"/>
      <c r="FW1044" s="6"/>
      <c r="FX1044" s="6"/>
      <c r="FY1044" s="6"/>
      <c r="FZ1044" s="6"/>
      <c r="GA1044" s="6"/>
      <c r="GB1044" s="6"/>
      <c r="GC1044" s="6"/>
      <c r="GD1044" s="6"/>
      <c r="GE1044" s="6"/>
      <c r="GF1044" s="6"/>
      <c r="GG1044" s="6"/>
      <c r="GH1044" s="6"/>
      <c r="GI1044" s="6"/>
      <c r="GJ1044" s="6"/>
      <c r="GK1044" s="6"/>
      <c r="GL1044" s="6"/>
      <c r="GM1044" s="6"/>
      <c r="GN1044" s="6"/>
      <c r="GO1044" s="6"/>
      <c r="GP1044" s="6"/>
      <c r="GQ1044" s="6"/>
      <c r="GR1044" s="6"/>
      <c r="GS1044" s="6"/>
      <c r="GT1044" s="6"/>
      <c r="GU1044" s="6"/>
      <c r="GV1044" s="6"/>
      <c r="GW1044" s="6"/>
      <c r="GX1044" s="6"/>
      <c r="GY1044" s="6"/>
      <c r="GZ1044" s="6"/>
      <c r="HA1044" s="6"/>
      <c r="HB1044" s="6"/>
      <c r="HC1044" s="6"/>
      <c r="HD1044" s="6"/>
      <c r="HE1044" s="6"/>
      <c r="HF1044" s="6"/>
      <c r="HG1044" s="6"/>
      <c r="HH1044" s="6"/>
    </row>
    <row r="1045" spans="1:216" x14ac:dyDescent="0.3">
      <c r="A1045" s="8"/>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c r="DX1045" s="6"/>
      <c r="DY1045" s="6"/>
      <c r="DZ1045" s="6"/>
      <c r="EA1045" s="6"/>
      <c r="EB1045" s="6"/>
      <c r="EC1045" s="6"/>
      <c r="ED1045" s="6"/>
      <c r="EE1045" s="6"/>
      <c r="EF1045" s="6"/>
      <c r="EG1045" s="6"/>
      <c r="EH1045" s="6"/>
      <c r="EI1045" s="6"/>
      <c r="EJ1045" s="6"/>
      <c r="EK1045" s="6"/>
      <c r="EL1045" s="6"/>
      <c r="EM1045" s="6"/>
      <c r="EN1045" s="6"/>
      <c r="EO1045" s="6"/>
      <c r="EP1045" s="6"/>
      <c r="EQ1045" s="6"/>
      <c r="ER1045" s="6"/>
      <c r="ES1045" s="6"/>
      <c r="ET1045" s="6"/>
      <c r="EU1045" s="6"/>
      <c r="EV1045" s="6"/>
      <c r="EW1045" s="6"/>
      <c r="EX1045" s="6"/>
      <c r="EY1045" s="6"/>
      <c r="EZ1045" s="6"/>
      <c r="FA1045" s="6"/>
      <c r="FB1045" s="6"/>
      <c r="FC1045" s="6"/>
      <c r="FD1045" s="6"/>
      <c r="FE1045" s="6"/>
      <c r="FF1045" s="6"/>
      <c r="FG1045" s="6"/>
      <c r="FH1045" s="6"/>
      <c r="FI1045" s="6"/>
      <c r="FJ1045" s="6"/>
      <c r="FK1045" s="6"/>
      <c r="FL1045" s="6"/>
      <c r="FM1045" s="6"/>
      <c r="FN1045" s="6"/>
      <c r="FO1045" s="6"/>
      <c r="FP1045" s="6"/>
      <c r="FQ1045" s="6"/>
      <c r="FR1045" s="6"/>
      <c r="FS1045" s="6"/>
      <c r="FT1045" s="6"/>
      <c r="FU1045" s="6"/>
      <c r="FV1045" s="6"/>
      <c r="FW1045" s="6"/>
      <c r="FX1045" s="6"/>
      <c r="FY1045" s="6"/>
      <c r="FZ1045" s="6"/>
      <c r="GA1045" s="6"/>
      <c r="GB1045" s="6"/>
      <c r="GC1045" s="6"/>
      <c r="GD1045" s="6"/>
      <c r="GE1045" s="6"/>
      <c r="GF1045" s="6"/>
      <c r="GG1045" s="6"/>
      <c r="GH1045" s="6"/>
      <c r="GI1045" s="6"/>
      <c r="GJ1045" s="6"/>
      <c r="GK1045" s="6"/>
      <c r="GL1045" s="6"/>
      <c r="GM1045" s="6"/>
      <c r="GN1045" s="6"/>
      <c r="GO1045" s="6"/>
      <c r="GP1045" s="6"/>
      <c r="GQ1045" s="6"/>
      <c r="GR1045" s="6"/>
      <c r="GS1045" s="6"/>
      <c r="GT1045" s="6"/>
      <c r="GU1045" s="6"/>
      <c r="GV1045" s="6"/>
      <c r="GW1045" s="6"/>
      <c r="GX1045" s="6"/>
      <c r="GY1045" s="6"/>
      <c r="GZ1045" s="6"/>
      <c r="HA1045" s="6"/>
      <c r="HB1045" s="6"/>
      <c r="HC1045" s="6"/>
      <c r="HD1045" s="6"/>
      <c r="HE1045" s="6"/>
      <c r="HF1045" s="6"/>
      <c r="HG1045" s="6"/>
      <c r="HH1045" s="6"/>
    </row>
    <row r="1046" spans="1:216" x14ac:dyDescent="0.3">
      <c r="A1046" s="8"/>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c r="DX1046" s="6"/>
      <c r="DY1046" s="6"/>
      <c r="DZ1046" s="6"/>
      <c r="EA1046" s="6"/>
      <c r="EB1046" s="6"/>
      <c r="EC1046" s="6"/>
      <c r="ED1046" s="6"/>
      <c r="EE1046" s="6"/>
      <c r="EF1046" s="6"/>
      <c r="EG1046" s="6"/>
      <c r="EH1046" s="6"/>
      <c r="EI1046" s="6"/>
      <c r="EJ1046" s="6"/>
      <c r="EK1046" s="6"/>
      <c r="EL1046" s="6"/>
      <c r="EM1046" s="6"/>
      <c r="EN1046" s="6"/>
      <c r="EO1046" s="6"/>
      <c r="EP1046" s="6"/>
      <c r="EQ1046" s="6"/>
      <c r="ER1046" s="6"/>
      <c r="ES1046" s="6"/>
      <c r="ET1046" s="6"/>
      <c r="EU1046" s="6"/>
      <c r="EV1046" s="6"/>
      <c r="EW1046" s="6"/>
      <c r="EX1046" s="6"/>
      <c r="EY1046" s="6"/>
      <c r="EZ1046" s="6"/>
      <c r="FA1046" s="6"/>
      <c r="FB1046" s="6"/>
      <c r="FC1046" s="6"/>
      <c r="FD1046" s="6"/>
      <c r="FE1046" s="6"/>
      <c r="FF1046" s="6"/>
      <c r="FG1046" s="6"/>
      <c r="FH1046" s="6"/>
      <c r="FI1046" s="6"/>
      <c r="FJ1046" s="6"/>
      <c r="FK1046" s="6"/>
      <c r="FL1046" s="6"/>
      <c r="FM1046" s="6"/>
      <c r="FN1046" s="6"/>
      <c r="FO1046" s="6"/>
      <c r="FP1046" s="6"/>
      <c r="FQ1046" s="6"/>
      <c r="FR1046" s="6"/>
      <c r="FS1046" s="6"/>
      <c r="FT1046" s="6"/>
      <c r="FU1046" s="6"/>
      <c r="FV1046" s="6"/>
      <c r="FW1046" s="6"/>
      <c r="FX1046" s="6"/>
      <c r="FY1046" s="6"/>
      <c r="FZ1046" s="6"/>
      <c r="GA1046" s="6"/>
      <c r="GB1046" s="6"/>
      <c r="GC1046" s="6"/>
      <c r="GD1046" s="6"/>
      <c r="GE1046" s="6"/>
      <c r="GF1046" s="6"/>
      <c r="GG1046" s="6"/>
      <c r="GH1046" s="6"/>
      <c r="GI1046" s="6"/>
      <c r="GJ1046" s="6"/>
      <c r="GK1046" s="6"/>
      <c r="GL1046" s="6"/>
      <c r="GM1046" s="6"/>
      <c r="GN1046" s="6"/>
      <c r="GO1046" s="6"/>
      <c r="GP1046" s="6"/>
      <c r="GQ1046" s="6"/>
      <c r="GR1046" s="6"/>
      <c r="GS1046" s="6"/>
      <c r="GT1046" s="6"/>
      <c r="GU1046" s="6"/>
      <c r="GV1046" s="6"/>
      <c r="GW1046" s="6"/>
      <c r="GX1046" s="6"/>
      <c r="GY1046" s="6"/>
      <c r="GZ1046" s="6"/>
      <c r="HA1046" s="6"/>
      <c r="HB1046" s="6"/>
      <c r="HC1046" s="6"/>
      <c r="HD1046" s="6"/>
      <c r="HE1046" s="6"/>
      <c r="HF1046" s="6"/>
      <c r="HG1046" s="6"/>
      <c r="HH1046" s="6"/>
    </row>
    <row r="1047" spans="1:216" x14ac:dyDescent="0.3">
      <c r="A1047" s="8"/>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c r="DX1047" s="6"/>
      <c r="DY1047" s="6"/>
      <c r="DZ1047" s="6"/>
      <c r="EA1047" s="6"/>
      <c r="EB1047" s="6"/>
      <c r="EC1047" s="6"/>
      <c r="ED1047" s="6"/>
      <c r="EE1047" s="6"/>
      <c r="EF1047" s="6"/>
      <c r="EG1047" s="6"/>
      <c r="EH1047" s="6"/>
      <c r="EI1047" s="6"/>
      <c r="EJ1047" s="6"/>
      <c r="EK1047" s="6"/>
      <c r="EL1047" s="6"/>
      <c r="EM1047" s="6"/>
      <c r="EN1047" s="6"/>
      <c r="EO1047" s="6"/>
      <c r="EP1047" s="6"/>
      <c r="EQ1047" s="6"/>
      <c r="ER1047" s="6"/>
      <c r="ES1047" s="6"/>
      <c r="ET1047" s="6"/>
      <c r="EU1047" s="6"/>
      <c r="EV1047" s="6"/>
      <c r="EW1047" s="6"/>
      <c r="EX1047" s="6"/>
      <c r="EY1047" s="6"/>
      <c r="EZ1047" s="6"/>
      <c r="FA1047" s="6"/>
      <c r="FB1047" s="6"/>
      <c r="FC1047" s="6"/>
      <c r="FD1047" s="6"/>
      <c r="FE1047" s="6"/>
      <c r="FF1047" s="6"/>
      <c r="FG1047" s="6"/>
      <c r="FH1047" s="6"/>
      <c r="FI1047" s="6"/>
      <c r="FJ1047" s="6"/>
      <c r="FK1047" s="6"/>
      <c r="FL1047" s="6"/>
      <c r="FM1047" s="6"/>
      <c r="FN1047" s="6"/>
      <c r="FO1047" s="6"/>
      <c r="FP1047" s="6"/>
      <c r="FQ1047" s="6"/>
      <c r="FR1047" s="6"/>
      <c r="FS1047" s="6"/>
      <c r="FT1047" s="6"/>
      <c r="FU1047" s="6"/>
      <c r="FV1047" s="6"/>
      <c r="FW1047" s="6"/>
      <c r="FX1047" s="6"/>
      <c r="FY1047" s="6"/>
      <c r="FZ1047" s="6"/>
      <c r="GA1047" s="6"/>
      <c r="GB1047" s="6"/>
      <c r="GC1047" s="6"/>
      <c r="GD1047" s="6"/>
      <c r="GE1047" s="6"/>
      <c r="GF1047" s="6"/>
      <c r="GG1047" s="6"/>
      <c r="GH1047" s="6"/>
      <c r="GI1047" s="6"/>
      <c r="GJ1047" s="6"/>
      <c r="GK1047" s="6"/>
      <c r="GL1047" s="6"/>
      <c r="GM1047" s="6"/>
      <c r="GN1047" s="6"/>
      <c r="GO1047" s="6"/>
      <c r="GP1047" s="6"/>
      <c r="GQ1047" s="6"/>
      <c r="GR1047" s="6"/>
      <c r="GS1047" s="6"/>
      <c r="GT1047" s="6"/>
      <c r="GU1047" s="6"/>
      <c r="GV1047" s="6"/>
      <c r="GW1047" s="6"/>
      <c r="GX1047" s="6"/>
      <c r="GY1047" s="6"/>
      <c r="GZ1047" s="6"/>
      <c r="HA1047" s="6"/>
      <c r="HB1047" s="6"/>
      <c r="HC1047" s="6"/>
      <c r="HD1047" s="6"/>
      <c r="HE1047" s="6"/>
      <c r="HF1047" s="6"/>
      <c r="HG1047" s="6"/>
      <c r="HH1047" s="6"/>
    </row>
    <row r="1048" spans="1:216" x14ac:dyDescent="0.3">
      <c r="A1048" s="8"/>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c r="DX1048" s="6"/>
      <c r="DY1048" s="6"/>
      <c r="DZ1048" s="6"/>
      <c r="EA1048" s="6"/>
      <c r="EB1048" s="6"/>
      <c r="EC1048" s="6"/>
      <c r="ED1048" s="6"/>
      <c r="EE1048" s="6"/>
      <c r="EF1048" s="6"/>
      <c r="EG1048" s="6"/>
      <c r="EH1048" s="6"/>
      <c r="EI1048" s="6"/>
      <c r="EJ1048" s="6"/>
      <c r="EK1048" s="6"/>
      <c r="EL1048" s="6"/>
      <c r="EM1048" s="6"/>
      <c r="EN1048" s="6"/>
      <c r="EO1048" s="6"/>
      <c r="EP1048" s="6"/>
      <c r="EQ1048" s="6"/>
      <c r="ER1048" s="6"/>
      <c r="ES1048" s="6"/>
      <c r="ET1048" s="6"/>
      <c r="EU1048" s="6"/>
      <c r="EV1048" s="6"/>
      <c r="EW1048" s="6"/>
      <c r="EX1048" s="6"/>
      <c r="EY1048" s="6"/>
      <c r="EZ1048" s="6"/>
      <c r="FA1048" s="6"/>
      <c r="FB1048" s="6"/>
      <c r="FC1048" s="6"/>
      <c r="FD1048" s="6"/>
      <c r="FE1048" s="6"/>
      <c r="FF1048" s="6"/>
      <c r="FG1048" s="6"/>
      <c r="FH1048" s="6"/>
      <c r="FI1048" s="6"/>
      <c r="FJ1048" s="6"/>
      <c r="FK1048" s="6"/>
      <c r="FL1048" s="6"/>
      <c r="FM1048" s="6"/>
      <c r="FN1048" s="6"/>
      <c r="FO1048" s="6"/>
      <c r="FP1048" s="6"/>
      <c r="FQ1048" s="6"/>
      <c r="FR1048" s="6"/>
      <c r="FS1048" s="6"/>
      <c r="FT1048" s="6"/>
      <c r="FU1048" s="6"/>
      <c r="FV1048" s="6"/>
      <c r="FW1048" s="6"/>
      <c r="FX1048" s="6"/>
      <c r="FY1048" s="6"/>
      <c r="FZ1048" s="6"/>
      <c r="GA1048" s="6"/>
      <c r="GB1048" s="6"/>
      <c r="GC1048" s="6"/>
      <c r="GD1048" s="6"/>
      <c r="GE1048" s="6"/>
      <c r="GF1048" s="6"/>
      <c r="GG1048" s="6"/>
      <c r="GH1048" s="6"/>
      <c r="GI1048" s="6"/>
      <c r="GJ1048" s="6"/>
      <c r="GK1048" s="6"/>
      <c r="GL1048" s="6"/>
      <c r="GM1048" s="6"/>
      <c r="GN1048" s="6"/>
      <c r="GO1048" s="6"/>
      <c r="GP1048" s="6"/>
      <c r="GQ1048" s="6"/>
      <c r="GR1048" s="6"/>
      <c r="GS1048" s="6"/>
      <c r="GT1048" s="6"/>
      <c r="GU1048" s="6"/>
      <c r="GV1048" s="6"/>
      <c r="GW1048" s="6"/>
      <c r="GX1048" s="6"/>
      <c r="GY1048" s="6"/>
      <c r="GZ1048" s="6"/>
      <c r="HA1048" s="6"/>
      <c r="HB1048" s="6"/>
      <c r="HC1048" s="6"/>
      <c r="HD1048" s="6"/>
      <c r="HE1048" s="6"/>
      <c r="HF1048" s="6"/>
      <c r="HG1048" s="6"/>
      <c r="HH1048" s="6"/>
    </row>
    <row r="1049" spans="1:216" x14ac:dyDescent="0.3">
      <c r="A1049" s="8"/>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c r="DX1049" s="6"/>
      <c r="DY1049" s="6"/>
      <c r="DZ1049" s="6"/>
      <c r="EA1049" s="6"/>
      <c r="EB1049" s="6"/>
      <c r="EC1049" s="6"/>
      <c r="ED1049" s="6"/>
      <c r="EE1049" s="6"/>
      <c r="EF1049" s="6"/>
      <c r="EG1049" s="6"/>
      <c r="EH1049" s="6"/>
      <c r="EI1049" s="6"/>
      <c r="EJ1049" s="6"/>
      <c r="EK1049" s="6"/>
      <c r="EL1049" s="6"/>
      <c r="EM1049" s="6"/>
      <c r="EN1049" s="6"/>
      <c r="EO1049" s="6"/>
      <c r="EP1049" s="6"/>
      <c r="EQ1049" s="6"/>
      <c r="ER1049" s="6"/>
      <c r="ES1049" s="6"/>
      <c r="ET1049" s="6"/>
      <c r="EU1049" s="6"/>
      <c r="EV1049" s="6"/>
      <c r="EW1049" s="6"/>
      <c r="EX1049" s="6"/>
      <c r="EY1049" s="6"/>
      <c r="EZ1049" s="6"/>
      <c r="FA1049" s="6"/>
      <c r="FB1049" s="6"/>
      <c r="FC1049" s="6"/>
      <c r="FD1049" s="6"/>
      <c r="FE1049" s="6"/>
      <c r="FF1049" s="6"/>
      <c r="FG1049" s="6"/>
      <c r="FH1049" s="6"/>
      <c r="FI1049" s="6"/>
      <c r="FJ1049" s="6"/>
      <c r="FK1049" s="6"/>
      <c r="FL1049" s="6"/>
      <c r="FM1049" s="6"/>
      <c r="FN1049" s="6"/>
      <c r="FO1049" s="6"/>
      <c r="FP1049" s="6"/>
      <c r="FQ1049" s="6"/>
      <c r="FR1049" s="6"/>
      <c r="FS1049" s="6"/>
      <c r="FT1049" s="6"/>
      <c r="FU1049" s="6"/>
      <c r="FV1049" s="6"/>
      <c r="FW1049" s="6"/>
      <c r="FX1049" s="6"/>
      <c r="FY1049" s="6"/>
      <c r="FZ1049" s="6"/>
      <c r="GA1049" s="6"/>
      <c r="GB1049" s="6"/>
      <c r="GC1049" s="6"/>
      <c r="GD1049" s="6"/>
      <c r="GE1049" s="6"/>
      <c r="GF1049" s="6"/>
      <c r="GG1049" s="6"/>
      <c r="GH1049" s="6"/>
      <c r="GI1049" s="6"/>
      <c r="GJ1049" s="6"/>
      <c r="GK1049" s="6"/>
      <c r="GL1049" s="6"/>
      <c r="GM1049" s="6"/>
      <c r="GN1049" s="6"/>
      <c r="GO1049" s="6"/>
      <c r="GP1049" s="6"/>
      <c r="GQ1049" s="6"/>
      <c r="GR1049" s="6"/>
      <c r="GS1049" s="6"/>
      <c r="GT1049" s="6"/>
      <c r="GU1049" s="6"/>
      <c r="GV1049" s="6"/>
      <c r="GW1049" s="6"/>
      <c r="GX1049" s="6"/>
      <c r="GY1049" s="6"/>
      <c r="GZ1049" s="6"/>
      <c r="HA1049" s="6"/>
      <c r="HB1049" s="6"/>
      <c r="HC1049" s="6"/>
      <c r="HD1049" s="6"/>
      <c r="HE1049" s="6"/>
      <c r="HF1049" s="6"/>
      <c r="HG1049" s="6"/>
      <c r="HH1049" s="6"/>
    </row>
    <row r="1050" spans="1:216" x14ac:dyDescent="0.3">
      <c r="A1050" s="8"/>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6"/>
      <c r="AR1050" s="6"/>
      <c r="AS1050" s="6"/>
      <c r="AT1050" s="6"/>
      <c r="AU1050" s="6"/>
      <c r="AV1050" s="6"/>
      <c r="AW1050" s="6"/>
      <c r="AX1050" s="6"/>
      <c r="AY1050" s="6"/>
      <c r="AZ1050" s="6"/>
      <c r="BA1050" s="6"/>
      <c r="BB1050" s="6"/>
      <c r="BC1050" s="6"/>
      <c r="BD1050" s="6"/>
      <c r="BE1050" s="6"/>
      <c r="BF1050" s="6"/>
      <c r="BG1050" s="6"/>
      <c r="BH1050" s="6"/>
      <c r="BI1050" s="6"/>
      <c r="BJ1050" s="6"/>
      <c r="BK1050" s="6"/>
      <c r="BL1050" s="6"/>
      <c r="BM1050" s="6"/>
      <c r="BN1050" s="6"/>
      <c r="BO1050" s="6"/>
      <c r="BP1050" s="6"/>
      <c r="BQ1050" s="6"/>
      <c r="BR1050" s="6"/>
      <c r="BS1050" s="6"/>
      <c r="BT1050" s="6"/>
      <c r="BU1050" s="6"/>
      <c r="BV1050" s="6"/>
      <c r="BW1050" s="6"/>
      <c r="BX1050" s="6"/>
      <c r="BY1050" s="6"/>
      <c r="BZ1050" s="6"/>
      <c r="CA1050" s="6"/>
      <c r="CB1050" s="6"/>
      <c r="CC1050" s="6"/>
      <c r="CD1050" s="6"/>
      <c r="CE1050" s="6"/>
      <c r="CF1050" s="6"/>
      <c r="CG1050" s="6"/>
      <c r="CH1050" s="6"/>
      <c r="CI1050" s="6"/>
      <c r="CJ1050" s="6"/>
      <c r="CK1050" s="6"/>
      <c r="CL1050" s="6"/>
      <c r="CM1050" s="6"/>
      <c r="CN1050" s="6"/>
      <c r="CO1050" s="6"/>
      <c r="CP1050" s="6"/>
      <c r="CQ1050" s="6"/>
      <c r="CR1050" s="6"/>
      <c r="CS1050" s="6"/>
      <c r="CT1050" s="6"/>
      <c r="CU1050" s="6"/>
      <c r="CV1050" s="6"/>
      <c r="CW1050" s="6"/>
      <c r="CX1050" s="6"/>
      <c r="CY1050" s="6"/>
      <c r="CZ1050" s="6"/>
      <c r="DA1050" s="6"/>
      <c r="DB1050" s="6"/>
      <c r="DC1050" s="6"/>
      <c r="DD1050" s="6"/>
      <c r="DE1050" s="6"/>
      <c r="DF1050" s="6"/>
      <c r="DG1050" s="6"/>
      <c r="DH1050" s="6"/>
      <c r="DI1050" s="6"/>
      <c r="DJ1050" s="6"/>
      <c r="DK1050" s="6"/>
      <c r="DL1050" s="6"/>
      <c r="DM1050" s="6"/>
      <c r="DN1050" s="6"/>
      <c r="DO1050" s="6"/>
      <c r="DP1050" s="6"/>
      <c r="DQ1050" s="6"/>
      <c r="DR1050" s="6"/>
      <c r="DS1050" s="6"/>
      <c r="DT1050" s="6"/>
      <c r="DU1050" s="6"/>
      <c r="DV1050" s="6"/>
      <c r="DW1050" s="6"/>
      <c r="DX1050" s="6"/>
      <c r="DY1050" s="6"/>
      <c r="DZ1050" s="6"/>
      <c r="EA1050" s="6"/>
      <c r="EB1050" s="6"/>
      <c r="EC1050" s="6"/>
      <c r="ED1050" s="6"/>
      <c r="EE1050" s="6"/>
      <c r="EF1050" s="6"/>
      <c r="EG1050" s="6"/>
      <c r="EH1050" s="6"/>
      <c r="EI1050" s="6"/>
      <c r="EJ1050" s="6"/>
      <c r="EK1050" s="6"/>
      <c r="EL1050" s="6"/>
      <c r="EM1050" s="6"/>
      <c r="EN1050" s="6"/>
      <c r="EO1050" s="6"/>
      <c r="EP1050" s="6"/>
      <c r="EQ1050" s="6"/>
      <c r="ER1050" s="6"/>
      <c r="ES1050" s="6"/>
      <c r="ET1050" s="6"/>
      <c r="EU1050" s="6"/>
      <c r="EV1050" s="6"/>
      <c r="EW1050" s="6"/>
      <c r="EX1050" s="6"/>
      <c r="EY1050" s="6"/>
      <c r="EZ1050" s="6"/>
      <c r="FA1050" s="6"/>
      <c r="FB1050" s="6"/>
      <c r="FC1050" s="6"/>
      <c r="FD1050" s="6"/>
      <c r="FE1050" s="6"/>
      <c r="FF1050" s="6"/>
      <c r="FG1050" s="6"/>
      <c r="FH1050" s="6"/>
      <c r="FI1050" s="6"/>
      <c r="FJ1050" s="6"/>
      <c r="FK1050" s="6"/>
      <c r="FL1050" s="6"/>
      <c r="FM1050" s="6"/>
      <c r="FN1050" s="6"/>
      <c r="FO1050" s="6"/>
      <c r="FP1050" s="6"/>
      <c r="FQ1050" s="6"/>
      <c r="FR1050" s="6"/>
      <c r="FS1050" s="6"/>
      <c r="FT1050" s="6"/>
      <c r="FU1050" s="6"/>
      <c r="FV1050" s="6"/>
      <c r="FW1050" s="6"/>
      <c r="FX1050" s="6"/>
      <c r="FY1050" s="6"/>
      <c r="FZ1050" s="6"/>
      <c r="GA1050" s="6"/>
      <c r="GB1050" s="6"/>
      <c r="GC1050" s="6"/>
      <c r="GD1050" s="6"/>
      <c r="GE1050" s="6"/>
      <c r="GF1050" s="6"/>
      <c r="GG1050" s="6"/>
      <c r="GH1050" s="6"/>
      <c r="GI1050" s="6"/>
      <c r="GJ1050" s="6"/>
      <c r="GK1050" s="6"/>
      <c r="GL1050" s="6"/>
      <c r="GM1050" s="6"/>
      <c r="GN1050" s="6"/>
      <c r="GO1050" s="6"/>
      <c r="GP1050" s="6"/>
      <c r="GQ1050" s="6"/>
      <c r="GR1050" s="6"/>
      <c r="GS1050" s="6"/>
      <c r="GT1050" s="6"/>
      <c r="GU1050" s="6"/>
      <c r="GV1050" s="6"/>
      <c r="GW1050" s="6"/>
      <c r="GX1050" s="6"/>
      <c r="GY1050" s="6"/>
      <c r="GZ1050" s="6"/>
      <c r="HA1050" s="6"/>
      <c r="HB1050" s="6"/>
      <c r="HC1050" s="6"/>
      <c r="HD1050" s="6"/>
      <c r="HE1050" s="6"/>
      <c r="HF1050" s="6"/>
      <c r="HG1050" s="6"/>
      <c r="HH1050" s="6"/>
    </row>
    <row r="1051" spans="1:216" x14ac:dyDescent="0.3">
      <c r="A1051" s="8"/>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c r="DX1051" s="6"/>
      <c r="DY1051" s="6"/>
      <c r="DZ1051" s="6"/>
      <c r="EA1051" s="6"/>
      <c r="EB1051" s="6"/>
      <c r="EC1051" s="6"/>
      <c r="ED1051" s="6"/>
      <c r="EE1051" s="6"/>
      <c r="EF1051" s="6"/>
      <c r="EG1051" s="6"/>
      <c r="EH1051" s="6"/>
      <c r="EI1051" s="6"/>
      <c r="EJ1051" s="6"/>
      <c r="EK1051" s="6"/>
      <c r="EL1051" s="6"/>
      <c r="EM1051" s="6"/>
      <c r="EN1051" s="6"/>
      <c r="EO1051" s="6"/>
      <c r="EP1051" s="6"/>
      <c r="EQ1051" s="6"/>
      <c r="ER1051" s="6"/>
      <c r="ES1051" s="6"/>
      <c r="ET1051" s="6"/>
      <c r="EU1051" s="6"/>
      <c r="EV1051" s="6"/>
      <c r="EW1051" s="6"/>
      <c r="EX1051" s="6"/>
      <c r="EY1051" s="6"/>
      <c r="EZ1051" s="6"/>
      <c r="FA1051" s="6"/>
      <c r="FB1051" s="6"/>
      <c r="FC1051" s="6"/>
      <c r="FD1051" s="6"/>
      <c r="FE1051" s="6"/>
      <c r="FF1051" s="6"/>
      <c r="FG1051" s="6"/>
      <c r="FH1051" s="6"/>
      <c r="FI1051" s="6"/>
      <c r="FJ1051" s="6"/>
      <c r="FK1051" s="6"/>
      <c r="FL1051" s="6"/>
      <c r="FM1051" s="6"/>
      <c r="FN1051" s="6"/>
      <c r="FO1051" s="6"/>
      <c r="FP1051" s="6"/>
      <c r="FQ1051" s="6"/>
      <c r="FR1051" s="6"/>
      <c r="FS1051" s="6"/>
      <c r="FT1051" s="6"/>
      <c r="FU1051" s="6"/>
      <c r="FV1051" s="6"/>
      <c r="FW1051" s="6"/>
      <c r="FX1051" s="6"/>
      <c r="FY1051" s="6"/>
      <c r="FZ1051" s="6"/>
      <c r="GA1051" s="6"/>
      <c r="GB1051" s="6"/>
      <c r="GC1051" s="6"/>
      <c r="GD1051" s="6"/>
      <c r="GE1051" s="6"/>
      <c r="GF1051" s="6"/>
      <c r="GG1051" s="6"/>
      <c r="GH1051" s="6"/>
      <c r="GI1051" s="6"/>
      <c r="GJ1051" s="6"/>
      <c r="GK1051" s="6"/>
      <c r="GL1051" s="6"/>
      <c r="GM1051" s="6"/>
      <c r="GN1051" s="6"/>
      <c r="GO1051" s="6"/>
      <c r="GP1051" s="6"/>
      <c r="GQ1051" s="6"/>
      <c r="GR1051" s="6"/>
      <c r="GS1051" s="6"/>
      <c r="GT1051" s="6"/>
      <c r="GU1051" s="6"/>
      <c r="GV1051" s="6"/>
      <c r="GW1051" s="6"/>
      <c r="GX1051" s="6"/>
      <c r="GY1051" s="6"/>
      <c r="GZ1051" s="6"/>
      <c r="HA1051" s="6"/>
      <c r="HB1051" s="6"/>
      <c r="HC1051" s="6"/>
      <c r="HD1051" s="6"/>
      <c r="HE1051" s="6"/>
      <c r="HF1051" s="6"/>
      <c r="HG1051" s="6"/>
      <c r="HH1051" s="6"/>
    </row>
    <row r="1052" spans="1:216" x14ac:dyDescent="0.3">
      <c r="A1052" s="8"/>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6"/>
      <c r="AR1052" s="6"/>
      <c r="AS1052" s="6"/>
      <c r="AT1052" s="6"/>
      <c r="AU1052" s="6"/>
      <c r="AV1052" s="6"/>
      <c r="AW1052" s="6"/>
      <c r="AX1052" s="6"/>
      <c r="AY1052" s="6"/>
      <c r="AZ1052" s="6"/>
      <c r="BA1052" s="6"/>
      <c r="BB1052" s="6"/>
      <c r="BC1052" s="6"/>
      <c r="BD1052" s="6"/>
      <c r="BE1052" s="6"/>
      <c r="BF1052" s="6"/>
      <c r="BG1052" s="6"/>
      <c r="BH1052" s="6"/>
      <c r="BI1052" s="6"/>
      <c r="BJ1052" s="6"/>
      <c r="BK1052" s="6"/>
      <c r="BL1052" s="6"/>
      <c r="BM1052" s="6"/>
      <c r="BN1052" s="6"/>
      <c r="BO1052" s="6"/>
      <c r="BP1052" s="6"/>
      <c r="BQ1052" s="6"/>
      <c r="BR1052" s="6"/>
      <c r="BS1052" s="6"/>
      <c r="BT1052" s="6"/>
      <c r="BU1052" s="6"/>
      <c r="BV1052" s="6"/>
      <c r="BW1052" s="6"/>
      <c r="BX1052" s="6"/>
      <c r="BY1052" s="6"/>
      <c r="BZ1052" s="6"/>
      <c r="CA1052" s="6"/>
      <c r="CB1052" s="6"/>
      <c r="CC1052" s="6"/>
      <c r="CD1052" s="6"/>
      <c r="CE1052" s="6"/>
      <c r="CF1052" s="6"/>
      <c r="CG1052" s="6"/>
      <c r="CH1052" s="6"/>
      <c r="CI1052" s="6"/>
      <c r="CJ1052" s="6"/>
      <c r="CK1052" s="6"/>
      <c r="CL1052" s="6"/>
      <c r="CM1052" s="6"/>
      <c r="CN1052" s="6"/>
      <c r="CO1052" s="6"/>
      <c r="CP1052" s="6"/>
      <c r="CQ1052" s="6"/>
      <c r="CR1052" s="6"/>
      <c r="CS1052" s="6"/>
      <c r="CT1052" s="6"/>
      <c r="CU1052" s="6"/>
      <c r="CV1052" s="6"/>
      <c r="CW1052" s="6"/>
      <c r="CX1052" s="6"/>
      <c r="CY1052" s="6"/>
      <c r="CZ1052" s="6"/>
      <c r="DA1052" s="6"/>
      <c r="DB1052" s="6"/>
      <c r="DC1052" s="6"/>
      <c r="DD1052" s="6"/>
      <c r="DE1052" s="6"/>
      <c r="DF1052" s="6"/>
      <c r="DG1052" s="6"/>
      <c r="DH1052" s="6"/>
      <c r="DI1052" s="6"/>
      <c r="DJ1052" s="6"/>
      <c r="DK1052" s="6"/>
      <c r="DL1052" s="6"/>
      <c r="DM1052" s="6"/>
      <c r="DN1052" s="6"/>
      <c r="DO1052" s="6"/>
      <c r="DP1052" s="6"/>
      <c r="DQ1052" s="6"/>
      <c r="DR1052" s="6"/>
      <c r="DS1052" s="6"/>
      <c r="DT1052" s="6"/>
      <c r="DU1052" s="6"/>
      <c r="DV1052" s="6"/>
      <c r="DW1052" s="6"/>
      <c r="DX1052" s="6"/>
      <c r="DY1052" s="6"/>
      <c r="DZ1052" s="6"/>
      <c r="EA1052" s="6"/>
      <c r="EB1052" s="6"/>
      <c r="EC1052" s="6"/>
      <c r="ED1052" s="6"/>
      <c r="EE1052" s="6"/>
      <c r="EF1052" s="6"/>
      <c r="EG1052" s="6"/>
      <c r="EH1052" s="6"/>
      <c r="EI1052" s="6"/>
      <c r="EJ1052" s="6"/>
      <c r="EK1052" s="6"/>
      <c r="EL1052" s="6"/>
      <c r="EM1052" s="6"/>
      <c r="EN1052" s="6"/>
      <c r="EO1052" s="6"/>
      <c r="EP1052" s="6"/>
      <c r="EQ1052" s="6"/>
      <c r="ER1052" s="6"/>
      <c r="ES1052" s="6"/>
      <c r="ET1052" s="6"/>
      <c r="EU1052" s="6"/>
      <c r="EV1052" s="6"/>
      <c r="EW1052" s="6"/>
      <c r="EX1052" s="6"/>
      <c r="EY1052" s="6"/>
      <c r="EZ1052" s="6"/>
      <c r="FA1052" s="6"/>
      <c r="FB1052" s="6"/>
      <c r="FC1052" s="6"/>
      <c r="FD1052" s="6"/>
      <c r="FE1052" s="6"/>
      <c r="FF1052" s="6"/>
      <c r="FG1052" s="6"/>
      <c r="FH1052" s="6"/>
      <c r="FI1052" s="6"/>
      <c r="FJ1052" s="6"/>
      <c r="FK1052" s="6"/>
      <c r="FL1052" s="6"/>
      <c r="FM1052" s="6"/>
      <c r="FN1052" s="6"/>
      <c r="FO1052" s="6"/>
      <c r="FP1052" s="6"/>
      <c r="FQ1052" s="6"/>
      <c r="FR1052" s="6"/>
      <c r="FS1052" s="6"/>
      <c r="FT1052" s="6"/>
      <c r="FU1052" s="6"/>
      <c r="FV1052" s="6"/>
      <c r="FW1052" s="6"/>
      <c r="FX1052" s="6"/>
      <c r="FY1052" s="6"/>
      <c r="FZ1052" s="6"/>
      <c r="GA1052" s="6"/>
      <c r="GB1052" s="6"/>
      <c r="GC1052" s="6"/>
      <c r="GD1052" s="6"/>
      <c r="GE1052" s="6"/>
      <c r="GF1052" s="6"/>
      <c r="GG1052" s="6"/>
      <c r="GH1052" s="6"/>
      <c r="GI1052" s="6"/>
      <c r="GJ1052" s="6"/>
      <c r="GK1052" s="6"/>
      <c r="GL1052" s="6"/>
      <c r="GM1052" s="6"/>
      <c r="GN1052" s="6"/>
      <c r="GO1052" s="6"/>
      <c r="GP1052" s="6"/>
      <c r="GQ1052" s="6"/>
      <c r="GR1052" s="6"/>
      <c r="GS1052" s="6"/>
      <c r="GT1052" s="6"/>
      <c r="GU1052" s="6"/>
      <c r="GV1052" s="6"/>
      <c r="GW1052" s="6"/>
      <c r="GX1052" s="6"/>
      <c r="GY1052" s="6"/>
      <c r="GZ1052" s="6"/>
      <c r="HA1052" s="6"/>
      <c r="HB1052" s="6"/>
      <c r="HC1052" s="6"/>
      <c r="HD1052" s="6"/>
      <c r="HE1052" s="6"/>
      <c r="HF1052" s="6"/>
      <c r="HG1052" s="6"/>
      <c r="HH1052" s="6"/>
    </row>
    <row r="1053" spans="1:216" x14ac:dyDescent="0.3">
      <c r="A1053" s="8"/>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c r="DX1053" s="6"/>
      <c r="DY1053" s="6"/>
      <c r="DZ1053" s="6"/>
      <c r="EA1053" s="6"/>
      <c r="EB1053" s="6"/>
      <c r="EC1053" s="6"/>
      <c r="ED1053" s="6"/>
      <c r="EE1053" s="6"/>
      <c r="EF1053" s="6"/>
      <c r="EG1053" s="6"/>
      <c r="EH1053" s="6"/>
      <c r="EI1053" s="6"/>
      <c r="EJ1053" s="6"/>
      <c r="EK1053" s="6"/>
      <c r="EL1053" s="6"/>
      <c r="EM1053" s="6"/>
      <c r="EN1053" s="6"/>
      <c r="EO1053" s="6"/>
      <c r="EP1053" s="6"/>
      <c r="EQ1053" s="6"/>
      <c r="ER1053" s="6"/>
      <c r="ES1053" s="6"/>
      <c r="ET1053" s="6"/>
      <c r="EU1053" s="6"/>
      <c r="EV1053" s="6"/>
      <c r="EW1053" s="6"/>
      <c r="EX1053" s="6"/>
      <c r="EY1053" s="6"/>
      <c r="EZ1053" s="6"/>
      <c r="FA1053" s="6"/>
      <c r="FB1053" s="6"/>
      <c r="FC1053" s="6"/>
      <c r="FD1053" s="6"/>
      <c r="FE1053" s="6"/>
      <c r="FF1053" s="6"/>
      <c r="FG1053" s="6"/>
      <c r="FH1053" s="6"/>
      <c r="FI1053" s="6"/>
      <c r="FJ1053" s="6"/>
      <c r="FK1053" s="6"/>
      <c r="FL1053" s="6"/>
      <c r="FM1053" s="6"/>
      <c r="FN1053" s="6"/>
      <c r="FO1053" s="6"/>
      <c r="FP1053" s="6"/>
      <c r="FQ1053" s="6"/>
      <c r="FR1053" s="6"/>
      <c r="FS1053" s="6"/>
      <c r="FT1053" s="6"/>
      <c r="FU1053" s="6"/>
      <c r="FV1053" s="6"/>
      <c r="FW1053" s="6"/>
      <c r="FX1053" s="6"/>
      <c r="FY1053" s="6"/>
      <c r="FZ1053" s="6"/>
      <c r="GA1053" s="6"/>
      <c r="GB1053" s="6"/>
      <c r="GC1053" s="6"/>
      <c r="GD1053" s="6"/>
      <c r="GE1053" s="6"/>
      <c r="GF1053" s="6"/>
      <c r="GG1053" s="6"/>
      <c r="GH1053" s="6"/>
      <c r="GI1053" s="6"/>
      <c r="GJ1053" s="6"/>
      <c r="GK1053" s="6"/>
      <c r="GL1053" s="6"/>
      <c r="GM1053" s="6"/>
      <c r="GN1053" s="6"/>
      <c r="GO1053" s="6"/>
      <c r="GP1053" s="6"/>
      <c r="GQ1053" s="6"/>
      <c r="GR1053" s="6"/>
      <c r="GS1053" s="6"/>
      <c r="GT1053" s="6"/>
      <c r="GU1053" s="6"/>
      <c r="GV1053" s="6"/>
      <c r="GW1053" s="6"/>
      <c r="GX1053" s="6"/>
      <c r="GY1053" s="6"/>
      <c r="GZ1053" s="6"/>
      <c r="HA1053" s="6"/>
      <c r="HB1053" s="6"/>
      <c r="HC1053" s="6"/>
      <c r="HD1053" s="6"/>
      <c r="HE1053" s="6"/>
      <c r="HF1053" s="6"/>
      <c r="HG1053" s="6"/>
      <c r="HH1053" s="6"/>
    </row>
    <row r="1054" spans="1:216" x14ac:dyDescent="0.3">
      <c r="A1054" s="8"/>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c r="DX1054" s="6"/>
      <c r="DY1054" s="6"/>
      <c r="DZ1054" s="6"/>
      <c r="EA1054" s="6"/>
      <c r="EB1054" s="6"/>
      <c r="EC1054" s="6"/>
      <c r="ED1054" s="6"/>
      <c r="EE1054" s="6"/>
      <c r="EF1054" s="6"/>
      <c r="EG1054" s="6"/>
      <c r="EH1054" s="6"/>
      <c r="EI1054" s="6"/>
      <c r="EJ1054" s="6"/>
      <c r="EK1054" s="6"/>
      <c r="EL1054" s="6"/>
      <c r="EM1054" s="6"/>
      <c r="EN1054" s="6"/>
      <c r="EO1054" s="6"/>
      <c r="EP1054" s="6"/>
      <c r="EQ1054" s="6"/>
      <c r="ER1054" s="6"/>
      <c r="ES1054" s="6"/>
      <c r="ET1054" s="6"/>
      <c r="EU1054" s="6"/>
      <c r="EV1054" s="6"/>
      <c r="EW1054" s="6"/>
      <c r="EX1054" s="6"/>
      <c r="EY1054" s="6"/>
      <c r="EZ1054" s="6"/>
      <c r="FA1054" s="6"/>
      <c r="FB1054" s="6"/>
      <c r="FC1054" s="6"/>
      <c r="FD1054" s="6"/>
      <c r="FE1054" s="6"/>
      <c r="FF1054" s="6"/>
      <c r="FG1054" s="6"/>
      <c r="FH1054" s="6"/>
      <c r="FI1054" s="6"/>
      <c r="FJ1054" s="6"/>
      <c r="FK1054" s="6"/>
      <c r="FL1054" s="6"/>
      <c r="FM1054" s="6"/>
      <c r="FN1054" s="6"/>
      <c r="FO1054" s="6"/>
      <c r="FP1054" s="6"/>
      <c r="FQ1054" s="6"/>
      <c r="FR1054" s="6"/>
      <c r="FS1054" s="6"/>
      <c r="FT1054" s="6"/>
      <c r="FU1054" s="6"/>
      <c r="FV1054" s="6"/>
      <c r="FW1054" s="6"/>
      <c r="FX1054" s="6"/>
      <c r="FY1054" s="6"/>
      <c r="FZ1054" s="6"/>
      <c r="GA1054" s="6"/>
      <c r="GB1054" s="6"/>
      <c r="GC1054" s="6"/>
      <c r="GD1054" s="6"/>
      <c r="GE1054" s="6"/>
      <c r="GF1054" s="6"/>
      <c r="GG1054" s="6"/>
      <c r="GH1054" s="6"/>
      <c r="GI1054" s="6"/>
      <c r="GJ1054" s="6"/>
      <c r="GK1054" s="6"/>
      <c r="GL1054" s="6"/>
      <c r="GM1054" s="6"/>
      <c r="GN1054" s="6"/>
      <c r="GO1054" s="6"/>
      <c r="GP1054" s="6"/>
      <c r="GQ1054" s="6"/>
      <c r="GR1054" s="6"/>
      <c r="GS1054" s="6"/>
      <c r="GT1054" s="6"/>
      <c r="GU1054" s="6"/>
      <c r="GV1054" s="6"/>
      <c r="GW1054" s="6"/>
      <c r="GX1054" s="6"/>
      <c r="GY1054" s="6"/>
      <c r="GZ1054" s="6"/>
      <c r="HA1054" s="6"/>
      <c r="HB1054" s="6"/>
      <c r="HC1054" s="6"/>
      <c r="HD1054" s="6"/>
      <c r="HE1054" s="6"/>
      <c r="HF1054" s="6"/>
      <c r="HG1054" s="6"/>
      <c r="HH1054" s="6"/>
    </row>
    <row r="1055" spans="1:216" x14ac:dyDescent="0.3">
      <c r="A1055" s="8"/>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c r="DX1055" s="6"/>
      <c r="DY1055" s="6"/>
      <c r="DZ1055" s="6"/>
      <c r="EA1055" s="6"/>
      <c r="EB1055" s="6"/>
      <c r="EC1055" s="6"/>
      <c r="ED1055" s="6"/>
      <c r="EE1055" s="6"/>
      <c r="EF1055" s="6"/>
      <c r="EG1055" s="6"/>
      <c r="EH1055" s="6"/>
      <c r="EI1055" s="6"/>
      <c r="EJ1055" s="6"/>
      <c r="EK1055" s="6"/>
      <c r="EL1055" s="6"/>
      <c r="EM1055" s="6"/>
      <c r="EN1055" s="6"/>
      <c r="EO1055" s="6"/>
      <c r="EP1055" s="6"/>
      <c r="EQ1055" s="6"/>
      <c r="ER1055" s="6"/>
      <c r="ES1055" s="6"/>
      <c r="ET1055" s="6"/>
      <c r="EU1055" s="6"/>
      <c r="EV1055" s="6"/>
      <c r="EW1055" s="6"/>
      <c r="EX1055" s="6"/>
      <c r="EY1055" s="6"/>
      <c r="EZ1055" s="6"/>
      <c r="FA1055" s="6"/>
      <c r="FB1055" s="6"/>
      <c r="FC1055" s="6"/>
      <c r="FD1055" s="6"/>
      <c r="FE1055" s="6"/>
      <c r="FF1055" s="6"/>
      <c r="FG1055" s="6"/>
      <c r="FH1055" s="6"/>
      <c r="FI1055" s="6"/>
      <c r="FJ1055" s="6"/>
      <c r="FK1055" s="6"/>
      <c r="FL1055" s="6"/>
      <c r="FM1055" s="6"/>
      <c r="FN1055" s="6"/>
      <c r="FO1055" s="6"/>
      <c r="FP1055" s="6"/>
      <c r="FQ1055" s="6"/>
      <c r="FR1055" s="6"/>
      <c r="FS1055" s="6"/>
      <c r="FT1055" s="6"/>
      <c r="FU1055" s="6"/>
      <c r="FV1055" s="6"/>
      <c r="FW1055" s="6"/>
      <c r="FX1055" s="6"/>
      <c r="FY1055" s="6"/>
      <c r="FZ1055" s="6"/>
      <c r="GA1055" s="6"/>
      <c r="GB1055" s="6"/>
      <c r="GC1055" s="6"/>
      <c r="GD1055" s="6"/>
      <c r="GE1055" s="6"/>
      <c r="GF1055" s="6"/>
      <c r="GG1055" s="6"/>
      <c r="GH1055" s="6"/>
      <c r="GI1055" s="6"/>
      <c r="GJ1055" s="6"/>
      <c r="GK1055" s="6"/>
      <c r="GL1055" s="6"/>
      <c r="GM1055" s="6"/>
      <c r="GN1055" s="6"/>
      <c r="GO1055" s="6"/>
      <c r="GP1055" s="6"/>
      <c r="GQ1055" s="6"/>
      <c r="GR1055" s="6"/>
      <c r="GS1055" s="6"/>
      <c r="GT1055" s="6"/>
      <c r="GU1055" s="6"/>
      <c r="GV1055" s="6"/>
      <c r="GW1055" s="6"/>
      <c r="GX1055" s="6"/>
      <c r="GY1055" s="6"/>
      <c r="GZ1055" s="6"/>
      <c r="HA1055" s="6"/>
      <c r="HB1055" s="6"/>
      <c r="HC1055" s="6"/>
      <c r="HD1055" s="6"/>
      <c r="HE1055" s="6"/>
      <c r="HF1055" s="6"/>
      <c r="HG1055" s="6"/>
      <c r="HH1055" s="6"/>
    </row>
    <row r="1056" spans="1:216" x14ac:dyDescent="0.3">
      <c r="A1056" s="8"/>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c r="DX1056" s="6"/>
      <c r="DY1056" s="6"/>
      <c r="DZ1056" s="6"/>
      <c r="EA1056" s="6"/>
      <c r="EB1056" s="6"/>
      <c r="EC1056" s="6"/>
      <c r="ED1056" s="6"/>
      <c r="EE1056" s="6"/>
      <c r="EF1056" s="6"/>
      <c r="EG1056" s="6"/>
      <c r="EH1056" s="6"/>
      <c r="EI1056" s="6"/>
      <c r="EJ1056" s="6"/>
      <c r="EK1056" s="6"/>
      <c r="EL1056" s="6"/>
      <c r="EM1056" s="6"/>
      <c r="EN1056" s="6"/>
      <c r="EO1056" s="6"/>
      <c r="EP1056" s="6"/>
      <c r="EQ1056" s="6"/>
      <c r="ER1056" s="6"/>
      <c r="ES1056" s="6"/>
      <c r="ET1056" s="6"/>
      <c r="EU1056" s="6"/>
      <c r="EV1056" s="6"/>
      <c r="EW1056" s="6"/>
      <c r="EX1056" s="6"/>
      <c r="EY1056" s="6"/>
      <c r="EZ1056" s="6"/>
      <c r="FA1056" s="6"/>
      <c r="FB1056" s="6"/>
      <c r="FC1056" s="6"/>
      <c r="FD1056" s="6"/>
      <c r="FE1056" s="6"/>
      <c r="FF1056" s="6"/>
      <c r="FG1056" s="6"/>
      <c r="FH1056" s="6"/>
      <c r="FI1056" s="6"/>
      <c r="FJ1056" s="6"/>
      <c r="FK1056" s="6"/>
      <c r="FL1056" s="6"/>
      <c r="FM1056" s="6"/>
      <c r="FN1056" s="6"/>
      <c r="FO1056" s="6"/>
      <c r="FP1056" s="6"/>
      <c r="FQ1056" s="6"/>
      <c r="FR1056" s="6"/>
      <c r="FS1056" s="6"/>
      <c r="FT1056" s="6"/>
      <c r="FU1056" s="6"/>
      <c r="FV1056" s="6"/>
      <c r="FW1056" s="6"/>
      <c r="FX1056" s="6"/>
      <c r="FY1056" s="6"/>
      <c r="FZ1056" s="6"/>
      <c r="GA1056" s="6"/>
      <c r="GB1056" s="6"/>
      <c r="GC1056" s="6"/>
      <c r="GD1056" s="6"/>
      <c r="GE1056" s="6"/>
      <c r="GF1056" s="6"/>
      <c r="GG1056" s="6"/>
      <c r="GH1056" s="6"/>
      <c r="GI1056" s="6"/>
      <c r="GJ1056" s="6"/>
      <c r="GK1056" s="6"/>
      <c r="GL1056" s="6"/>
      <c r="GM1056" s="6"/>
      <c r="GN1056" s="6"/>
      <c r="GO1056" s="6"/>
      <c r="GP1056" s="6"/>
      <c r="GQ1056" s="6"/>
      <c r="GR1056" s="6"/>
      <c r="GS1056" s="6"/>
      <c r="GT1056" s="6"/>
      <c r="GU1056" s="6"/>
      <c r="GV1056" s="6"/>
      <c r="GW1056" s="6"/>
      <c r="GX1056" s="6"/>
      <c r="GY1056" s="6"/>
      <c r="GZ1056" s="6"/>
      <c r="HA1056" s="6"/>
      <c r="HB1056" s="6"/>
      <c r="HC1056" s="6"/>
      <c r="HD1056" s="6"/>
      <c r="HE1056" s="6"/>
      <c r="HF1056" s="6"/>
      <c r="HG1056" s="6"/>
      <c r="HH1056" s="6"/>
    </row>
    <row r="1057" spans="1:216" x14ac:dyDescent="0.3">
      <c r="A1057" s="8"/>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c r="DX1057" s="6"/>
      <c r="DY1057" s="6"/>
      <c r="DZ1057" s="6"/>
      <c r="EA1057" s="6"/>
      <c r="EB1057" s="6"/>
      <c r="EC1057" s="6"/>
      <c r="ED1057" s="6"/>
      <c r="EE1057" s="6"/>
      <c r="EF1057" s="6"/>
      <c r="EG1057" s="6"/>
      <c r="EH1057" s="6"/>
      <c r="EI1057" s="6"/>
      <c r="EJ1057" s="6"/>
      <c r="EK1057" s="6"/>
      <c r="EL1057" s="6"/>
      <c r="EM1057" s="6"/>
      <c r="EN1057" s="6"/>
      <c r="EO1057" s="6"/>
      <c r="EP1057" s="6"/>
      <c r="EQ1057" s="6"/>
      <c r="ER1057" s="6"/>
      <c r="ES1057" s="6"/>
      <c r="ET1057" s="6"/>
      <c r="EU1057" s="6"/>
      <c r="EV1057" s="6"/>
      <c r="EW1057" s="6"/>
      <c r="EX1057" s="6"/>
      <c r="EY1057" s="6"/>
      <c r="EZ1057" s="6"/>
      <c r="FA1057" s="6"/>
      <c r="FB1057" s="6"/>
      <c r="FC1057" s="6"/>
      <c r="FD1057" s="6"/>
      <c r="FE1057" s="6"/>
      <c r="FF1057" s="6"/>
      <c r="FG1057" s="6"/>
      <c r="FH1057" s="6"/>
      <c r="FI1057" s="6"/>
      <c r="FJ1057" s="6"/>
      <c r="FK1057" s="6"/>
      <c r="FL1057" s="6"/>
      <c r="FM1057" s="6"/>
      <c r="FN1057" s="6"/>
      <c r="FO1057" s="6"/>
      <c r="FP1057" s="6"/>
      <c r="FQ1057" s="6"/>
      <c r="FR1057" s="6"/>
      <c r="FS1057" s="6"/>
      <c r="FT1057" s="6"/>
      <c r="FU1057" s="6"/>
      <c r="FV1057" s="6"/>
      <c r="FW1057" s="6"/>
      <c r="FX1057" s="6"/>
      <c r="FY1057" s="6"/>
      <c r="FZ1057" s="6"/>
      <c r="GA1057" s="6"/>
      <c r="GB1057" s="6"/>
      <c r="GC1057" s="6"/>
      <c r="GD1057" s="6"/>
      <c r="GE1057" s="6"/>
      <c r="GF1057" s="6"/>
      <c r="GG1057" s="6"/>
      <c r="GH1057" s="6"/>
      <c r="GI1057" s="6"/>
      <c r="GJ1057" s="6"/>
      <c r="GK1057" s="6"/>
      <c r="GL1057" s="6"/>
      <c r="GM1057" s="6"/>
      <c r="GN1057" s="6"/>
      <c r="GO1057" s="6"/>
      <c r="GP1057" s="6"/>
      <c r="GQ1057" s="6"/>
      <c r="GR1057" s="6"/>
      <c r="GS1057" s="6"/>
      <c r="GT1057" s="6"/>
      <c r="GU1057" s="6"/>
      <c r="GV1057" s="6"/>
      <c r="GW1057" s="6"/>
      <c r="GX1057" s="6"/>
      <c r="GY1057" s="6"/>
      <c r="GZ1057" s="6"/>
      <c r="HA1057" s="6"/>
      <c r="HB1057" s="6"/>
      <c r="HC1057" s="6"/>
      <c r="HD1057" s="6"/>
      <c r="HE1057" s="6"/>
      <c r="HF1057" s="6"/>
      <c r="HG1057" s="6"/>
      <c r="HH1057" s="6"/>
    </row>
    <row r="1058" spans="1:216" x14ac:dyDescent="0.3">
      <c r="A1058" s="8"/>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c r="DX1058" s="6"/>
      <c r="DY1058" s="6"/>
      <c r="DZ1058" s="6"/>
      <c r="EA1058" s="6"/>
      <c r="EB1058" s="6"/>
      <c r="EC1058" s="6"/>
      <c r="ED1058" s="6"/>
      <c r="EE1058" s="6"/>
      <c r="EF1058" s="6"/>
      <c r="EG1058" s="6"/>
      <c r="EH1058" s="6"/>
      <c r="EI1058" s="6"/>
      <c r="EJ1058" s="6"/>
      <c r="EK1058" s="6"/>
      <c r="EL1058" s="6"/>
      <c r="EM1058" s="6"/>
      <c r="EN1058" s="6"/>
      <c r="EO1058" s="6"/>
      <c r="EP1058" s="6"/>
      <c r="EQ1058" s="6"/>
      <c r="ER1058" s="6"/>
      <c r="ES1058" s="6"/>
      <c r="ET1058" s="6"/>
      <c r="EU1058" s="6"/>
      <c r="EV1058" s="6"/>
      <c r="EW1058" s="6"/>
      <c r="EX1058" s="6"/>
      <c r="EY1058" s="6"/>
      <c r="EZ1058" s="6"/>
      <c r="FA1058" s="6"/>
      <c r="FB1058" s="6"/>
      <c r="FC1058" s="6"/>
      <c r="FD1058" s="6"/>
      <c r="FE1058" s="6"/>
      <c r="FF1058" s="6"/>
      <c r="FG1058" s="6"/>
      <c r="FH1058" s="6"/>
      <c r="FI1058" s="6"/>
      <c r="FJ1058" s="6"/>
      <c r="FK1058" s="6"/>
      <c r="FL1058" s="6"/>
      <c r="FM1058" s="6"/>
      <c r="FN1058" s="6"/>
      <c r="FO1058" s="6"/>
      <c r="FP1058" s="6"/>
      <c r="FQ1058" s="6"/>
      <c r="FR1058" s="6"/>
      <c r="FS1058" s="6"/>
      <c r="FT1058" s="6"/>
      <c r="FU1058" s="6"/>
      <c r="FV1058" s="6"/>
      <c r="FW1058" s="6"/>
      <c r="FX1058" s="6"/>
      <c r="FY1058" s="6"/>
      <c r="FZ1058" s="6"/>
      <c r="GA1058" s="6"/>
      <c r="GB1058" s="6"/>
      <c r="GC1058" s="6"/>
      <c r="GD1058" s="6"/>
      <c r="GE1058" s="6"/>
      <c r="GF1058" s="6"/>
      <c r="GG1058" s="6"/>
      <c r="GH1058" s="6"/>
      <c r="GI1058" s="6"/>
      <c r="GJ1058" s="6"/>
      <c r="GK1058" s="6"/>
      <c r="GL1058" s="6"/>
      <c r="GM1058" s="6"/>
      <c r="GN1058" s="6"/>
      <c r="GO1058" s="6"/>
      <c r="GP1058" s="6"/>
      <c r="GQ1058" s="6"/>
      <c r="GR1058" s="6"/>
      <c r="GS1058" s="6"/>
      <c r="GT1058" s="6"/>
      <c r="GU1058" s="6"/>
      <c r="GV1058" s="6"/>
      <c r="GW1058" s="6"/>
      <c r="GX1058" s="6"/>
      <c r="GY1058" s="6"/>
      <c r="GZ1058" s="6"/>
      <c r="HA1058" s="6"/>
      <c r="HB1058" s="6"/>
      <c r="HC1058" s="6"/>
      <c r="HD1058" s="6"/>
      <c r="HE1058" s="6"/>
      <c r="HF1058" s="6"/>
      <c r="HG1058" s="6"/>
      <c r="HH1058" s="6"/>
    </row>
    <row r="1059" spans="1:216" x14ac:dyDescent="0.3">
      <c r="A1059" s="8"/>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c r="DX1059" s="6"/>
      <c r="DY1059" s="6"/>
      <c r="DZ1059" s="6"/>
      <c r="EA1059" s="6"/>
      <c r="EB1059" s="6"/>
      <c r="EC1059" s="6"/>
      <c r="ED1059" s="6"/>
      <c r="EE1059" s="6"/>
      <c r="EF1059" s="6"/>
      <c r="EG1059" s="6"/>
      <c r="EH1059" s="6"/>
      <c r="EI1059" s="6"/>
      <c r="EJ1059" s="6"/>
      <c r="EK1059" s="6"/>
      <c r="EL1059" s="6"/>
      <c r="EM1059" s="6"/>
      <c r="EN1059" s="6"/>
      <c r="EO1059" s="6"/>
      <c r="EP1059" s="6"/>
      <c r="EQ1059" s="6"/>
      <c r="ER1059" s="6"/>
      <c r="ES1059" s="6"/>
      <c r="ET1059" s="6"/>
      <c r="EU1059" s="6"/>
      <c r="EV1059" s="6"/>
      <c r="EW1059" s="6"/>
      <c r="EX1059" s="6"/>
      <c r="EY1059" s="6"/>
      <c r="EZ1059" s="6"/>
      <c r="FA1059" s="6"/>
      <c r="FB1059" s="6"/>
      <c r="FC1059" s="6"/>
      <c r="FD1059" s="6"/>
      <c r="FE1059" s="6"/>
      <c r="FF1059" s="6"/>
      <c r="FG1059" s="6"/>
      <c r="FH1059" s="6"/>
      <c r="FI1059" s="6"/>
      <c r="FJ1059" s="6"/>
      <c r="FK1059" s="6"/>
      <c r="FL1059" s="6"/>
      <c r="FM1059" s="6"/>
      <c r="FN1059" s="6"/>
      <c r="FO1059" s="6"/>
      <c r="FP1059" s="6"/>
      <c r="FQ1059" s="6"/>
      <c r="FR1059" s="6"/>
      <c r="FS1059" s="6"/>
      <c r="FT1059" s="6"/>
      <c r="FU1059" s="6"/>
      <c r="FV1059" s="6"/>
      <c r="FW1059" s="6"/>
      <c r="FX1059" s="6"/>
      <c r="FY1059" s="6"/>
      <c r="FZ1059" s="6"/>
      <c r="GA1059" s="6"/>
      <c r="GB1059" s="6"/>
      <c r="GC1059" s="6"/>
      <c r="GD1059" s="6"/>
      <c r="GE1059" s="6"/>
      <c r="GF1059" s="6"/>
      <c r="GG1059" s="6"/>
      <c r="GH1059" s="6"/>
      <c r="GI1059" s="6"/>
      <c r="GJ1059" s="6"/>
      <c r="GK1059" s="6"/>
      <c r="GL1059" s="6"/>
      <c r="GM1059" s="6"/>
      <c r="GN1059" s="6"/>
      <c r="GO1059" s="6"/>
      <c r="GP1059" s="6"/>
      <c r="GQ1059" s="6"/>
      <c r="GR1059" s="6"/>
      <c r="GS1059" s="6"/>
      <c r="GT1059" s="6"/>
      <c r="GU1059" s="6"/>
      <c r="GV1059" s="6"/>
      <c r="GW1059" s="6"/>
      <c r="GX1059" s="6"/>
      <c r="GY1059" s="6"/>
      <c r="GZ1059" s="6"/>
      <c r="HA1059" s="6"/>
      <c r="HB1059" s="6"/>
      <c r="HC1059" s="6"/>
      <c r="HD1059" s="6"/>
      <c r="HE1059" s="6"/>
      <c r="HF1059" s="6"/>
      <c r="HG1059" s="6"/>
      <c r="HH1059" s="6"/>
    </row>
    <row r="1060" spans="1:216" x14ac:dyDescent="0.3">
      <c r="A1060" s="8"/>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6"/>
      <c r="AR1060" s="6"/>
      <c r="AS1060" s="6"/>
      <c r="AT1060" s="6"/>
      <c r="AU1060" s="6"/>
      <c r="AV1060" s="6"/>
      <c r="AW1060" s="6"/>
      <c r="AX1060" s="6"/>
      <c r="AY1060" s="6"/>
      <c r="AZ1060" s="6"/>
      <c r="BA1060" s="6"/>
      <c r="BB1060" s="6"/>
      <c r="BC1060" s="6"/>
      <c r="BD1060" s="6"/>
      <c r="BE1060" s="6"/>
      <c r="BF1060" s="6"/>
      <c r="BG1060" s="6"/>
      <c r="BH1060" s="6"/>
      <c r="BI1060" s="6"/>
      <c r="BJ1060" s="6"/>
      <c r="BK1060" s="6"/>
      <c r="BL1060" s="6"/>
      <c r="BM1060" s="6"/>
      <c r="BN1060" s="6"/>
      <c r="BO1060" s="6"/>
      <c r="BP1060" s="6"/>
      <c r="BQ1060" s="6"/>
      <c r="BR1060" s="6"/>
      <c r="BS1060" s="6"/>
      <c r="BT1060" s="6"/>
      <c r="BU1060" s="6"/>
      <c r="BV1060" s="6"/>
      <c r="BW1060" s="6"/>
      <c r="BX1060" s="6"/>
      <c r="BY1060" s="6"/>
      <c r="BZ1060" s="6"/>
      <c r="CA1060" s="6"/>
      <c r="CB1060" s="6"/>
      <c r="CC1060" s="6"/>
      <c r="CD1060" s="6"/>
      <c r="CE1060" s="6"/>
      <c r="CF1060" s="6"/>
      <c r="CG1060" s="6"/>
      <c r="CH1060" s="6"/>
      <c r="CI1060" s="6"/>
      <c r="CJ1060" s="6"/>
      <c r="CK1060" s="6"/>
      <c r="CL1060" s="6"/>
      <c r="CM1060" s="6"/>
      <c r="CN1060" s="6"/>
      <c r="CO1060" s="6"/>
      <c r="CP1060" s="6"/>
      <c r="CQ1060" s="6"/>
      <c r="CR1060" s="6"/>
      <c r="CS1060" s="6"/>
      <c r="CT1060" s="6"/>
      <c r="CU1060" s="6"/>
      <c r="CV1060" s="6"/>
      <c r="CW1060" s="6"/>
      <c r="CX1060" s="6"/>
      <c r="CY1060" s="6"/>
      <c r="CZ1060" s="6"/>
      <c r="DA1060" s="6"/>
      <c r="DB1060" s="6"/>
      <c r="DC1060" s="6"/>
      <c r="DD1060" s="6"/>
      <c r="DE1060" s="6"/>
      <c r="DF1060" s="6"/>
      <c r="DG1060" s="6"/>
      <c r="DH1060" s="6"/>
      <c r="DI1060" s="6"/>
      <c r="DJ1060" s="6"/>
      <c r="DK1060" s="6"/>
      <c r="DL1060" s="6"/>
      <c r="DM1060" s="6"/>
      <c r="DN1060" s="6"/>
      <c r="DO1060" s="6"/>
      <c r="DP1060" s="6"/>
      <c r="DQ1060" s="6"/>
      <c r="DR1060" s="6"/>
      <c r="DS1060" s="6"/>
      <c r="DT1060" s="6"/>
      <c r="DU1060" s="6"/>
      <c r="DV1060" s="6"/>
      <c r="DW1060" s="6"/>
      <c r="DX1060" s="6"/>
      <c r="DY1060" s="6"/>
      <c r="DZ1060" s="6"/>
      <c r="EA1060" s="6"/>
      <c r="EB1060" s="6"/>
      <c r="EC1060" s="6"/>
      <c r="ED1060" s="6"/>
      <c r="EE1060" s="6"/>
      <c r="EF1060" s="6"/>
      <c r="EG1060" s="6"/>
      <c r="EH1060" s="6"/>
      <c r="EI1060" s="6"/>
      <c r="EJ1060" s="6"/>
      <c r="EK1060" s="6"/>
      <c r="EL1060" s="6"/>
      <c r="EM1060" s="6"/>
      <c r="EN1060" s="6"/>
      <c r="EO1060" s="6"/>
      <c r="EP1060" s="6"/>
      <c r="EQ1060" s="6"/>
      <c r="ER1060" s="6"/>
      <c r="ES1060" s="6"/>
      <c r="ET1060" s="6"/>
      <c r="EU1060" s="6"/>
      <c r="EV1060" s="6"/>
      <c r="EW1060" s="6"/>
      <c r="EX1060" s="6"/>
      <c r="EY1060" s="6"/>
      <c r="EZ1060" s="6"/>
      <c r="FA1060" s="6"/>
      <c r="FB1060" s="6"/>
      <c r="FC1060" s="6"/>
      <c r="FD1060" s="6"/>
      <c r="FE1060" s="6"/>
      <c r="FF1060" s="6"/>
      <c r="FG1060" s="6"/>
      <c r="FH1060" s="6"/>
      <c r="FI1060" s="6"/>
      <c r="FJ1060" s="6"/>
      <c r="FK1060" s="6"/>
      <c r="FL1060" s="6"/>
      <c r="FM1060" s="6"/>
      <c r="FN1060" s="6"/>
      <c r="FO1060" s="6"/>
      <c r="FP1060" s="6"/>
      <c r="FQ1060" s="6"/>
      <c r="FR1060" s="6"/>
      <c r="FS1060" s="6"/>
      <c r="FT1060" s="6"/>
      <c r="FU1060" s="6"/>
      <c r="FV1060" s="6"/>
      <c r="FW1060" s="6"/>
      <c r="FX1060" s="6"/>
      <c r="FY1060" s="6"/>
      <c r="FZ1060" s="6"/>
      <c r="GA1060" s="6"/>
      <c r="GB1060" s="6"/>
      <c r="GC1060" s="6"/>
      <c r="GD1060" s="6"/>
      <c r="GE1060" s="6"/>
      <c r="GF1060" s="6"/>
      <c r="GG1060" s="6"/>
      <c r="GH1060" s="6"/>
      <c r="GI1060" s="6"/>
      <c r="GJ1060" s="6"/>
      <c r="GK1060" s="6"/>
      <c r="GL1060" s="6"/>
      <c r="GM1060" s="6"/>
      <c r="GN1060" s="6"/>
      <c r="GO1060" s="6"/>
      <c r="GP1060" s="6"/>
      <c r="GQ1060" s="6"/>
      <c r="GR1060" s="6"/>
      <c r="GS1060" s="6"/>
      <c r="GT1060" s="6"/>
      <c r="GU1060" s="6"/>
      <c r="GV1060" s="6"/>
      <c r="GW1060" s="6"/>
      <c r="GX1060" s="6"/>
      <c r="GY1060" s="6"/>
      <c r="GZ1060" s="6"/>
      <c r="HA1060" s="6"/>
      <c r="HB1060" s="6"/>
      <c r="HC1060" s="6"/>
      <c r="HD1060" s="6"/>
      <c r="HE1060" s="6"/>
      <c r="HF1060" s="6"/>
      <c r="HG1060" s="6"/>
      <c r="HH1060" s="6"/>
    </row>
    <row r="1061" spans="1:216" x14ac:dyDescent="0.3">
      <c r="A1061" s="8"/>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6"/>
      <c r="AR1061" s="6"/>
      <c r="AS1061" s="6"/>
      <c r="AT1061" s="6"/>
      <c r="AU1061" s="6"/>
      <c r="AV1061" s="6"/>
      <c r="AW1061" s="6"/>
      <c r="AX1061" s="6"/>
      <c r="AY1061" s="6"/>
      <c r="AZ1061" s="6"/>
      <c r="BA1061" s="6"/>
      <c r="BB1061" s="6"/>
      <c r="BC1061" s="6"/>
      <c r="BD1061" s="6"/>
      <c r="BE1061" s="6"/>
      <c r="BF1061" s="6"/>
      <c r="BG1061" s="6"/>
      <c r="BH1061" s="6"/>
      <c r="BI1061" s="6"/>
      <c r="BJ1061" s="6"/>
      <c r="BK1061" s="6"/>
      <c r="BL1061" s="6"/>
      <c r="BM1061" s="6"/>
      <c r="BN1061" s="6"/>
      <c r="BO1061" s="6"/>
      <c r="BP1061" s="6"/>
      <c r="BQ1061" s="6"/>
      <c r="BR1061" s="6"/>
      <c r="BS1061" s="6"/>
      <c r="BT1061" s="6"/>
      <c r="BU1061" s="6"/>
      <c r="BV1061" s="6"/>
      <c r="BW1061" s="6"/>
      <c r="BX1061" s="6"/>
      <c r="BY1061" s="6"/>
      <c r="BZ1061" s="6"/>
      <c r="CA1061" s="6"/>
      <c r="CB1061" s="6"/>
      <c r="CC1061" s="6"/>
      <c r="CD1061" s="6"/>
      <c r="CE1061" s="6"/>
      <c r="CF1061" s="6"/>
      <c r="CG1061" s="6"/>
      <c r="CH1061" s="6"/>
      <c r="CI1061" s="6"/>
      <c r="CJ1061" s="6"/>
      <c r="CK1061" s="6"/>
      <c r="CL1061" s="6"/>
      <c r="CM1061" s="6"/>
      <c r="CN1061" s="6"/>
      <c r="CO1061" s="6"/>
      <c r="CP1061" s="6"/>
      <c r="CQ1061" s="6"/>
      <c r="CR1061" s="6"/>
      <c r="CS1061" s="6"/>
      <c r="CT1061" s="6"/>
      <c r="CU1061" s="6"/>
      <c r="CV1061" s="6"/>
      <c r="CW1061" s="6"/>
      <c r="CX1061" s="6"/>
      <c r="CY1061" s="6"/>
      <c r="CZ1061" s="6"/>
      <c r="DA1061" s="6"/>
      <c r="DB1061" s="6"/>
      <c r="DC1061" s="6"/>
      <c r="DD1061" s="6"/>
      <c r="DE1061" s="6"/>
      <c r="DF1061" s="6"/>
      <c r="DG1061" s="6"/>
      <c r="DH1061" s="6"/>
      <c r="DI1061" s="6"/>
      <c r="DJ1061" s="6"/>
      <c r="DK1061" s="6"/>
      <c r="DL1061" s="6"/>
      <c r="DM1061" s="6"/>
      <c r="DN1061" s="6"/>
      <c r="DO1061" s="6"/>
      <c r="DP1061" s="6"/>
      <c r="DQ1061" s="6"/>
      <c r="DR1061" s="6"/>
      <c r="DS1061" s="6"/>
      <c r="DT1061" s="6"/>
      <c r="DU1061" s="6"/>
      <c r="DV1061" s="6"/>
      <c r="DW1061" s="6"/>
      <c r="DX1061" s="6"/>
      <c r="DY1061" s="6"/>
      <c r="DZ1061" s="6"/>
      <c r="EA1061" s="6"/>
      <c r="EB1061" s="6"/>
      <c r="EC1061" s="6"/>
      <c r="ED1061" s="6"/>
      <c r="EE1061" s="6"/>
      <c r="EF1061" s="6"/>
      <c r="EG1061" s="6"/>
      <c r="EH1061" s="6"/>
      <c r="EI1061" s="6"/>
      <c r="EJ1061" s="6"/>
      <c r="EK1061" s="6"/>
      <c r="EL1061" s="6"/>
      <c r="EM1061" s="6"/>
      <c r="EN1061" s="6"/>
      <c r="EO1061" s="6"/>
      <c r="EP1061" s="6"/>
      <c r="EQ1061" s="6"/>
      <c r="ER1061" s="6"/>
      <c r="ES1061" s="6"/>
      <c r="ET1061" s="6"/>
      <c r="EU1061" s="6"/>
      <c r="EV1061" s="6"/>
      <c r="EW1061" s="6"/>
      <c r="EX1061" s="6"/>
      <c r="EY1061" s="6"/>
      <c r="EZ1061" s="6"/>
      <c r="FA1061" s="6"/>
      <c r="FB1061" s="6"/>
      <c r="FC1061" s="6"/>
      <c r="FD1061" s="6"/>
      <c r="FE1061" s="6"/>
      <c r="FF1061" s="6"/>
      <c r="FG1061" s="6"/>
      <c r="FH1061" s="6"/>
      <c r="FI1061" s="6"/>
      <c r="FJ1061" s="6"/>
      <c r="FK1061" s="6"/>
      <c r="FL1061" s="6"/>
      <c r="FM1061" s="6"/>
      <c r="FN1061" s="6"/>
      <c r="FO1061" s="6"/>
      <c r="FP1061" s="6"/>
      <c r="FQ1061" s="6"/>
      <c r="FR1061" s="6"/>
      <c r="FS1061" s="6"/>
      <c r="FT1061" s="6"/>
      <c r="FU1061" s="6"/>
      <c r="FV1061" s="6"/>
      <c r="FW1061" s="6"/>
      <c r="FX1061" s="6"/>
      <c r="FY1061" s="6"/>
      <c r="FZ1061" s="6"/>
      <c r="GA1061" s="6"/>
      <c r="GB1061" s="6"/>
      <c r="GC1061" s="6"/>
      <c r="GD1061" s="6"/>
      <c r="GE1061" s="6"/>
      <c r="GF1061" s="6"/>
      <c r="GG1061" s="6"/>
      <c r="GH1061" s="6"/>
      <c r="GI1061" s="6"/>
      <c r="GJ1061" s="6"/>
      <c r="GK1061" s="6"/>
      <c r="GL1061" s="6"/>
      <c r="GM1061" s="6"/>
      <c r="GN1061" s="6"/>
      <c r="GO1061" s="6"/>
      <c r="GP1061" s="6"/>
      <c r="GQ1061" s="6"/>
      <c r="GR1061" s="6"/>
      <c r="GS1061" s="6"/>
      <c r="GT1061" s="6"/>
      <c r="GU1061" s="6"/>
      <c r="GV1061" s="6"/>
      <c r="GW1061" s="6"/>
      <c r="GX1061" s="6"/>
      <c r="GY1061" s="6"/>
      <c r="GZ1061" s="6"/>
      <c r="HA1061" s="6"/>
      <c r="HB1061" s="6"/>
      <c r="HC1061" s="6"/>
      <c r="HD1061" s="6"/>
      <c r="HE1061" s="6"/>
      <c r="HF1061" s="6"/>
      <c r="HG1061" s="6"/>
      <c r="HH1061" s="6"/>
    </row>
    <row r="1062" spans="1:216" x14ac:dyDescent="0.3">
      <c r="A1062" s="8"/>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c r="DX1062" s="6"/>
      <c r="DY1062" s="6"/>
      <c r="DZ1062" s="6"/>
      <c r="EA1062" s="6"/>
      <c r="EB1062" s="6"/>
      <c r="EC1062" s="6"/>
      <c r="ED1062" s="6"/>
      <c r="EE1062" s="6"/>
      <c r="EF1062" s="6"/>
      <c r="EG1062" s="6"/>
      <c r="EH1062" s="6"/>
      <c r="EI1062" s="6"/>
      <c r="EJ1062" s="6"/>
      <c r="EK1062" s="6"/>
      <c r="EL1062" s="6"/>
      <c r="EM1062" s="6"/>
      <c r="EN1062" s="6"/>
      <c r="EO1062" s="6"/>
      <c r="EP1062" s="6"/>
      <c r="EQ1062" s="6"/>
      <c r="ER1062" s="6"/>
      <c r="ES1062" s="6"/>
      <c r="ET1062" s="6"/>
      <c r="EU1062" s="6"/>
      <c r="EV1062" s="6"/>
      <c r="EW1062" s="6"/>
      <c r="EX1062" s="6"/>
      <c r="EY1062" s="6"/>
      <c r="EZ1062" s="6"/>
      <c r="FA1062" s="6"/>
      <c r="FB1062" s="6"/>
      <c r="FC1062" s="6"/>
      <c r="FD1062" s="6"/>
      <c r="FE1062" s="6"/>
      <c r="FF1062" s="6"/>
      <c r="FG1062" s="6"/>
      <c r="FH1062" s="6"/>
      <c r="FI1062" s="6"/>
      <c r="FJ1062" s="6"/>
      <c r="FK1062" s="6"/>
      <c r="FL1062" s="6"/>
      <c r="FM1062" s="6"/>
      <c r="FN1062" s="6"/>
      <c r="FO1062" s="6"/>
      <c r="FP1062" s="6"/>
      <c r="FQ1062" s="6"/>
      <c r="FR1062" s="6"/>
      <c r="FS1062" s="6"/>
      <c r="FT1062" s="6"/>
      <c r="FU1062" s="6"/>
      <c r="FV1062" s="6"/>
      <c r="FW1062" s="6"/>
      <c r="FX1062" s="6"/>
      <c r="FY1062" s="6"/>
      <c r="FZ1062" s="6"/>
      <c r="GA1062" s="6"/>
      <c r="GB1062" s="6"/>
      <c r="GC1062" s="6"/>
      <c r="GD1062" s="6"/>
      <c r="GE1062" s="6"/>
      <c r="GF1062" s="6"/>
      <c r="GG1062" s="6"/>
      <c r="GH1062" s="6"/>
      <c r="GI1062" s="6"/>
      <c r="GJ1062" s="6"/>
      <c r="GK1062" s="6"/>
      <c r="GL1062" s="6"/>
      <c r="GM1062" s="6"/>
      <c r="GN1062" s="6"/>
      <c r="GO1062" s="6"/>
      <c r="GP1062" s="6"/>
      <c r="GQ1062" s="6"/>
      <c r="GR1062" s="6"/>
      <c r="GS1062" s="6"/>
      <c r="GT1062" s="6"/>
      <c r="GU1062" s="6"/>
      <c r="GV1062" s="6"/>
      <c r="GW1062" s="6"/>
      <c r="GX1062" s="6"/>
      <c r="GY1062" s="6"/>
      <c r="GZ1062" s="6"/>
      <c r="HA1062" s="6"/>
      <c r="HB1062" s="6"/>
      <c r="HC1062" s="6"/>
      <c r="HD1062" s="6"/>
      <c r="HE1062" s="6"/>
      <c r="HF1062" s="6"/>
      <c r="HG1062" s="6"/>
      <c r="HH1062" s="6"/>
    </row>
    <row r="1063" spans="1:216" x14ac:dyDescent="0.3">
      <c r="A1063" s="8"/>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6"/>
      <c r="AR1063" s="6"/>
      <c r="AS1063" s="6"/>
      <c r="AT1063" s="6"/>
      <c r="AU1063" s="6"/>
      <c r="AV1063" s="6"/>
      <c r="AW1063" s="6"/>
      <c r="AX1063" s="6"/>
      <c r="AY1063" s="6"/>
      <c r="AZ1063" s="6"/>
      <c r="BA1063" s="6"/>
      <c r="BB1063" s="6"/>
      <c r="BC1063" s="6"/>
      <c r="BD1063" s="6"/>
      <c r="BE1063" s="6"/>
      <c r="BF1063" s="6"/>
      <c r="BG1063" s="6"/>
      <c r="BH1063" s="6"/>
      <c r="BI1063" s="6"/>
      <c r="BJ1063" s="6"/>
      <c r="BK1063" s="6"/>
      <c r="BL1063" s="6"/>
      <c r="BM1063" s="6"/>
      <c r="BN1063" s="6"/>
      <c r="BO1063" s="6"/>
      <c r="BP1063" s="6"/>
      <c r="BQ1063" s="6"/>
      <c r="BR1063" s="6"/>
      <c r="BS1063" s="6"/>
      <c r="BT1063" s="6"/>
      <c r="BU1063" s="6"/>
      <c r="BV1063" s="6"/>
      <c r="BW1063" s="6"/>
      <c r="BX1063" s="6"/>
      <c r="BY1063" s="6"/>
      <c r="BZ1063" s="6"/>
      <c r="CA1063" s="6"/>
      <c r="CB1063" s="6"/>
      <c r="CC1063" s="6"/>
      <c r="CD1063" s="6"/>
      <c r="CE1063" s="6"/>
      <c r="CF1063" s="6"/>
      <c r="CG1063" s="6"/>
      <c r="CH1063" s="6"/>
      <c r="CI1063" s="6"/>
      <c r="CJ1063" s="6"/>
      <c r="CK1063" s="6"/>
      <c r="CL1063" s="6"/>
      <c r="CM1063" s="6"/>
      <c r="CN1063" s="6"/>
      <c r="CO1063" s="6"/>
      <c r="CP1063" s="6"/>
      <c r="CQ1063" s="6"/>
      <c r="CR1063" s="6"/>
      <c r="CS1063" s="6"/>
      <c r="CT1063" s="6"/>
      <c r="CU1063" s="6"/>
      <c r="CV1063" s="6"/>
      <c r="CW1063" s="6"/>
      <c r="CX1063" s="6"/>
      <c r="CY1063" s="6"/>
      <c r="CZ1063" s="6"/>
      <c r="DA1063" s="6"/>
      <c r="DB1063" s="6"/>
      <c r="DC1063" s="6"/>
      <c r="DD1063" s="6"/>
      <c r="DE1063" s="6"/>
      <c r="DF1063" s="6"/>
      <c r="DG1063" s="6"/>
      <c r="DH1063" s="6"/>
      <c r="DI1063" s="6"/>
      <c r="DJ1063" s="6"/>
      <c r="DK1063" s="6"/>
      <c r="DL1063" s="6"/>
      <c r="DM1063" s="6"/>
      <c r="DN1063" s="6"/>
      <c r="DO1063" s="6"/>
      <c r="DP1063" s="6"/>
      <c r="DQ1063" s="6"/>
      <c r="DR1063" s="6"/>
      <c r="DS1063" s="6"/>
      <c r="DT1063" s="6"/>
      <c r="DU1063" s="6"/>
      <c r="DV1063" s="6"/>
      <c r="DW1063" s="6"/>
      <c r="DX1063" s="6"/>
      <c r="DY1063" s="6"/>
      <c r="DZ1063" s="6"/>
      <c r="EA1063" s="6"/>
      <c r="EB1063" s="6"/>
      <c r="EC1063" s="6"/>
      <c r="ED1063" s="6"/>
      <c r="EE1063" s="6"/>
      <c r="EF1063" s="6"/>
      <c r="EG1063" s="6"/>
      <c r="EH1063" s="6"/>
      <c r="EI1063" s="6"/>
      <c r="EJ1063" s="6"/>
      <c r="EK1063" s="6"/>
      <c r="EL1063" s="6"/>
      <c r="EM1063" s="6"/>
      <c r="EN1063" s="6"/>
      <c r="EO1063" s="6"/>
      <c r="EP1063" s="6"/>
      <c r="EQ1063" s="6"/>
      <c r="ER1063" s="6"/>
      <c r="ES1063" s="6"/>
      <c r="ET1063" s="6"/>
      <c r="EU1063" s="6"/>
      <c r="EV1063" s="6"/>
      <c r="EW1063" s="6"/>
      <c r="EX1063" s="6"/>
      <c r="EY1063" s="6"/>
      <c r="EZ1063" s="6"/>
      <c r="FA1063" s="6"/>
      <c r="FB1063" s="6"/>
      <c r="FC1063" s="6"/>
      <c r="FD1063" s="6"/>
      <c r="FE1063" s="6"/>
      <c r="FF1063" s="6"/>
      <c r="FG1063" s="6"/>
      <c r="FH1063" s="6"/>
      <c r="FI1063" s="6"/>
      <c r="FJ1063" s="6"/>
      <c r="FK1063" s="6"/>
      <c r="FL1063" s="6"/>
      <c r="FM1063" s="6"/>
      <c r="FN1063" s="6"/>
      <c r="FO1063" s="6"/>
      <c r="FP1063" s="6"/>
      <c r="FQ1063" s="6"/>
      <c r="FR1063" s="6"/>
      <c r="FS1063" s="6"/>
      <c r="FT1063" s="6"/>
      <c r="FU1063" s="6"/>
      <c r="FV1063" s="6"/>
      <c r="FW1063" s="6"/>
      <c r="FX1063" s="6"/>
      <c r="FY1063" s="6"/>
      <c r="FZ1063" s="6"/>
      <c r="GA1063" s="6"/>
      <c r="GB1063" s="6"/>
      <c r="GC1063" s="6"/>
      <c r="GD1063" s="6"/>
      <c r="GE1063" s="6"/>
      <c r="GF1063" s="6"/>
      <c r="GG1063" s="6"/>
      <c r="GH1063" s="6"/>
      <c r="GI1063" s="6"/>
      <c r="GJ1063" s="6"/>
      <c r="GK1063" s="6"/>
      <c r="GL1063" s="6"/>
      <c r="GM1063" s="6"/>
      <c r="GN1063" s="6"/>
      <c r="GO1063" s="6"/>
      <c r="GP1063" s="6"/>
      <c r="GQ1063" s="6"/>
      <c r="GR1063" s="6"/>
      <c r="GS1063" s="6"/>
      <c r="GT1063" s="6"/>
      <c r="GU1063" s="6"/>
      <c r="GV1063" s="6"/>
      <c r="GW1063" s="6"/>
      <c r="GX1063" s="6"/>
      <c r="GY1063" s="6"/>
      <c r="GZ1063" s="6"/>
      <c r="HA1063" s="6"/>
      <c r="HB1063" s="6"/>
      <c r="HC1063" s="6"/>
      <c r="HD1063" s="6"/>
      <c r="HE1063" s="6"/>
      <c r="HF1063" s="6"/>
      <c r="HG1063" s="6"/>
      <c r="HH1063" s="6"/>
    </row>
    <row r="1064" spans="1:216" x14ac:dyDescent="0.3">
      <c r="A1064" s="8"/>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6"/>
      <c r="AR1064" s="6"/>
      <c r="AS1064" s="6"/>
      <c r="AT1064" s="6"/>
      <c r="AU1064" s="6"/>
      <c r="AV1064" s="6"/>
      <c r="AW1064" s="6"/>
      <c r="AX1064" s="6"/>
      <c r="AY1064" s="6"/>
      <c r="AZ1064" s="6"/>
      <c r="BA1064" s="6"/>
      <c r="BB1064" s="6"/>
      <c r="BC1064" s="6"/>
      <c r="BD1064" s="6"/>
      <c r="BE1064" s="6"/>
      <c r="BF1064" s="6"/>
      <c r="BG1064" s="6"/>
      <c r="BH1064" s="6"/>
      <c r="BI1064" s="6"/>
      <c r="BJ1064" s="6"/>
      <c r="BK1064" s="6"/>
      <c r="BL1064" s="6"/>
      <c r="BM1064" s="6"/>
      <c r="BN1064" s="6"/>
      <c r="BO1064" s="6"/>
      <c r="BP1064" s="6"/>
      <c r="BQ1064" s="6"/>
      <c r="BR1064" s="6"/>
      <c r="BS1064" s="6"/>
      <c r="BT1064" s="6"/>
      <c r="BU1064" s="6"/>
      <c r="BV1064" s="6"/>
      <c r="BW1064" s="6"/>
      <c r="BX1064" s="6"/>
      <c r="BY1064" s="6"/>
      <c r="BZ1064" s="6"/>
      <c r="CA1064" s="6"/>
      <c r="CB1064" s="6"/>
      <c r="CC1064" s="6"/>
      <c r="CD1064" s="6"/>
      <c r="CE1064" s="6"/>
      <c r="CF1064" s="6"/>
      <c r="CG1064" s="6"/>
      <c r="CH1064" s="6"/>
      <c r="CI1064" s="6"/>
      <c r="CJ1064" s="6"/>
      <c r="CK1064" s="6"/>
      <c r="CL1064" s="6"/>
      <c r="CM1064" s="6"/>
      <c r="CN1064" s="6"/>
      <c r="CO1064" s="6"/>
      <c r="CP1064" s="6"/>
      <c r="CQ1064" s="6"/>
      <c r="CR1064" s="6"/>
      <c r="CS1064" s="6"/>
      <c r="CT1064" s="6"/>
      <c r="CU1064" s="6"/>
      <c r="CV1064" s="6"/>
      <c r="CW1064" s="6"/>
      <c r="CX1064" s="6"/>
      <c r="CY1064" s="6"/>
      <c r="CZ1064" s="6"/>
      <c r="DA1064" s="6"/>
      <c r="DB1064" s="6"/>
      <c r="DC1064" s="6"/>
      <c r="DD1064" s="6"/>
      <c r="DE1064" s="6"/>
      <c r="DF1064" s="6"/>
      <c r="DG1064" s="6"/>
      <c r="DH1064" s="6"/>
      <c r="DI1064" s="6"/>
      <c r="DJ1064" s="6"/>
      <c r="DK1064" s="6"/>
      <c r="DL1064" s="6"/>
      <c r="DM1064" s="6"/>
      <c r="DN1064" s="6"/>
      <c r="DO1064" s="6"/>
      <c r="DP1064" s="6"/>
      <c r="DQ1064" s="6"/>
      <c r="DR1064" s="6"/>
      <c r="DS1064" s="6"/>
      <c r="DT1064" s="6"/>
      <c r="DU1064" s="6"/>
      <c r="DV1064" s="6"/>
      <c r="DW1064" s="6"/>
      <c r="DX1064" s="6"/>
      <c r="DY1064" s="6"/>
      <c r="DZ1064" s="6"/>
      <c r="EA1064" s="6"/>
      <c r="EB1064" s="6"/>
      <c r="EC1064" s="6"/>
      <c r="ED1064" s="6"/>
      <c r="EE1064" s="6"/>
      <c r="EF1064" s="6"/>
      <c r="EG1064" s="6"/>
      <c r="EH1064" s="6"/>
      <c r="EI1064" s="6"/>
      <c r="EJ1064" s="6"/>
      <c r="EK1064" s="6"/>
      <c r="EL1064" s="6"/>
      <c r="EM1064" s="6"/>
      <c r="EN1064" s="6"/>
      <c r="EO1064" s="6"/>
      <c r="EP1064" s="6"/>
      <c r="EQ1064" s="6"/>
      <c r="ER1064" s="6"/>
      <c r="ES1064" s="6"/>
      <c r="ET1064" s="6"/>
      <c r="EU1064" s="6"/>
      <c r="EV1064" s="6"/>
      <c r="EW1064" s="6"/>
      <c r="EX1064" s="6"/>
      <c r="EY1064" s="6"/>
      <c r="EZ1064" s="6"/>
      <c r="FA1064" s="6"/>
      <c r="FB1064" s="6"/>
      <c r="FC1064" s="6"/>
      <c r="FD1064" s="6"/>
      <c r="FE1064" s="6"/>
      <c r="FF1064" s="6"/>
      <c r="FG1064" s="6"/>
      <c r="FH1064" s="6"/>
      <c r="FI1064" s="6"/>
      <c r="FJ1064" s="6"/>
      <c r="FK1064" s="6"/>
      <c r="FL1064" s="6"/>
      <c r="FM1064" s="6"/>
      <c r="FN1064" s="6"/>
      <c r="FO1064" s="6"/>
      <c r="FP1064" s="6"/>
      <c r="FQ1064" s="6"/>
      <c r="FR1064" s="6"/>
      <c r="FS1064" s="6"/>
      <c r="FT1064" s="6"/>
      <c r="FU1064" s="6"/>
      <c r="FV1064" s="6"/>
      <c r="FW1064" s="6"/>
      <c r="FX1064" s="6"/>
      <c r="FY1064" s="6"/>
      <c r="FZ1064" s="6"/>
      <c r="GA1064" s="6"/>
      <c r="GB1064" s="6"/>
      <c r="GC1064" s="6"/>
      <c r="GD1064" s="6"/>
      <c r="GE1064" s="6"/>
      <c r="GF1064" s="6"/>
      <c r="GG1064" s="6"/>
      <c r="GH1064" s="6"/>
      <c r="GI1064" s="6"/>
      <c r="GJ1064" s="6"/>
      <c r="GK1064" s="6"/>
      <c r="GL1064" s="6"/>
      <c r="GM1064" s="6"/>
      <c r="GN1064" s="6"/>
      <c r="GO1064" s="6"/>
      <c r="GP1064" s="6"/>
      <c r="GQ1064" s="6"/>
      <c r="GR1064" s="6"/>
      <c r="GS1064" s="6"/>
      <c r="GT1064" s="6"/>
      <c r="GU1064" s="6"/>
      <c r="GV1064" s="6"/>
      <c r="GW1064" s="6"/>
      <c r="GX1064" s="6"/>
      <c r="GY1064" s="6"/>
      <c r="GZ1064" s="6"/>
      <c r="HA1064" s="6"/>
      <c r="HB1064" s="6"/>
      <c r="HC1064" s="6"/>
      <c r="HD1064" s="6"/>
      <c r="HE1064" s="6"/>
      <c r="HF1064" s="6"/>
      <c r="HG1064" s="6"/>
      <c r="HH1064" s="6"/>
    </row>
    <row r="1065" spans="1:216" x14ac:dyDescent="0.3">
      <c r="A1065" s="8"/>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6"/>
      <c r="AR1065" s="6"/>
      <c r="AS1065" s="6"/>
      <c r="AT1065" s="6"/>
      <c r="AU1065" s="6"/>
      <c r="AV1065" s="6"/>
      <c r="AW1065" s="6"/>
      <c r="AX1065" s="6"/>
      <c r="AY1065" s="6"/>
      <c r="AZ1065" s="6"/>
      <c r="BA1065" s="6"/>
      <c r="BB1065" s="6"/>
      <c r="BC1065" s="6"/>
      <c r="BD1065" s="6"/>
      <c r="BE1065" s="6"/>
      <c r="BF1065" s="6"/>
      <c r="BG1065" s="6"/>
      <c r="BH1065" s="6"/>
      <c r="BI1065" s="6"/>
      <c r="BJ1065" s="6"/>
      <c r="BK1065" s="6"/>
      <c r="BL1065" s="6"/>
      <c r="BM1065" s="6"/>
      <c r="BN1065" s="6"/>
      <c r="BO1065" s="6"/>
      <c r="BP1065" s="6"/>
      <c r="BQ1065" s="6"/>
      <c r="BR1065" s="6"/>
      <c r="BS1065" s="6"/>
      <c r="BT1065" s="6"/>
      <c r="BU1065" s="6"/>
      <c r="BV1065" s="6"/>
      <c r="BW1065" s="6"/>
      <c r="BX1065" s="6"/>
      <c r="BY1065" s="6"/>
      <c r="BZ1065" s="6"/>
      <c r="CA1065" s="6"/>
      <c r="CB1065" s="6"/>
      <c r="CC1065" s="6"/>
      <c r="CD1065" s="6"/>
      <c r="CE1065" s="6"/>
      <c r="CF1065" s="6"/>
      <c r="CG1065" s="6"/>
      <c r="CH1065" s="6"/>
      <c r="CI1065" s="6"/>
      <c r="CJ1065" s="6"/>
      <c r="CK1065" s="6"/>
      <c r="CL1065" s="6"/>
      <c r="CM1065" s="6"/>
      <c r="CN1065" s="6"/>
      <c r="CO1065" s="6"/>
      <c r="CP1065" s="6"/>
      <c r="CQ1065" s="6"/>
      <c r="CR1065" s="6"/>
      <c r="CS1065" s="6"/>
      <c r="CT1065" s="6"/>
      <c r="CU1065" s="6"/>
      <c r="CV1065" s="6"/>
      <c r="CW1065" s="6"/>
      <c r="CX1065" s="6"/>
      <c r="CY1065" s="6"/>
      <c r="CZ1065" s="6"/>
      <c r="DA1065" s="6"/>
      <c r="DB1065" s="6"/>
      <c r="DC1065" s="6"/>
      <c r="DD1065" s="6"/>
      <c r="DE1065" s="6"/>
      <c r="DF1065" s="6"/>
      <c r="DG1065" s="6"/>
      <c r="DH1065" s="6"/>
      <c r="DI1065" s="6"/>
      <c r="DJ1065" s="6"/>
      <c r="DK1065" s="6"/>
      <c r="DL1065" s="6"/>
      <c r="DM1065" s="6"/>
      <c r="DN1065" s="6"/>
      <c r="DO1065" s="6"/>
      <c r="DP1065" s="6"/>
      <c r="DQ1065" s="6"/>
      <c r="DR1065" s="6"/>
      <c r="DS1065" s="6"/>
      <c r="DT1065" s="6"/>
      <c r="DU1065" s="6"/>
      <c r="DV1065" s="6"/>
      <c r="DW1065" s="6"/>
      <c r="DX1065" s="6"/>
      <c r="DY1065" s="6"/>
      <c r="DZ1065" s="6"/>
      <c r="EA1065" s="6"/>
      <c r="EB1065" s="6"/>
      <c r="EC1065" s="6"/>
      <c r="ED1065" s="6"/>
      <c r="EE1065" s="6"/>
      <c r="EF1065" s="6"/>
      <c r="EG1065" s="6"/>
      <c r="EH1065" s="6"/>
      <c r="EI1065" s="6"/>
      <c r="EJ1065" s="6"/>
      <c r="EK1065" s="6"/>
      <c r="EL1065" s="6"/>
      <c r="EM1065" s="6"/>
      <c r="EN1065" s="6"/>
      <c r="EO1065" s="6"/>
      <c r="EP1065" s="6"/>
      <c r="EQ1065" s="6"/>
      <c r="ER1065" s="6"/>
      <c r="ES1065" s="6"/>
      <c r="ET1065" s="6"/>
      <c r="EU1065" s="6"/>
      <c r="EV1065" s="6"/>
      <c r="EW1065" s="6"/>
      <c r="EX1065" s="6"/>
      <c r="EY1065" s="6"/>
      <c r="EZ1065" s="6"/>
      <c r="FA1065" s="6"/>
      <c r="FB1065" s="6"/>
      <c r="FC1065" s="6"/>
      <c r="FD1065" s="6"/>
      <c r="FE1065" s="6"/>
      <c r="FF1065" s="6"/>
      <c r="FG1065" s="6"/>
      <c r="FH1065" s="6"/>
      <c r="FI1065" s="6"/>
      <c r="FJ1065" s="6"/>
      <c r="FK1065" s="6"/>
      <c r="FL1065" s="6"/>
      <c r="FM1065" s="6"/>
      <c r="FN1065" s="6"/>
      <c r="FO1065" s="6"/>
      <c r="FP1065" s="6"/>
      <c r="FQ1065" s="6"/>
      <c r="FR1065" s="6"/>
      <c r="FS1065" s="6"/>
      <c r="FT1065" s="6"/>
      <c r="FU1065" s="6"/>
      <c r="FV1065" s="6"/>
      <c r="FW1065" s="6"/>
      <c r="FX1065" s="6"/>
      <c r="FY1065" s="6"/>
      <c r="FZ1065" s="6"/>
      <c r="GA1065" s="6"/>
      <c r="GB1065" s="6"/>
      <c r="GC1065" s="6"/>
      <c r="GD1065" s="6"/>
      <c r="GE1065" s="6"/>
      <c r="GF1065" s="6"/>
      <c r="GG1065" s="6"/>
      <c r="GH1065" s="6"/>
      <c r="GI1065" s="6"/>
      <c r="GJ1065" s="6"/>
      <c r="GK1065" s="6"/>
      <c r="GL1065" s="6"/>
      <c r="GM1065" s="6"/>
      <c r="GN1065" s="6"/>
      <c r="GO1065" s="6"/>
      <c r="GP1065" s="6"/>
      <c r="GQ1065" s="6"/>
      <c r="GR1065" s="6"/>
      <c r="GS1065" s="6"/>
      <c r="GT1065" s="6"/>
      <c r="GU1065" s="6"/>
      <c r="GV1065" s="6"/>
      <c r="GW1065" s="6"/>
      <c r="GX1065" s="6"/>
      <c r="GY1065" s="6"/>
      <c r="GZ1065" s="6"/>
      <c r="HA1065" s="6"/>
      <c r="HB1065" s="6"/>
      <c r="HC1065" s="6"/>
      <c r="HD1065" s="6"/>
      <c r="HE1065" s="6"/>
      <c r="HF1065" s="6"/>
      <c r="HG1065" s="6"/>
      <c r="HH1065" s="6"/>
    </row>
    <row r="1066" spans="1:216" x14ac:dyDescent="0.3">
      <c r="A1066" s="8"/>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6"/>
      <c r="AR1066" s="6"/>
      <c r="AS1066" s="6"/>
      <c r="AT1066" s="6"/>
      <c r="AU1066" s="6"/>
      <c r="AV1066" s="6"/>
      <c r="AW1066" s="6"/>
      <c r="AX1066" s="6"/>
      <c r="AY1066" s="6"/>
      <c r="AZ1066" s="6"/>
      <c r="BA1066" s="6"/>
      <c r="BB1066" s="6"/>
      <c r="BC1066" s="6"/>
      <c r="BD1066" s="6"/>
      <c r="BE1066" s="6"/>
      <c r="BF1066" s="6"/>
      <c r="BG1066" s="6"/>
      <c r="BH1066" s="6"/>
      <c r="BI1066" s="6"/>
      <c r="BJ1066" s="6"/>
      <c r="BK1066" s="6"/>
      <c r="BL1066" s="6"/>
      <c r="BM1066" s="6"/>
      <c r="BN1066" s="6"/>
      <c r="BO1066" s="6"/>
      <c r="BP1066" s="6"/>
      <c r="BQ1066" s="6"/>
      <c r="BR1066" s="6"/>
      <c r="BS1066" s="6"/>
      <c r="BT1066" s="6"/>
      <c r="BU1066" s="6"/>
      <c r="BV1066" s="6"/>
      <c r="BW1066" s="6"/>
      <c r="BX1066" s="6"/>
      <c r="BY1066" s="6"/>
      <c r="BZ1066" s="6"/>
      <c r="CA1066" s="6"/>
      <c r="CB1066" s="6"/>
      <c r="CC1066" s="6"/>
      <c r="CD1066" s="6"/>
      <c r="CE1066" s="6"/>
      <c r="CF1066" s="6"/>
      <c r="CG1066" s="6"/>
      <c r="CH1066" s="6"/>
      <c r="CI1066" s="6"/>
      <c r="CJ1066" s="6"/>
      <c r="CK1066" s="6"/>
      <c r="CL1066" s="6"/>
      <c r="CM1066" s="6"/>
      <c r="CN1066" s="6"/>
      <c r="CO1066" s="6"/>
      <c r="CP1066" s="6"/>
      <c r="CQ1066" s="6"/>
      <c r="CR1066" s="6"/>
      <c r="CS1066" s="6"/>
      <c r="CT1066" s="6"/>
      <c r="CU1066" s="6"/>
      <c r="CV1066" s="6"/>
      <c r="CW1066" s="6"/>
      <c r="CX1066" s="6"/>
      <c r="CY1066" s="6"/>
      <c r="CZ1066" s="6"/>
      <c r="DA1066" s="6"/>
      <c r="DB1066" s="6"/>
      <c r="DC1066" s="6"/>
      <c r="DD1066" s="6"/>
      <c r="DE1066" s="6"/>
      <c r="DF1066" s="6"/>
      <c r="DG1066" s="6"/>
      <c r="DH1066" s="6"/>
      <c r="DI1066" s="6"/>
      <c r="DJ1066" s="6"/>
      <c r="DK1066" s="6"/>
      <c r="DL1066" s="6"/>
      <c r="DM1066" s="6"/>
      <c r="DN1066" s="6"/>
      <c r="DO1066" s="6"/>
      <c r="DP1066" s="6"/>
      <c r="DQ1066" s="6"/>
      <c r="DR1066" s="6"/>
      <c r="DS1066" s="6"/>
      <c r="DT1066" s="6"/>
      <c r="DU1066" s="6"/>
      <c r="DV1066" s="6"/>
      <c r="DW1066" s="6"/>
      <c r="DX1066" s="6"/>
      <c r="DY1066" s="6"/>
      <c r="DZ1066" s="6"/>
      <c r="EA1066" s="6"/>
      <c r="EB1066" s="6"/>
      <c r="EC1066" s="6"/>
      <c r="ED1066" s="6"/>
      <c r="EE1066" s="6"/>
      <c r="EF1066" s="6"/>
      <c r="EG1066" s="6"/>
      <c r="EH1066" s="6"/>
      <c r="EI1066" s="6"/>
      <c r="EJ1066" s="6"/>
      <c r="EK1066" s="6"/>
      <c r="EL1066" s="6"/>
      <c r="EM1066" s="6"/>
      <c r="EN1066" s="6"/>
      <c r="EO1066" s="6"/>
      <c r="EP1066" s="6"/>
      <c r="EQ1066" s="6"/>
      <c r="ER1066" s="6"/>
      <c r="ES1066" s="6"/>
      <c r="ET1066" s="6"/>
      <c r="EU1066" s="6"/>
      <c r="EV1066" s="6"/>
      <c r="EW1066" s="6"/>
      <c r="EX1066" s="6"/>
      <c r="EY1066" s="6"/>
      <c r="EZ1066" s="6"/>
      <c r="FA1066" s="6"/>
      <c r="FB1066" s="6"/>
      <c r="FC1066" s="6"/>
      <c r="FD1066" s="6"/>
      <c r="FE1066" s="6"/>
      <c r="FF1066" s="6"/>
      <c r="FG1066" s="6"/>
      <c r="FH1066" s="6"/>
      <c r="FI1066" s="6"/>
      <c r="FJ1066" s="6"/>
      <c r="FK1066" s="6"/>
      <c r="FL1066" s="6"/>
      <c r="FM1066" s="6"/>
      <c r="FN1066" s="6"/>
      <c r="FO1066" s="6"/>
      <c r="FP1066" s="6"/>
      <c r="FQ1066" s="6"/>
      <c r="FR1066" s="6"/>
      <c r="FS1066" s="6"/>
      <c r="FT1066" s="6"/>
      <c r="FU1066" s="6"/>
      <c r="FV1066" s="6"/>
      <c r="FW1066" s="6"/>
      <c r="FX1066" s="6"/>
      <c r="FY1066" s="6"/>
      <c r="FZ1066" s="6"/>
      <c r="GA1066" s="6"/>
      <c r="GB1066" s="6"/>
      <c r="GC1066" s="6"/>
      <c r="GD1066" s="6"/>
      <c r="GE1066" s="6"/>
      <c r="GF1066" s="6"/>
      <c r="GG1066" s="6"/>
      <c r="GH1066" s="6"/>
      <c r="GI1066" s="6"/>
      <c r="GJ1066" s="6"/>
      <c r="GK1066" s="6"/>
      <c r="GL1066" s="6"/>
      <c r="GM1066" s="6"/>
      <c r="GN1066" s="6"/>
      <c r="GO1066" s="6"/>
      <c r="GP1066" s="6"/>
      <c r="GQ1066" s="6"/>
      <c r="GR1066" s="6"/>
      <c r="GS1066" s="6"/>
      <c r="GT1066" s="6"/>
      <c r="GU1066" s="6"/>
      <c r="GV1066" s="6"/>
      <c r="GW1066" s="6"/>
      <c r="GX1066" s="6"/>
      <c r="GY1066" s="6"/>
      <c r="GZ1066" s="6"/>
      <c r="HA1066" s="6"/>
      <c r="HB1066" s="6"/>
      <c r="HC1066" s="6"/>
      <c r="HD1066" s="6"/>
      <c r="HE1066" s="6"/>
      <c r="HF1066" s="6"/>
      <c r="HG1066" s="6"/>
      <c r="HH1066" s="6"/>
    </row>
    <row r="1067" spans="1:216" x14ac:dyDescent="0.3">
      <c r="A1067" s="8"/>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c r="DX1067" s="6"/>
      <c r="DY1067" s="6"/>
      <c r="DZ1067" s="6"/>
      <c r="EA1067" s="6"/>
      <c r="EB1067" s="6"/>
      <c r="EC1067" s="6"/>
      <c r="ED1067" s="6"/>
      <c r="EE1067" s="6"/>
      <c r="EF1067" s="6"/>
      <c r="EG1067" s="6"/>
      <c r="EH1067" s="6"/>
      <c r="EI1067" s="6"/>
      <c r="EJ1067" s="6"/>
      <c r="EK1067" s="6"/>
      <c r="EL1067" s="6"/>
      <c r="EM1067" s="6"/>
      <c r="EN1067" s="6"/>
      <c r="EO1067" s="6"/>
      <c r="EP1067" s="6"/>
      <c r="EQ1067" s="6"/>
      <c r="ER1067" s="6"/>
      <c r="ES1067" s="6"/>
      <c r="ET1067" s="6"/>
      <c r="EU1067" s="6"/>
      <c r="EV1067" s="6"/>
      <c r="EW1067" s="6"/>
      <c r="EX1067" s="6"/>
      <c r="EY1067" s="6"/>
      <c r="EZ1067" s="6"/>
      <c r="FA1067" s="6"/>
      <c r="FB1067" s="6"/>
      <c r="FC1067" s="6"/>
      <c r="FD1067" s="6"/>
      <c r="FE1067" s="6"/>
      <c r="FF1067" s="6"/>
      <c r="FG1067" s="6"/>
      <c r="FH1067" s="6"/>
      <c r="FI1067" s="6"/>
      <c r="FJ1067" s="6"/>
      <c r="FK1067" s="6"/>
      <c r="FL1067" s="6"/>
      <c r="FM1067" s="6"/>
      <c r="FN1067" s="6"/>
      <c r="FO1067" s="6"/>
      <c r="FP1067" s="6"/>
      <c r="FQ1067" s="6"/>
      <c r="FR1067" s="6"/>
      <c r="FS1067" s="6"/>
      <c r="FT1067" s="6"/>
      <c r="FU1067" s="6"/>
      <c r="FV1067" s="6"/>
      <c r="FW1067" s="6"/>
      <c r="FX1067" s="6"/>
      <c r="FY1067" s="6"/>
      <c r="FZ1067" s="6"/>
      <c r="GA1067" s="6"/>
      <c r="GB1067" s="6"/>
      <c r="GC1067" s="6"/>
      <c r="GD1067" s="6"/>
      <c r="GE1067" s="6"/>
      <c r="GF1067" s="6"/>
      <c r="GG1067" s="6"/>
      <c r="GH1067" s="6"/>
      <c r="GI1067" s="6"/>
      <c r="GJ1067" s="6"/>
      <c r="GK1067" s="6"/>
      <c r="GL1067" s="6"/>
      <c r="GM1067" s="6"/>
      <c r="GN1067" s="6"/>
      <c r="GO1067" s="6"/>
      <c r="GP1067" s="6"/>
      <c r="GQ1067" s="6"/>
      <c r="GR1067" s="6"/>
      <c r="GS1067" s="6"/>
      <c r="GT1067" s="6"/>
      <c r="GU1067" s="6"/>
      <c r="GV1067" s="6"/>
      <c r="GW1067" s="6"/>
      <c r="GX1067" s="6"/>
      <c r="GY1067" s="6"/>
      <c r="GZ1067" s="6"/>
      <c r="HA1067" s="6"/>
      <c r="HB1067" s="6"/>
      <c r="HC1067" s="6"/>
      <c r="HD1067" s="6"/>
      <c r="HE1067" s="6"/>
      <c r="HF1067" s="6"/>
      <c r="HG1067" s="6"/>
      <c r="HH1067" s="6"/>
    </row>
    <row r="1068" spans="1:216" x14ac:dyDescent="0.3">
      <c r="A1068" s="8"/>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c r="DX1068" s="6"/>
      <c r="DY1068" s="6"/>
      <c r="DZ1068" s="6"/>
      <c r="EA1068" s="6"/>
      <c r="EB1068" s="6"/>
      <c r="EC1068" s="6"/>
      <c r="ED1068" s="6"/>
      <c r="EE1068" s="6"/>
      <c r="EF1068" s="6"/>
      <c r="EG1068" s="6"/>
      <c r="EH1068" s="6"/>
      <c r="EI1068" s="6"/>
      <c r="EJ1068" s="6"/>
      <c r="EK1068" s="6"/>
      <c r="EL1068" s="6"/>
      <c r="EM1068" s="6"/>
      <c r="EN1068" s="6"/>
      <c r="EO1068" s="6"/>
      <c r="EP1068" s="6"/>
      <c r="EQ1068" s="6"/>
      <c r="ER1068" s="6"/>
      <c r="ES1068" s="6"/>
      <c r="ET1068" s="6"/>
      <c r="EU1068" s="6"/>
      <c r="EV1068" s="6"/>
      <c r="EW1068" s="6"/>
      <c r="EX1068" s="6"/>
      <c r="EY1068" s="6"/>
      <c r="EZ1068" s="6"/>
      <c r="FA1068" s="6"/>
      <c r="FB1068" s="6"/>
      <c r="FC1068" s="6"/>
      <c r="FD1068" s="6"/>
      <c r="FE1068" s="6"/>
      <c r="FF1068" s="6"/>
      <c r="FG1068" s="6"/>
      <c r="FH1068" s="6"/>
      <c r="FI1068" s="6"/>
      <c r="FJ1068" s="6"/>
      <c r="FK1068" s="6"/>
      <c r="FL1068" s="6"/>
      <c r="FM1068" s="6"/>
      <c r="FN1068" s="6"/>
      <c r="FO1068" s="6"/>
      <c r="FP1068" s="6"/>
      <c r="FQ1068" s="6"/>
      <c r="FR1068" s="6"/>
      <c r="FS1068" s="6"/>
      <c r="FT1068" s="6"/>
      <c r="FU1068" s="6"/>
      <c r="FV1068" s="6"/>
      <c r="FW1068" s="6"/>
      <c r="FX1068" s="6"/>
      <c r="FY1068" s="6"/>
      <c r="FZ1068" s="6"/>
      <c r="GA1068" s="6"/>
      <c r="GB1068" s="6"/>
      <c r="GC1068" s="6"/>
      <c r="GD1068" s="6"/>
      <c r="GE1068" s="6"/>
      <c r="GF1068" s="6"/>
      <c r="GG1068" s="6"/>
      <c r="GH1068" s="6"/>
      <c r="GI1068" s="6"/>
      <c r="GJ1068" s="6"/>
      <c r="GK1068" s="6"/>
      <c r="GL1068" s="6"/>
      <c r="GM1068" s="6"/>
      <c r="GN1068" s="6"/>
      <c r="GO1068" s="6"/>
      <c r="GP1068" s="6"/>
      <c r="GQ1068" s="6"/>
      <c r="GR1068" s="6"/>
      <c r="GS1068" s="6"/>
      <c r="GT1068" s="6"/>
      <c r="GU1068" s="6"/>
      <c r="GV1068" s="6"/>
      <c r="GW1068" s="6"/>
      <c r="GX1068" s="6"/>
      <c r="GY1068" s="6"/>
      <c r="GZ1068" s="6"/>
      <c r="HA1068" s="6"/>
      <c r="HB1068" s="6"/>
      <c r="HC1068" s="6"/>
      <c r="HD1068" s="6"/>
      <c r="HE1068" s="6"/>
      <c r="HF1068" s="6"/>
      <c r="HG1068" s="6"/>
      <c r="HH1068" s="6"/>
    </row>
    <row r="1069" spans="1:216" x14ac:dyDescent="0.3">
      <c r="A1069" s="8"/>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c r="DX1069" s="6"/>
      <c r="DY1069" s="6"/>
      <c r="DZ1069" s="6"/>
      <c r="EA1069" s="6"/>
      <c r="EB1069" s="6"/>
      <c r="EC1069" s="6"/>
      <c r="ED1069" s="6"/>
      <c r="EE1069" s="6"/>
      <c r="EF1069" s="6"/>
      <c r="EG1069" s="6"/>
      <c r="EH1069" s="6"/>
      <c r="EI1069" s="6"/>
      <c r="EJ1069" s="6"/>
      <c r="EK1069" s="6"/>
      <c r="EL1069" s="6"/>
      <c r="EM1069" s="6"/>
      <c r="EN1069" s="6"/>
      <c r="EO1069" s="6"/>
      <c r="EP1069" s="6"/>
      <c r="EQ1069" s="6"/>
      <c r="ER1069" s="6"/>
      <c r="ES1069" s="6"/>
      <c r="ET1069" s="6"/>
      <c r="EU1069" s="6"/>
      <c r="EV1069" s="6"/>
      <c r="EW1069" s="6"/>
      <c r="EX1069" s="6"/>
      <c r="EY1069" s="6"/>
      <c r="EZ1069" s="6"/>
      <c r="FA1069" s="6"/>
      <c r="FB1069" s="6"/>
      <c r="FC1069" s="6"/>
      <c r="FD1069" s="6"/>
      <c r="FE1069" s="6"/>
      <c r="FF1069" s="6"/>
      <c r="FG1069" s="6"/>
      <c r="FH1069" s="6"/>
      <c r="FI1069" s="6"/>
      <c r="FJ1069" s="6"/>
      <c r="FK1069" s="6"/>
      <c r="FL1069" s="6"/>
      <c r="FM1069" s="6"/>
      <c r="FN1069" s="6"/>
      <c r="FO1069" s="6"/>
      <c r="FP1069" s="6"/>
      <c r="FQ1069" s="6"/>
      <c r="FR1069" s="6"/>
      <c r="FS1069" s="6"/>
      <c r="FT1069" s="6"/>
      <c r="FU1069" s="6"/>
      <c r="FV1069" s="6"/>
      <c r="FW1069" s="6"/>
      <c r="FX1069" s="6"/>
      <c r="FY1069" s="6"/>
      <c r="FZ1069" s="6"/>
      <c r="GA1069" s="6"/>
      <c r="GB1069" s="6"/>
      <c r="GC1069" s="6"/>
      <c r="GD1069" s="6"/>
      <c r="GE1069" s="6"/>
      <c r="GF1069" s="6"/>
      <c r="GG1069" s="6"/>
      <c r="GH1069" s="6"/>
      <c r="GI1069" s="6"/>
      <c r="GJ1069" s="6"/>
      <c r="GK1069" s="6"/>
      <c r="GL1069" s="6"/>
      <c r="GM1069" s="6"/>
      <c r="GN1069" s="6"/>
      <c r="GO1069" s="6"/>
      <c r="GP1069" s="6"/>
      <c r="GQ1069" s="6"/>
      <c r="GR1069" s="6"/>
      <c r="GS1069" s="6"/>
      <c r="GT1069" s="6"/>
      <c r="GU1069" s="6"/>
      <c r="GV1069" s="6"/>
      <c r="GW1069" s="6"/>
      <c r="GX1069" s="6"/>
      <c r="GY1069" s="6"/>
      <c r="GZ1069" s="6"/>
      <c r="HA1069" s="6"/>
      <c r="HB1069" s="6"/>
      <c r="HC1069" s="6"/>
      <c r="HD1069" s="6"/>
      <c r="HE1069" s="6"/>
      <c r="HF1069" s="6"/>
      <c r="HG1069" s="6"/>
      <c r="HH1069" s="6"/>
    </row>
    <row r="1070" spans="1:216" x14ac:dyDescent="0.3">
      <c r="A1070" s="8"/>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6"/>
      <c r="BK1070" s="6"/>
      <c r="BL1070" s="6"/>
      <c r="BM1070" s="6"/>
      <c r="BN1070" s="6"/>
      <c r="BO1070" s="6"/>
      <c r="BP1070" s="6"/>
      <c r="BQ1070" s="6"/>
      <c r="BR1070" s="6"/>
      <c r="BS1070" s="6"/>
      <c r="BT1070" s="6"/>
      <c r="BU1070" s="6"/>
      <c r="BV1070" s="6"/>
      <c r="BW1070" s="6"/>
      <c r="BX1070" s="6"/>
      <c r="BY1070" s="6"/>
      <c r="BZ1070" s="6"/>
      <c r="CA1070" s="6"/>
      <c r="CB1070" s="6"/>
      <c r="CC1070" s="6"/>
      <c r="CD1070" s="6"/>
      <c r="CE1070" s="6"/>
      <c r="CF1070" s="6"/>
      <c r="CG1070" s="6"/>
      <c r="CH1070" s="6"/>
      <c r="CI1070" s="6"/>
      <c r="CJ1070" s="6"/>
      <c r="CK1070" s="6"/>
      <c r="CL1070" s="6"/>
      <c r="CM1070" s="6"/>
      <c r="CN1070" s="6"/>
      <c r="CO1070" s="6"/>
      <c r="CP1070" s="6"/>
      <c r="CQ1070" s="6"/>
      <c r="CR1070" s="6"/>
      <c r="CS1070" s="6"/>
      <c r="CT1070" s="6"/>
      <c r="CU1070" s="6"/>
      <c r="CV1070" s="6"/>
      <c r="CW1070" s="6"/>
      <c r="CX1070" s="6"/>
      <c r="CY1070" s="6"/>
      <c r="CZ1070" s="6"/>
      <c r="DA1070" s="6"/>
      <c r="DB1070" s="6"/>
      <c r="DC1070" s="6"/>
      <c r="DD1070" s="6"/>
      <c r="DE1070" s="6"/>
      <c r="DF1070" s="6"/>
      <c r="DG1070" s="6"/>
      <c r="DH1070" s="6"/>
      <c r="DI1070" s="6"/>
      <c r="DJ1070" s="6"/>
      <c r="DK1070" s="6"/>
      <c r="DL1070" s="6"/>
      <c r="DM1070" s="6"/>
      <c r="DN1070" s="6"/>
      <c r="DO1070" s="6"/>
      <c r="DP1070" s="6"/>
      <c r="DQ1070" s="6"/>
      <c r="DR1070" s="6"/>
      <c r="DS1070" s="6"/>
      <c r="DT1070" s="6"/>
      <c r="DU1070" s="6"/>
      <c r="DV1070" s="6"/>
      <c r="DW1070" s="6"/>
      <c r="DX1070" s="6"/>
      <c r="DY1070" s="6"/>
      <c r="DZ1070" s="6"/>
      <c r="EA1070" s="6"/>
      <c r="EB1070" s="6"/>
      <c r="EC1070" s="6"/>
      <c r="ED1070" s="6"/>
      <c r="EE1070" s="6"/>
      <c r="EF1070" s="6"/>
      <c r="EG1070" s="6"/>
      <c r="EH1070" s="6"/>
      <c r="EI1070" s="6"/>
      <c r="EJ1070" s="6"/>
      <c r="EK1070" s="6"/>
      <c r="EL1070" s="6"/>
      <c r="EM1070" s="6"/>
      <c r="EN1070" s="6"/>
      <c r="EO1070" s="6"/>
      <c r="EP1070" s="6"/>
      <c r="EQ1070" s="6"/>
      <c r="ER1070" s="6"/>
      <c r="ES1070" s="6"/>
      <c r="ET1070" s="6"/>
      <c r="EU1070" s="6"/>
      <c r="EV1070" s="6"/>
      <c r="EW1070" s="6"/>
      <c r="EX1070" s="6"/>
      <c r="EY1070" s="6"/>
      <c r="EZ1070" s="6"/>
      <c r="FA1070" s="6"/>
      <c r="FB1070" s="6"/>
      <c r="FC1070" s="6"/>
      <c r="FD1070" s="6"/>
      <c r="FE1070" s="6"/>
      <c r="FF1070" s="6"/>
      <c r="FG1070" s="6"/>
      <c r="FH1070" s="6"/>
      <c r="FI1070" s="6"/>
      <c r="FJ1070" s="6"/>
      <c r="FK1070" s="6"/>
      <c r="FL1070" s="6"/>
      <c r="FM1070" s="6"/>
      <c r="FN1070" s="6"/>
      <c r="FO1070" s="6"/>
      <c r="FP1070" s="6"/>
      <c r="FQ1070" s="6"/>
      <c r="FR1070" s="6"/>
      <c r="FS1070" s="6"/>
      <c r="FT1070" s="6"/>
      <c r="FU1070" s="6"/>
      <c r="FV1070" s="6"/>
      <c r="FW1070" s="6"/>
      <c r="FX1070" s="6"/>
      <c r="FY1070" s="6"/>
      <c r="FZ1070" s="6"/>
      <c r="GA1070" s="6"/>
      <c r="GB1070" s="6"/>
      <c r="GC1070" s="6"/>
      <c r="GD1070" s="6"/>
      <c r="GE1070" s="6"/>
      <c r="GF1070" s="6"/>
      <c r="GG1070" s="6"/>
      <c r="GH1070" s="6"/>
      <c r="GI1070" s="6"/>
      <c r="GJ1070" s="6"/>
      <c r="GK1070" s="6"/>
      <c r="GL1070" s="6"/>
      <c r="GM1070" s="6"/>
      <c r="GN1070" s="6"/>
      <c r="GO1070" s="6"/>
      <c r="GP1070" s="6"/>
      <c r="GQ1070" s="6"/>
      <c r="GR1070" s="6"/>
      <c r="GS1070" s="6"/>
      <c r="GT1070" s="6"/>
      <c r="GU1070" s="6"/>
      <c r="GV1070" s="6"/>
      <c r="GW1070" s="6"/>
      <c r="GX1070" s="6"/>
      <c r="GY1070" s="6"/>
      <c r="GZ1070" s="6"/>
      <c r="HA1070" s="6"/>
      <c r="HB1070" s="6"/>
      <c r="HC1070" s="6"/>
      <c r="HD1070" s="6"/>
      <c r="HE1070" s="6"/>
      <c r="HF1070" s="6"/>
      <c r="HG1070" s="6"/>
      <c r="HH1070" s="6"/>
    </row>
    <row r="1071" spans="1:216" x14ac:dyDescent="0.3">
      <c r="A1071" s="8"/>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6"/>
      <c r="AR1071" s="6"/>
      <c r="AS1071" s="6"/>
      <c r="AT1071" s="6"/>
      <c r="AU1071" s="6"/>
      <c r="AV1071" s="6"/>
      <c r="AW1071" s="6"/>
      <c r="AX1071" s="6"/>
      <c r="AY1071" s="6"/>
      <c r="AZ1071" s="6"/>
      <c r="BA1071" s="6"/>
      <c r="BB1071" s="6"/>
      <c r="BC1071" s="6"/>
      <c r="BD1071" s="6"/>
      <c r="BE1071" s="6"/>
      <c r="BF1071" s="6"/>
      <c r="BG1071" s="6"/>
      <c r="BH1071" s="6"/>
      <c r="BI1071" s="6"/>
      <c r="BJ1071" s="6"/>
      <c r="BK1071" s="6"/>
      <c r="BL1071" s="6"/>
      <c r="BM1071" s="6"/>
      <c r="BN1071" s="6"/>
      <c r="BO1071" s="6"/>
      <c r="BP1071" s="6"/>
      <c r="BQ1071" s="6"/>
      <c r="BR1071" s="6"/>
      <c r="BS1071" s="6"/>
      <c r="BT1071" s="6"/>
      <c r="BU1071" s="6"/>
      <c r="BV1071" s="6"/>
      <c r="BW1071" s="6"/>
      <c r="BX1071" s="6"/>
      <c r="BY1071" s="6"/>
      <c r="BZ1071" s="6"/>
      <c r="CA1071" s="6"/>
      <c r="CB1071" s="6"/>
      <c r="CC1071" s="6"/>
      <c r="CD1071" s="6"/>
      <c r="CE1071" s="6"/>
      <c r="CF1071" s="6"/>
      <c r="CG1071" s="6"/>
      <c r="CH1071" s="6"/>
      <c r="CI1071" s="6"/>
      <c r="CJ1071" s="6"/>
      <c r="CK1071" s="6"/>
      <c r="CL1071" s="6"/>
      <c r="CM1071" s="6"/>
      <c r="CN1071" s="6"/>
      <c r="CO1071" s="6"/>
      <c r="CP1071" s="6"/>
      <c r="CQ1071" s="6"/>
      <c r="CR1071" s="6"/>
      <c r="CS1071" s="6"/>
      <c r="CT1071" s="6"/>
      <c r="CU1071" s="6"/>
      <c r="CV1071" s="6"/>
      <c r="CW1071" s="6"/>
      <c r="CX1071" s="6"/>
      <c r="CY1071" s="6"/>
      <c r="CZ1071" s="6"/>
      <c r="DA1071" s="6"/>
      <c r="DB1071" s="6"/>
      <c r="DC1071" s="6"/>
      <c r="DD1071" s="6"/>
      <c r="DE1071" s="6"/>
      <c r="DF1071" s="6"/>
      <c r="DG1071" s="6"/>
      <c r="DH1071" s="6"/>
      <c r="DI1071" s="6"/>
      <c r="DJ1071" s="6"/>
      <c r="DK1071" s="6"/>
      <c r="DL1071" s="6"/>
      <c r="DM1071" s="6"/>
      <c r="DN1071" s="6"/>
      <c r="DO1071" s="6"/>
      <c r="DP1071" s="6"/>
      <c r="DQ1071" s="6"/>
      <c r="DR1071" s="6"/>
      <c r="DS1071" s="6"/>
      <c r="DT1071" s="6"/>
      <c r="DU1071" s="6"/>
      <c r="DV1071" s="6"/>
      <c r="DW1071" s="6"/>
      <c r="DX1071" s="6"/>
      <c r="DY1071" s="6"/>
      <c r="DZ1071" s="6"/>
      <c r="EA1071" s="6"/>
      <c r="EB1071" s="6"/>
      <c r="EC1071" s="6"/>
      <c r="ED1071" s="6"/>
      <c r="EE1071" s="6"/>
      <c r="EF1071" s="6"/>
      <c r="EG1071" s="6"/>
      <c r="EH1071" s="6"/>
      <c r="EI1071" s="6"/>
      <c r="EJ1071" s="6"/>
      <c r="EK1071" s="6"/>
      <c r="EL1071" s="6"/>
      <c r="EM1071" s="6"/>
      <c r="EN1071" s="6"/>
      <c r="EO1071" s="6"/>
      <c r="EP1071" s="6"/>
      <c r="EQ1071" s="6"/>
      <c r="ER1071" s="6"/>
      <c r="ES1071" s="6"/>
      <c r="ET1071" s="6"/>
      <c r="EU1071" s="6"/>
      <c r="EV1071" s="6"/>
      <c r="EW1071" s="6"/>
      <c r="EX1071" s="6"/>
      <c r="EY1071" s="6"/>
      <c r="EZ1071" s="6"/>
      <c r="FA1071" s="6"/>
      <c r="FB1071" s="6"/>
      <c r="FC1071" s="6"/>
      <c r="FD1071" s="6"/>
      <c r="FE1071" s="6"/>
      <c r="FF1071" s="6"/>
      <c r="FG1071" s="6"/>
      <c r="FH1071" s="6"/>
      <c r="FI1071" s="6"/>
      <c r="FJ1071" s="6"/>
      <c r="FK1071" s="6"/>
      <c r="FL1071" s="6"/>
      <c r="FM1071" s="6"/>
      <c r="FN1071" s="6"/>
      <c r="FO1071" s="6"/>
      <c r="FP1071" s="6"/>
      <c r="FQ1071" s="6"/>
      <c r="FR1071" s="6"/>
      <c r="FS1071" s="6"/>
      <c r="FT1071" s="6"/>
      <c r="FU1071" s="6"/>
      <c r="FV1071" s="6"/>
      <c r="FW1071" s="6"/>
      <c r="FX1071" s="6"/>
      <c r="FY1071" s="6"/>
      <c r="FZ1071" s="6"/>
      <c r="GA1071" s="6"/>
      <c r="GB1071" s="6"/>
      <c r="GC1071" s="6"/>
      <c r="GD1071" s="6"/>
      <c r="GE1071" s="6"/>
      <c r="GF1071" s="6"/>
      <c r="GG1071" s="6"/>
      <c r="GH1071" s="6"/>
      <c r="GI1071" s="6"/>
      <c r="GJ1071" s="6"/>
      <c r="GK1071" s="6"/>
      <c r="GL1071" s="6"/>
      <c r="GM1071" s="6"/>
      <c r="GN1071" s="6"/>
      <c r="GO1071" s="6"/>
      <c r="GP1071" s="6"/>
      <c r="GQ1071" s="6"/>
      <c r="GR1071" s="6"/>
      <c r="GS1071" s="6"/>
      <c r="GT1071" s="6"/>
      <c r="GU1071" s="6"/>
      <c r="GV1071" s="6"/>
      <c r="GW1071" s="6"/>
      <c r="GX1071" s="6"/>
      <c r="GY1071" s="6"/>
      <c r="GZ1071" s="6"/>
      <c r="HA1071" s="6"/>
      <c r="HB1071" s="6"/>
      <c r="HC1071" s="6"/>
      <c r="HD1071" s="6"/>
      <c r="HE1071" s="6"/>
      <c r="HF1071" s="6"/>
      <c r="HG1071" s="6"/>
      <c r="HH1071" s="6"/>
    </row>
    <row r="1072" spans="1:216" x14ac:dyDescent="0.3">
      <c r="A1072" s="8"/>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6"/>
      <c r="AR1072" s="6"/>
      <c r="AS1072" s="6"/>
      <c r="AT1072" s="6"/>
      <c r="AU1072" s="6"/>
      <c r="AV1072" s="6"/>
      <c r="AW1072" s="6"/>
      <c r="AX1072" s="6"/>
      <c r="AY1072" s="6"/>
      <c r="AZ1072" s="6"/>
      <c r="BA1072" s="6"/>
      <c r="BB1072" s="6"/>
      <c r="BC1072" s="6"/>
      <c r="BD1072" s="6"/>
      <c r="BE1072" s="6"/>
      <c r="BF1072" s="6"/>
      <c r="BG1072" s="6"/>
      <c r="BH1072" s="6"/>
      <c r="BI1072" s="6"/>
      <c r="BJ1072" s="6"/>
      <c r="BK1072" s="6"/>
      <c r="BL1072" s="6"/>
      <c r="BM1072" s="6"/>
      <c r="BN1072" s="6"/>
      <c r="BO1072" s="6"/>
      <c r="BP1072" s="6"/>
      <c r="BQ1072" s="6"/>
      <c r="BR1072" s="6"/>
      <c r="BS1072" s="6"/>
      <c r="BT1072" s="6"/>
      <c r="BU1072" s="6"/>
      <c r="BV1072" s="6"/>
      <c r="BW1072" s="6"/>
      <c r="BX1072" s="6"/>
      <c r="BY1072" s="6"/>
      <c r="BZ1072" s="6"/>
      <c r="CA1072" s="6"/>
      <c r="CB1072" s="6"/>
      <c r="CC1072" s="6"/>
      <c r="CD1072" s="6"/>
      <c r="CE1072" s="6"/>
      <c r="CF1072" s="6"/>
      <c r="CG1072" s="6"/>
      <c r="CH1072" s="6"/>
      <c r="CI1072" s="6"/>
      <c r="CJ1072" s="6"/>
      <c r="CK1072" s="6"/>
      <c r="CL1072" s="6"/>
      <c r="CM1072" s="6"/>
      <c r="CN1072" s="6"/>
      <c r="CO1072" s="6"/>
      <c r="CP1072" s="6"/>
      <c r="CQ1072" s="6"/>
      <c r="CR1072" s="6"/>
      <c r="CS1072" s="6"/>
      <c r="CT1072" s="6"/>
      <c r="CU1072" s="6"/>
      <c r="CV1072" s="6"/>
      <c r="CW1072" s="6"/>
      <c r="CX1072" s="6"/>
      <c r="CY1072" s="6"/>
      <c r="CZ1072" s="6"/>
      <c r="DA1072" s="6"/>
      <c r="DB1072" s="6"/>
      <c r="DC1072" s="6"/>
      <c r="DD1072" s="6"/>
      <c r="DE1072" s="6"/>
      <c r="DF1072" s="6"/>
      <c r="DG1072" s="6"/>
      <c r="DH1072" s="6"/>
      <c r="DI1072" s="6"/>
      <c r="DJ1072" s="6"/>
      <c r="DK1072" s="6"/>
      <c r="DL1072" s="6"/>
      <c r="DM1072" s="6"/>
      <c r="DN1072" s="6"/>
      <c r="DO1072" s="6"/>
      <c r="DP1072" s="6"/>
      <c r="DQ1072" s="6"/>
      <c r="DR1072" s="6"/>
      <c r="DS1072" s="6"/>
      <c r="DT1072" s="6"/>
      <c r="DU1072" s="6"/>
      <c r="DV1072" s="6"/>
      <c r="DW1072" s="6"/>
      <c r="DX1072" s="6"/>
      <c r="DY1072" s="6"/>
      <c r="DZ1072" s="6"/>
      <c r="EA1072" s="6"/>
      <c r="EB1072" s="6"/>
      <c r="EC1072" s="6"/>
      <c r="ED1072" s="6"/>
      <c r="EE1072" s="6"/>
      <c r="EF1072" s="6"/>
      <c r="EG1072" s="6"/>
      <c r="EH1072" s="6"/>
      <c r="EI1072" s="6"/>
      <c r="EJ1072" s="6"/>
      <c r="EK1072" s="6"/>
      <c r="EL1072" s="6"/>
      <c r="EM1072" s="6"/>
      <c r="EN1072" s="6"/>
      <c r="EO1072" s="6"/>
      <c r="EP1072" s="6"/>
      <c r="EQ1072" s="6"/>
      <c r="ER1072" s="6"/>
      <c r="ES1072" s="6"/>
      <c r="ET1072" s="6"/>
      <c r="EU1072" s="6"/>
      <c r="EV1072" s="6"/>
      <c r="EW1072" s="6"/>
      <c r="EX1072" s="6"/>
      <c r="EY1072" s="6"/>
      <c r="EZ1072" s="6"/>
      <c r="FA1072" s="6"/>
      <c r="FB1072" s="6"/>
      <c r="FC1072" s="6"/>
      <c r="FD1072" s="6"/>
      <c r="FE1072" s="6"/>
      <c r="FF1072" s="6"/>
      <c r="FG1072" s="6"/>
      <c r="FH1072" s="6"/>
      <c r="FI1072" s="6"/>
      <c r="FJ1072" s="6"/>
      <c r="FK1072" s="6"/>
      <c r="FL1072" s="6"/>
      <c r="FM1072" s="6"/>
      <c r="FN1072" s="6"/>
      <c r="FO1072" s="6"/>
      <c r="FP1072" s="6"/>
      <c r="FQ1072" s="6"/>
      <c r="FR1072" s="6"/>
      <c r="FS1072" s="6"/>
      <c r="FT1072" s="6"/>
      <c r="FU1072" s="6"/>
      <c r="FV1072" s="6"/>
      <c r="FW1072" s="6"/>
      <c r="FX1072" s="6"/>
      <c r="FY1072" s="6"/>
      <c r="FZ1072" s="6"/>
      <c r="GA1072" s="6"/>
      <c r="GB1072" s="6"/>
      <c r="GC1072" s="6"/>
      <c r="GD1072" s="6"/>
      <c r="GE1072" s="6"/>
      <c r="GF1072" s="6"/>
      <c r="GG1072" s="6"/>
      <c r="GH1072" s="6"/>
      <c r="GI1072" s="6"/>
      <c r="GJ1072" s="6"/>
      <c r="GK1072" s="6"/>
      <c r="GL1072" s="6"/>
      <c r="GM1072" s="6"/>
      <c r="GN1072" s="6"/>
      <c r="GO1072" s="6"/>
      <c r="GP1072" s="6"/>
      <c r="GQ1072" s="6"/>
      <c r="GR1072" s="6"/>
      <c r="GS1072" s="6"/>
      <c r="GT1072" s="6"/>
      <c r="GU1072" s="6"/>
      <c r="GV1072" s="6"/>
      <c r="GW1072" s="6"/>
      <c r="GX1072" s="6"/>
      <c r="GY1072" s="6"/>
      <c r="GZ1072" s="6"/>
      <c r="HA1072" s="6"/>
      <c r="HB1072" s="6"/>
      <c r="HC1072" s="6"/>
      <c r="HD1072" s="6"/>
      <c r="HE1072" s="6"/>
      <c r="HF1072" s="6"/>
      <c r="HG1072" s="6"/>
      <c r="HH1072" s="6"/>
    </row>
    <row r="1073" spans="1:216" x14ac:dyDescent="0.3">
      <c r="A1073" s="8"/>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c r="BK1073" s="6"/>
      <c r="BL1073" s="6"/>
      <c r="BM1073" s="6"/>
      <c r="BN1073" s="6"/>
      <c r="BO1073" s="6"/>
      <c r="BP1073" s="6"/>
      <c r="BQ1073" s="6"/>
      <c r="BR1073" s="6"/>
      <c r="BS1073" s="6"/>
      <c r="BT1073" s="6"/>
      <c r="BU1073" s="6"/>
      <c r="BV1073" s="6"/>
      <c r="BW1073" s="6"/>
      <c r="BX1073" s="6"/>
      <c r="BY1073" s="6"/>
      <c r="BZ1073" s="6"/>
      <c r="CA1073" s="6"/>
      <c r="CB1073" s="6"/>
      <c r="CC1073" s="6"/>
      <c r="CD1073" s="6"/>
      <c r="CE1073" s="6"/>
      <c r="CF1073" s="6"/>
      <c r="CG1073" s="6"/>
      <c r="CH1073" s="6"/>
      <c r="CI1073" s="6"/>
      <c r="CJ1073" s="6"/>
      <c r="CK1073" s="6"/>
      <c r="CL1073" s="6"/>
      <c r="CM1073" s="6"/>
      <c r="CN1073" s="6"/>
      <c r="CO1073" s="6"/>
      <c r="CP1073" s="6"/>
      <c r="CQ1073" s="6"/>
      <c r="CR1073" s="6"/>
      <c r="CS1073" s="6"/>
      <c r="CT1073" s="6"/>
      <c r="CU1073" s="6"/>
      <c r="CV1073" s="6"/>
      <c r="CW1073" s="6"/>
      <c r="CX1073" s="6"/>
      <c r="CY1073" s="6"/>
      <c r="CZ1073" s="6"/>
      <c r="DA1073" s="6"/>
      <c r="DB1073" s="6"/>
      <c r="DC1073" s="6"/>
      <c r="DD1073" s="6"/>
      <c r="DE1073" s="6"/>
      <c r="DF1073" s="6"/>
      <c r="DG1073" s="6"/>
      <c r="DH1073" s="6"/>
      <c r="DI1073" s="6"/>
      <c r="DJ1073" s="6"/>
      <c r="DK1073" s="6"/>
      <c r="DL1073" s="6"/>
      <c r="DM1073" s="6"/>
      <c r="DN1073" s="6"/>
      <c r="DO1073" s="6"/>
      <c r="DP1073" s="6"/>
      <c r="DQ1073" s="6"/>
      <c r="DR1073" s="6"/>
      <c r="DS1073" s="6"/>
      <c r="DT1073" s="6"/>
      <c r="DU1073" s="6"/>
      <c r="DV1073" s="6"/>
      <c r="DW1073" s="6"/>
      <c r="DX1073" s="6"/>
      <c r="DY1073" s="6"/>
      <c r="DZ1073" s="6"/>
      <c r="EA1073" s="6"/>
      <c r="EB1073" s="6"/>
      <c r="EC1073" s="6"/>
      <c r="ED1073" s="6"/>
      <c r="EE1073" s="6"/>
      <c r="EF1073" s="6"/>
      <c r="EG1073" s="6"/>
      <c r="EH1073" s="6"/>
      <c r="EI1073" s="6"/>
      <c r="EJ1073" s="6"/>
      <c r="EK1073" s="6"/>
      <c r="EL1073" s="6"/>
      <c r="EM1073" s="6"/>
      <c r="EN1073" s="6"/>
      <c r="EO1073" s="6"/>
      <c r="EP1073" s="6"/>
      <c r="EQ1073" s="6"/>
      <c r="ER1073" s="6"/>
      <c r="ES1073" s="6"/>
      <c r="ET1073" s="6"/>
      <c r="EU1073" s="6"/>
      <c r="EV1073" s="6"/>
      <c r="EW1073" s="6"/>
      <c r="EX1073" s="6"/>
      <c r="EY1073" s="6"/>
      <c r="EZ1073" s="6"/>
      <c r="FA1073" s="6"/>
      <c r="FB1073" s="6"/>
      <c r="FC1073" s="6"/>
      <c r="FD1073" s="6"/>
      <c r="FE1073" s="6"/>
      <c r="FF1073" s="6"/>
      <c r="FG1073" s="6"/>
      <c r="FH1073" s="6"/>
      <c r="FI1073" s="6"/>
      <c r="FJ1073" s="6"/>
      <c r="FK1073" s="6"/>
      <c r="FL1073" s="6"/>
      <c r="FM1073" s="6"/>
      <c r="FN1073" s="6"/>
      <c r="FO1073" s="6"/>
      <c r="FP1073" s="6"/>
      <c r="FQ1073" s="6"/>
      <c r="FR1073" s="6"/>
      <c r="FS1073" s="6"/>
      <c r="FT1073" s="6"/>
      <c r="FU1073" s="6"/>
      <c r="FV1073" s="6"/>
      <c r="FW1073" s="6"/>
      <c r="FX1073" s="6"/>
      <c r="FY1073" s="6"/>
      <c r="FZ1073" s="6"/>
      <c r="GA1073" s="6"/>
      <c r="GB1073" s="6"/>
      <c r="GC1073" s="6"/>
      <c r="GD1073" s="6"/>
      <c r="GE1073" s="6"/>
      <c r="GF1073" s="6"/>
      <c r="GG1073" s="6"/>
      <c r="GH1073" s="6"/>
      <c r="GI1073" s="6"/>
      <c r="GJ1073" s="6"/>
      <c r="GK1073" s="6"/>
      <c r="GL1073" s="6"/>
      <c r="GM1073" s="6"/>
      <c r="GN1073" s="6"/>
      <c r="GO1073" s="6"/>
      <c r="GP1073" s="6"/>
      <c r="GQ1073" s="6"/>
      <c r="GR1073" s="6"/>
      <c r="GS1073" s="6"/>
      <c r="GT1073" s="6"/>
      <c r="GU1073" s="6"/>
      <c r="GV1073" s="6"/>
      <c r="GW1073" s="6"/>
      <c r="GX1073" s="6"/>
      <c r="GY1073" s="6"/>
      <c r="GZ1073" s="6"/>
      <c r="HA1073" s="6"/>
      <c r="HB1073" s="6"/>
      <c r="HC1073" s="6"/>
      <c r="HD1073" s="6"/>
      <c r="HE1073" s="6"/>
      <c r="HF1073" s="6"/>
      <c r="HG1073" s="6"/>
      <c r="HH1073" s="6"/>
    </row>
    <row r="1074" spans="1:216" x14ac:dyDescent="0.3">
      <c r="A1074" s="8"/>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6"/>
      <c r="BK1074" s="6"/>
      <c r="BL1074" s="6"/>
      <c r="BM1074" s="6"/>
      <c r="BN1074" s="6"/>
      <c r="BO1074" s="6"/>
      <c r="BP1074" s="6"/>
      <c r="BQ1074" s="6"/>
      <c r="BR1074" s="6"/>
      <c r="BS1074" s="6"/>
      <c r="BT1074" s="6"/>
      <c r="BU1074" s="6"/>
      <c r="BV1074" s="6"/>
      <c r="BW1074" s="6"/>
      <c r="BX1074" s="6"/>
      <c r="BY1074" s="6"/>
      <c r="BZ1074" s="6"/>
      <c r="CA1074" s="6"/>
      <c r="CB1074" s="6"/>
      <c r="CC1074" s="6"/>
      <c r="CD1074" s="6"/>
      <c r="CE1074" s="6"/>
      <c r="CF1074" s="6"/>
      <c r="CG1074" s="6"/>
      <c r="CH1074" s="6"/>
      <c r="CI1074" s="6"/>
      <c r="CJ1074" s="6"/>
      <c r="CK1074" s="6"/>
      <c r="CL1074" s="6"/>
      <c r="CM1074" s="6"/>
      <c r="CN1074" s="6"/>
      <c r="CO1074" s="6"/>
      <c r="CP1074" s="6"/>
      <c r="CQ1074" s="6"/>
      <c r="CR1074" s="6"/>
      <c r="CS1074" s="6"/>
      <c r="CT1074" s="6"/>
      <c r="CU1074" s="6"/>
      <c r="CV1074" s="6"/>
      <c r="CW1074" s="6"/>
      <c r="CX1074" s="6"/>
      <c r="CY1074" s="6"/>
      <c r="CZ1074" s="6"/>
      <c r="DA1074" s="6"/>
      <c r="DB1074" s="6"/>
      <c r="DC1074" s="6"/>
      <c r="DD1074" s="6"/>
      <c r="DE1074" s="6"/>
      <c r="DF1074" s="6"/>
      <c r="DG1074" s="6"/>
      <c r="DH1074" s="6"/>
      <c r="DI1074" s="6"/>
      <c r="DJ1074" s="6"/>
      <c r="DK1074" s="6"/>
      <c r="DL1074" s="6"/>
      <c r="DM1074" s="6"/>
      <c r="DN1074" s="6"/>
      <c r="DO1074" s="6"/>
      <c r="DP1074" s="6"/>
      <c r="DQ1074" s="6"/>
      <c r="DR1074" s="6"/>
      <c r="DS1074" s="6"/>
      <c r="DT1074" s="6"/>
      <c r="DU1074" s="6"/>
      <c r="DV1074" s="6"/>
      <c r="DW1074" s="6"/>
      <c r="DX1074" s="6"/>
      <c r="DY1074" s="6"/>
      <c r="DZ1074" s="6"/>
      <c r="EA1074" s="6"/>
      <c r="EB1074" s="6"/>
      <c r="EC1074" s="6"/>
      <c r="ED1074" s="6"/>
      <c r="EE1074" s="6"/>
      <c r="EF1074" s="6"/>
      <c r="EG1074" s="6"/>
      <c r="EH1074" s="6"/>
      <c r="EI1074" s="6"/>
      <c r="EJ1074" s="6"/>
      <c r="EK1074" s="6"/>
      <c r="EL1074" s="6"/>
      <c r="EM1074" s="6"/>
      <c r="EN1074" s="6"/>
      <c r="EO1074" s="6"/>
      <c r="EP1074" s="6"/>
      <c r="EQ1074" s="6"/>
      <c r="ER1074" s="6"/>
      <c r="ES1074" s="6"/>
      <c r="ET1074" s="6"/>
      <c r="EU1074" s="6"/>
      <c r="EV1074" s="6"/>
      <c r="EW1074" s="6"/>
      <c r="EX1074" s="6"/>
      <c r="EY1074" s="6"/>
      <c r="EZ1074" s="6"/>
      <c r="FA1074" s="6"/>
      <c r="FB1074" s="6"/>
      <c r="FC1074" s="6"/>
      <c r="FD1074" s="6"/>
      <c r="FE1074" s="6"/>
      <c r="FF1074" s="6"/>
      <c r="FG1074" s="6"/>
      <c r="FH1074" s="6"/>
      <c r="FI1074" s="6"/>
      <c r="FJ1074" s="6"/>
      <c r="FK1074" s="6"/>
      <c r="FL1074" s="6"/>
      <c r="FM1074" s="6"/>
      <c r="FN1074" s="6"/>
      <c r="FO1074" s="6"/>
      <c r="FP1074" s="6"/>
      <c r="FQ1074" s="6"/>
      <c r="FR1074" s="6"/>
      <c r="FS1074" s="6"/>
      <c r="FT1074" s="6"/>
      <c r="FU1074" s="6"/>
      <c r="FV1074" s="6"/>
      <c r="FW1074" s="6"/>
      <c r="FX1074" s="6"/>
      <c r="FY1074" s="6"/>
      <c r="FZ1074" s="6"/>
      <c r="GA1074" s="6"/>
      <c r="GB1074" s="6"/>
      <c r="GC1074" s="6"/>
      <c r="GD1074" s="6"/>
      <c r="GE1074" s="6"/>
      <c r="GF1074" s="6"/>
      <c r="GG1074" s="6"/>
      <c r="GH1074" s="6"/>
      <c r="GI1074" s="6"/>
      <c r="GJ1074" s="6"/>
      <c r="GK1074" s="6"/>
      <c r="GL1074" s="6"/>
      <c r="GM1074" s="6"/>
      <c r="GN1074" s="6"/>
      <c r="GO1074" s="6"/>
      <c r="GP1074" s="6"/>
      <c r="GQ1074" s="6"/>
      <c r="GR1074" s="6"/>
      <c r="GS1074" s="6"/>
      <c r="GT1074" s="6"/>
      <c r="GU1074" s="6"/>
      <c r="GV1074" s="6"/>
      <c r="GW1074" s="6"/>
      <c r="GX1074" s="6"/>
      <c r="GY1074" s="6"/>
      <c r="GZ1074" s="6"/>
      <c r="HA1074" s="6"/>
      <c r="HB1074" s="6"/>
      <c r="HC1074" s="6"/>
      <c r="HD1074" s="6"/>
      <c r="HE1074" s="6"/>
      <c r="HF1074" s="6"/>
      <c r="HG1074" s="6"/>
      <c r="HH1074" s="6"/>
    </row>
    <row r="1075" spans="1:216" x14ac:dyDescent="0.3">
      <c r="A1075" s="8"/>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c r="DX1075" s="6"/>
      <c r="DY1075" s="6"/>
      <c r="DZ1075" s="6"/>
      <c r="EA1075" s="6"/>
      <c r="EB1075" s="6"/>
      <c r="EC1075" s="6"/>
      <c r="ED1075" s="6"/>
      <c r="EE1075" s="6"/>
      <c r="EF1075" s="6"/>
      <c r="EG1075" s="6"/>
      <c r="EH1075" s="6"/>
      <c r="EI1075" s="6"/>
      <c r="EJ1075" s="6"/>
      <c r="EK1075" s="6"/>
      <c r="EL1075" s="6"/>
      <c r="EM1075" s="6"/>
      <c r="EN1075" s="6"/>
      <c r="EO1075" s="6"/>
      <c r="EP1075" s="6"/>
      <c r="EQ1075" s="6"/>
      <c r="ER1075" s="6"/>
      <c r="ES1075" s="6"/>
      <c r="ET1075" s="6"/>
      <c r="EU1075" s="6"/>
      <c r="EV1075" s="6"/>
      <c r="EW1075" s="6"/>
      <c r="EX1075" s="6"/>
      <c r="EY1075" s="6"/>
      <c r="EZ1075" s="6"/>
      <c r="FA1075" s="6"/>
      <c r="FB1075" s="6"/>
      <c r="FC1075" s="6"/>
      <c r="FD1075" s="6"/>
      <c r="FE1075" s="6"/>
      <c r="FF1075" s="6"/>
      <c r="FG1075" s="6"/>
      <c r="FH1075" s="6"/>
      <c r="FI1075" s="6"/>
      <c r="FJ1075" s="6"/>
      <c r="FK1075" s="6"/>
      <c r="FL1075" s="6"/>
      <c r="FM1075" s="6"/>
      <c r="FN1075" s="6"/>
      <c r="FO1075" s="6"/>
      <c r="FP1075" s="6"/>
      <c r="FQ1075" s="6"/>
      <c r="FR1075" s="6"/>
      <c r="FS1075" s="6"/>
      <c r="FT1075" s="6"/>
      <c r="FU1075" s="6"/>
      <c r="FV1075" s="6"/>
      <c r="FW1075" s="6"/>
      <c r="FX1075" s="6"/>
      <c r="FY1075" s="6"/>
      <c r="FZ1075" s="6"/>
      <c r="GA1075" s="6"/>
      <c r="GB1075" s="6"/>
      <c r="GC1075" s="6"/>
      <c r="GD1075" s="6"/>
      <c r="GE1075" s="6"/>
      <c r="GF1075" s="6"/>
      <c r="GG1075" s="6"/>
      <c r="GH1075" s="6"/>
      <c r="GI1075" s="6"/>
      <c r="GJ1075" s="6"/>
      <c r="GK1075" s="6"/>
      <c r="GL1075" s="6"/>
      <c r="GM1075" s="6"/>
      <c r="GN1075" s="6"/>
      <c r="GO1075" s="6"/>
      <c r="GP1075" s="6"/>
      <c r="GQ1075" s="6"/>
      <c r="GR1075" s="6"/>
      <c r="GS1075" s="6"/>
      <c r="GT1075" s="6"/>
      <c r="GU1075" s="6"/>
      <c r="GV1075" s="6"/>
      <c r="GW1075" s="6"/>
      <c r="GX1075" s="6"/>
      <c r="GY1075" s="6"/>
      <c r="GZ1075" s="6"/>
      <c r="HA1075" s="6"/>
      <c r="HB1075" s="6"/>
      <c r="HC1075" s="6"/>
      <c r="HD1075" s="6"/>
      <c r="HE1075" s="6"/>
      <c r="HF1075" s="6"/>
      <c r="HG1075" s="6"/>
      <c r="HH1075" s="6"/>
    </row>
    <row r="1076" spans="1:216" x14ac:dyDescent="0.3">
      <c r="A1076" s="8"/>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c r="DX1076" s="6"/>
      <c r="DY1076" s="6"/>
      <c r="DZ1076" s="6"/>
      <c r="EA1076" s="6"/>
      <c r="EB1076" s="6"/>
      <c r="EC1076" s="6"/>
      <c r="ED1076" s="6"/>
      <c r="EE1076" s="6"/>
      <c r="EF1076" s="6"/>
      <c r="EG1076" s="6"/>
      <c r="EH1076" s="6"/>
      <c r="EI1076" s="6"/>
      <c r="EJ1076" s="6"/>
      <c r="EK1076" s="6"/>
      <c r="EL1076" s="6"/>
      <c r="EM1076" s="6"/>
      <c r="EN1076" s="6"/>
      <c r="EO1076" s="6"/>
      <c r="EP1076" s="6"/>
      <c r="EQ1076" s="6"/>
      <c r="ER1076" s="6"/>
      <c r="ES1076" s="6"/>
      <c r="ET1076" s="6"/>
      <c r="EU1076" s="6"/>
      <c r="EV1076" s="6"/>
      <c r="EW1076" s="6"/>
      <c r="EX1076" s="6"/>
      <c r="EY1076" s="6"/>
      <c r="EZ1076" s="6"/>
      <c r="FA1076" s="6"/>
      <c r="FB1076" s="6"/>
      <c r="FC1076" s="6"/>
      <c r="FD1076" s="6"/>
      <c r="FE1076" s="6"/>
      <c r="FF1076" s="6"/>
      <c r="FG1076" s="6"/>
      <c r="FH1076" s="6"/>
      <c r="FI1076" s="6"/>
      <c r="FJ1076" s="6"/>
      <c r="FK1076" s="6"/>
      <c r="FL1076" s="6"/>
      <c r="FM1076" s="6"/>
      <c r="FN1076" s="6"/>
      <c r="FO1076" s="6"/>
      <c r="FP1076" s="6"/>
      <c r="FQ1076" s="6"/>
      <c r="FR1076" s="6"/>
      <c r="FS1076" s="6"/>
      <c r="FT1076" s="6"/>
      <c r="FU1076" s="6"/>
      <c r="FV1076" s="6"/>
      <c r="FW1076" s="6"/>
      <c r="FX1076" s="6"/>
      <c r="FY1076" s="6"/>
      <c r="FZ1076" s="6"/>
      <c r="GA1076" s="6"/>
      <c r="GB1076" s="6"/>
      <c r="GC1076" s="6"/>
      <c r="GD1076" s="6"/>
      <c r="GE1076" s="6"/>
      <c r="GF1076" s="6"/>
      <c r="GG1076" s="6"/>
      <c r="GH1076" s="6"/>
      <c r="GI1076" s="6"/>
      <c r="GJ1076" s="6"/>
      <c r="GK1076" s="6"/>
      <c r="GL1076" s="6"/>
      <c r="GM1076" s="6"/>
      <c r="GN1076" s="6"/>
      <c r="GO1076" s="6"/>
      <c r="GP1076" s="6"/>
      <c r="GQ1076" s="6"/>
      <c r="GR1076" s="6"/>
      <c r="GS1076" s="6"/>
      <c r="GT1076" s="6"/>
      <c r="GU1076" s="6"/>
      <c r="GV1076" s="6"/>
      <c r="GW1076" s="6"/>
      <c r="GX1076" s="6"/>
      <c r="GY1076" s="6"/>
      <c r="GZ1076" s="6"/>
      <c r="HA1076" s="6"/>
      <c r="HB1076" s="6"/>
      <c r="HC1076" s="6"/>
      <c r="HD1076" s="6"/>
      <c r="HE1076" s="6"/>
      <c r="HF1076" s="6"/>
      <c r="HG1076" s="6"/>
      <c r="HH1076" s="6"/>
    </row>
    <row r="1077" spans="1:216" x14ac:dyDescent="0.3">
      <c r="A1077" s="8"/>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6"/>
      <c r="AR1077" s="6"/>
      <c r="AS1077" s="6"/>
      <c r="AT1077" s="6"/>
      <c r="AU1077" s="6"/>
      <c r="AV1077" s="6"/>
      <c r="AW1077" s="6"/>
      <c r="AX1077" s="6"/>
      <c r="AY1077" s="6"/>
      <c r="AZ1077" s="6"/>
      <c r="BA1077" s="6"/>
      <c r="BB1077" s="6"/>
      <c r="BC1077" s="6"/>
      <c r="BD1077" s="6"/>
      <c r="BE1077" s="6"/>
      <c r="BF1077" s="6"/>
      <c r="BG1077" s="6"/>
      <c r="BH1077" s="6"/>
      <c r="BI1077" s="6"/>
      <c r="BJ1077" s="6"/>
      <c r="BK1077" s="6"/>
      <c r="BL1077" s="6"/>
      <c r="BM1077" s="6"/>
      <c r="BN1077" s="6"/>
      <c r="BO1077" s="6"/>
      <c r="BP1077" s="6"/>
      <c r="BQ1077" s="6"/>
      <c r="BR1077" s="6"/>
      <c r="BS1077" s="6"/>
      <c r="BT1077" s="6"/>
      <c r="BU1077" s="6"/>
      <c r="BV1077" s="6"/>
      <c r="BW1077" s="6"/>
      <c r="BX1077" s="6"/>
      <c r="BY1077" s="6"/>
      <c r="BZ1077" s="6"/>
      <c r="CA1077" s="6"/>
      <c r="CB1077" s="6"/>
      <c r="CC1077" s="6"/>
      <c r="CD1077" s="6"/>
      <c r="CE1077" s="6"/>
      <c r="CF1077" s="6"/>
      <c r="CG1077" s="6"/>
      <c r="CH1077" s="6"/>
      <c r="CI1077" s="6"/>
      <c r="CJ1077" s="6"/>
      <c r="CK1077" s="6"/>
      <c r="CL1077" s="6"/>
      <c r="CM1077" s="6"/>
      <c r="CN1077" s="6"/>
      <c r="CO1077" s="6"/>
      <c r="CP1077" s="6"/>
      <c r="CQ1077" s="6"/>
      <c r="CR1077" s="6"/>
      <c r="CS1077" s="6"/>
      <c r="CT1077" s="6"/>
      <c r="CU1077" s="6"/>
      <c r="CV1077" s="6"/>
      <c r="CW1077" s="6"/>
      <c r="CX1077" s="6"/>
      <c r="CY1077" s="6"/>
      <c r="CZ1077" s="6"/>
      <c r="DA1077" s="6"/>
      <c r="DB1077" s="6"/>
      <c r="DC1077" s="6"/>
      <c r="DD1077" s="6"/>
      <c r="DE1077" s="6"/>
      <c r="DF1077" s="6"/>
      <c r="DG1077" s="6"/>
      <c r="DH1077" s="6"/>
      <c r="DI1077" s="6"/>
      <c r="DJ1077" s="6"/>
      <c r="DK1077" s="6"/>
      <c r="DL1077" s="6"/>
      <c r="DM1077" s="6"/>
      <c r="DN1077" s="6"/>
      <c r="DO1077" s="6"/>
      <c r="DP1077" s="6"/>
      <c r="DQ1077" s="6"/>
      <c r="DR1077" s="6"/>
      <c r="DS1077" s="6"/>
      <c r="DT1077" s="6"/>
      <c r="DU1077" s="6"/>
      <c r="DV1077" s="6"/>
      <c r="DW1077" s="6"/>
      <c r="DX1077" s="6"/>
      <c r="DY1077" s="6"/>
      <c r="DZ1077" s="6"/>
      <c r="EA1077" s="6"/>
      <c r="EB1077" s="6"/>
      <c r="EC1077" s="6"/>
      <c r="ED1077" s="6"/>
      <c r="EE1077" s="6"/>
      <c r="EF1077" s="6"/>
      <c r="EG1077" s="6"/>
      <c r="EH1077" s="6"/>
      <c r="EI1077" s="6"/>
      <c r="EJ1077" s="6"/>
      <c r="EK1077" s="6"/>
      <c r="EL1077" s="6"/>
      <c r="EM1077" s="6"/>
      <c r="EN1077" s="6"/>
      <c r="EO1077" s="6"/>
      <c r="EP1077" s="6"/>
      <c r="EQ1077" s="6"/>
      <c r="ER1077" s="6"/>
      <c r="ES1077" s="6"/>
      <c r="ET1077" s="6"/>
      <c r="EU1077" s="6"/>
      <c r="EV1077" s="6"/>
      <c r="EW1077" s="6"/>
      <c r="EX1077" s="6"/>
      <c r="EY1077" s="6"/>
      <c r="EZ1077" s="6"/>
      <c r="FA1077" s="6"/>
      <c r="FB1077" s="6"/>
      <c r="FC1077" s="6"/>
      <c r="FD1077" s="6"/>
      <c r="FE1077" s="6"/>
      <c r="FF1077" s="6"/>
      <c r="FG1077" s="6"/>
      <c r="FH1077" s="6"/>
      <c r="FI1077" s="6"/>
      <c r="FJ1077" s="6"/>
      <c r="FK1077" s="6"/>
      <c r="FL1077" s="6"/>
      <c r="FM1077" s="6"/>
      <c r="FN1077" s="6"/>
      <c r="FO1077" s="6"/>
      <c r="FP1077" s="6"/>
      <c r="FQ1077" s="6"/>
      <c r="FR1077" s="6"/>
      <c r="FS1077" s="6"/>
      <c r="FT1077" s="6"/>
      <c r="FU1077" s="6"/>
      <c r="FV1077" s="6"/>
      <c r="FW1077" s="6"/>
      <c r="FX1077" s="6"/>
      <c r="FY1077" s="6"/>
      <c r="FZ1077" s="6"/>
      <c r="GA1077" s="6"/>
      <c r="GB1077" s="6"/>
      <c r="GC1077" s="6"/>
      <c r="GD1077" s="6"/>
      <c r="GE1077" s="6"/>
      <c r="GF1077" s="6"/>
      <c r="GG1077" s="6"/>
      <c r="GH1077" s="6"/>
      <c r="GI1077" s="6"/>
      <c r="GJ1077" s="6"/>
      <c r="GK1077" s="6"/>
      <c r="GL1077" s="6"/>
      <c r="GM1077" s="6"/>
      <c r="GN1077" s="6"/>
      <c r="GO1077" s="6"/>
      <c r="GP1077" s="6"/>
      <c r="GQ1077" s="6"/>
      <c r="GR1077" s="6"/>
      <c r="GS1077" s="6"/>
      <c r="GT1077" s="6"/>
      <c r="GU1077" s="6"/>
      <c r="GV1077" s="6"/>
      <c r="GW1077" s="6"/>
      <c r="GX1077" s="6"/>
      <c r="GY1077" s="6"/>
      <c r="GZ1077" s="6"/>
      <c r="HA1077" s="6"/>
      <c r="HB1077" s="6"/>
      <c r="HC1077" s="6"/>
      <c r="HD1077" s="6"/>
      <c r="HE1077" s="6"/>
      <c r="HF1077" s="6"/>
      <c r="HG1077" s="6"/>
      <c r="HH1077" s="6"/>
    </row>
    <row r="1078" spans="1:216" x14ac:dyDescent="0.3">
      <c r="A1078" s="8"/>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6"/>
      <c r="AR1078" s="6"/>
      <c r="AS1078" s="6"/>
      <c r="AT1078" s="6"/>
      <c r="AU1078" s="6"/>
      <c r="AV1078" s="6"/>
      <c r="AW1078" s="6"/>
      <c r="AX1078" s="6"/>
      <c r="AY1078" s="6"/>
      <c r="AZ1078" s="6"/>
      <c r="BA1078" s="6"/>
      <c r="BB1078" s="6"/>
      <c r="BC1078" s="6"/>
      <c r="BD1078" s="6"/>
      <c r="BE1078" s="6"/>
      <c r="BF1078" s="6"/>
      <c r="BG1078" s="6"/>
      <c r="BH1078" s="6"/>
      <c r="BI1078" s="6"/>
      <c r="BJ1078" s="6"/>
      <c r="BK1078" s="6"/>
      <c r="BL1078" s="6"/>
      <c r="BM1078" s="6"/>
      <c r="BN1078" s="6"/>
      <c r="BO1078" s="6"/>
      <c r="BP1078" s="6"/>
      <c r="BQ1078" s="6"/>
      <c r="BR1078" s="6"/>
      <c r="BS1078" s="6"/>
      <c r="BT1078" s="6"/>
      <c r="BU1078" s="6"/>
      <c r="BV1078" s="6"/>
      <c r="BW1078" s="6"/>
      <c r="BX1078" s="6"/>
      <c r="BY1078" s="6"/>
      <c r="BZ1078" s="6"/>
      <c r="CA1078" s="6"/>
      <c r="CB1078" s="6"/>
      <c r="CC1078" s="6"/>
      <c r="CD1078" s="6"/>
      <c r="CE1078" s="6"/>
      <c r="CF1078" s="6"/>
      <c r="CG1078" s="6"/>
      <c r="CH1078" s="6"/>
      <c r="CI1078" s="6"/>
      <c r="CJ1078" s="6"/>
      <c r="CK1078" s="6"/>
      <c r="CL1078" s="6"/>
      <c r="CM1078" s="6"/>
      <c r="CN1078" s="6"/>
      <c r="CO1078" s="6"/>
      <c r="CP1078" s="6"/>
      <c r="CQ1078" s="6"/>
      <c r="CR1078" s="6"/>
      <c r="CS1078" s="6"/>
      <c r="CT1078" s="6"/>
      <c r="CU1078" s="6"/>
      <c r="CV1078" s="6"/>
      <c r="CW1078" s="6"/>
      <c r="CX1078" s="6"/>
      <c r="CY1078" s="6"/>
      <c r="CZ1078" s="6"/>
      <c r="DA1078" s="6"/>
      <c r="DB1078" s="6"/>
      <c r="DC1078" s="6"/>
      <c r="DD1078" s="6"/>
      <c r="DE1078" s="6"/>
      <c r="DF1078" s="6"/>
      <c r="DG1078" s="6"/>
      <c r="DH1078" s="6"/>
      <c r="DI1078" s="6"/>
      <c r="DJ1078" s="6"/>
      <c r="DK1078" s="6"/>
      <c r="DL1078" s="6"/>
      <c r="DM1078" s="6"/>
      <c r="DN1078" s="6"/>
      <c r="DO1078" s="6"/>
      <c r="DP1078" s="6"/>
      <c r="DQ1078" s="6"/>
      <c r="DR1078" s="6"/>
      <c r="DS1078" s="6"/>
      <c r="DT1078" s="6"/>
      <c r="DU1078" s="6"/>
      <c r="DV1078" s="6"/>
      <c r="DW1078" s="6"/>
      <c r="DX1078" s="6"/>
      <c r="DY1078" s="6"/>
      <c r="DZ1078" s="6"/>
      <c r="EA1078" s="6"/>
      <c r="EB1078" s="6"/>
      <c r="EC1078" s="6"/>
      <c r="ED1078" s="6"/>
      <c r="EE1078" s="6"/>
      <c r="EF1078" s="6"/>
      <c r="EG1078" s="6"/>
      <c r="EH1078" s="6"/>
      <c r="EI1078" s="6"/>
      <c r="EJ1078" s="6"/>
      <c r="EK1078" s="6"/>
      <c r="EL1078" s="6"/>
      <c r="EM1078" s="6"/>
      <c r="EN1078" s="6"/>
      <c r="EO1078" s="6"/>
      <c r="EP1078" s="6"/>
      <c r="EQ1078" s="6"/>
      <c r="ER1078" s="6"/>
      <c r="ES1078" s="6"/>
      <c r="ET1078" s="6"/>
      <c r="EU1078" s="6"/>
      <c r="EV1078" s="6"/>
      <c r="EW1078" s="6"/>
      <c r="EX1078" s="6"/>
      <c r="EY1078" s="6"/>
      <c r="EZ1078" s="6"/>
      <c r="FA1078" s="6"/>
      <c r="FB1078" s="6"/>
      <c r="FC1078" s="6"/>
      <c r="FD1078" s="6"/>
      <c r="FE1078" s="6"/>
      <c r="FF1078" s="6"/>
      <c r="FG1078" s="6"/>
      <c r="FH1078" s="6"/>
      <c r="FI1078" s="6"/>
      <c r="FJ1078" s="6"/>
      <c r="FK1078" s="6"/>
      <c r="FL1078" s="6"/>
      <c r="FM1078" s="6"/>
      <c r="FN1078" s="6"/>
      <c r="FO1078" s="6"/>
      <c r="FP1078" s="6"/>
      <c r="FQ1078" s="6"/>
      <c r="FR1078" s="6"/>
      <c r="FS1078" s="6"/>
      <c r="FT1078" s="6"/>
      <c r="FU1078" s="6"/>
      <c r="FV1078" s="6"/>
      <c r="FW1078" s="6"/>
      <c r="FX1078" s="6"/>
      <c r="FY1078" s="6"/>
      <c r="FZ1078" s="6"/>
      <c r="GA1078" s="6"/>
      <c r="GB1078" s="6"/>
      <c r="GC1078" s="6"/>
      <c r="GD1078" s="6"/>
      <c r="GE1078" s="6"/>
      <c r="GF1078" s="6"/>
      <c r="GG1078" s="6"/>
      <c r="GH1078" s="6"/>
      <c r="GI1078" s="6"/>
      <c r="GJ1078" s="6"/>
      <c r="GK1078" s="6"/>
      <c r="GL1078" s="6"/>
      <c r="GM1078" s="6"/>
      <c r="GN1078" s="6"/>
      <c r="GO1078" s="6"/>
      <c r="GP1078" s="6"/>
      <c r="GQ1078" s="6"/>
      <c r="GR1078" s="6"/>
      <c r="GS1078" s="6"/>
      <c r="GT1078" s="6"/>
      <c r="GU1078" s="6"/>
      <c r="GV1078" s="6"/>
      <c r="GW1078" s="6"/>
      <c r="GX1078" s="6"/>
      <c r="GY1078" s="6"/>
      <c r="GZ1078" s="6"/>
      <c r="HA1078" s="6"/>
      <c r="HB1078" s="6"/>
      <c r="HC1078" s="6"/>
      <c r="HD1078" s="6"/>
      <c r="HE1078" s="6"/>
      <c r="HF1078" s="6"/>
      <c r="HG1078" s="6"/>
      <c r="HH1078" s="6"/>
    </row>
    <row r="1079" spans="1:216" x14ac:dyDescent="0.3">
      <c r="A1079" s="8"/>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c r="DX1079" s="6"/>
      <c r="DY1079" s="6"/>
      <c r="DZ1079" s="6"/>
      <c r="EA1079" s="6"/>
      <c r="EB1079" s="6"/>
      <c r="EC1079" s="6"/>
      <c r="ED1079" s="6"/>
      <c r="EE1079" s="6"/>
      <c r="EF1079" s="6"/>
      <c r="EG1079" s="6"/>
      <c r="EH1079" s="6"/>
      <c r="EI1079" s="6"/>
      <c r="EJ1079" s="6"/>
      <c r="EK1079" s="6"/>
      <c r="EL1079" s="6"/>
      <c r="EM1079" s="6"/>
      <c r="EN1079" s="6"/>
      <c r="EO1079" s="6"/>
      <c r="EP1079" s="6"/>
      <c r="EQ1079" s="6"/>
      <c r="ER1079" s="6"/>
      <c r="ES1079" s="6"/>
      <c r="ET1079" s="6"/>
      <c r="EU1079" s="6"/>
      <c r="EV1079" s="6"/>
      <c r="EW1079" s="6"/>
      <c r="EX1079" s="6"/>
      <c r="EY1079" s="6"/>
      <c r="EZ1079" s="6"/>
      <c r="FA1079" s="6"/>
      <c r="FB1079" s="6"/>
      <c r="FC1079" s="6"/>
      <c r="FD1079" s="6"/>
      <c r="FE1079" s="6"/>
      <c r="FF1079" s="6"/>
      <c r="FG1079" s="6"/>
      <c r="FH1079" s="6"/>
      <c r="FI1079" s="6"/>
      <c r="FJ1079" s="6"/>
      <c r="FK1079" s="6"/>
      <c r="FL1079" s="6"/>
      <c r="FM1079" s="6"/>
      <c r="FN1079" s="6"/>
      <c r="FO1079" s="6"/>
      <c r="FP1079" s="6"/>
      <c r="FQ1079" s="6"/>
      <c r="FR1079" s="6"/>
      <c r="FS1079" s="6"/>
      <c r="FT1079" s="6"/>
      <c r="FU1079" s="6"/>
      <c r="FV1079" s="6"/>
      <c r="FW1079" s="6"/>
      <c r="FX1079" s="6"/>
      <c r="FY1079" s="6"/>
      <c r="FZ1079" s="6"/>
      <c r="GA1079" s="6"/>
      <c r="GB1079" s="6"/>
      <c r="GC1079" s="6"/>
      <c r="GD1079" s="6"/>
      <c r="GE1079" s="6"/>
      <c r="GF1079" s="6"/>
      <c r="GG1079" s="6"/>
      <c r="GH1079" s="6"/>
      <c r="GI1079" s="6"/>
      <c r="GJ1079" s="6"/>
      <c r="GK1079" s="6"/>
      <c r="GL1079" s="6"/>
      <c r="GM1079" s="6"/>
      <c r="GN1079" s="6"/>
      <c r="GO1079" s="6"/>
      <c r="GP1079" s="6"/>
      <c r="GQ1079" s="6"/>
      <c r="GR1079" s="6"/>
      <c r="GS1079" s="6"/>
      <c r="GT1079" s="6"/>
      <c r="GU1079" s="6"/>
      <c r="GV1079" s="6"/>
      <c r="GW1079" s="6"/>
      <c r="GX1079" s="6"/>
      <c r="GY1079" s="6"/>
      <c r="GZ1079" s="6"/>
      <c r="HA1079" s="6"/>
      <c r="HB1079" s="6"/>
      <c r="HC1079" s="6"/>
      <c r="HD1079" s="6"/>
      <c r="HE1079" s="6"/>
      <c r="HF1079" s="6"/>
      <c r="HG1079" s="6"/>
      <c r="HH1079" s="6"/>
    </row>
    <row r="1080" spans="1:216" x14ac:dyDescent="0.3">
      <c r="A1080" s="8"/>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6"/>
      <c r="AR1080" s="6"/>
      <c r="AS1080" s="6"/>
      <c r="AT1080" s="6"/>
      <c r="AU1080" s="6"/>
      <c r="AV1080" s="6"/>
      <c r="AW1080" s="6"/>
      <c r="AX1080" s="6"/>
      <c r="AY1080" s="6"/>
      <c r="AZ1080" s="6"/>
      <c r="BA1080" s="6"/>
      <c r="BB1080" s="6"/>
      <c r="BC1080" s="6"/>
      <c r="BD1080" s="6"/>
      <c r="BE1080" s="6"/>
      <c r="BF1080" s="6"/>
      <c r="BG1080" s="6"/>
      <c r="BH1080" s="6"/>
      <c r="BI1080" s="6"/>
      <c r="BJ1080" s="6"/>
      <c r="BK1080" s="6"/>
      <c r="BL1080" s="6"/>
      <c r="BM1080" s="6"/>
      <c r="BN1080" s="6"/>
      <c r="BO1080" s="6"/>
      <c r="BP1080" s="6"/>
      <c r="BQ1080" s="6"/>
      <c r="BR1080" s="6"/>
      <c r="BS1080" s="6"/>
      <c r="BT1080" s="6"/>
      <c r="BU1080" s="6"/>
      <c r="BV1080" s="6"/>
      <c r="BW1080" s="6"/>
      <c r="BX1080" s="6"/>
      <c r="BY1080" s="6"/>
      <c r="BZ1080" s="6"/>
      <c r="CA1080" s="6"/>
      <c r="CB1080" s="6"/>
      <c r="CC1080" s="6"/>
      <c r="CD1080" s="6"/>
      <c r="CE1080" s="6"/>
      <c r="CF1080" s="6"/>
      <c r="CG1080" s="6"/>
      <c r="CH1080" s="6"/>
      <c r="CI1080" s="6"/>
      <c r="CJ1080" s="6"/>
      <c r="CK1080" s="6"/>
      <c r="CL1080" s="6"/>
      <c r="CM1080" s="6"/>
      <c r="CN1080" s="6"/>
      <c r="CO1080" s="6"/>
      <c r="CP1080" s="6"/>
      <c r="CQ1080" s="6"/>
      <c r="CR1080" s="6"/>
      <c r="CS1080" s="6"/>
      <c r="CT1080" s="6"/>
      <c r="CU1080" s="6"/>
      <c r="CV1080" s="6"/>
      <c r="CW1080" s="6"/>
      <c r="CX1080" s="6"/>
      <c r="CY1080" s="6"/>
      <c r="CZ1080" s="6"/>
      <c r="DA1080" s="6"/>
      <c r="DB1080" s="6"/>
      <c r="DC1080" s="6"/>
      <c r="DD1080" s="6"/>
      <c r="DE1080" s="6"/>
      <c r="DF1080" s="6"/>
      <c r="DG1080" s="6"/>
      <c r="DH1080" s="6"/>
      <c r="DI1080" s="6"/>
      <c r="DJ1080" s="6"/>
      <c r="DK1080" s="6"/>
      <c r="DL1080" s="6"/>
      <c r="DM1080" s="6"/>
      <c r="DN1080" s="6"/>
      <c r="DO1080" s="6"/>
      <c r="DP1080" s="6"/>
      <c r="DQ1080" s="6"/>
      <c r="DR1080" s="6"/>
      <c r="DS1080" s="6"/>
      <c r="DT1080" s="6"/>
      <c r="DU1080" s="6"/>
      <c r="DV1080" s="6"/>
      <c r="DW1080" s="6"/>
      <c r="DX1080" s="6"/>
      <c r="DY1080" s="6"/>
      <c r="DZ1080" s="6"/>
      <c r="EA1080" s="6"/>
      <c r="EB1080" s="6"/>
      <c r="EC1080" s="6"/>
      <c r="ED1080" s="6"/>
      <c r="EE1080" s="6"/>
      <c r="EF1080" s="6"/>
      <c r="EG1080" s="6"/>
      <c r="EH1080" s="6"/>
      <c r="EI1080" s="6"/>
      <c r="EJ1080" s="6"/>
      <c r="EK1080" s="6"/>
      <c r="EL1080" s="6"/>
      <c r="EM1080" s="6"/>
      <c r="EN1080" s="6"/>
      <c r="EO1080" s="6"/>
      <c r="EP1080" s="6"/>
      <c r="EQ1080" s="6"/>
      <c r="ER1080" s="6"/>
      <c r="ES1080" s="6"/>
      <c r="ET1080" s="6"/>
      <c r="EU1080" s="6"/>
      <c r="EV1080" s="6"/>
      <c r="EW1080" s="6"/>
      <c r="EX1080" s="6"/>
      <c r="EY1080" s="6"/>
      <c r="EZ1080" s="6"/>
      <c r="FA1080" s="6"/>
      <c r="FB1080" s="6"/>
      <c r="FC1080" s="6"/>
      <c r="FD1080" s="6"/>
      <c r="FE1080" s="6"/>
      <c r="FF1080" s="6"/>
      <c r="FG1080" s="6"/>
      <c r="FH1080" s="6"/>
      <c r="FI1080" s="6"/>
      <c r="FJ1080" s="6"/>
      <c r="FK1080" s="6"/>
      <c r="FL1080" s="6"/>
      <c r="FM1080" s="6"/>
      <c r="FN1080" s="6"/>
      <c r="FO1080" s="6"/>
      <c r="FP1080" s="6"/>
      <c r="FQ1080" s="6"/>
      <c r="FR1080" s="6"/>
      <c r="FS1080" s="6"/>
      <c r="FT1080" s="6"/>
      <c r="FU1080" s="6"/>
      <c r="FV1080" s="6"/>
      <c r="FW1080" s="6"/>
      <c r="FX1080" s="6"/>
      <c r="FY1080" s="6"/>
      <c r="FZ1080" s="6"/>
      <c r="GA1080" s="6"/>
      <c r="GB1080" s="6"/>
      <c r="GC1080" s="6"/>
      <c r="GD1080" s="6"/>
      <c r="GE1080" s="6"/>
      <c r="GF1080" s="6"/>
      <c r="GG1080" s="6"/>
      <c r="GH1080" s="6"/>
      <c r="GI1080" s="6"/>
      <c r="GJ1080" s="6"/>
      <c r="GK1080" s="6"/>
      <c r="GL1080" s="6"/>
      <c r="GM1080" s="6"/>
      <c r="GN1080" s="6"/>
      <c r="GO1080" s="6"/>
      <c r="GP1080" s="6"/>
      <c r="GQ1080" s="6"/>
      <c r="GR1080" s="6"/>
      <c r="GS1080" s="6"/>
      <c r="GT1080" s="6"/>
      <c r="GU1080" s="6"/>
      <c r="GV1080" s="6"/>
      <c r="GW1080" s="6"/>
      <c r="GX1080" s="6"/>
      <c r="GY1080" s="6"/>
      <c r="GZ1080" s="6"/>
      <c r="HA1080" s="6"/>
      <c r="HB1080" s="6"/>
      <c r="HC1080" s="6"/>
      <c r="HD1080" s="6"/>
      <c r="HE1080" s="6"/>
      <c r="HF1080" s="6"/>
      <c r="HG1080" s="6"/>
      <c r="HH1080" s="6"/>
    </row>
    <row r="1081" spans="1:216" x14ac:dyDescent="0.3">
      <c r="A1081" s="8"/>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c r="DX1081" s="6"/>
      <c r="DY1081" s="6"/>
      <c r="DZ1081" s="6"/>
      <c r="EA1081" s="6"/>
      <c r="EB1081" s="6"/>
      <c r="EC1081" s="6"/>
      <c r="ED1081" s="6"/>
      <c r="EE1081" s="6"/>
      <c r="EF1081" s="6"/>
      <c r="EG1081" s="6"/>
      <c r="EH1081" s="6"/>
      <c r="EI1081" s="6"/>
      <c r="EJ1081" s="6"/>
      <c r="EK1081" s="6"/>
      <c r="EL1081" s="6"/>
      <c r="EM1081" s="6"/>
      <c r="EN1081" s="6"/>
      <c r="EO1081" s="6"/>
      <c r="EP1081" s="6"/>
      <c r="EQ1081" s="6"/>
      <c r="ER1081" s="6"/>
      <c r="ES1081" s="6"/>
      <c r="ET1081" s="6"/>
      <c r="EU1081" s="6"/>
      <c r="EV1081" s="6"/>
      <c r="EW1081" s="6"/>
      <c r="EX1081" s="6"/>
      <c r="EY1081" s="6"/>
      <c r="EZ1081" s="6"/>
      <c r="FA1081" s="6"/>
      <c r="FB1081" s="6"/>
      <c r="FC1081" s="6"/>
      <c r="FD1081" s="6"/>
      <c r="FE1081" s="6"/>
      <c r="FF1081" s="6"/>
      <c r="FG1081" s="6"/>
      <c r="FH1081" s="6"/>
      <c r="FI1081" s="6"/>
      <c r="FJ1081" s="6"/>
      <c r="FK1081" s="6"/>
      <c r="FL1081" s="6"/>
      <c r="FM1081" s="6"/>
      <c r="FN1081" s="6"/>
      <c r="FO1081" s="6"/>
      <c r="FP1081" s="6"/>
      <c r="FQ1081" s="6"/>
      <c r="FR1081" s="6"/>
      <c r="FS1081" s="6"/>
      <c r="FT1081" s="6"/>
      <c r="FU1081" s="6"/>
      <c r="FV1081" s="6"/>
      <c r="FW1081" s="6"/>
      <c r="FX1081" s="6"/>
      <c r="FY1081" s="6"/>
      <c r="FZ1081" s="6"/>
      <c r="GA1081" s="6"/>
      <c r="GB1081" s="6"/>
      <c r="GC1081" s="6"/>
      <c r="GD1081" s="6"/>
      <c r="GE1081" s="6"/>
      <c r="GF1081" s="6"/>
      <c r="GG1081" s="6"/>
      <c r="GH1081" s="6"/>
      <c r="GI1081" s="6"/>
      <c r="GJ1081" s="6"/>
      <c r="GK1081" s="6"/>
      <c r="GL1081" s="6"/>
      <c r="GM1081" s="6"/>
      <c r="GN1081" s="6"/>
      <c r="GO1081" s="6"/>
      <c r="GP1081" s="6"/>
      <c r="GQ1081" s="6"/>
      <c r="GR1081" s="6"/>
      <c r="GS1081" s="6"/>
      <c r="GT1081" s="6"/>
      <c r="GU1081" s="6"/>
      <c r="GV1081" s="6"/>
      <c r="GW1081" s="6"/>
      <c r="GX1081" s="6"/>
      <c r="GY1081" s="6"/>
      <c r="GZ1081" s="6"/>
      <c r="HA1081" s="6"/>
      <c r="HB1081" s="6"/>
      <c r="HC1081" s="6"/>
      <c r="HD1081" s="6"/>
      <c r="HE1081" s="6"/>
      <c r="HF1081" s="6"/>
      <c r="HG1081" s="6"/>
      <c r="HH1081" s="6"/>
    </row>
    <row r="1082" spans="1:216" x14ac:dyDescent="0.3">
      <c r="A1082" s="8"/>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c r="DX1082" s="6"/>
      <c r="DY1082" s="6"/>
      <c r="DZ1082" s="6"/>
      <c r="EA1082" s="6"/>
      <c r="EB1082" s="6"/>
      <c r="EC1082" s="6"/>
      <c r="ED1082" s="6"/>
      <c r="EE1082" s="6"/>
      <c r="EF1082" s="6"/>
      <c r="EG1082" s="6"/>
      <c r="EH1082" s="6"/>
      <c r="EI1082" s="6"/>
      <c r="EJ1082" s="6"/>
      <c r="EK1082" s="6"/>
      <c r="EL1082" s="6"/>
      <c r="EM1082" s="6"/>
      <c r="EN1082" s="6"/>
      <c r="EO1082" s="6"/>
      <c r="EP1082" s="6"/>
      <c r="EQ1082" s="6"/>
      <c r="ER1082" s="6"/>
      <c r="ES1082" s="6"/>
      <c r="ET1082" s="6"/>
      <c r="EU1082" s="6"/>
      <c r="EV1082" s="6"/>
      <c r="EW1082" s="6"/>
      <c r="EX1082" s="6"/>
      <c r="EY1082" s="6"/>
      <c r="EZ1082" s="6"/>
      <c r="FA1082" s="6"/>
      <c r="FB1082" s="6"/>
      <c r="FC1082" s="6"/>
      <c r="FD1082" s="6"/>
      <c r="FE1082" s="6"/>
      <c r="FF1082" s="6"/>
      <c r="FG1082" s="6"/>
      <c r="FH1082" s="6"/>
      <c r="FI1082" s="6"/>
      <c r="FJ1082" s="6"/>
      <c r="FK1082" s="6"/>
      <c r="FL1082" s="6"/>
      <c r="FM1082" s="6"/>
      <c r="FN1082" s="6"/>
      <c r="FO1082" s="6"/>
      <c r="FP1082" s="6"/>
      <c r="FQ1082" s="6"/>
      <c r="FR1082" s="6"/>
      <c r="FS1082" s="6"/>
      <c r="FT1082" s="6"/>
      <c r="FU1082" s="6"/>
      <c r="FV1082" s="6"/>
      <c r="FW1082" s="6"/>
      <c r="FX1082" s="6"/>
      <c r="FY1082" s="6"/>
      <c r="FZ1082" s="6"/>
      <c r="GA1082" s="6"/>
      <c r="GB1082" s="6"/>
      <c r="GC1082" s="6"/>
      <c r="GD1082" s="6"/>
      <c r="GE1082" s="6"/>
      <c r="GF1082" s="6"/>
      <c r="GG1082" s="6"/>
      <c r="GH1082" s="6"/>
      <c r="GI1082" s="6"/>
      <c r="GJ1082" s="6"/>
      <c r="GK1082" s="6"/>
      <c r="GL1082" s="6"/>
      <c r="GM1082" s="6"/>
      <c r="GN1082" s="6"/>
      <c r="GO1082" s="6"/>
      <c r="GP1082" s="6"/>
      <c r="GQ1082" s="6"/>
      <c r="GR1082" s="6"/>
      <c r="GS1082" s="6"/>
      <c r="GT1082" s="6"/>
      <c r="GU1082" s="6"/>
      <c r="GV1082" s="6"/>
      <c r="GW1082" s="6"/>
      <c r="GX1082" s="6"/>
      <c r="GY1082" s="6"/>
      <c r="GZ1082" s="6"/>
      <c r="HA1082" s="6"/>
      <c r="HB1082" s="6"/>
      <c r="HC1082" s="6"/>
      <c r="HD1082" s="6"/>
      <c r="HE1082" s="6"/>
      <c r="HF1082" s="6"/>
      <c r="HG1082" s="6"/>
      <c r="HH1082" s="6"/>
    </row>
    <row r="1083" spans="1:216" x14ac:dyDescent="0.3">
      <c r="A1083" s="8"/>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c r="DX1083" s="6"/>
      <c r="DY1083" s="6"/>
      <c r="DZ1083" s="6"/>
      <c r="EA1083" s="6"/>
      <c r="EB1083" s="6"/>
      <c r="EC1083" s="6"/>
      <c r="ED1083" s="6"/>
      <c r="EE1083" s="6"/>
      <c r="EF1083" s="6"/>
      <c r="EG1083" s="6"/>
      <c r="EH1083" s="6"/>
      <c r="EI1083" s="6"/>
      <c r="EJ1083" s="6"/>
      <c r="EK1083" s="6"/>
      <c r="EL1083" s="6"/>
      <c r="EM1083" s="6"/>
      <c r="EN1083" s="6"/>
      <c r="EO1083" s="6"/>
      <c r="EP1083" s="6"/>
      <c r="EQ1083" s="6"/>
      <c r="ER1083" s="6"/>
      <c r="ES1083" s="6"/>
      <c r="ET1083" s="6"/>
      <c r="EU1083" s="6"/>
      <c r="EV1083" s="6"/>
      <c r="EW1083" s="6"/>
      <c r="EX1083" s="6"/>
      <c r="EY1083" s="6"/>
      <c r="EZ1083" s="6"/>
      <c r="FA1083" s="6"/>
      <c r="FB1083" s="6"/>
      <c r="FC1083" s="6"/>
      <c r="FD1083" s="6"/>
      <c r="FE1083" s="6"/>
      <c r="FF1083" s="6"/>
      <c r="FG1083" s="6"/>
      <c r="FH1083" s="6"/>
      <c r="FI1083" s="6"/>
      <c r="FJ1083" s="6"/>
      <c r="FK1083" s="6"/>
      <c r="FL1083" s="6"/>
      <c r="FM1083" s="6"/>
      <c r="FN1083" s="6"/>
      <c r="FO1083" s="6"/>
      <c r="FP1083" s="6"/>
      <c r="FQ1083" s="6"/>
      <c r="FR1083" s="6"/>
      <c r="FS1083" s="6"/>
      <c r="FT1083" s="6"/>
      <c r="FU1083" s="6"/>
      <c r="FV1083" s="6"/>
      <c r="FW1083" s="6"/>
      <c r="FX1083" s="6"/>
      <c r="FY1083" s="6"/>
      <c r="FZ1083" s="6"/>
      <c r="GA1083" s="6"/>
      <c r="GB1083" s="6"/>
      <c r="GC1083" s="6"/>
      <c r="GD1083" s="6"/>
      <c r="GE1083" s="6"/>
      <c r="GF1083" s="6"/>
      <c r="GG1083" s="6"/>
      <c r="GH1083" s="6"/>
      <c r="GI1083" s="6"/>
      <c r="GJ1083" s="6"/>
      <c r="GK1083" s="6"/>
      <c r="GL1083" s="6"/>
      <c r="GM1083" s="6"/>
      <c r="GN1083" s="6"/>
      <c r="GO1083" s="6"/>
      <c r="GP1083" s="6"/>
      <c r="GQ1083" s="6"/>
      <c r="GR1083" s="6"/>
      <c r="GS1083" s="6"/>
      <c r="GT1083" s="6"/>
      <c r="GU1083" s="6"/>
      <c r="GV1083" s="6"/>
      <c r="GW1083" s="6"/>
      <c r="GX1083" s="6"/>
      <c r="GY1083" s="6"/>
      <c r="GZ1083" s="6"/>
      <c r="HA1083" s="6"/>
      <c r="HB1083" s="6"/>
      <c r="HC1083" s="6"/>
      <c r="HD1083" s="6"/>
      <c r="HE1083" s="6"/>
      <c r="HF1083" s="6"/>
      <c r="HG1083" s="6"/>
      <c r="HH1083" s="6"/>
    </row>
    <row r="1084" spans="1:216" x14ac:dyDescent="0.3">
      <c r="A1084" s="8"/>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c r="DX1084" s="6"/>
      <c r="DY1084" s="6"/>
      <c r="DZ1084" s="6"/>
      <c r="EA1084" s="6"/>
      <c r="EB1084" s="6"/>
      <c r="EC1084" s="6"/>
      <c r="ED1084" s="6"/>
      <c r="EE1084" s="6"/>
      <c r="EF1084" s="6"/>
      <c r="EG1084" s="6"/>
      <c r="EH1084" s="6"/>
      <c r="EI1084" s="6"/>
      <c r="EJ1084" s="6"/>
      <c r="EK1084" s="6"/>
      <c r="EL1084" s="6"/>
      <c r="EM1084" s="6"/>
      <c r="EN1084" s="6"/>
      <c r="EO1084" s="6"/>
      <c r="EP1084" s="6"/>
      <c r="EQ1084" s="6"/>
      <c r="ER1084" s="6"/>
      <c r="ES1084" s="6"/>
      <c r="ET1084" s="6"/>
      <c r="EU1084" s="6"/>
      <c r="EV1084" s="6"/>
      <c r="EW1084" s="6"/>
      <c r="EX1084" s="6"/>
      <c r="EY1084" s="6"/>
      <c r="EZ1084" s="6"/>
      <c r="FA1084" s="6"/>
      <c r="FB1084" s="6"/>
      <c r="FC1084" s="6"/>
      <c r="FD1084" s="6"/>
      <c r="FE1084" s="6"/>
      <c r="FF1084" s="6"/>
      <c r="FG1084" s="6"/>
      <c r="FH1084" s="6"/>
      <c r="FI1084" s="6"/>
      <c r="FJ1084" s="6"/>
      <c r="FK1084" s="6"/>
      <c r="FL1084" s="6"/>
      <c r="FM1084" s="6"/>
      <c r="FN1084" s="6"/>
      <c r="FO1084" s="6"/>
      <c r="FP1084" s="6"/>
      <c r="FQ1084" s="6"/>
      <c r="FR1084" s="6"/>
      <c r="FS1084" s="6"/>
      <c r="FT1084" s="6"/>
      <c r="FU1084" s="6"/>
      <c r="FV1084" s="6"/>
      <c r="FW1084" s="6"/>
      <c r="FX1084" s="6"/>
      <c r="FY1084" s="6"/>
      <c r="FZ1084" s="6"/>
      <c r="GA1084" s="6"/>
      <c r="GB1084" s="6"/>
      <c r="GC1084" s="6"/>
      <c r="GD1084" s="6"/>
      <c r="GE1084" s="6"/>
      <c r="GF1084" s="6"/>
      <c r="GG1084" s="6"/>
      <c r="GH1084" s="6"/>
      <c r="GI1084" s="6"/>
      <c r="GJ1084" s="6"/>
      <c r="GK1084" s="6"/>
      <c r="GL1084" s="6"/>
      <c r="GM1084" s="6"/>
      <c r="GN1084" s="6"/>
      <c r="GO1084" s="6"/>
      <c r="GP1084" s="6"/>
      <c r="GQ1084" s="6"/>
      <c r="GR1084" s="6"/>
      <c r="GS1084" s="6"/>
      <c r="GT1084" s="6"/>
      <c r="GU1084" s="6"/>
      <c r="GV1084" s="6"/>
      <c r="GW1084" s="6"/>
      <c r="GX1084" s="6"/>
      <c r="GY1084" s="6"/>
      <c r="GZ1084" s="6"/>
      <c r="HA1084" s="6"/>
      <c r="HB1084" s="6"/>
      <c r="HC1084" s="6"/>
      <c r="HD1084" s="6"/>
      <c r="HE1084" s="6"/>
      <c r="HF1084" s="6"/>
      <c r="HG1084" s="6"/>
      <c r="HH1084" s="6"/>
    </row>
    <row r="1085" spans="1:216" x14ac:dyDescent="0.3">
      <c r="A1085" s="8"/>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6"/>
      <c r="AR1085" s="6"/>
      <c r="AS1085" s="6"/>
      <c r="AT1085" s="6"/>
      <c r="AU1085" s="6"/>
      <c r="AV1085" s="6"/>
      <c r="AW1085" s="6"/>
      <c r="AX1085" s="6"/>
      <c r="AY1085" s="6"/>
      <c r="AZ1085" s="6"/>
      <c r="BA1085" s="6"/>
      <c r="BB1085" s="6"/>
      <c r="BC1085" s="6"/>
      <c r="BD1085" s="6"/>
      <c r="BE1085" s="6"/>
      <c r="BF1085" s="6"/>
      <c r="BG1085" s="6"/>
      <c r="BH1085" s="6"/>
      <c r="BI1085" s="6"/>
      <c r="BJ1085" s="6"/>
      <c r="BK1085" s="6"/>
      <c r="BL1085" s="6"/>
      <c r="BM1085" s="6"/>
      <c r="BN1085" s="6"/>
      <c r="BO1085" s="6"/>
      <c r="BP1085" s="6"/>
      <c r="BQ1085" s="6"/>
      <c r="BR1085" s="6"/>
      <c r="BS1085" s="6"/>
      <c r="BT1085" s="6"/>
      <c r="BU1085" s="6"/>
      <c r="BV1085" s="6"/>
      <c r="BW1085" s="6"/>
      <c r="BX1085" s="6"/>
      <c r="BY1085" s="6"/>
      <c r="BZ1085" s="6"/>
      <c r="CA1085" s="6"/>
      <c r="CB1085" s="6"/>
      <c r="CC1085" s="6"/>
      <c r="CD1085" s="6"/>
      <c r="CE1085" s="6"/>
      <c r="CF1085" s="6"/>
      <c r="CG1085" s="6"/>
      <c r="CH1085" s="6"/>
      <c r="CI1085" s="6"/>
      <c r="CJ1085" s="6"/>
      <c r="CK1085" s="6"/>
      <c r="CL1085" s="6"/>
      <c r="CM1085" s="6"/>
      <c r="CN1085" s="6"/>
      <c r="CO1085" s="6"/>
      <c r="CP1085" s="6"/>
      <c r="CQ1085" s="6"/>
      <c r="CR1085" s="6"/>
      <c r="CS1085" s="6"/>
      <c r="CT1085" s="6"/>
      <c r="CU1085" s="6"/>
      <c r="CV1085" s="6"/>
      <c r="CW1085" s="6"/>
      <c r="CX1085" s="6"/>
      <c r="CY1085" s="6"/>
      <c r="CZ1085" s="6"/>
      <c r="DA1085" s="6"/>
      <c r="DB1085" s="6"/>
      <c r="DC1085" s="6"/>
      <c r="DD1085" s="6"/>
      <c r="DE1085" s="6"/>
      <c r="DF1085" s="6"/>
      <c r="DG1085" s="6"/>
      <c r="DH1085" s="6"/>
      <c r="DI1085" s="6"/>
      <c r="DJ1085" s="6"/>
      <c r="DK1085" s="6"/>
      <c r="DL1085" s="6"/>
      <c r="DM1085" s="6"/>
      <c r="DN1085" s="6"/>
      <c r="DO1085" s="6"/>
      <c r="DP1085" s="6"/>
      <c r="DQ1085" s="6"/>
      <c r="DR1085" s="6"/>
      <c r="DS1085" s="6"/>
      <c r="DT1085" s="6"/>
      <c r="DU1085" s="6"/>
      <c r="DV1085" s="6"/>
      <c r="DW1085" s="6"/>
      <c r="DX1085" s="6"/>
      <c r="DY1085" s="6"/>
      <c r="DZ1085" s="6"/>
      <c r="EA1085" s="6"/>
      <c r="EB1085" s="6"/>
      <c r="EC1085" s="6"/>
      <c r="ED1085" s="6"/>
      <c r="EE1085" s="6"/>
      <c r="EF1085" s="6"/>
      <c r="EG1085" s="6"/>
      <c r="EH1085" s="6"/>
      <c r="EI1085" s="6"/>
      <c r="EJ1085" s="6"/>
      <c r="EK1085" s="6"/>
      <c r="EL1085" s="6"/>
      <c r="EM1085" s="6"/>
      <c r="EN1085" s="6"/>
      <c r="EO1085" s="6"/>
      <c r="EP1085" s="6"/>
      <c r="EQ1085" s="6"/>
      <c r="ER1085" s="6"/>
      <c r="ES1085" s="6"/>
      <c r="ET1085" s="6"/>
      <c r="EU1085" s="6"/>
      <c r="EV1085" s="6"/>
      <c r="EW1085" s="6"/>
      <c r="EX1085" s="6"/>
      <c r="EY1085" s="6"/>
      <c r="EZ1085" s="6"/>
      <c r="FA1085" s="6"/>
      <c r="FB1085" s="6"/>
      <c r="FC1085" s="6"/>
      <c r="FD1085" s="6"/>
      <c r="FE1085" s="6"/>
      <c r="FF1085" s="6"/>
      <c r="FG1085" s="6"/>
      <c r="FH1085" s="6"/>
      <c r="FI1085" s="6"/>
      <c r="FJ1085" s="6"/>
      <c r="FK1085" s="6"/>
      <c r="FL1085" s="6"/>
      <c r="FM1085" s="6"/>
      <c r="FN1085" s="6"/>
      <c r="FO1085" s="6"/>
      <c r="FP1085" s="6"/>
      <c r="FQ1085" s="6"/>
      <c r="FR1085" s="6"/>
      <c r="FS1085" s="6"/>
      <c r="FT1085" s="6"/>
      <c r="FU1085" s="6"/>
      <c r="FV1085" s="6"/>
      <c r="FW1085" s="6"/>
      <c r="FX1085" s="6"/>
      <c r="FY1085" s="6"/>
      <c r="FZ1085" s="6"/>
      <c r="GA1085" s="6"/>
      <c r="GB1085" s="6"/>
      <c r="GC1085" s="6"/>
      <c r="GD1085" s="6"/>
      <c r="GE1085" s="6"/>
      <c r="GF1085" s="6"/>
      <c r="GG1085" s="6"/>
      <c r="GH1085" s="6"/>
      <c r="GI1085" s="6"/>
      <c r="GJ1085" s="6"/>
      <c r="GK1085" s="6"/>
      <c r="GL1085" s="6"/>
      <c r="GM1085" s="6"/>
      <c r="GN1085" s="6"/>
      <c r="GO1085" s="6"/>
      <c r="GP1085" s="6"/>
      <c r="GQ1085" s="6"/>
      <c r="GR1085" s="6"/>
      <c r="GS1085" s="6"/>
      <c r="GT1085" s="6"/>
      <c r="GU1085" s="6"/>
      <c r="GV1085" s="6"/>
      <c r="GW1085" s="6"/>
      <c r="GX1085" s="6"/>
      <c r="GY1085" s="6"/>
      <c r="GZ1085" s="6"/>
      <c r="HA1085" s="6"/>
      <c r="HB1085" s="6"/>
      <c r="HC1085" s="6"/>
      <c r="HD1085" s="6"/>
      <c r="HE1085" s="6"/>
      <c r="HF1085" s="6"/>
      <c r="HG1085" s="6"/>
      <c r="HH1085" s="6"/>
    </row>
    <row r="1086" spans="1:216" x14ac:dyDescent="0.3">
      <c r="A1086" s="8"/>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6"/>
      <c r="AR1086" s="6"/>
      <c r="AS1086" s="6"/>
      <c r="AT1086" s="6"/>
      <c r="AU1086" s="6"/>
      <c r="AV1086" s="6"/>
      <c r="AW1086" s="6"/>
      <c r="AX1086" s="6"/>
      <c r="AY1086" s="6"/>
      <c r="AZ1086" s="6"/>
      <c r="BA1086" s="6"/>
      <c r="BB1086" s="6"/>
      <c r="BC1086" s="6"/>
      <c r="BD1086" s="6"/>
      <c r="BE1086" s="6"/>
      <c r="BF1086" s="6"/>
      <c r="BG1086" s="6"/>
      <c r="BH1086" s="6"/>
      <c r="BI1086" s="6"/>
      <c r="BJ1086" s="6"/>
      <c r="BK1086" s="6"/>
      <c r="BL1086" s="6"/>
      <c r="BM1086" s="6"/>
      <c r="BN1086" s="6"/>
      <c r="BO1086" s="6"/>
      <c r="BP1086" s="6"/>
      <c r="BQ1086" s="6"/>
      <c r="BR1086" s="6"/>
      <c r="BS1086" s="6"/>
      <c r="BT1086" s="6"/>
      <c r="BU1086" s="6"/>
      <c r="BV1086" s="6"/>
      <c r="BW1086" s="6"/>
      <c r="BX1086" s="6"/>
      <c r="BY1086" s="6"/>
      <c r="BZ1086" s="6"/>
      <c r="CA1086" s="6"/>
      <c r="CB1086" s="6"/>
      <c r="CC1086" s="6"/>
      <c r="CD1086" s="6"/>
      <c r="CE1086" s="6"/>
      <c r="CF1086" s="6"/>
      <c r="CG1086" s="6"/>
      <c r="CH1086" s="6"/>
      <c r="CI1086" s="6"/>
      <c r="CJ1086" s="6"/>
      <c r="CK1086" s="6"/>
      <c r="CL1086" s="6"/>
      <c r="CM1086" s="6"/>
      <c r="CN1086" s="6"/>
      <c r="CO1086" s="6"/>
      <c r="CP1086" s="6"/>
      <c r="CQ1086" s="6"/>
      <c r="CR1086" s="6"/>
      <c r="CS1086" s="6"/>
      <c r="CT1086" s="6"/>
      <c r="CU1086" s="6"/>
      <c r="CV1086" s="6"/>
      <c r="CW1086" s="6"/>
      <c r="CX1086" s="6"/>
      <c r="CY1086" s="6"/>
      <c r="CZ1086" s="6"/>
      <c r="DA1086" s="6"/>
      <c r="DB1086" s="6"/>
      <c r="DC1086" s="6"/>
      <c r="DD1086" s="6"/>
      <c r="DE1086" s="6"/>
      <c r="DF1086" s="6"/>
      <c r="DG1086" s="6"/>
      <c r="DH1086" s="6"/>
      <c r="DI1086" s="6"/>
      <c r="DJ1086" s="6"/>
      <c r="DK1086" s="6"/>
      <c r="DL1086" s="6"/>
      <c r="DM1086" s="6"/>
      <c r="DN1086" s="6"/>
      <c r="DO1086" s="6"/>
      <c r="DP1086" s="6"/>
      <c r="DQ1086" s="6"/>
      <c r="DR1086" s="6"/>
      <c r="DS1086" s="6"/>
      <c r="DT1086" s="6"/>
      <c r="DU1086" s="6"/>
      <c r="DV1086" s="6"/>
      <c r="DW1086" s="6"/>
      <c r="DX1086" s="6"/>
      <c r="DY1086" s="6"/>
      <c r="DZ1086" s="6"/>
      <c r="EA1086" s="6"/>
      <c r="EB1086" s="6"/>
      <c r="EC1086" s="6"/>
      <c r="ED1086" s="6"/>
      <c r="EE1086" s="6"/>
      <c r="EF1086" s="6"/>
      <c r="EG1086" s="6"/>
      <c r="EH1086" s="6"/>
      <c r="EI1086" s="6"/>
      <c r="EJ1086" s="6"/>
      <c r="EK1086" s="6"/>
      <c r="EL1086" s="6"/>
      <c r="EM1086" s="6"/>
      <c r="EN1086" s="6"/>
      <c r="EO1086" s="6"/>
      <c r="EP1086" s="6"/>
      <c r="EQ1086" s="6"/>
      <c r="ER1086" s="6"/>
      <c r="ES1086" s="6"/>
      <c r="ET1086" s="6"/>
      <c r="EU1086" s="6"/>
      <c r="EV1086" s="6"/>
      <c r="EW1086" s="6"/>
      <c r="EX1086" s="6"/>
      <c r="EY1086" s="6"/>
      <c r="EZ1086" s="6"/>
      <c r="FA1086" s="6"/>
      <c r="FB1086" s="6"/>
      <c r="FC1086" s="6"/>
      <c r="FD1086" s="6"/>
      <c r="FE1086" s="6"/>
      <c r="FF1086" s="6"/>
      <c r="FG1086" s="6"/>
      <c r="FH1086" s="6"/>
      <c r="FI1086" s="6"/>
      <c r="FJ1086" s="6"/>
      <c r="FK1086" s="6"/>
      <c r="FL1086" s="6"/>
      <c r="FM1086" s="6"/>
      <c r="FN1086" s="6"/>
      <c r="FO1086" s="6"/>
      <c r="FP1086" s="6"/>
      <c r="FQ1086" s="6"/>
      <c r="FR1086" s="6"/>
      <c r="FS1086" s="6"/>
      <c r="FT1086" s="6"/>
      <c r="FU1086" s="6"/>
      <c r="FV1086" s="6"/>
      <c r="FW1086" s="6"/>
      <c r="FX1086" s="6"/>
      <c r="FY1086" s="6"/>
      <c r="FZ1086" s="6"/>
      <c r="GA1086" s="6"/>
      <c r="GB1086" s="6"/>
      <c r="GC1086" s="6"/>
      <c r="GD1086" s="6"/>
      <c r="GE1086" s="6"/>
      <c r="GF1086" s="6"/>
      <c r="GG1086" s="6"/>
      <c r="GH1086" s="6"/>
      <c r="GI1086" s="6"/>
      <c r="GJ1086" s="6"/>
      <c r="GK1086" s="6"/>
      <c r="GL1086" s="6"/>
      <c r="GM1086" s="6"/>
      <c r="GN1086" s="6"/>
      <c r="GO1086" s="6"/>
      <c r="GP1086" s="6"/>
      <c r="GQ1086" s="6"/>
      <c r="GR1086" s="6"/>
      <c r="GS1086" s="6"/>
      <c r="GT1086" s="6"/>
      <c r="GU1086" s="6"/>
      <c r="GV1086" s="6"/>
      <c r="GW1086" s="6"/>
      <c r="GX1086" s="6"/>
      <c r="GY1086" s="6"/>
      <c r="GZ1086" s="6"/>
      <c r="HA1086" s="6"/>
      <c r="HB1086" s="6"/>
      <c r="HC1086" s="6"/>
      <c r="HD1086" s="6"/>
      <c r="HE1086" s="6"/>
      <c r="HF1086" s="6"/>
      <c r="HG1086" s="6"/>
      <c r="HH1086" s="6"/>
    </row>
    <row r="1087" spans="1:216" x14ac:dyDescent="0.3">
      <c r="A1087" s="8"/>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6"/>
      <c r="AR1087" s="6"/>
      <c r="AS1087" s="6"/>
      <c r="AT1087" s="6"/>
      <c r="AU1087" s="6"/>
      <c r="AV1087" s="6"/>
      <c r="AW1087" s="6"/>
      <c r="AX1087" s="6"/>
      <c r="AY1087" s="6"/>
      <c r="AZ1087" s="6"/>
      <c r="BA1087" s="6"/>
      <c r="BB1087" s="6"/>
      <c r="BC1087" s="6"/>
      <c r="BD1087" s="6"/>
      <c r="BE1087" s="6"/>
      <c r="BF1087" s="6"/>
      <c r="BG1087" s="6"/>
      <c r="BH1087" s="6"/>
      <c r="BI1087" s="6"/>
      <c r="BJ1087" s="6"/>
      <c r="BK1087" s="6"/>
      <c r="BL1087" s="6"/>
      <c r="BM1087" s="6"/>
      <c r="BN1087" s="6"/>
      <c r="BO1087" s="6"/>
      <c r="BP1087" s="6"/>
      <c r="BQ1087" s="6"/>
      <c r="BR1087" s="6"/>
      <c r="BS1087" s="6"/>
      <c r="BT1087" s="6"/>
      <c r="BU1087" s="6"/>
      <c r="BV1087" s="6"/>
      <c r="BW1087" s="6"/>
      <c r="BX1087" s="6"/>
      <c r="BY1087" s="6"/>
      <c r="BZ1087" s="6"/>
      <c r="CA1087" s="6"/>
      <c r="CB1087" s="6"/>
      <c r="CC1087" s="6"/>
      <c r="CD1087" s="6"/>
      <c r="CE1087" s="6"/>
      <c r="CF1087" s="6"/>
      <c r="CG1087" s="6"/>
      <c r="CH1087" s="6"/>
      <c r="CI1087" s="6"/>
      <c r="CJ1087" s="6"/>
      <c r="CK1087" s="6"/>
      <c r="CL1087" s="6"/>
      <c r="CM1087" s="6"/>
      <c r="CN1087" s="6"/>
      <c r="CO1087" s="6"/>
      <c r="CP1087" s="6"/>
      <c r="CQ1087" s="6"/>
      <c r="CR1087" s="6"/>
      <c r="CS1087" s="6"/>
      <c r="CT1087" s="6"/>
      <c r="CU1087" s="6"/>
      <c r="CV1087" s="6"/>
      <c r="CW1087" s="6"/>
      <c r="CX1087" s="6"/>
      <c r="CY1087" s="6"/>
      <c r="CZ1087" s="6"/>
      <c r="DA1087" s="6"/>
      <c r="DB1087" s="6"/>
      <c r="DC1087" s="6"/>
      <c r="DD1087" s="6"/>
      <c r="DE1087" s="6"/>
      <c r="DF1087" s="6"/>
      <c r="DG1087" s="6"/>
      <c r="DH1087" s="6"/>
      <c r="DI1087" s="6"/>
      <c r="DJ1087" s="6"/>
      <c r="DK1087" s="6"/>
      <c r="DL1087" s="6"/>
      <c r="DM1087" s="6"/>
      <c r="DN1087" s="6"/>
      <c r="DO1087" s="6"/>
      <c r="DP1087" s="6"/>
      <c r="DQ1087" s="6"/>
      <c r="DR1087" s="6"/>
      <c r="DS1087" s="6"/>
      <c r="DT1087" s="6"/>
      <c r="DU1087" s="6"/>
      <c r="DV1087" s="6"/>
      <c r="DW1087" s="6"/>
      <c r="DX1087" s="6"/>
      <c r="DY1087" s="6"/>
      <c r="DZ1087" s="6"/>
      <c r="EA1087" s="6"/>
      <c r="EB1087" s="6"/>
      <c r="EC1087" s="6"/>
      <c r="ED1087" s="6"/>
      <c r="EE1087" s="6"/>
      <c r="EF1087" s="6"/>
      <c r="EG1087" s="6"/>
      <c r="EH1087" s="6"/>
      <c r="EI1087" s="6"/>
      <c r="EJ1087" s="6"/>
      <c r="EK1087" s="6"/>
      <c r="EL1087" s="6"/>
      <c r="EM1087" s="6"/>
      <c r="EN1087" s="6"/>
      <c r="EO1087" s="6"/>
      <c r="EP1087" s="6"/>
      <c r="EQ1087" s="6"/>
      <c r="ER1087" s="6"/>
      <c r="ES1087" s="6"/>
      <c r="ET1087" s="6"/>
      <c r="EU1087" s="6"/>
      <c r="EV1087" s="6"/>
      <c r="EW1087" s="6"/>
      <c r="EX1087" s="6"/>
      <c r="EY1087" s="6"/>
      <c r="EZ1087" s="6"/>
      <c r="FA1087" s="6"/>
      <c r="FB1087" s="6"/>
      <c r="FC1087" s="6"/>
      <c r="FD1087" s="6"/>
      <c r="FE1087" s="6"/>
      <c r="FF1087" s="6"/>
      <c r="FG1087" s="6"/>
      <c r="FH1087" s="6"/>
      <c r="FI1087" s="6"/>
      <c r="FJ1087" s="6"/>
      <c r="FK1087" s="6"/>
      <c r="FL1087" s="6"/>
      <c r="FM1087" s="6"/>
      <c r="FN1087" s="6"/>
      <c r="FO1087" s="6"/>
      <c r="FP1087" s="6"/>
      <c r="FQ1087" s="6"/>
      <c r="FR1087" s="6"/>
      <c r="FS1087" s="6"/>
      <c r="FT1087" s="6"/>
      <c r="FU1087" s="6"/>
      <c r="FV1087" s="6"/>
      <c r="FW1087" s="6"/>
      <c r="FX1087" s="6"/>
      <c r="FY1087" s="6"/>
      <c r="FZ1087" s="6"/>
      <c r="GA1087" s="6"/>
      <c r="GB1087" s="6"/>
      <c r="GC1087" s="6"/>
      <c r="GD1087" s="6"/>
      <c r="GE1087" s="6"/>
      <c r="GF1087" s="6"/>
      <c r="GG1087" s="6"/>
      <c r="GH1087" s="6"/>
      <c r="GI1087" s="6"/>
      <c r="GJ1087" s="6"/>
      <c r="GK1087" s="6"/>
      <c r="GL1087" s="6"/>
      <c r="GM1087" s="6"/>
      <c r="GN1087" s="6"/>
      <c r="GO1087" s="6"/>
      <c r="GP1087" s="6"/>
      <c r="GQ1087" s="6"/>
      <c r="GR1087" s="6"/>
      <c r="GS1087" s="6"/>
      <c r="GT1087" s="6"/>
      <c r="GU1087" s="6"/>
      <c r="GV1087" s="6"/>
      <c r="GW1087" s="6"/>
      <c r="GX1087" s="6"/>
      <c r="GY1087" s="6"/>
      <c r="GZ1087" s="6"/>
      <c r="HA1087" s="6"/>
      <c r="HB1087" s="6"/>
      <c r="HC1087" s="6"/>
      <c r="HD1087" s="6"/>
      <c r="HE1087" s="6"/>
      <c r="HF1087" s="6"/>
      <c r="HG1087" s="6"/>
      <c r="HH1087" s="6"/>
    </row>
    <row r="1088" spans="1:216" x14ac:dyDescent="0.3">
      <c r="A1088" s="8"/>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c r="DX1088" s="6"/>
      <c r="DY1088" s="6"/>
      <c r="DZ1088" s="6"/>
      <c r="EA1088" s="6"/>
      <c r="EB1088" s="6"/>
      <c r="EC1088" s="6"/>
      <c r="ED1088" s="6"/>
      <c r="EE1088" s="6"/>
      <c r="EF1088" s="6"/>
      <c r="EG1088" s="6"/>
      <c r="EH1088" s="6"/>
      <c r="EI1088" s="6"/>
      <c r="EJ1088" s="6"/>
      <c r="EK1088" s="6"/>
      <c r="EL1088" s="6"/>
      <c r="EM1088" s="6"/>
      <c r="EN1088" s="6"/>
      <c r="EO1088" s="6"/>
      <c r="EP1088" s="6"/>
      <c r="EQ1088" s="6"/>
      <c r="ER1088" s="6"/>
      <c r="ES1088" s="6"/>
      <c r="ET1088" s="6"/>
      <c r="EU1088" s="6"/>
      <c r="EV1088" s="6"/>
      <c r="EW1088" s="6"/>
      <c r="EX1088" s="6"/>
      <c r="EY1088" s="6"/>
      <c r="EZ1088" s="6"/>
      <c r="FA1088" s="6"/>
      <c r="FB1088" s="6"/>
      <c r="FC1088" s="6"/>
      <c r="FD1088" s="6"/>
      <c r="FE1088" s="6"/>
      <c r="FF1088" s="6"/>
      <c r="FG1088" s="6"/>
      <c r="FH1088" s="6"/>
      <c r="FI1088" s="6"/>
      <c r="FJ1088" s="6"/>
      <c r="FK1088" s="6"/>
      <c r="FL1088" s="6"/>
      <c r="FM1088" s="6"/>
      <c r="FN1088" s="6"/>
      <c r="FO1088" s="6"/>
      <c r="FP1088" s="6"/>
      <c r="FQ1088" s="6"/>
      <c r="FR1088" s="6"/>
      <c r="FS1088" s="6"/>
      <c r="FT1088" s="6"/>
      <c r="FU1088" s="6"/>
      <c r="FV1088" s="6"/>
      <c r="FW1088" s="6"/>
      <c r="FX1088" s="6"/>
      <c r="FY1088" s="6"/>
      <c r="FZ1088" s="6"/>
      <c r="GA1088" s="6"/>
      <c r="GB1088" s="6"/>
      <c r="GC1088" s="6"/>
      <c r="GD1088" s="6"/>
      <c r="GE1088" s="6"/>
      <c r="GF1088" s="6"/>
      <c r="GG1088" s="6"/>
      <c r="GH1088" s="6"/>
      <c r="GI1088" s="6"/>
      <c r="GJ1088" s="6"/>
      <c r="GK1088" s="6"/>
      <c r="GL1088" s="6"/>
      <c r="GM1088" s="6"/>
      <c r="GN1088" s="6"/>
      <c r="GO1088" s="6"/>
      <c r="GP1088" s="6"/>
      <c r="GQ1088" s="6"/>
      <c r="GR1088" s="6"/>
      <c r="GS1088" s="6"/>
      <c r="GT1088" s="6"/>
      <c r="GU1088" s="6"/>
      <c r="GV1088" s="6"/>
      <c r="GW1088" s="6"/>
      <c r="GX1088" s="6"/>
      <c r="GY1088" s="6"/>
      <c r="GZ1088" s="6"/>
      <c r="HA1088" s="6"/>
      <c r="HB1088" s="6"/>
      <c r="HC1088" s="6"/>
      <c r="HD1088" s="6"/>
      <c r="HE1088" s="6"/>
      <c r="HF1088" s="6"/>
      <c r="HG1088" s="6"/>
      <c r="HH1088" s="6"/>
    </row>
    <row r="1089" spans="1:216" x14ac:dyDescent="0.3">
      <c r="A1089" s="8"/>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6"/>
      <c r="AR1089" s="6"/>
      <c r="AS1089" s="6"/>
      <c r="AT1089" s="6"/>
      <c r="AU1089" s="6"/>
      <c r="AV1089" s="6"/>
      <c r="AW1089" s="6"/>
      <c r="AX1089" s="6"/>
      <c r="AY1089" s="6"/>
      <c r="AZ1089" s="6"/>
      <c r="BA1089" s="6"/>
      <c r="BB1089" s="6"/>
      <c r="BC1089" s="6"/>
      <c r="BD1089" s="6"/>
      <c r="BE1089" s="6"/>
      <c r="BF1089" s="6"/>
      <c r="BG1089" s="6"/>
      <c r="BH1089" s="6"/>
      <c r="BI1089" s="6"/>
      <c r="BJ1089" s="6"/>
      <c r="BK1089" s="6"/>
      <c r="BL1089" s="6"/>
      <c r="BM1089" s="6"/>
      <c r="BN1089" s="6"/>
      <c r="BO1089" s="6"/>
      <c r="BP1089" s="6"/>
      <c r="BQ1089" s="6"/>
      <c r="BR1089" s="6"/>
      <c r="BS1089" s="6"/>
      <c r="BT1089" s="6"/>
      <c r="BU1089" s="6"/>
      <c r="BV1089" s="6"/>
      <c r="BW1089" s="6"/>
      <c r="BX1089" s="6"/>
      <c r="BY1089" s="6"/>
      <c r="BZ1089" s="6"/>
      <c r="CA1089" s="6"/>
      <c r="CB1089" s="6"/>
      <c r="CC1089" s="6"/>
      <c r="CD1089" s="6"/>
      <c r="CE1089" s="6"/>
      <c r="CF1089" s="6"/>
      <c r="CG1089" s="6"/>
      <c r="CH1089" s="6"/>
      <c r="CI1089" s="6"/>
      <c r="CJ1089" s="6"/>
      <c r="CK1089" s="6"/>
      <c r="CL1089" s="6"/>
      <c r="CM1089" s="6"/>
      <c r="CN1089" s="6"/>
      <c r="CO1089" s="6"/>
      <c r="CP1089" s="6"/>
      <c r="CQ1089" s="6"/>
      <c r="CR1089" s="6"/>
      <c r="CS1089" s="6"/>
      <c r="CT1089" s="6"/>
      <c r="CU1089" s="6"/>
      <c r="CV1089" s="6"/>
      <c r="CW1089" s="6"/>
      <c r="CX1089" s="6"/>
      <c r="CY1089" s="6"/>
      <c r="CZ1089" s="6"/>
      <c r="DA1089" s="6"/>
      <c r="DB1089" s="6"/>
      <c r="DC1089" s="6"/>
      <c r="DD1089" s="6"/>
      <c r="DE1089" s="6"/>
      <c r="DF1089" s="6"/>
      <c r="DG1089" s="6"/>
      <c r="DH1089" s="6"/>
      <c r="DI1089" s="6"/>
      <c r="DJ1089" s="6"/>
      <c r="DK1089" s="6"/>
      <c r="DL1089" s="6"/>
      <c r="DM1089" s="6"/>
      <c r="DN1089" s="6"/>
      <c r="DO1089" s="6"/>
      <c r="DP1089" s="6"/>
      <c r="DQ1089" s="6"/>
      <c r="DR1089" s="6"/>
      <c r="DS1089" s="6"/>
      <c r="DT1089" s="6"/>
      <c r="DU1089" s="6"/>
      <c r="DV1089" s="6"/>
      <c r="DW1089" s="6"/>
      <c r="DX1089" s="6"/>
      <c r="DY1089" s="6"/>
      <c r="DZ1089" s="6"/>
      <c r="EA1089" s="6"/>
      <c r="EB1089" s="6"/>
      <c r="EC1089" s="6"/>
      <c r="ED1089" s="6"/>
      <c r="EE1089" s="6"/>
      <c r="EF1089" s="6"/>
      <c r="EG1089" s="6"/>
      <c r="EH1089" s="6"/>
      <c r="EI1089" s="6"/>
      <c r="EJ1089" s="6"/>
      <c r="EK1089" s="6"/>
      <c r="EL1089" s="6"/>
      <c r="EM1089" s="6"/>
      <c r="EN1089" s="6"/>
      <c r="EO1089" s="6"/>
      <c r="EP1089" s="6"/>
      <c r="EQ1089" s="6"/>
      <c r="ER1089" s="6"/>
      <c r="ES1089" s="6"/>
      <c r="ET1089" s="6"/>
      <c r="EU1089" s="6"/>
      <c r="EV1089" s="6"/>
      <c r="EW1089" s="6"/>
      <c r="EX1089" s="6"/>
      <c r="EY1089" s="6"/>
      <c r="EZ1089" s="6"/>
      <c r="FA1089" s="6"/>
      <c r="FB1089" s="6"/>
      <c r="FC1089" s="6"/>
      <c r="FD1089" s="6"/>
      <c r="FE1089" s="6"/>
      <c r="FF1089" s="6"/>
      <c r="FG1089" s="6"/>
      <c r="FH1089" s="6"/>
      <c r="FI1089" s="6"/>
      <c r="FJ1089" s="6"/>
      <c r="FK1089" s="6"/>
      <c r="FL1089" s="6"/>
      <c r="FM1089" s="6"/>
      <c r="FN1089" s="6"/>
      <c r="FO1089" s="6"/>
      <c r="FP1089" s="6"/>
      <c r="FQ1089" s="6"/>
      <c r="FR1089" s="6"/>
      <c r="FS1089" s="6"/>
      <c r="FT1089" s="6"/>
      <c r="FU1089" s="6"/>
      <c r="FV1089" s="6"/>
      <c r="FW1089" s="6"/>
      <c r="FX1089" s="6"/>
      <c r="FY1089" s="6"/>
      <c r="FZ1089" s="6"/>
      <c r="GA1089" s="6"/>
      <c r="GB1089" s="6"/>
      <c r="GC1089" s="6"/>
      <c r="GD1089" s="6"/>
      <c r="GE1089" s="6"/>
      <c r="GF1089" s="6"/>
      <c r="GG1089" s="6"/>
      <c r="GH1089" s="6"/>
      <c r="GI1089" s="6"/>
      <c r="GJ1089" s="6"/>
      <c r="GK1089" s="6"/>
      <c r="GL1089" s="6"/>
      <c r="GM1089" s="6"/>
      <c r="GN1089" s="6"/>
      <c r="GO1089" s="6"/>
      <c r="GP1089" s="6"/>
      <c r="GQ1089" s="6"/>
      <c r="GR1089" s="6"/>
      <c r="GS1089" s="6"/>
      <c r="GT1089" s="6"/>
      <c r="GU1089" s="6"/>
      <c r="GV1089" s="6"/>
      <c r="GW1089" s="6"/>
      <c r="GX1089" s="6"/>
      <c r="GY1089" s="6"/>
      <c r="GZ1089" s="6"/>
      <c r="HA1089" s="6"/>
      <c r="HB1089" s="6"/>
      <c r="HC1089" s="6"/>
      <c r="HD1089" s="6"/>
      <c r="HE1089" s="6"/>
      <c r="HF1089" s="6"/>
      <c r="HG1089" s="6"/>
      <c r="HH1089" s="6"/>
    </row>
    <row r="1090" spans="1:216" x14ac:dyDescent="0.3">
      <c r="A1090" s="8"/>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6"/>
      <c r="AR1090" s="6"/>
      <c r="AS1090" s="6"/>
      <c r="AT1090" s="6"/>
      <c r="AU1090" s="6"/>
      <c r="AV1090" s="6"/>
      <c r="AW1090" s="6"/>
      <c r="AX1090" s="6"/>
      <c r="AY1090" s="6"/>
      <c r="AZ1090" s="6"/>
      <c r="BA1090" s="6"/>
      <c r="BB1090" s="6"/>
      <c r="BC1090" s="6"/>
      <c r="BD1090" s="6"/>
      <c r="BE1090" s="6"/>
      <c r="BF1090" s="6"/>
      <c r="BG1090" s="6"/>
      <c r="BH1090" s="6"/>
      <c r="BI1090" s="6"/>
      <c r="BJ1090" s="6"/>
      <c r="BK1090" s="6"/>
      <c r="BL1090" s="6"/>
      <c r="BM1090" s="6"/>
      <c r="BN1090" s="6"/>
      <c r="BO1090" s="6"/>
      <c r="BP1090" s="6"/>
      <c r="BQ1090" s="6"/>
      <c r="BR1090" s="6"/>
      <c r="BS1090" s="6"/>
      <c r="BT1090" s="6"/>
      <c r="BU1090" s="6"/>
      <c r="BV1090" s="6"/>
      <c r="BW1090" s="6"/>
      <c r="BX1090" s="6"/>
      <c r="BY1090" s="6"/>
      <c r="BZ1090" s="6"/>
      <c r="CA1090" s="6"/>
      <c r="CB1090" s="6"/>
      <c r="CC1090" s="6"/>
      <c r="CD1090" s="6"/>
      <c r="CE1090" s="6"/>
      <c r="CF1090" s="6"/>
      <c r="CG1090" s="6"/>
      <c r="CH1090" s="6"/>
      <c r="CI1090" s="6"/>
      <c r="CJ1090" s="6"/>
      <c r="CK1090" s="6"/>
      <c r="CL1090" s="6"/>
      <c r="CM1090" s="6"/>
      <c r="CN1090" s="6"/>
      <c r="CO1090" s="6"/>
      <c r="CP1090" s="6"/>
      <c r="CQ1090" s="6"/>
      <c r="CR1090" s="6"/>
      <c r="CS1090" s="6"/>
      <c r="CT1090" s="6"/>
      <c r="CU1090" s="6"/>
      <c r="CV1090" s="6"/>
      <c r="CW1090" s="6"/>
      <c r="CX1090" s="6"/>
      <c r="CY1090" s="6"/>
      <c r="CZ1090" s="6"/>
      <c r="DA1090" s="6"/>
      <c r="DB1090" s="6"/>
      <c r="DC1090" s="6"/>
      <c r="DD1090" s="6"/>
      <c r="DE1090" s="6"/>
      <c r="DF1090" s="6"/>
      <c r="DG1090" s="6"/>
      <c r="DH1090" s="6"/>
      <c r="DI1090" s="6"/>
      <c r="DJ1090" s="6"/>
      <c r="DK1090" s="6"/>
      <c r="DL1090" s="6"/>
      <c r="DM1090" s="6"/>
      <c r="DN1090" s="6"/>
      <c r="DO1090" s="6"/>
      <c r="DP1090" s="6"/>
      <c r="DQ1090" s="6"/>
      <c r="DR1090" s="6"/>
      <c r="DS1090" s="6"/>
      <c r="DT1090" s="6"/>
      <c r="DU1090" s="6"/>
      <c r="DV1090" s="6"/>
      <c r="DW1090" s="6"/>
      <c r="DX1090" s="6"/>
      <c r="DY1090" s="6"/>
      <c r="DZ1090" s="6"/>
      <c r="EA1090" s="6"/>
      <c r="EB1090" s="6"/>
      <c r="EC1090" s="6"/>
      <c r="ED1090" s="6"/>
      <c r="EE1090" s="6"/>
      <c r="EF1090" s="6"/>
      <c r="EG1090" s="6"/>
      <c r="EH1090" s="6"/>
      <c r="EI1090" s="6"/>
      <c r="EJ1090" s="6"/>
      <c r="EK1090" s="6"/>
      <c r="EL1090" s="6"/>
      <c r="EM1090" s="6"/>
      <c r="EN1090" s="6"/>
      <c r="EO1090" s="6"/>
      <c r="EP1090" s="6"/>
      <c r="EQ1090" s="6"/>
      <c r="ER1090" s="6"/>
      <c r="ES1090" s="6"/>
      <c r="ET1090" s="6"/>
      <c r="EU1090" s="6"/>
      <c r="EV1090" s="6"/>
      <c r="EW1090" s="6"/>
      <c r="EX1090" s="6"/>
      <c r="EY1090" s="6"/>
      <c r="EZ1090" s="6"/>
      <c r="FA1090" s="6"/>
      <c r="FB1090" s="6"/>
      <c r="FC1090" s="6"/>
      <c r="FD1090" s="6"/>
      <c r="FE1090" s="6"/>
      <c r="FF1090" s="6"/>
      <c r="FG1090" s="6"/>
      <c r="FH1090" s="6"/>
      <c r="FI1090" s="6"/>
      <c r="FJ1090" s="6"/>
      <c r="FK1090" s="6"/>
      <c r="FL1090" s="6"/>
      <c r="FM1090" s="6"/>
      <c r="FN1090" s="6"/>
      <c r="FO1090" s="6"/>
      <c r="FP1090" s="6"/>
      <c r="FQ1090" s="6"/>
      <c r="FR1090" s="6"/>
      <c r="FS1090" s="6"/>
      <c r="FT1090" s="6"/>
      <c r="FU1090" s="6"/>
      <c r="FV1090" s="6"/>
      <c r="FW1090" s="6"/>
      <c r="FX1090" s="6"/>
      <c r="FY1090" s="6"/>
      <c r="FZ1090" s="6"/>
      <c r="GA1090" s="6"/>
      <c r="GB1090" s="6"/>
      <c r="GC1090" s="6"/>
      <c r="GD1090" s="6"/>
      <c r="GE1090" s="6"/>
      <c r="GF1090" s="6"/>
      <c r="GG1090" s="6"/>
      <c r="GH1090" s="6"/>
      <c r="GI1090" s="6"/>
      <c r="GJ1090" s="6"/>
      <c r="GK1090" s="6"/>
      <c r="GL1090" s="6"/>
      <c r="GM1090" s="6"/>
      <c r="GN1090" s="6"/>
      <c r="GO1090" s="6"/>
      <c r="GP1090" s="6"/>
      <c r="GQ1090" s="6"/>
      <c r="GR1090" s="6"/>
      <c r="GS1090" s="6"/>
      <c r="GT1090" s="6"/>
      <c r="GU1090" s="6"/>
      <c r="GV1090" s="6"/>
      <c r="GW1090" s="6"/>
      <c r="GX1090" s="6"/>
      <c r="GY1090" s="6"/>
      <c r="GZ1090" s="6"/>
      <c r="HA1090" s="6"/>
      <c r="HB1090" s="6"/>
      <c r="HC1090" s="6"/>
      <c r="HD1090" s="6"/>
      <c r="HE1090" s="6"/>
      <c r="HF1090" s="6"/>
      <c r="HG1090" s="6"/>
      <c r="HH1090" s="6"/>
    </row>
    <row r="1091" spans="1:216" x14ac:dyDescent="0.3">
      <c r="A1091" s="8"/>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c r="DX1091" s="6"/>
      <c r="DY1091" s="6"/>
      <c r="DZ1091" s="6"/>
      <c r="EA1091" s="6"/>
      <c r="EB1091" s="6"/>
      <c r="EC1091" s="6"/>
      <c r="ED1091" s="6"/>
      <c r="EE1091" s="6"/>
      <c r="EF1091" s="6"/>
      <c r="EG1091" s="6"/>
      <c r="EH1091" s="6"/>
      <c r="EI1091" s="6"/>
      <c r="EJ1091" s="6"/>
      <c r="EK1091" s="6"/>
      <c r="EL1091" s="6"/>
      <c r="EM1091" s="6"/>
      <c r="EN1091" s="6"/>
      <c r="EO1091" s="6"/>
      <c r="EP1091" s="6"/>
      <c r="EQ1091" s="6"/>
      <c r="ER1091" s="6"/>
      <c r="ES1091" s="6"/>
      <c r="ET1091" s="6"/>
      <c r="EU1091" s="6"/>
      <c r="EV1091" s="6"/>
      <c r="EW1091" s="6"/>
      <c r="EX1091" s="6"/>
      <c r="EY1091" s="6"/>
      <c r="EZ1091" s="6"/>
      <c r="FA1091" s="6"/>
      <c r="FB1091" s="6"/>
      <c r="FC1091" s="6"/>
      <c r="FD1091" s="6"/>
      <c r="FE1091" s="6"/>
      <c r="FF1091" s="6"/>
      <c r="FG1091" s="6"/>
      <c r="FH1091" s="6"/>
      <c r="FI1091" s="6"/>
      <c r="FJ1091" s="6"/>
      <c r="FK1091" s="6"/>
      <c r="FL1091" s="6"/>
      <c r="FM1091" s="6"/>
      <c r="FN1091" s="6"/>
      <c r="FO1091" s="6"/>
      <c r="FP1091" s="6"/>
      <c r="FQ1091" s="6"/>
      <c r="FR1091" s="6"/>
      <c r="FS1091" s="6"/>
      <c r="FT1091" s="6"/>
      <c r="FU1091" s="6"/>
      <c r="FV1091" s="6"/>
      <c r="FW1091" s="6"/>
      <c r="FX1091" s="6"/>
      <c r="FY1091" s="6"/>
      <c r="FZ1091" s="6"/>
      <c r="GA1091" s="6"/>
      <c r="GB1091" s="6"/>
      <c r="GC1091" s="6"/>
      <c r="GD1091" s="6"/>
      <c r="GE1091" s="6"/>
      <c r="GF1091" s="6"/>
      <c r="GG1091" s="6"/>
      <c r="GH1091" s="6"/>
      <c r="GI1091" s="6"/>
      <c r="GJ1091" s="6"/>
      <c r="GK1091" s="6"/>
      <c r="GL1091" s="6"/>
      <c r="GM1091" s="6"/>
      <c r="GN1091" s="6"/>
      <c r="GO1091" s="6"/>
      <c r="GP1091" s="6"/>
      <c r="GQ1091" s="6"/>
      <c r="GR1091" s="6"/>
      <c r="GS1091" s="6"/>
      <c r="GT1091" s="6"/>
      <c r="GU1091" s="6"/>
      <c r="GV1091" s="6"/>
      <c r="GW1091" s="6"/>
      <c r="GX1091" s="6"/>
      <c r="GY1091" s="6"/>
      <c r="GZ1091" s="6"/>
      <c r="HA1091" s="6"/>
      <c r="HB1091" s="6"/>
      <c r="HC1091" s="6"/>
      <c r="HD1091" s="6"/>
      <c r="HE1091" s="6"/>
      <c r="HF1091" s="6"/>
      <c r="HG1091" s="6"/>
      <c r="HH1091" s="6"/>
    </row>
    <row r="1092" spans="1:216" x14ac:dyDescent="0.3">
      <c r="A1092" s="8"/>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6"/>
      <c r="AR1092" s="6"/>
      <c r="AS1092" s="6"/>
      <c r="AT1092" s="6"/>
      <c r="AU1092" s="6"/>
      <c r="AV1092" s="6"/>
      <c r="AW1092" s="6"/>
      <c r="AX1092" s="6"/>
      <c r="AY1092" s="6"/>
      <c r="AZ1092" s="6"/>
      <c r="BA1092" s="6"/>
      <c r="BB1092" s="6"/>
      <c r="BC1092" s="6"/>
      <c r="BD1092" s="6"/>
      <c r="BE1092" s="6"/>
      <c r="BF1092" s="6"/>
      <c r="BG1092" s="6"/>
      <c r="BH1092" s="6"/>
      <c r="BI1092" s="6"/>
      <c r="BJ1092" s="6"/>
      <c r="BK1092" s="6"/>
      <c r="BL1092" s="6"/>
      <c r="BM1092" s="6"/>
      <c r="BN1092" s="6"/>
      <c r="BO1092" s="6"/>
      <c r="BP1092" s="6"/>
      <c r="BQ1092" s="6"/>
      <c r="BR1092" s="6"/>
      <c r="BS1092" s="6"/>
      <c r="BT1092" s="6"/>
      <c r="BU1092" s="6"/>
      <c r="BV1092" s="6"/>
      <c r="BW1092" s="6"/>
      <c r="BX1092" s="6"/>
      <c r="BY1092" s="6"/>
      <c r="BZ1092" s="6"/>
      <c r="CA1092" s="6"/>
      <c r="CB1092" s="6"/>
      <c r="CC1092" s="6"/>
      <c r="CD1092" s="6"/>
      <c r="CE1092" s="6"/>
      <c r="CF1092" s="6"/>
      <c r="CG1092" s="6"/>
      <c r="CH1092" s="6"/>
      <c r="CI1092" s="6"/>
      <c r="CJ1092" s="6"/>
      <c r="CK1092" s="6"/>
      <c r="CL1092" s="6"/>
      <c r="CM1092" s="6"/>
      <c r="CN1092" s="6"/>
      <c r="CO1092" s="6"/>
      <c r="CP1092" s="6"/>
      <c r="CQ1092" s="6"/>
      <c r="CR1092" s="6"/>
      <c r="CS1092" s="6"/>
      <c r="CT1092" s="6"/>
      <c r="CU1092" s="6"/>
      <c r="CV1092" s="6"/>
      <c r="CW1092" s="6"/>
      <c r="CX1092" s="6"/>
      <c r="CY1092" s="6"/>
      <c r="CZ1092" s="6"/>
      <c r="DA1092" s="6"/>
      <c r="DB1092" s="6"/>
      <c r="DC1092" s="6"/>
      <c r="DD1092" s="6"/>
      <c r="DE1092" s="6"/>
      <c r="DF1092" s="6"/>
      <c r="DG1092" s="6"/>
      <c r="DH1092" s="6"/>
      <c r="DI1092" s="6"/>
      <c r="DJ1092" s="6"/>
      <c r="DK1092" s="6"/>
      <c r="DL1092" s="6"/>
      <c r="DM1092" s="6"/>
      <c r="DN1092" s="6"/>
      <c r="DO1092" s="6"/>
      <c r="DP1092" s="6"/>
      <c r="DQ1092" s="6"/>
      <c r="DR1092" s="6"/>
      <c r="DS1092" s="6"/>
      <c r="DT1092" s="6"/>
      <c r="DU1092" s="6"/>
      <c r="DV1092" s="6"/>
      <c r="DW1092" s="6"/>
      <c r="DX1092" s="6"/>
      <c r="DY1092" s="6"/>
      <c r="DZ1092" s="6"/>
      <c r="EA1092" s="6"/>
      <c r="EB1092" s="6"/>
      <c r="EC1092" s="6"/>
      <c r="ED1092" s="6"/>
      <c r="EE1092" s="6"/>
      <c r="EF1092" s="6"/>
      <c r="EG1092" s="6"/>
      <c r="EH1092" s="6"/>
      <c r="EI1092" s="6"/>
      <c r="EJ1092" s="6"/>
      <c r="EK1092" s="6"/>
      <c r="EL1092" s="6"/>
      <c r="EM1092" s="6"/>
      <c r="EN1092" s="6"/>
      <c r="EO1092" s="6"/>
      <c r="EP1092" s="6"/>
      <c r="EQ1092" s="6"/>
      <c r="ER1092" s="6"/>
      <c r="ES1092" s="6"/>
      <c r="ET1092" s="6"/>
      <c r="EU1092" s="6"/>
      <c r="EV1092" s="6"/>
      <c r="EW1092" s="6"/>
      <c r="EX1092" s="6"/>
      <c r="EY1092" s="6"/>
      <c r="EZ1092" s="6"/>
      <c r="FA1092" s="6"/>
      <c r="FB1092" s="6"/>
      <c r="FC1092" s="6"/>
      <c r="FD1092" s="6"/>
      <c r="FE1092" s="6"/>
      <c r="FF1092" s="6"/>
      <c r="FG1092" s="6"/>
      <c r="FH1092" s="6"/>
      <c r="FI1092" s="6"/>
      <c r="FJ1092" s="6"/>
      <c r="FK1092" s="6"/>
      <c r="FL1092" s="6"/>
      <c r="FM1092" s="6"/>
      <c r="FN1092" s="6"/>
      <c r="FO1092" s="6"/>
      <c r="FP1092" s="6"/>
      <c r="FQ1092" s="6"/>
      <c r="FR1092" s="6"/>
      <c r="FS1092" s="6"/>
      <c r="FT1092" s="6"/>
      <c r="FU1092" s="6"/>
      <c r="FV1092" s="6"/>
      <c r="FW1092" s="6"/>
      <c r="FX1092" s="6"/>
      <c r="FY1092" s="6"/>
      <c r="FZ1092" s="6"/>
      <c r="GA1092" s="6"/>
      <c r="GB1092" s="6"/>
      <c r="GC1092" s="6"/>
      <c r="GD1092" s="6"/>
      <c r="GE1092" s="6"/>
      <c r="GF1092" s="6"/>
      <c r="GG1092" s="6"/>
      <c r="GH1092" s="6"/>
      <c r="GI1092" s="6"/>
      <c r="GJ1092" s="6"/>
      <c r="GK1092" s="6"/>
      <c r="GL1092" s="6"/>
      <c r="GM1092" s="6"/>
      <c r="GN1092" s="6"/>
      <c r="GO1092" s="6"/>
      <c r="GP1092" s="6"/>
      <c r="GQ1092" s="6"/>
      <c r="GR1092" s="6"/>
      <c r="GS1092" s="6"/>
      <c r="GT1092" s="6"/>
      <c r="GU1092" s="6"/>
      <c r="GV1092" s="6"/>
      <c r="GW1092" s="6"/>
      <c r="GX1092" s="6"/>
      <c r="GY1092" s="6"/>
      <c r="GZ1092" s="6"/>
      <c r="HA1092" s="6"/>
      <c r="HB1092" s="6"/>
      <c r="HC1092" s="6"/>
      <c r="HD1092" s="6"/>
      <c r="HE1092" s="6"/>
      <c r="HF1092" s="6"/>
      <c r="HG1092" s="6"/>
      <c r="HH1092" s="6"/>
    </row>
    <row r="1093" spans="1:216" x14ac:dyDescent="0.3">
      <c r="A1093" s="8"/>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c r="DX1093" s="6"/>
      <c r="DY1093" s="6"/>
      <c r="DZ1093" s="6"/>
      <c r="EA1093" s="6"/>
      <c r="EB1093" s="6"/>
      <c r="EC1093" s="6"/>
      <c r="ED1093" s="6"/>
      <c r="EE1093" s="6"/>
      <c r="EF1093" s="6"/>
      <c r="EG1093" s="6"/>
      <c r="EH1093" s="6"/>
      <c r="EI1093" s="6"/>
      <c r="EJ1093" s="6"/>
      <c r="EK1093" s="6"/>
      <c r="EL1093" s="6"/>
      <c r="EM1093" s="6"/>
      <c r="EN1093" s="6"/>
      <c r="EO1093" s="6"/>
      <c r="EP1093" s="6"/>
      <c r="EQ1093" s="6"/>
      <c r="ER1093" s="6"/>
      <c r="ES1093" s="6"/>
      <c r="ET1093" s="6"/>
      <c r="EU1093" s="6"/>
      <c r="EV1093" s="6"/>
      <c r="EW1093" s="6"/>
      <c r="EX1093" s="6"/>
      <c r="EY1093" s="6"/>
      <c r="EZ1093" s="6"/>
      <c r="FA1093" s="6"/>
      <c r="FB1093" s="6"/>
      <c r="FC1093" s="6"/>
      <c r="FD1093" s="6"/>
      <c r="FE1093" s="6"/>
      <c r="FF1093" s="6"/>
      <c r="FG1093" s="6"/>
      <c r="FH1093" s="6"/>
      <c r="FI1093" s="6"/>
      <c r="FJ1093" s="6"/>
      <c r="FK1093" s="6"/>
      <c r="FL1093" s="6"/>
      <c r="FM1093" s="6"/>
      <c r="FN1093" s="6"/>
      <c r="FO1093" s="6"/>
      <c r="FP1093" s="6"/>
      <c r="FQ1093" s="6"/>
      <c r="FR1093" s="6"/>
      <c r="FS1093" s="6"/>
      <c r="FT1093" s="6"/>
      <c r="FU1093" s="6"/>
      <c r="FV1093" s="6"/>
      <c r="FW1093" s="6"/>
      <c r="FX1093" s="6"/>
      <c r="FY1093" s="6"/>
      <c r="FZ1093" s="6"/>
      <c r="GA1093" s="6"/>
      <c r="GB1093" s="6"/>
      <c r="GC1093" s="6"/>
      <c r="GD1093" s="6"/>
      <c r="GE1093" s="6"/>
      <c r="GF1093" s="6"/>
      <c r="GG1093" s="6"/>
      <c r="GH1093" s="6"/>
      <c r="GI1093" s="6"/>
      <c r="GJ1093" s="6"/>
      <c r="GK1093" s="6"/>
      <c r="GL1093" s="6"/>
      <c r="GM1093" s="6"/>
      <c r="GN1093" s="6"/>
      <c r="GO1093" s="6"/>
      <c r="GP1093" s="6"/>
      <c r="GQ1093" s="6"/>
      <c r="GR1093" s="6"/>
      <c r="GS1093" s="6"/>
      <c r="GT1093" s="6"/>
      <c r="GU1093" s="6"/>
      <c r="GV1093" s="6"/>
      <c r="GW1093" s="6"/>
      <c r="GX1093" s="6"/>
      <c r="GY1093" s="6"/>
      <c r="GZ1093" s="6"/>
      <c r="HA1093" s="6"/>
      <c r="HB1093" s="6"/>
      <c r="HC1093" s="6"/>
      <c r="HD1093" s="6"/>
      <c r="HE1093" s="6"/>
      <c r="HF1093" s="6"/>
      <c r="HG1093" s="6"/>
      <c r="HH1093" s="6"/>
    </row>
    <row r="1094" spans="1:216" x14ac:dyDescent="0.3">
      <c r="A1094" s="8"/>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6"/>
      <c r="AR1094" s="6"/>
      <c r="AS1094" s="6"/>
      <c r="AT1094" s="6"/>
      <c r="AU1094" s="6"/>
      <c r="AV1094" s="6"/>
      <c r="AW1094" s="6"/>
      <c r="AX1094" s="6"/>
      <c r="AY1094" s="6"/>
      <c r="AZ1094" s="6"/>
      <c r="BA1094" s="6"/>
      <c r="BB1094" s="6"/>
      <c r="BC1094" s="6"/>
      <c r="BD1094" s="6"/>
      <c r="BE1094" s="6"/>
      <c r="BF1094" s="6"/>
      <c r="BG1094" s="6"/>
      <c r="BH1094" s="6"/>
      <c r="BI1094" s="6"/>
      <c r="BJ1094" s="6"/>
      <c r="BK1094" s="6"/>
      <c r="BL1094" s="6"/>
      <c r="BM1094" s="6"/>
      <c r="BN1094" s="6"/>
      <c r="BO1094" s="6"/>
      <c r="BP1094" s="6"/>
      <c r="BQ1094" s="6"/>
      <c r="BR1094" s="6"/>
      <c r="BS1094" s="6"/>
      <c r="BT1094" s="6"/>
      <c r="BU1094" s="6"/>
      <c r="BV1094" s="6"/>
      <c r="BW1094" s="6"/>
      <c r="BX1094" s="6"/>
      <c r="BY1094" s="6"/>
      <c r="BZ1094" s="6"/>
      <c r="CA1094" s="6"/>
      <c r="CB1094" s="6"/>
      <c r="CC1094" s="6"/>
      <c r="CD1094" s="6"/>
      <c r="CE1094" s="6"/>
      <c r="CF1094" s="6"/>
      <c r="CG1094" s="6"/>
      <c r="CH1094" s="6"/>
      <c r="CI1094" s="6"/>
      <c r="CJ1094" s="6"/>
      <c r="CK1094" s="6"/>
      <c r="CL1094" s="6"/>
      <c r="CM1094" s="6"/>
      <c r="CN1094" s="6"/>
      <c r="CO1094" s="6"/>
      <c r="CP1094" s="6"/>
      <c r="CQ1094" s="6"/>
      <c r="CR1094" s="6"/>
      <c r="CS1094" s="6"/>
      <c r="CT1094" s="6"/>
      <c r="CU1094" s="6"/>
      <c r="CV1094" s="6"/>
      <c r="CW1094" s="6"/>
      <c r="CX1094" s="6"/>
      <c r="CY1094" s="6"/>
      <c r="CZ1094" s="6"/>
      <c r="DA1094" s="6"/>
      <c r="DB1094" s="6"/>
      <c r="DC1094" s="6"/>
      <c r="DD1094" s="6"/>
      <c r="DE1094" s="6"/>
      <c r="DF1094" s="6"/>
      <c r="DG1094" s="6"/>
      <c r="DH1094" s="6"/>
      <c r="DI1094" s="6"/>
      <c r="DJ1094" s="6"/>
      <c r="DK1094" s="6"/>
      <c r="DL1094" s="6"/>
      <c r="DM1094" s="6"/>
      <c r="DN1094" s="6"/>
      <c r="DO1094" s="6"/>
      <c r="DP1094" s="6"/>
      <c r="DQ1094" s="6"/>
      <c r="DR1094" s="6"/>
      <c r="DS1094" s="6"/>
      <c r="DT1094" s="6"/>
      <c r="DU1094" s="6"/>
      <c r="DV1094" s="6"/>
      <c r="DW1094" s="6"/>
      <c r="DX1094" s="6"/>
      <c r="DY1094" s="6"/>
      <c r="DZ1094" s="6"/>
      <c r="EA1094" s="6"/>
      <c r="EB1094" s="6"/>
      <c r="EC1094" s="6"/>
      <c r="ED1094" s="6"/>
      <c r="EE1094" s="6"/>
      <c r="EF1094" s="6"/>
      <c r="EG1094" s="6"/>
      <c r="EH1094" s="6"/>
      <c r="EI1094" s="6"/>
      <c r="EJ1094" s="6"/>
      <c r="EK1094" s="6"/>
      <c r="EL1094" s="6"/>
      <c r="EM1094" s="6"/>
      <c r="EN1094" s="6"/>
      <c r="EO1094" s="6"/>
      <c r="EP1094" s="6"/>
      <c r="EQ1094" s="6"/>
      <c r="ER1094" s="6"/>
      <c r="ES1094" s="6"/>
      <c r="ET1094" s="6"/>
      <c r="EU1094" s="6"/>
      <c r="EV1094" s="6"/>
      <c r="EW1094" s="6"/>
      <c r="EX1094" s="6"/>
      <c r="EY1094" s="6"/>
      <c r="EZ1094" s="6"/>
      <c r="FA1094" s="6"/>
      <c r="FB1094" s="6"/>
      <c r="FC1094" s="6"/>
      <c r="FD1094" s="6"/>
      <c r="FE1094" s="6"/>
      <c r="FF1094" s="6"/>
      <c r="FG1094" s="6"/>
      <c r="FH1094" s="6"/>
      <c r="FI1094" s="6"/>
      <c r="FJ1094" s="6"/>
      <c r="FK1094" s="6"/>
      <c r="FL1094" s="6"/>
      <c r="FM1094" s="6"/>
      <c r="FN1094" s="6"/>
      <c r="FO1094" s="6"/>
      <c r="FP1094" s="6"/>
      <c r="FQ1094" s="6"/>
      <c r="FR1094" s="6"/>
      <c r="FS1094" s="6"/>
      <c r="FT1094" s="6"/>
      <c r="FU1094" s="6"/>
      <c r="FV1094" s="6"/>
      <c r="FW1094" s="6"/>
      <c r="FX1094" s="6"/>
      <c r="FY1094" s="6"/>
      <c r="FZ1094" s="6"/>
      <c r="GA1094" s="6"/>
      <c r="GB1094" s="6"/>
      <c r="GC1094" s="6"/>
      <c r="GD1094" s="6"/>
      <c r="GE1094" s="6"/>
      <c r="GF1094" s="6"/>
      <c r="GG1094" s="6"/>
      <c r="GH1094" s="6"/>
      <c r="GI1094" s="6"/>
      <c r="GJ1094" s="6"/>
      <c r="GK1094" s="6"/>
      <c r="GL1094" s="6"/>
      <c r="GM1094" s="6"/>
      <c r="GN1094" s="6"/>
      <c r="GO1094" s="6"/>
      <c r="GP1094" s="6"/>
      <c r="GQ1094" s="6"/>
      <c r="GR1094" s="6"/>
      <c r="GS1094" s="6"/>
      <c r="GT1094" s="6"/>
      <c r="GU1094" s="6"/>
      <c r="GV1094" s="6"/>
      <c r="GW1094" s="6"/>
      <c r="GX1094" s="6"/>
      <c r="GY1094" s="6"/>
      <c r="GZ1094" s="6"/>
      <c r="HA1094" s="6"/>
      <c r="HB1094" s="6"/>
      <c r="HC1094" s="6"/>
      <c r="HD1094" s="6"/>
      <c r="HE1094" s="6"/>
      <c r="HF1094" s="6"/>
      <c r="HG1094" s="6"/>
      <c r="HH1094" s="6"/>
    </row>
    <row r="1095" spans="1:216" x14ac:dyDescent="0.3">
      <c r="A1095" s="8"/>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c r="DX1095" s="6"/>
      <c r="DY1095" s="6"/>
      <c r="DZ1095" s="6"/>
      <c r="EA1095" s="6"/>
      <c r="EB1095" s="6"/>
      <c r="EC1095" s="6"/>
      <c r="ED1095" s="6"/>
      <c r="EE1095" s="6"/>
      <c r="EF1095" s="6"/>
      <c r="EG1095" s="6"/>
      <c r="EH1095" s="6"/>
      <c r="EI1095" s="6"/>
      <c r="EJ1095" s="6"/>
      <c r="EK1095" s="6"/>
      <c r="EL1095" s="6"/>
      <c r="EM1095" s="6"/>
      <c r="EN1095" s="6"/>
      <c r="EO1095" s="6"/>
      <c r="EP1095" s="6"/>
      <c r="EQ1095" s="6"/>
      <c r="ER1095" s="6"/>
      <c r="ES1095" s="6"/>
      <c r="ET1095" s="6"/>
      <c r="EU1095" s="6"/>
      <c r="EV1095" s="6"/>
      <c r="EW1095" s="6"/>
      <c r="EX1095" s="6"/>
      <c r="EY1095" s="6"/>
      <c r="EZ1095" s="6"/>
      <c r="FA1095" s="6"/>
      <c r="FB1095" s="6"/>
      <c r="FC1095" s="6"/>
      <c r="FD1095" s="6"/>
      <c r="FE1095" s="6"/>
      <c r="FF1095" s="6"/>
      <c r="FG1095" s="6"/>
      <c r="FH1095" s="6"/>
      <c r="FI1095" s="6"/>
      <c r="FJ1095" s="6"/>
      <c r="FK1095" s="6"/>
      <c r="FL1095" s="6"/>
      <c r="FM1095" s="6"/>
      <c r="FN1095" s="6"/>
      <c r="FO1095" s="6"/>
      <c r="FP1095" s="6"/>
      <c r="FQ1095" s="6"/>
      <c r="FR1095" s="6"/>
      <c r="FS1095" s="6"/>
      <c r="FT1095" s="6"/>
      <c r="FU1095" s="6"/>
      <c r="FV1095" s="6"/>
      <c r="FW1095" s="6"/>
      <c r="FX1095" s="6"/>
      <c r="FY1095" s="6"/>
      <c r="FZ1095" s="6"/>
      <c r="GA1095" s="6"/>
      <c r="GB1095" s="6"/>
      <c r="GC1095" s="6"/>
      <c r="GD1095" s="6"/>
      <c r="GE1095" s="6"/>
      <c r="GF1095" s="6"/>
      <c r="GG1095" s="6"/>
      <c r="GH1095" s="6"/>
      <c r="GI1095" s="6"/>
      <c r="GJ1095" s="6"/>
      <c r="GK1095" s="6"/>
      <c r="GL1095" s="6"/>
      <c r="GM1095" s="6"/>
      <c r="GN1095" s="6"/>
      <c r="GO1095" s="6"/>
      <c r="GP1095" s="6"/>
      <c r="GQ1095" s="6"/>
      <c r="GR1095" s="6"/>
      <c r="GS1095" s="6"/>
      <c r="GT1095" s="6"/>
      <c r="GU1095" s="6"/>
      <c r="GV1095" s="6"/>
      <c r="GW1095" s="6"/>
      <c r="GX1095" s="6"/>
      <c r="GY1095" s="6"/>
      <c r="GZ1095" s="6"/>
      <c r="HA1095" s="6"/>
      <c r="HB1095" s="6"/>
      <c r="HC1095" s="6"/>
      <c r="HD1095" s="6"/>
      <c r="HE1095" s="6"/>
      <c r="HF1095" s="6"/>
      <c r="HG1095" s="6"/>
      <c r="HH1095" s="6"/>
    </row>
    <row r="1096" spans="1:216" x14ac:dyDescent="0.3">
      <c r="A1096" s="8"/>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6"/>
      <c r="AR1096" s="6"/>
      <c r="AS1096" s="6"/>
      <c r="AT1096" s="6"/>
      <c r="AU1096" s="6"/>
      <c r="AV1096" s="6"/>
      <c r="AW1096" s="6"/>
      <c r="AX1096" s="6"/>
      <c r="AY1096" s="6"/>
      <c r="AZ1096" s="6"/>
      <c r="BA1096" s="6"/>
      <c r="BB1096" s="6"/>
      <c r="BC1096" s="6"/>
      <c r="BD1096" s="6"/>
      <c r="BE1096" s="6"/>
      <c r="BF1096" s="6"/>
      <c r="BG1096" s="6"/>
      <c r="BH1096" s="6"/>
      <c r="BI1096" s="6"/>
      <c r="BJ1096" s="6"/>
      <c r="BK1096" s="6"/>
      <c r="BL1096" s="6"/>
      <c r="BM1096" s="6"/>
      <c r="BN1096" s="6"/>
      <c r="BO1096" s="6"/>
      <c r="BP1096" s="6"/>
      <c r="BQ1096" s="6"/>
      <c r="BR1096" s="6"/>
      <c r="BS1096" s="6"/>
      <c r="BT1096" s="6"/>
      <c r="BU1096" s="6"/>
      <c r="BV1096" s="6"/>
      <c r="BW1096" s="6"/>
      <c r="BX1096" s="6"/>
      <c r="BY1096" s="6"/>
      <c r="BZ1096" s="6"/>
      <c r="CA1096" s="6"/>
      <c r="CB1096" s="6"/>
      <c r="CC1096" s="6"/>
      <c r="CD1096" s="6"/>
      <c r="CE1096" s="6"/>
      <c r="CF1096" s="6"/>
      <c r="CG1096" s="6"/>
      <c r="CH1096" s="6"/>
      <c r="CI1096" s="6"/>
      <c r="CJ1096" s="6"/>
      <c r="CK1096" s="6"/>
      <c r="CL1096" s="6"/>
      <c r="CM1096" s="6"/>
      <c r="CN1096" s="6"/>
      <c r="CO1096" s="6"/>
      <c r="CP1096" s="6"/>
      <c r="CQ1096" s="6"/>
      <c r="CR1096" s="6"/>
      <c r="CS1096" s="6"/>
      <c r="CT1096" s="6"/>
      <c r="CU1096" s="6"/>
      <c r="CV1096" s="6"/>
      <c r="CW1096" s="6"/>
      <c r="CX1096" s="6"/>
      <c r="CY1096" s="6"/>
      <c r="CZ1096" s="6"/>
      <c r="DA1096" s="6"/>
      <c r="DB1096" s="6"/>
      <c r="DC1096" s="6"/>
      <c r="DD1096" s="6"/>
      <c r="DE1096" s="6"/>
      <c r="DF1096" s="6"/>
      <c r="DG1096" s="6"/>
      <c r="DH1096" s="6"/>
      <c r="DI1096" s="6"/>
      <c r="DJ1096" s="6"/>
      <c r="DK1096" s="6"/>
      <c r="DL1096" s="6"/>
      <c r="DM1096" s="6"/>
      <c r="DN1096" s="6"/>
      <c r="DO1096" s="6"/>
      <c r="DP1096" s="6"/>
      <c r="DQ1096" s="6"/>
      <c r="DR1096" s="6"/>
      <c r="DS1096" s="6"/>
      <c r="DT1096" s="6"/>
      <c r="DU1096" s="6"/>
      <c r="DV1096" s="6"/>
      <c r="DW1096" s="6"/>
      <c r="DX1096" s="6"/>
      <c r="DY1096" s="6"/>
      <c r="DZ1096" s="6"/>
      <c r="EA1096" s="6"/>
      <c r="EB1096" s="6"/>
      <c r="EC1096" s="6"/>
      <c r="ED1096" s="6"/>
      <c r="EE1096" s="6"/>
      <c r="EF1096" s="6"/>
      <c r="EG1096" s="6"/>
      <c r="EH1096" s="6"/>
      <c r="EI1096" s="6"/>
      <c r="EJ1096" s="6"/>
      <c r="EK1096" s="6"/>
      <c r="EL1096" s="6"/>
      <c r="EM1096" s="6"/>
      <c r="EN1096" s="6"/>
      <c r="EO1096" s="6"/>
      <c r="EP1096" s="6"/>
      <c r="EQ1096" s="6"/>
      <c r="ER1096" s="6"/>
      <c r="ES1096" s="6"/>
      <c r="ET1096" s="6"/>
      <c r="EU1096" s="6"/>
      <c r="EV1096" s="6"/>
      <c r="EW1096" s="6"/>
      <c r="EX1096" s="6"/>
      <c r="EY1096" s="6"/>
      <c r="EZ1096" s="6"/>
      <c r="FA1096" s="6"/>
      <c r="FB1096" s="6"/>
      <c r="FC1096" s="6"/>
      <c r="FD1096" s="6"/>
      <c r="FE1096" s="6"/>
      <c r="FF1096" s="6"/>
      <c r="FG1096" s="6"/>
      <c r="FH1096" s="6"/>
      <c r="FI1096" s="6"/>
      <c r="FJ1096" s="6"/>
      <c r="FK1096" s="6"/>
      <c r="FL1096" s="6"/>
      <c r="FM1096" s="6"/>
      <c r="FN1096" s="6"/>
      <c r="FO1096" s="6"/>
      <c r="FP1096" s="6"/>
      <c r="FQ1096" s="6"/>
      <c r="FR1096" s="6"/>
      <c r="FS1096" s="6"/>
      <c r="FT1096" s="6"/>
      <c r="FU1096" s="6"/>
      <c r="FV1096" s="6"/>
      <c r="FW1096" s="6"/>
      <c r="FX1096" s="6"/>
      <c r="FY1096" s="6"/>
      <c r="FZ1096" s="6"/>
      <c r="GA1096" s="6"/>
      <c r="GB1096" s="6"/>
      <c r="GC1096" s="6"/>
      <c r="GD1096" s="6"/>
      <c r="GE1096" s="6"/>
      <c r="GF1096" s="6"/>
      <c r="GG1096" s="6"/>
      <c r="GH1096" s="6"/>
      <c r="GI1096" s="6"/>
      <c r="GJ1096" s="6"/>
      <c r="GK1096" s="6"/>
      <c r="GL1096" s="6"/>
      <c r="GM1096" s="6"/>
      <c r="GN1096" s="6"/>
      <c r="GO1096" s="6"/>
      <c r="GP1096" s="6"/>
      <c r="GQ1096" s="6"/>
      <c r="GR1096" s="6"/>
      <c r="GS1096" s="6"/>
      <c r="GT1096" s="6"/>
      <c r="GU1096" s="6"/>
      <c r="GV1096" s="6"/>
      <c r="GW1096" s="6"/>
      <c r="GX1096" s="6"/>
      <c r="GY1096" s="6"/>
      <c r="GZ1096" s="6"/>
      <c r="HA1096" s="6"/>
      <c r="HB1096" s="6"/>
      <c r="HC1096" s="6"/>
      <c r="HD1096" s="6"/>
      <c r="HE1096" s="6"/>
      <c r="HF1096" s="6"/>
      <c r="HG1096" s="6"/>
      <c r="HH1096" s="6"/>
    </row>
    <row r="1097" spans="1:216" x14ac:dyDescent="0.3">
      <c r="A1097" s="8"/>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6"/>
      <c r="AR1097" s="6"/>
      <c r="AS1097" s="6"/>
      <c r="AT1097" s="6"/>
      <c r="AU1097" s="6"/>
      <c r="AV1097" s="6"/>
      <c r="AW1097" s="6"/>
      <c r="AX1097" s="6"/>
      <c r="AY1097" s="6"/>
      <c r="AZ1097" s="6"/>
      <c r="BA1097" s="6"/>
      <c r="BB1097" s="6"/>
      <c r="BC1097" s="6"/>
      <c r="BD1097" s="6"/>
      <c r="BE1097" s="6"/>
      <c r="BF1097" s="6"/>
      <c r="BG1097" s="6"/>
      <c r="BH1097" s="6"/>
      <c r="BI1097" s="6"/>
      <c r="BJ1097" s="6"/>
      <c r="BK1097" s="6"/>
      <c r="BL1097" s="6"/>
      <c r="BM1097" s="6"/>
      <c r="BN1097" s="6"/>
      <c r="BO1097" s="6"/>
      <c r="BP1097" s="6"/>
      <c r="BQ1097" s="6"/>
      <c r="BR1097" s="6"/>
      <c r="BS1097" s="6"/>
      <c r="BT1097" s="6"/>
      <c r="BU1097" s="6"/>
      <c r="BV1097" s="6"/>
      <c r="BW1097" s="6"/>
      <c r="BX1097" s="6"/>
      <c r="BY1097" s="6"/>
      <c r="BZ1097" s="6"/>
      <c r="CA1097" s="6"/>
      <c r="CB1097" s="6"/>
      <c r="CC1097" s="6"/>
      <c r="CD1097" s="6"/>
      <c r="CE1097" s="6"/>
      <c r="CF1097" s="6"/>
      <c r="CG1097" s="6"/>
      <c r="CH1097" s="6"/>
      <c r="CI1097" s="6"/>
      <c r="CJ1097" s="6"/>
      <c r="CK1097" s="6"/>
      <c r="CL1097" s="6"/>
      <c r="CM1097" s="6"/>
      <c r="CN1097" s="6"/>
      <c r="CO1097" s="6"/>
      <c r="CP1097" s="6"/>
      <c r="CQ1097" s="6"/>
      <c r="CR1097" s="6"/>
      <c r="CS1097" s="6"/>
      <c r="CT1097" s="6"/>
      <c r="CU1097" s="6"/>
      <c r="CV1097" s="6"/>
      <c r="CW1097" s="6"/>
      <c r="CX1097" s="6"/>
      <c r="CY1097" s="6"/>
      <c r="CZ1097" s="6"/>
      <c r="DA1097" s="6"/>
      <c r="DB1097" s="6"/>
      <c r="DC1097" s="6"/>
      <c r="DD1097" s="6"/>
      <c r="DE1097" s="6"/>
      <c r="DF1097" s="6"/>
      <c r="DG1097" s="6"/>
      <c r="DH1097" s="6"/>
      <c r="DI1097" s="6"/>
      <c r="DJ1097" s="6"/>
      <c r="DK1097" s="6"/>
      <c r="DL1097" s="6"/>
      <c r="DM1097" s="6"/>
      <c r="DN1097" s="6"/>
      <c r="DO1097" s="6"/>
      <c r="DP1097" s="6"/>
      <c r="DQ1097" s="6"/>
      <c r="DR1097" s="6"/>
      <c r="DS1097" s="6"/>
      <c r="DT1097" s="6"/>
      <c r="DU1097" s="6"/>
      <c r="DV1097" s="6"/>
      <c r="DW1097" s="6"/>
      <c r="DX1097" s="6"/>
      <c r="DY1097" s="6"/>
      <c r="DZ1097" s="6"/>
      <c r="EA1097" s="6"/>
      <c r="EB1097" s="6"/>
      <c r="EC1097" s="6"/>
      <c r="ED1097" s="6"/>
      <c r="EE1097" s="6"/>
      <c r="EF1097" s="6"/>
      <c r="EG1097" s="6"/>
      <c r="EH1097" s="6"/>
      <c r="EI1097" s="6"/>
      <c r="EJ1097" s="6"/>
      <c r="EK1097" s="6"/>
      <c r="EL1097" s="6"/>
      <c r="EM1097" s="6"/>
      <c r="EN1097" s="6"/>
      <c r="EO1097" s="6"/>
      <c r="EP1097" s="6"/>
      <c r="EQ1097" s="6"/>
      <c r="ER1097" s="6"/>
      <c r="ES1097" s="6"/>
      <c r="ET1097" s="6"/>
      <c r="EU1097" s="6"/>
      <c r="EV1097" s="6"/>
      <c r="EW1097" s="6"/>
      <c r="EX1097" s="6"/>
      <c r="EY1097" s="6"/>
      <c r="EZ1097" s="6"/>
      <c r="FA1097" s="6"/>
      <c r="FB1097" s="6"/>
      <c r="FC1097" s="6"/>
      <c r="FD1097" s="6"/>
      <c r="FE1097" s="6"/>
      <c r="FF1097" s="6"/>
      <c r="FG1097" s="6"/>
      <c r="FH1097" s="6"/>
      <c r="FI1097" s="6"/>
      <c r="FJ1097" s="6"/>
      <c r="FK1097" s="6"/>
      <c r="FL1097" s="6"/>
      <c r="FM1097" s="6"/>
      <c r="FN1097" s="6"/>
      <c r="FO1097" s="6"/>
      <c r="FP1097" s="6"/>
      <c r="FQ1097" s="6"/>
      <c r="FR1097" s="6"/>
      <c r="FS1097" s="6"/>
      <c r="FT1097" s="6"/>
      <c r="FU1097" s="6"/>
      <c r="FV1097" s="6"/>
      <c r="FW1097" s="6"/>
      <c r="FX1097" s="6"/>
      <c r="FY1097" s="6"/>
      <c r="FZ1097" s="6"/>
      <c r="GA1097" s="6"/>
      <c r="GB1097" s="6"/>
      <c r="GC1097" s="6"/>
      <c r="GD1097" s="6"/>
      <c r="GE1097" s="6"/>
      <c r="GF1097" s="6"/>
      <c r="GG1097" s="6"/>
      <c r="GH1097" s="6"/>
      <c r="GI1097" s="6"/>
      <c r="GJ1097" s="6"/>
      <c r="GK1097" s="6"/>
      <c r="GL1097" s="6"/>
      <c r="GM1097" s="6"/>
      <c r="GN1097" s="6"/>
      <c r="GO1097" s="6"/>
      <c r="GP1097" s="6"/>
      <c r="GQ1097" s="6"/>
      <c r="GR1097" s="6"/>
      <c r="GS1097" s="6"/>
      <c r="GT1097" s="6"/>
      <c r="GU1097" s="6"/>
      <c r="GV1097" s="6"/>
      <c r="GW1097" s="6"/>
      <c r="GX1097" s="6"/>
      <c r="GY1097" s="6"/>
      <c r="GZ1097" s="6"/>
      <c r="HA1097" s="6"/>
      <c r="HB1097" s="6"/>
      <c r="HC1097" s="6"/>
      <c r="HD1097" s="6"/>
      <c r="HE1097" s="6"/>
      <c r="HF1097" s="6"/>
      <c r="HG1097" s="6"/>
      <c r="HH1097" s="6"/>
    </row>
    <row r="1098" spans="1:216" x14ac:dyDescent="0.3">
      <c r="A1098" s="8"/>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6"/>
      <c r="AR1098" s="6"/>
      <c r="AS1098" s="6"/>
      <c r="AT1098" s="6"/>
      <c r="AU1098" s="6"/>
      <c r="AV1098" s="6"/>
      <c r="AW1098" s="6"/>
      <c r="AX1098" s="6"/>
      <c r="AY1098" s="6"/>
      <c r="AZ1098" s="6"/>
      <c r="BA1098" s="6"/>
      <c r="BB1098" s="6"/>
      <c r="BC1098" s="6"/>
      <c r="BD1098" s="6"/>
      <c r="BE1098" s="6"/>
      <c r="BF1098" s="6"/>
      <c r="BG1098" s="6"/>
      <c r="BH1098" s="6"/>
      <c r="BI1098" s="6"/>
      <c r="BJ1098" s="6"/>
      <c r="BK1098" s="6"/>
      <c r="BL1098" s="6"/>
      <c r="BM1098" s="6"/>
      <c r="BN1098" s="6"/>
      <c r="BO1098" s="6"/>
      <c r="BP1098" s="6"/>
      <c r="BQ1098" s="6"/>
      <c r="BR1098" s="6"/>
      <c r="BS1098" s="6"/>
      <c r="BT1098" s="6"/>
      <c r="BU1098" s="6"/>
      <c r="BV1098" s="6"/>
      <c r="BW1098" s="6"/>
      <c r="BX1098" s="6"/>
      <c r="BY1098" s="6"/>
      <c r="BZ1098" s="6"/>
      <c r="CA1098" s="6"/>
      <c r="CB1098" s="6"/>
      <c r="CC1098" s="6"/>
      <c r="CD1098" s="6"/>
      <c r="CE1098" s="6"/>
      <c r="CF1098" s="6"/>
      <c r="CG1098" s="6"/>
      <c r="CH1098" s="6"/>
      <c r="CI1098" s="6"/>
      <c r="CJ1098" s="6"/>
      <c r="CK1098" s="6"/>
      <c r="CL1098" s="6"/>
      <c r="CM1098" s="6"/>
      <c r="CN1098" s="6"/>
      <c r="CO1098" s="6"/>
      <c r="CP1098" s="6"/>
      <c r="CQ1098" s="6"/>
      <c r="CR1098" s="6"/>
      <c r="CS1098" s="6"/>
      <c r="CT1098" s="6"/>
      <c r="CU1098" s="6"/>
      <c r="CV1098" s="6"/>
      <c r="CW1098" s="6"/>
      <c r="CX1098" s="6"/>
      <c r="CY1098" s="6"/>
      <c r="CZ1098" s="6"/>
      <c r="DA1098" s="6"/>
      <c r="DB1098" s="6"/>
      <c r="DC1098" s="6"/>
      <c r="DD1098" s="6"/>
      <c r="DE1098" s="6"/>
      <c r="DF1098" s="6"/>
      <c r="DG1098" s="6"/>
      <c r="DH1098" s="6"/>
      <c r="DI1098" s="6"/>
      <c r="DJ1098" s="6"/>
      <c r="DK1098" s="6"/>
      <c r="DL1098" s="6"/>
      <c r="DM1098" s="6"/>
      <c r="DN1098" s="6"/>
      <c r="DO1098" s="6"/>
      <c r="DP1098" s="6"/>
      <c r="DQ1098" s="6"/>
      <c r="DR1098" s="6"/>
      <c r="DS1098" s="6"/>
      <c r="DT1098" s="6"/>
      <c r="DU1098" s="6"/>
      <c r="DV1098" s="6"/>
      <c r="DW1098" s="6"/>
      <c r="DX1098" s="6"/>
      <c r="DY1098" s="6"/>
      <c r="DZ1098" s="6"/>
      <c r="EA1098" s="6"/>
      <c r="EB1098" s="6"/>
      <c r="EC1098" s="6"/>
      <c r="ED1098" s="6"/>
      <c r="EE1098" s="6"/>
      <c r="EF1098" s="6"/>
      <c r="EG1098" s="6"/>
      <c r="EH1098" s="6"/>
      <c r="EI1098" s="6"/>
      <c r="EJ1098" s="6"/>
      <c r="EK1098" s="6"/>
      <c r="EL1098" s="6"/>
      <c r="EM1098" s="6"/>
      <c r="EN1098" s="6"/>
      <c r="EO1098" s="6"/>
      <c r="EP1098" s="6"/>
      <c r="EQ1098" s="6"/>
      <c r="ER1098" s="6"/>
      <c r="ES1098" s="6"/>
      <c r="ET1098" s="6"/>
      <c r="EU1098" s="6"/>
      <c r="EV1098" s="6"/>
      <c r="EW1098" s="6"/>
      <c r="EX1098" s="6"/>
      <c r="EY1098" s="6"/>
      <c r="EZ1098" s="6"/>
      <c r="FA1098" s="6"/>
      <c r="FB1098" s="6"/>
      <c r="FC1098" s="6"/>
      <c r="FD1098" s="6"/>
      <c r="FE1098" s="6"/>
      <c r="FF1098" s="6"/>
      <c r="FG1098" s="6"/>
      <c r="FH1098" s="6"/>
      <c r="FI1098" s="6"/>
      <c r="FJ1098" s="6"/>
      <c r="FK1098" s="6"/>
      <c r="FL1098" s="6"/>
      <c r="FM1098" s="6"/>
      <c r="FN1098" s="6"/>
      <c r="FO1098" s="6"/>
      <c r="FP1098" s="6"/>
      <c r="FQ1098" s="6"/>
      <c r="FR1098" s="6"/>
      <c r="FS1098" s="6"/>
      <c r="FT1098" s="6"/>
      <c r="FU1098" s="6"/>
      <c r="FV1098" s="6"/>
      <c r="FW1098" s="6"/>
      <c r="FX1098" s="6"/>
      <c r="FY1098" s="6"/>
      <c r="FZ1098" s="6"/>
      <c r="GA1098" s="6"/>
      <c r="GB1098" s="6"/>
      <c r="GC1098" s="6"/>
      <c r="GD1098" s="6"/>
      <c r="GE1098" s="6"/>
      <c r="GF1098" s="6"/>
      <c r="GG1098" s="6"/>
      <c r="GH1098" s="6"/>
      <c r="GI1098" s="6"/>
      <c r="GJ1098" s="6"/>
      <c r="GK1098" s="6"/>
      <c r="GL1098" s="6"/>
      <c r="GM1098" s="6"/>
      <c r="GN1098" s="6"/>
      <c r="GO1098" s="6"/>
      <c r="GP1098" s="6"/>
      <c r="GQ1098" s="6"/>
      <c r="GR1098" s="6"/>
      <c r="GS1098" s="6"/>
      <c r="GT1098" s="6"/>
      <c r="GU1098" s="6"/>
      <c r="GV1098" s="6"/>
      <c r="GW1098" s="6"/>
      <c r="GX1098" s="6"/>
      <c r="GY1098" s="6"/>
      <c r="GZ1098" s="6"/>
      <c r="HA1098" s="6"/>
      <c r="HB1098" s="6"/>
      <c r="HC1098" s="6"/>
      <c r="HD1098" s="6"/>
      <c r="HE1098" s="6"/>
      <c r="HF1098" s="6"/>
      <c r="HG1098" s="6"/>
      <c r="HH1098" s="6"/>
    </row>
    <row r="1099" spans="1:216" x14ac:dyDescent="0.3">
      <c r="A1099" s="8"/>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c r="DX1099" s="6"/>
      <c r="DY1099" s="6"/>
      <c r="DZ1099" s="6"/>
      <c r="EA1099" s="6"/>
      <c r="EB1099" s="6"/>
      <c r="EC1099" s="6"/>
      <c r="ED1099" s="6"/>
      <c r="EE1099" s="6"/>
      <c r="EF1099" s="6"/>
      <c r="EG1099" s="6"/>
      <c r="EH1099" s="6"/>
      <c r="EI1099" s="6"/>
      <c r="EJ1099" s="6"/>
      <c r="EK1099" s="6"/>
      <c r="EL1099" s="6"/>
      <c r="EM1099" s="6"/>
      <c r="EN1099" s="6"/>
      <c r="EO1099" s="6"/>
      <c r="EP1099" s="6"/>
      <c r="EQ1099" s="6"/>
      <c r="ER1099" s="6"/>
      <c r="ES1099" s="6"/>
      <c r="ET1099" s="6"/>
      <c r="EU1099" s="6"/>
      <c r="EV1099" s="6"/>
      <c r="EW1099" s="6"/>
      <c r="EX1099" s="6"/>
      <c r="EY1099" s="6"/>
      <c r="EZ1099" s="6"/>
      <c r="FA1099" s="6"/>
      <c r="FB1099" s="6"/>
      <c r="FC1099" s="6"/>
      <c r="FD1099" s="6"/>
      <c r="FE1099" s="6"/>
      <c r="FF1099" s="6"/>
      <c r="FG1099" s="6"/>
      <c r="FH1099" s="6"/>
      <c r="FI1099" s="6"/>
      <c r="FJ1099" s="6"/>
      <c r="FK1099" s="6"/>
      <c r="FL1099" s="6"/>
      <c r="FM1099" s="6"/>
      <c r="FN1099" s="6"/>
      <c r="FO1099" s="6"/>
      <c r="FP1099" s="6"/>
      <c r="FQ1099" s="6"/>
      <c r="FR1099" s="6"/>
      <c r="FS1099" s="6"/>
      <c r="FT1099" s="6"/>
      <c r="FU1099" s="6"/>
      <c r="FV1099" s="6"/>
      <c r="FW1099" s="6"/>
      <c r="FX1099" s="6"/>
      <c r="FY1099" s="6"/>
      <c r="FZ1099" s="6"/>
      <c r="GA1099" s="6"/>
      <c r="GB1099" s="6"/>
      <c r="GC1099" s="6"/>
      <c r="GD1099" s="6"/>
      <c r="GE1099" s="6"/>
      <c r="GF1099" s="6"/>
      <c r="GG1099" s="6"/>
      <c r="GH1099" s="6"/>
      <c r="GI1099" s="6"/>
      <c r="GJ1099" s="6"/>
      <c r="GK1099" s="6"/>
      <c r="GL1099" s="6"/>
      <c r="GM1099" s="6"/>
      <c r="GN1099" s="6"/>
      <c r="GO1099" s="6"/>
      <c r="GP1099" s="6"/>
      <c r="GQ1099" s="6"/>
      <c r="GR1099" s="6"/>
      <c r="GS1099" s="6"/>
      <c r="GT1099" s="6"/>
      <c r="GU1099" s="6"/>
      <c r="GV1099" s="6"/>
      <c r="GW1099" s="6"/>
      <c r="GX1099" s="6"/>
      <c r="GY1099" s="6"/>
      <c r="GZ1099" s="6"/>
      <c r="HA1099" s="6"/>
      <c r="HB1099" s="6"/>
      <c r="HC1099" s="6"/>
      <c r="HD1099" s="6"/>
      <c r="HE1099" s="6"/>
      <c r="HF1099" s="6"/>
      <c r="HG1099" s="6"/>
      <c r="HH1099" s="6"/>
    </row>
    <row r="1100" spans="1:216" x14ac:dyDescent="0.3">
      <c r="A1100" s="8"/>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6"/>
      <c r="AR1100" s="6"/>
      <c r="AS1100" s="6"/>
      <c r="AT1100" s="6"/>
      <c r="AU1100" s="6"/>
      <c r="AV1100" s="6"/>
      <c r="AW1100" s="6"/>
      <c r="AX1100" s="6"/>
      <c r="AY1100" s="6"/>
      <c r="AZ1100" s="6"/>
      <c r="BA1100" s="6"/>
      <c r="BB1100" s="6"/>
      <c r="BC1100" s="6"/>
      <c r="BD1100" s="6"/>
      <c r="BE1100" s="6"/>
      <c r="BF1100" s="6"/>
      <c r="BG1100" s="6"/>
      <c r="BH1100" s="6"/>
      <c r="BI1100" s="6"/>
      <c r="BJ1100" s="6"/>
      <c r="BK1100" s="6"/>
      <c r="BL1100" s="6"/>
      <c r="BM1100" s="6"/>
      <c r="BN1100" s="6"/>
      <c r="BO1100" s="6"/>
      <c r="BP1100" s="6"/>
      <c r="BQ1100" s="6"/>
      <c r="BR1100" s="6"/>
      <c r="BS1100" s="6"/>
      <c r="BT1100" s="6"/>
      <c r="BU1100" s="6"/>
      <c r="BV1100" s="6"/>
      <c r="BW1100" s="6"/>
      <c r="BX1100" s="6"/>
      <c r="BY1100" s="6"/>
      <c r="BZ1100" s="6"/>
      <c r="CA1100" s="6"/>
      <c r="CB1100" s="6"/>
      <c r="CC1100" s="6"/>
      <c r="CD1100" s="6"/>
      <c r="CE1100" s="6"/>
      <c r="CF1100" s="6"/>
      <c r="CG1100" s="6"/>
      <c r="CH1100" s="6"/>
      <c r="CI1100" s="6"/>
      <c r="CJ1100" s="6"/>
      <c r="CK1100" s="6"/>
      <c r="CL1100" s="6"/>
      <c r="CM1100" s="6"/>
      <c r="CN1100" s="6"/>
      <c r="CO1100" s="6"/>
      <c r="CP1100" s="6"/>
      <c r="CQ1100" s="6"/>
      <c r="CR1100" s="6"/>
      <c r="CS1100" s="6"/>
      <c r="CT1100" s="6"/>
      <c r="CU1100" s="6"/>
      <c r="CV1100" s="6"/>
      <c r="CW1100" s="6"/>
      <c r="CX1100" s="6"/>
      <c r="CY1100" s="6"/>
      <c r="CZ1100" s="6"/>
      <c r="DA1100" s="6"/>
      <c r="DB1100" s="6"/>
      <c r="DC1100" s="6"/>
      <c r="DD1100" s="6"/>
      <c r="DE1100" s="6"/>
      <c r="DF1100" s="6"/>
      <c r="DG1100" s="6"/>
      <c r="DH1100" s="6"/>
      <c r="DI1100" s="6"/>
      <c r="DJ1100" s="6"/>
      <c r="DK1100" s="6"/>
      <c r="DL1100" s="6"/>
      <c r="DM1100" s="6"/>
      <c r="DN1100" s="6"/>
      <c r="DO1100" s="6"/>
      <c r="DP1100" s="6"/>
      <c r="DQ1100" s="6"/>
      <c r="DR1100" s="6"/>
      <c r="DS1100" s="6"/>
      <c r="DT1100" s="6"/>
      <c r="DU1100" s="6"/>
      <c r="DV1100" s="6"/>
      <c r="DW1100" s="6"/>
      <c r="DX1100" s="6"/>
      <c r="DY1100" s="6"/>
      <c r="DZ1100" s="6"/>
      <c r="EA1100" s="6"/>
      <c r="EB1100" s="6"/>
      <c r="EC1100" s="6"/>
      <c r="ED1100" s="6"/>
      <c r="EE1100" s="6"/>
      <c r="EF1100" s="6"/>
      <c r="EG1100" s="6"/>
      <c r="EH1100" s="6"/>
      <c r="EI1100" s="6"/>
      <c r="EJ1100" s="6"/>
      <c r="EK1100" s="6"/>
      <c r="EL1100" s="6"/>
      <c r="EM1100" s="6"/>
      <c r="EN1100" s="6"/>
      <c r="EO1100" s="6"/>
      <c r="EP1100" s="6"/>
      <c r="EQ1100" s="6"/>
      <c r="ER1100" s="6"/>
      <c r="ES1100" s="6"/>
      <c r="ET1100" s="6"/>
      <c r="EU1100" s="6"/>
      <c r="EV1100" s="6"/>
      <c r="EW1100" s="6"/>
      <c r="EX1100" s="6"/>
      <c r="EY1100" s="6"/>
      <c r="EZ1100" s="6"/>
      <c r="FA1100" s="6"/>
      <c r="FB1100" s="6"/>
      <c r="FC1100" s="6"/>
      <c r="FD1100" s="6"/>
      <c r="FE1100" s="6"/>
      <c r="FF1100" s="6"/>
      <c r="FG1100" s="6"/>
      <c r="FH1100" s="6"/>
      <c r="FI1100" s="6"/>
      <c r="FJ1100" s="6"/>
      <c r="FK1100" s="6"/>
      <c r="FL1100" s="6"/>
      <c r="FM1100" s="6"/>
      <c r="FN1100" s="6"/>
      <c r="FO1100" s="6"/>
      <c r="FP1100" s="6"/>
      <c r="FQ1100" s="6"/>
      <c r="FR1100" s="6"/>
      <c r="FS1100" s="6"/>
      <c r="FT1100" s="6"/>
      <c r="FU1100" s="6"/>
      <c r="FV1100" s="6"/>
      <c r="FW1100" s="6"/>
      <c r="FX1100" s="6"/>
      <c r="FY1100" s="6"/>
      <c r="FZ1100" s="6"/>
      <c r="GA1100" s="6"/>
      <c r="GB1100" s="6"/>
      <c r="GC1100" s="6"/>
      <c r="GD1100" s="6"/>
      <c r="GE1100" s="6"/>
      <c r="GF1100" s="6"/>
      <c r="GG1100" s="6"/>
      <c r="GH1100" s="6"/>
      <c r="GI1100" s="6"/>
      <c r="GJ1100" s="6"/>
      <c r="GK1100" s="6"/>
      <c r="GL1100" s="6"/>
      <c r="GM1100" s="6"/>
      <c r="GN1100" s="6"/>
      <c r="GO1100" s="6"/>
      <c r="GP1100" s="6"/>
      <c r="GQ1100" s="6"/>
      <c r="GR1100" s="6"/>
      <c r="GS1100" s="6"/>
      <c r="GT1100" s="6"/>
      <c r="GU1100" s="6"/>
      <c r="GV1100" s="6"/>
      <c r="GW1100" s="6"/>
      <c r="GX1100" s="6"/>
      <c r="GY1100" s="6"/>
      <c r="GZ1100" s="6"/>
      <c r="HA1100" s="6"/>
      <c r="HB1100" s="6"/>
      <c r="HC1100" s="6"/>
      <c r="HD1100" s="6"/>
      <c r="HE1100" s="6"/>
      <c r="HF1100" s="6"/>
      <c r="HG1100" s="6"/>
      <c r="HH1100" s="6"/>
    </row>
    <row r="1101" spans="1:216" x14ac:dyDescent="0.3">
      <c r="A1101" s="8"/>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6"/>
      <c r="AR1101" s="6"/>
      <c r="AS1101" s="6"/>
      <c r="AT1101" s="6"/>
      <c r="AU1101" s="6"/>
      <c r="AV1101" s="6"/>
      <c r="AW1101" s="6"/>
      <c r="AX1101" s="6"/>
      <c r="AY1101" s="6"/>
      <c r="AZ1101" s="6"/>
      <c r="BA1101" s="6"/>
      <c r="BB1101" s="6"/>
      <c r="BC1101" s="6"/>
      <c r="BD1101" s="6"/>
      <c r="BE1101" s="6"/>
      <c r="BF1101" s="6"/>
      <c r="BG1101" s="6"/>
      <c r="BH1101" s="6"/>
      <c r="BI1101" s="6"/>
      <c r="BJ1101" s="6"/>
      <c r="BK1101" s="6"/>
      <c r="BL1101" s="6"/>
      <c r="BM1101" s="6"/>
      <c r="BN1101" s="6"/>
      <c r="BO1101" s="6"/>
      <c r="BP1101" s="6"/>
      <c r="BQ1101" s="6"/>
      <c r="BR1101" s="6"/>
      <c r="BS1101" s="6"/>
      <c r="BT1101" s="6"/>
      <c r="BU1101" s="6"/>
      <c r="BV1101" s="6"/>
      <c r="BW1101" s="6"/>
      <c r="BX1101" s="6"/>
      <c r="BY1101" s="6"/>
      <c r="BZ1101" s="6"/>
      <c r="CA1101" s="6"/>
      <c r="CB1101" s="6"/>
      <c r="CC1101" s="6"/>
      <c r="CD1101" s="6"/>
      <c r="CE1101" s="6"/>
      <c r="CF1101" s="6"/>
      <c r="CG1101" s="6"/>
      <c r="CH1101" s="6"/>
      <c r="CI1101" s="6"/>
      <c r="CJ1101" s="6"/>
      <c r="CK1101" s="6"/>
      <c r="CL1101" s="6"/>
      <c r="CM1101" s="6"/>
      <c r="CN1101" s="6"/>
      <c r="CO1101" s="6"/>
      <c r="CP1101" s="6"/>
      <c r="CQ1101" s="6"/>
      <c r="CR1101" s="6"/>
      <c r="CS1101" s="6"/>
      <c r="CT1101" s="6"/>
      <c r="CU1101" s="6"/>
      <c r="CV1101" s="6"/>
      <c r="CW1101" s="6"/>
      <c r="CX1101" s="6"/>
      <c r="CY1101" s="6"/>
      <c r="CZ1101" s="6"/>
      <c r="DA1101" s="6"/>
      <c r="DB1101" s="6"/>
      <c r="DC1101" s="6"/>
      <c r="DD1101" s="6"/>
      <c r="DE1101" s="6"/>
      <c r="DF1101" s="6"/>
      <c r="DG1101" s="6"/>
      <c r="DH1101" s="6"/>
      <c r="DI1101" s="6"/>
      <c r="DJ1101" s="6"/>
      <c r="DK1101" s="6"/>
      <c r="DL1101" s="6"/>
      <c r="DM1101" s="6"/>
      <c r="DN1101" s="6"/>
      <c r="DO1101" s="6"/>
      <c r="DP1101" s="6"/>
      <c r="DQ1101" s="6"/>
      <c r="DR1101" s="6"/>
      <c r="DS1101" s="6"/>
      <c r="DT1101" s="6"/>
      <c r="DU1101" s="6"/>
      <c r="DV1101" s="6"/>
      <c r="DW1101" s="6"/>
      <c r="DX1101" s="6"/>
      <c r="DY1101" s="6"/>
      <c r="DZ1101" s="6"/>
      <c r="EA1101" s="6"/>
      <c r="EB1101" s="6"/>
      <c r="EC1101" s="6"/>
      <c r="ED1101" s="6"/>
      <c r="EE1101" s="6"/>
      <c r="EF1101" s="6"/>
      <c r="EG1101" s="6"/>
      <c r="EH1101" s="6"/>
      <c r="EI1101" s="6"/>
      <c r="EJ1101" s="6"/>
      <c r="EK1101" s="6"/>
      <c r="EL1101" s="6"/>
      <c r="EM1101" s="6"/>
      <c r="EN1101" s="6"/>
      <c r="EO1101" s="6"/>
      <c r="EP1101" s="6"/>
      <c r="EQ1101" s="6"/>
      <c r="ER1101" s="6"/>
      <c r="ES1101" s="6"/>
      <c r="ET1101" s="6"/>
      <c r="EU1101" s="6"/>
      <c r="EV1101" s="6"/>
      <c r="EW1101" s="6"/>
      <c r="EX1101" s="6"/>
      <c r="EY1101" s="6"/>
      <c r="EZ1101" s="6"/>
      <c r="FA1101" s="6"/>
      <c r="FB1101" s="6"/>
      <c r="FC1101" s="6"/>
      <c r="FD1101" s="6"/>
      <c r="FE1101" s="6"/>
      <c r="FF1101" s="6"/>
      <c r="FG1101" s="6"/>
      <c r="FH1101" s="6"/>
      <c r="FI1101" s="6"/>
      <c r="FJ1101" s="6"/>
      <c r="FK1101" s="6"/>
      <c r="FL1101" s="6"/>
      <c r="FM1101" s="6"/>
      <c r="FN1101" s="6"/>
      <c r="FO1101" s="6"/>
      <c r="FP1101" s="6"/>
      <c r="FQ1101" s="6"/>
      <c r="FR1101" s="6"/>
      <c r="FS1101" s="6"/>
      <c r="FT1101" s="6"/>
      <c r="FU1101" s="6"/>
      <c r="FV1101" s="6"/>
      <c r="FW1101" s="6"/>
      <c r="FX1101" s="6"/>
      <c r="FY1101" s="6"/>
      <c r="FZ1101" s="6"/>
      <c r="GA1101" s="6"/>
      <c r="GB1101" s="6"/>
      <c r="GC1101" s="6"/>
      <c r="GD1101" s="6"/>
      <c r="GE1101" s="6"/>
      <c r="GF1101" s="6"/>
      <c r="GG1101" s="6"/>
      <c r="GH1101" s="6"/>
      <c r="GI1101" s="6"/>
      <c r="GJ1101" s="6"/>
      <c r="GK1101" s="6"/>
      <c r="GL1101" s="6"/>
      <c r="GM1101" s="6"/>
      <c r="GN1101" s="6"/>
      <c r="GO1101" s="6"/>
      <c r="GP1101" s="6"/>
      <c r="GQ1101" s="6"/>
      <c r="GR1101" s="6"/>
      <c r="GS1101" s="6"/>
      <c r="GT1101" s="6"/>
      <c r="GU1101" s="6"/>
      <c r="GV1101" s="6"/>
      <c r="GW1101" s="6"/>
      <c r="GX1101" s="6"/>
      <c r="GY1101" s="6"/>
      <c r="GZ1101" s="6"/>
      <c r="HA1101" s="6"/>
      <c r="HB1101" s="6"/>
      <c r="HC1101" s="6"/>
      <c r="HD1101" s="6"/>
      <c r="HE1101" s="6"/>
      <c r="HF1101" s="6"/>
      <c r="HG1101" s="6"/>
      <c r="HH1101" s="6"/>
    </row>
    <row r="1102" spans="1:216" x14ac:dyDescent="0.3">
      <c r="A1102" s="8"/>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c r="DX1102" s="6"/>
      <c r="DY1102" s="6"/>
      <c r="DZ1102" s="6"/>
      <c r="EA1102" s="6"/>
      <c r="EB1102" s="6"/>
      <c r="EC1102" s="6"/>
      <c r="ED1102" s="6"/>
      <c r="EE1102" s="6"/>
      <c r="EF1102" s="6"/>
      <c r="EG1102" s="6"/>
      <c r="EH1102" s="6"/>
      <c r="EI1102" s="6"/>
      <c r="EJ1102" s="6"/>
      <c r="EK1102" s="6"/>
      <c r="EL1102" s="6"/>
      <c r="EM1102" s="6"/>
      <c r="EN1102" s="6"/>
      <c r="EO1102" s="6"/>
      <c r="EP1102" s="6"/>
      <c r="EQ1102" s="6"/>
      <c r="ER1102" s="6"/>
      <c r="ES1102" s="6"/>
      <c r="ET1102" s="6"/>
      <c r="EU1102" s="6"/>
      <c r="EV1102" s="6"/>
      <c r="EW1102" s="6"/>
      <c r="EX1102" s="6"/>
      <c r="EY1102" s="6"/>
      <c r="EZ1102" s="6"/>
      <c r="FA1102" s="6"/>
      <c r="FB1102" s="6"/>
      <c r="FC1102" s="6"/>
      <c r="FD1102" s="6"/>
      <c r="FE1102" s="6"/>
      <c r="FF1102" s="6"/>
      <c r="FG1102" s="6"/>
      <c r="FH1102" s="6"/>
      <c r="FI1102" s="6"/>
      <c r="FJ1102" s="6"/>
      <c r="FK1102" s="6"/>
      <c r="FL1102" s="6"/>
      <c r="FM1102" s="6"/>
      <c r="FN1102" s="6"/>
      <c r="FO1102" s="6"/>
      <c r="FP1102" s="6"/>
      <c r="FQ1102" s="6"/>
      <c r="FR1102" s="6"/>
      <c r="FS1102" s="6"/>
      <c r="FT1102" s="6"/>
      <c r="FU1102" s="6"/>
      <c r="FV1102" s="6"/>
      <c r="FW1102" s="6"/>
      <c r="FX1102" s="6"/>
      <c r="FY1102" s="6"/>
      <c r="FZ1102" s="6"/>
      <c r="GA1102" s="6"/>
      <c r="GB1102" s="6"/>
      <c r="GC1102" s="6"/>
      <c r="GD1102" s="6"/>
      <c r="GE1102" s="6"/>
      <c r="GF1102" s="6"/>
      <c r="GG1102" s="6"/>
      <c r="GH1102" s="6"/>
      <c r="GI1102" s="6"/>
      <c r="GJ1102" s="6"/>
      <c r="GK1102" s="6"/>
      <c r="GL1102" s="6"/>
      <c r="GM1102" s="6"/>
      <c r="GN1102" s="6"/>
      <c r="GO1102" s="6"/>
      <c r="GP1102" s="6"/>
      <c r="GQ1102" s="6"/>
      <c r="GR1102" s="6"/>
      <c r="GS1102" s="6"/>
      <c r="GT1102" s="6"/>
      <c r="GU1102" s="6"/>
      <c r="GV1102" s="6"/>
      <c r="GW1102" s="6"/>
      <c r="GX1102" s="6"/>
      <c r="GY1102" s="6"/>
      <c r="GZ1102" s="6"/>
      <c r="HA1102" s="6"/>
      <c r="HB1102" s="6"/>
      <c r="HC1102" s="6"/>
      <c r="HD1102" s="6"/>
      <c r="HE1102" s="6"/>
      <c r="HF1102" s="6"/>
      <c r="HG1102" s="6"/>
      <c r="HH1102" s="6"/>
    </row>
    <row r="1103" spans="1:216" x14ac:dyDescent="0.3">
      <c r="A1103" s="8"/>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6"/>
      <c r="AR1103" s="6"/>
      <c r="AS1103" s="6"/>
      <c r="AT1103" s="6"/>
      <c r="AU1103" s="6"/>
      <c r="AV1103" s="6"/>
      <c r="AW1103" s="6"/>
      <c r="AX1103" s="6"/>
      <c r="AY1103" s="6"/>
      <c r="AZ1103" s="6"/>
      <c r="BA1103" s="6"/>
      <c r="BB1103" s="6"/>
      <c r="BC1103" s="6"/>
      <c r="BD1103" s="6"/>
      <c r="BE1103" s="6"/>
      <c r="BF1103" s="6"/>
      <c r="BG1103" s="6"/>
      <c r="BH1103" s="6"/>
      <c r="BI1103" s="6"/>
      <c r="BJ1103" s="6"/>
      <c r="BK1103" s="6"/>
      <c r="BL1103" s="6"/>
      <c r="BM1103" s="6"/>
      <c r="BN1103" s="6"/>
      <c r="BO1103" s="6"/>
      <c r="BP1103" s="6"/>
      <c r="BQ1103" s="6"/>
      <c r="BR1103" s="6"/>
      <c r="BS1103" s="6"/>
      <c r="BT1103" s="6"/>
      <c r="BU1103" s="6"/>
      <c r="BV1103" s="6"/>
      <c r="BW1103" s="6"/>
      <c r="BX1103" s="6"/>
      <c r="BY1103" s="6"/>
      <c r="BZ1103" s="6"/>
      <c r="CA1103" s="6"/>
      <c r="CB1103" s="6"/>
      <c r="CC1103" s="6"/>
      <c r="CD1103" s="6"/>
      <c r="CE1103" s="6"/>
      <c r="CF1103" s="6"/>
      <c r="CG1103" s="6"/>
      <c r="CH1103" s="6"/>
      <c r="CI1103" s="6"/>
      <c r="CJ1103" s="6"/>
      <c r="CK1103" s="6"/>
      <c r="CL1103" s="6"/>
      <c r="CM1103" s="6"/>
      <c r="CN1103" s="6"/>
      <c r="CO1103" s="6"/>
      <c r="CP1103" s="6"/>
      <c r="CQ1103" s="6"/>
      <c r="CR1103" s="6"/>
      <c r="CS1103" s="6"/>
      <c r="CT1103" s="6"/>
      <c r="CU1103" s="6"/>
      <c r="CV1103" s="6"/>
      <c r="CW1103" s="6"/>
      <c r="CX1103" s="6"/>
      <c r="CY1103" s="6"/>
      <c r="CZ1103" s="6"/>
      <c r="DA1103" s="6"/>
      <c r="DB1103" s="6"/>
      <c r="DC1103" s="6"/>
      <c r="DD1103" s="6"/>
      <c r="DE1103" s="6"/>
      <c r="DF1103" s="6"/>
      <c r="DG1103" s="6"/>
      <c r="DH1103" s="6"/>
      <c r="DI1103" s="6"/>
      <c r="DJ1103" s="6"/>
      <c r="DK1103" s="6"/>
      <c r="DL1103" s="6"/>
      <c r="DM1103" s="6"/>
      <c r="DN1103" s="6"/>
      <c r="DO1103" s="6"/>
      <c r="DP1103" s="6"/>
      <c r="DQ1103" s="6"/>
      <c r="DR1103" s="6"/>
      <c r="DS1103" s="6"/>
      <c r="DT1103" s="6"/>
      <c r="DU1103" s="6"/>
      <c r="DV1103" s="6"/>
      <c r="DW1103" s="6"/>
      <c r="DX1103" s="6"/>
      <c r="DY1103" s="6"/>
      <c r="DZ1103" s="6"/>
      <c r="EA1103" s="6"/>
      <c r="EB1103" s="6"/>
      <c r="EC1103" s="6"/>
      <c r="ED1103" s="6"/>
      <c r="EE1103" s="6"/>
      <c r="EF1103" s="6"/>
      <c r="EG1103" s="6"/>
      <c r="EH1103" s="6"/>
      <c r="EI1103" s="6"/>
      <c r="EJ1103" s="6"/>
      <c r="EK1103" s="6"/>
      <c r="EL1103" s="6"/>
      <c r="EM1103" s="6"/>
      <c r="EN1103" s="6"/>
      <c r="EO1103" s="6"/>
      <c r="EP1103" s="6"/>
      <c r="EQ1103" s="6"/>
      <c r="ER1103" s="6"/>
      <c r="ES1103" s="6"/>
      <c r="ET1103" s="6"/>
      <c r="EU1103" s="6"/>
      <c r="EV1103" s="6"/>
      <c r="EW1103" s="6"/>
      <c r="EX1103" s="6"/>
      <c r="EY1103" s="6"/>
      <c r="EZ1103" s="6"/>
      <c r="FA1103" s="6"/>
      <c r="FB1103" s="6"/>
      <c r="FC1103" s="6"/>
      <c r="FD1103" s="6"/>
      <c r="FE1103" s="6"/>
      <c r="FF1103" s="6"/>
      <c r="FG1103" s="6"/>
      <c r="FH1103" s="6"/>
      <c r="FI1103" s="6"/>
      <c r="FJ1103" s="6"/>
      <c r="FK1103" s="6"/>
      <c r="FL1103" s="6"/>
      <c r="FM1103" s="6"/>
      <c r="FN1103" s="6"/>
      <c r="FO1103" s="6"/>
      <c r="FP1103" s="6"/>
      <c r="FQ1103" s="6"/>
      <c r="FR1103" s="6"/>
      <c r="FS1103" s="6"/>
      <c r="FT1103" s="6"/>
      <c r="FU1103" s="6"/>
      <c r="FV1103" s="6"/>
      <c r="FW1103" s="6"/>
      <c r="FX1103" s="6"/>
      <c r="FY1103" s="6"/>
      <c r="FZ1103" s="6"/>
      <c r="GA1103" s="6"/>
      <c r="GB1103" s="6"/>
      <c r="GC1103" s="6"/>
      <c r="GD1103" s="6"/>
      <c r="GE1103" s="6"/>
      <c r="GF1103" s="6"/>
      <c r="GG1103" s="6"/>
      <c r="GH1103" s="6"/>
      <c r="GI1103" s="6"/>
      <c r="GJ1103" s="6"/>
      <c r="GK1103" s="6"/>
      <c r="GL1103" s="6"/>
      <c r="GM1103" s="6"/>
      <c r="GN1103" s="6"/>
      <c r="GO1103" s="6"/>
      <c r="GP1103" s="6"/>
      <c r="GQ1103" s="6"/>
      <c r="GR1103" s="6"/>
      <c r="GS1103" s="6"/>
      <c r="GT1103" s="6"/>
      <c r="GU1103" s="6"/>
      <c r="GV1103" s="6"/>
      <c r="GW1103" s="6"/>
      <c r="GX1103" s="6"/>
      <c r="GY1103" s="6"/>
      <c r="GZ1103" s="6"/>
      <c r="HA1103" s="6"/>
      <c r="HB1103" s="6"/>
      <c r="HC1103" s="6"/>
      <c r="HD1103" s="6"/>
      <c r="HE1103" s="6"/>
      <c r="HF1103" s="6"/>
      <c r="HG1103" s="6"/>
      <c r="HH1103" s="6"/>
    </row>
    <row r="1104" spans="1:216" x14ac:dyDescent="0.3">
      <c r="A1104" s="8"/>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6"/>
      <c r="AR1104" s="6"/>
      <c r="AS1104" s="6"/>
      <c r="AT1104" s="6"/>
      <c r="AU1104" s="6"/>
      <c r="AV1104" s="6"/>
      <c r="AW1104" s="6"/>
      <c r="AX1104" s="6"/>
      <c r="AY1104" s="6"/>
      <c r="AZ1104" s="6"/>
      <c r="BA1104" s="6"/>
      <c r="BB1104" s="6"/>
      <c r="BC1104" s="6"/>
      <c r="BD1104" s="6"/>
      <c r="BE1104" s="6"/>
      <c r="BF1104" s="6"/>
      <c r="BG1104" s="6"/>
      <c r="BH1104" s="6"/>
      <c r="BI1104" s="6"/>
      <c r="BJ1104" s="6"/>
      <c r="BK1104" s="6"/>
      <c r="BL1104" s="6"/>
      <c r="BM1104" s="6"/>
      <c r="BN1104" s="6"/>
      <c r="BO1104" s="6"/>
      <c r="BP1104" s="6"/>
      <c r="BQ1104" s="6"/>
      <c r="BR1104" s="6"/>
      <c r="BS1104" s="6"/>
      <c r="BT1104" s="6"/>
      <c r="BU1104" s="6"/>
      <c r="BV1104" s="6"/>
      <c r="BW1104" s="6"/>
      <c r="BX1104" s="6"/>
      <c r="BY1104" s="6"/>
      <c r="BZ1104" s="6"/>
      <c r="CA1104" s="6"/>
      <c r="CB1104" s="6"/>
      <c r="CC1104" s="6"/>
      <c r="CD1104" s="6"/>
      <c r="CE1104" s="6"/>
      <c r="CF1104" s="6"/>
      <c r="CG1104" s="6"/>
      <c r="CH1104" s="6"/>
      <c r="CI1104" s="6"/>
      <c r="CJ1104" s="6"/>
      <c r="CK1104" s="6"/>
      <c r="CL1104" s="6"/>
      <c r="CM1104" s="6"/>
      <c r="CN1104" s="6"/>
      <c r="CO1104" s="6"/>
      <c r="CP1104" s="6"/>
      <c r="CQ1104" s="6"/>
      <c r="CR1104" s="6"/>
      <c r="CS1104" s="6"/>
      <c r="CT1104" s="6"/>
      <c r="CU1104" s="6"/>
      <c r="CV1104" s="6"/>
      <c r="CW1104" s="6"/>
      <c r="CX1104" s="6"/>
      <c r="CY1104" s="6"/>
      <c r="CZ1104" s="6"/>
      <c r="DA1104" s="6"/>
      <c r="DB1104" s="6"/>
      <c r="DC1104" s="6"/>
      <c r="DD1104" s="6"/>
      <c r="DE1104" s="6"/>
      <c r="DF1104" s="6"/>
      <c r="DG1104" s="6"/>
      <c r="DH1104" s="6"/>
      <c r="DI1104" s="6"/>
      <c r="DJ1104" s="6"/>
      <c r="DK1104" s="6"/>
      <c r="DL1104" s="6"/>
      <c r="DM1104" s="6"/>
      <c r="DN1104" s="6"/>
      <c r="DO1104" s="6"/>
      <c r="DP1104" s="6"/>
      <c r="DQ1104" s="6"/>
      <c r="DR1104" s="6"/>
      <c r="DS1104" s="6"/>
      <c r="DT1104" s="6"/>
      <c r="DU1104" s="6"/>
      <c r="DV1104" s="6"/>
      <c r="DW1104" s="6"/>
      <c r="DX1104" s="6"/>
      <c r="DY1104" s="6"/>
      <c r="DZ1104" s="6"/>
      <c r="EA1104" s="6"/>
      <c r="EB1104" s="6"/>
      <c r="EC1104" s="6"/>
      <c r="ED1104" s="6"/>
      <c r="EE1104" s="6"/>
      <c r="EF1104" s="6"/>
      <c r="EG1104" s="6"/>
      <c r="EH1104" s="6"/>
      <c r="EI1104" s="6"/>
      <c r="EJ1104" s="6"/>
      <c r="EK1104" s="6"/>
      <c r="EL1104" s="6"/>
      <c r="EM1104" s="6"/>
      <c r="EN1104" s="6"/>
      <c r="EO1104" s="6"/>
      <c r="EP1104" s="6"/>
      <c r="EQ1104" s="6"/>
      <c r="ER1104" s="6"/>
      <c r="ES1104" s="6"/>
      <c r="ET1104" s="6"/>
      <c r="EU1104" s="6"/>
      <c r="EV1104" s="6"/>
      <c r="EW1104" s="6"/>
      <c r="EX1104" s="6"/>
      <c r="EY1104" s="6"/>
      <c r="EZ1104" s="6"/>
      <c r="FA1104" s="6"/>
      <c r="FB1104" s="6"/>
      <c r="FC1104" s="6"/>
      <c r="FD1104" s="6"/>
      <c r="FE1104" s="6"/>
      <c r="FF1104" s="6"/>
      <c r="FG1104" s="6"/>
      <c r="FH1104" s="6"/>
      <c r="FI1104" s="6"/>
      <c r="FJ1104" s="6"/>
      <c r="FK1104" s="6"/>
      <c r="FL1104" s="6"/>
      <c r="FM1104" s="6"/>
      <c r="FN1104" s="6"/>
      <c r="FO1104" s="6"/>
      <c r="FP1104" s="6"/>
      <c r="FQ1104" s="6"/>
      <c r="FR1104" s="6"/>
      <c r="FS1104" s="6"/>
      <c r="FT1104" s="6"/>
      <c r="FU1104" s="6"/>
      <c r="FV1104" s="6"/>
      <c r="FW1104" s="6"/>
      <c r="FX1104" s="6"/>
      <c r="FY1104" s="6"/>
      <c r="FZ1104" s="6"/>
      <c r="GA1104" s="6"/>
      <c r="GB1104" s="6"/>
      <c r="GC1104" s="6"/>
      <c r="GD1104" s="6"/>
      <c r="GE1104" s="6"/>
      <c r="GF1104" s="6"/>
      <c r="GG1104" s="6"/>
      <c r="GH1104" s="6"/>
      <c r="GI1104" s="6"/>
      <c r="GJ1104" s="6"/>
      <c r="GK1104" s="6"/>
      <c r="GL1104" s="6"/>
      <c r="GM1104" s="6"/>
      <c r="GN1104" s="6"/>
      <c r="GO1104" s="6"/>
      <c r="GP1104" s="6"/>
      <c r="GQ1104" s="6"/>
      <c r="GR1104" s="6"/>
      <c r="GS1104" s="6"/>
      <c r="GT1104" s="6"/>
      <c r="GU1104" s="6"/>
      <c r="GV1104" s="6"/>
      <c r="GW1104" s="6"/>
      <c r="GX1104" s="6"/>
      <c r="GY1104" s="6"/>
      <c r="GZ1104" s="6"/>
      <c r="HA1104" s="6"/>
      <c r="HB1104" s="6"/>
      <c r="HC1104" s="6"/>
      <c r="HD1104" s="6"/>
      <c r="HE1104" s="6"/>
      <c r="HF1104" s="6"/>
      <c r="HG1104" s="6"/>
      <c r="HH1104" s="6"/>
    </row>
    <row r="1105" spans="1:216" x14ac:dyDescent="0.3">
      <c r="A1105" s="8"/>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c r="DX1105" s="6"/>
      <c r="DY1105" s="6"/>
      <c r="DZ1105" s="6"/>
      <c r="EA1105" s="6"/>
      <c r="EB1105" s="6"/>
      <c r="EC1105" s="6"/>
      <c r="ED1105" s="6"/>
      <c r="EE1105" s="6"/>
      <c r="EF1105" s="6"/>
      <c r="EG1105" s="6"/>
      <c r="EH1105" s="6"/>
      <c r="EI1105" s="6"/>
      <c r="EJ1105" s="6"/>
      <c r="EK1105" s="6"/>
      <c r="EL1105" s="6"/>
      <c r="EM1105" s="6"/>
      <c r="EN1105" s="6"/>
      <c r="EO1105" s="6"/>
      <c r="EP1105" s="6"/>
      <c r="EQ1105" s="6"/>
      <c r="ER1105" s="6"/>
      <c r="ES1105" s="6"/>
      <c r="ET1105" s="6"/>
      <c r="EU1105" s="6"/>
      <c r="EV1105" s="6"/>
      <c r="EW1105" s="6"/>
      <c r="EX1105" s="6"/>
      <c r="EY1105" s="6"/>
      <c r="EZ1105" s="6"/>
      <c r="FA1105" s="6"/>
      <c r="FB1105" s="6"/>
      <c r="FC1105" s="6"/>
      <c r="FD1105" s="6"/>
      <c r="FE1105" s="6"/>
      <c r="FF1105" s="6"/>
      <c r="FG1105" s="6"/>
      <c r="FH1105" s="6"/>
      <c r="FI1105" s="6"/>
      <c r="FJ1105" s="6"/>
      <c r="FK1105" s="6"/>
      <c r="FL1105" s="6"/>
      <c r="FM1105" s="6"/>
      <c r="FN1105" s="6"/>
      <c r="FO1105" s="6"/>
      <c r="FP1105" s="6"/>
      <c r="FQ1105" s="6"/>
      <c r="FR1105" s="6"/>
      <c r="FS1105" s="6"/>
      <c r="FT1105" s="6"/>
      <c r="FU1105" s="6"/>
      <c r="FV1105" s="6"/>
      <c r="FW1105" s="6"/>
      <c r="FX1105" s="6"/>
      <c r="FY1105" s="6"/>
      <c r="FZ1105" s="6"/>
      <c r="GA1105" s="6"/>
      <c r="GB1105" s="6"/>
      <c r="GC1105" s="6"/>
      <c r="GD1105" s="6"/>
      <c r="GE1105" s="6"/>
      <c r="GF1105" s="6"/>
      <c r="GG1105" s="6"/>
      <c r="GH1105" s="6"/>
      <c r="GI1105" s="6"/>
      <c r="GJ1105" s="6"/>
      <c r="GK1105" s="6"/>
      <c r="GL1105" s="6"/>
      <c r="GM1105" s="6"/>
      <c r="GN1105" s="6"/>
      <c r="GO1105" s="6"/>
      <c r="GP1105" s="6"/>
      <c r="GQ1105" s="6"/>
      <c r="GR1105" s="6"/>
      <c r="GS1105" s="6"/>
      <c r="GT1105" s="6"/>
      <c r="GU1105" s="6"/>
      <c r="GV1105" s="6"/>
      <c r="GW1105" s="6"/>
      <c r="GX1105" s="6"/>
      <c r="GY1105" s="6"/>
      <c r="GZ1105" s="6"/>
      <c r="HA1105" s="6"/>
      <c r="HB1105" s="6"/>
      <c r="HC1105" s="6"/>
      <c r="HD1105" s="6"/>
      <c r="HE1105" s="6"/>
      <c r="HF1105" s="6"/>
      <c r="HG1105" s="6"/>
      <c r="HH1105" s="6"/>
    </row>
    <row r="1106" spans="1:216" x14ac:dyDescent="0.3">
      <c r="A1106" s="8"/>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c r="DX1106" s="6"/>
      <c r="DY1106" s="6"/>
      <c r="DZ1106" s="6"/>
      <c r="EA1106" s="6"/>
      <c r="EB1106" s="6"/>
      <c r="EC1106" s="6"/>
      <c r="ED1106" s="6"/>
      <c r="EE1106" s="6"/>
      <c r="EF1106" s="6"/>
      <c r="EG1106" s="6"/>
      <c r="EH1106" s="6"/>
      <c r="EI1106" s="6"/>
      <c r="EJ1106" s="6"/>
      <c r="EK1106" s="6"/>
      <c r="EL1106" s="6"/>
      <c r="EM1106" s="6"/>
      <c r="EN1106" s="6"/>
      <c r="EO1106" s="6"/>
      <c r="EP1106" s="6"/>
      <c r="EQ1106" s="6"/>
      <c r="ER1106" s="6"/>
      <c r="ES1106" s="6"/>
      <c r="ET1106" s="6"/>
      <c r="EU1106" s="6"/>
      <c r="EV1106" s="6"/>
      <c r="EW1106" s="6"/>
      <c r="EX1106" s="6"/>
      <c r="EY1106" s="6"/>
      <c r="EZ1106" s="6"/>
      <c r="FA1106" s="6"/>
      <c r="FB1106" s="6"/>
      <c r="FC1106" s="6"/>
      <c r="FD1106" s="6"/>
      <c r="FE1106" s="6"/>
      <c r="FF1106" s="6"/>
      <c r="FG1106" s="6"/>
      <c r="FH1106" s="6"/>
      <c r="FI1106" s="6"/>
      <c r="FJ1106" s="6"/>
      <c r="FK1106" s="6"/>
      <c r="FL1106" s="6"/>
      <c r="FM1106" s="6"/>
      <c r="FN1106" s="6"/>
      <c r="FO1106" s="6"/>
      <c r="FP1106" s="6"/>
      <c r="FQ1106" s="6"/>
      <c r="FR1106" s="6"/>
      <c r="FS1106" s="6"/>
      <c r="FT1106" s="6"/>
      <c r="FU1106" s="6"/>
      <c r="FV1106" s="6"/>
      <c r="FW1106" s="6"/>
      <c r="FX1106" s="6"/>
      <c r="FY1106" s="6"/>
      <c r="FZ1106" s="6"/>
      <c r="GA1106" s="6"/>
      <c r="GB1106" s="6"/>
      <c r="GC1106" s="6"/>
      <c r="GD1106" s="6"/>
      <c r="GE1106" s="6"/>
      <c r="GF1106" s="6"/>
      <c r="GG1106" s="6"/>
      <c r="GH1106" s="6"/>
      <c r="GI1106" s="6"/>
      <c r="GJ1106" s="6"/>
      <c r="GK1106" s="6"/>
      <c r="GL1106" s="6"/>
      <c r="GM1106" s="6"/>
      <c r="GN1106" s="6"/>
      <c r="GO1106" s="6"/>
      <c r="GP1106" s="6"/>
      <c r="GQ1106" s="6"/>
      <c r="GR1106" s="6"/>
      <c r="GS1106" s="6"/>
      <c r="GT1106" s="6"/>
      <c r="GU1106" s="6"/>
      <c r="GV1106" s="6"/>
      <c r="GW1106" s="6"/>
      <c r="GX1106" s="6"/>
      <c r="GY1106" s="6"/>
      <c r="GZ1106" s="6"/>
      <c r="HA1106" s="6"/>
      <c r="HB1106" s="6"/>
      <c r="HC1106" s="6"/>
      <c r="HD1106" s="6"/>
      <c r="HE1106" s="6"/>
      <c r="HF1106" s="6"/>
      <c r="HG1106" s="6"/>
      <c r="HH1106" s="6"/>
    </row>
    <row r="1107" spans="1:216" x14ac:dyDescent="0.3">
      <c r="A1107" s="8"/>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6"/>
      <c r="AR1107" s="6"/>
      <c r="AS1107" s="6"/>
      <c r="AT1107" s="6"/>
      <c r="AU1107" s="6"/>
      <c r="AV1107" s="6"/>
      <c r="AW1107" s="6"/>
      <c r="AX1107" s="6"/>
      <c r="AY1107" s="6"/>
      <c r="AZ1107" s="6"/>
      <c r="BA1107" s="6"/>
      <c r="BB1107" s="6"/>
      <c r="BC1107" s="6"/>
      <c r="BD1107" s="6"/>
      <c r="BE1107" s="6"/>
      <c r="BF1107" s="6"/>
      <c r="BG1107" s="6"/>
      <c r="BH1107" s="6"/>
      <c r="BI1107" s="6"/>
      <c r="BJ1107" s="6"/>
      <c r="BK1107" s="6"/>
      <c r="BL1107" s="6"/>
      <c r="BM1107" s="6"/>
      <c r="BN1107" s="6"/>
      <c r="BO1107" s="6"/>
      <c r="BP1107" s="6"/>
      <c r="BQ1107" s="6"/>
      <c r="BR1107" s="6"/>
      <c r="BS1107" s="6"/>
      <c r="BT1107" s="6"/>
      <c r="BU1107" s="6"/>
      <c r="BV1107" s="6"/>
      <c r="BW1107" s="6"/>
      <c r="BX1107" s="6"/>
      <c r="BY1107" s="6"/>
      <c r="BZ1107" s="6"/>
      <c r="CA1107" s="6"/>
      <c r="CB1107" s="6"/>
      <c r="CC1107" s="6"/>
      <c r="CD1107" s="6"/>
      <c r="CE1107" s="6"/>
      <c r="CF1107" s="6"/>
      <c r="CG1107" s="6"/>
      <c r="CH1107" s="6"/>
      <c r="CI1107" s="6"/>
      <c r="CJ1107" s="6"/>
      <c r="CK1107" s="6"/>
      <c r="CL1107" s="6"/>
      <c r="CM1107" s="6"/>
      <c r="CN1107" s="6"/>
      <c r="CO1107" s="6"/>
      <c r="CP1107" s="6"/>
      <c r="CQ1107" s="6"/>
      <c r="CR1107" s="6"/>
      <c r="CS1107" s="6"/>
      <c r="CT1107" s="6"/>
      <c r="CU1107" s="6"/>
      <c r="CV1107" s="6"/>
      <c r="CW1107" s="6"/>
      <c r="CX1107" s="6"/>
      <c r="CY1107" s="6"/>
      <c r="CZ1107" s="6"/>
      <c r="DA1107" s="6"/>
      <c r="DB1107" s="6"/>
      <c r="DC1107" s="6"/>
      <c r="DD1107" s="6"/>
      <c r="DE1107" s="6"/>
      <c r="DF1107" s="6"/>
      <c r="DG1107" s="6"/>
      <c r="DH1107" s="6"/>
      <c r="DI1107" s="6"/>
      <c r="DJ1107" s="6"/>
      <c r="DK1107" s="6"/>
      <c r="DL1107" s="6"/>
      <c r="DM1107" s="6"/>
      <c r="DN1107" s="6"/>
      <c r="DO1107" s="6"/>
      <c r="DP1107" s="6"/>
      <c r="DQ1107" s="6"/>
      <c r="DR1107" s="6"/>
      <c r="DS1107" s="6"/>
      <c r="DT1107" s="6"/>
      <c r="DU1107" s="6"/>
      <c r="DV1107" s="6"/>
      <c r="DW1107" s="6"/>
      <c r="DX1107" s="6"/>
      <c r="DY1107" s="6"/>
      <c r="DZ1107" s="6"/>
      <c r="EA1107" s="6"/>
      <c r="EB1107" s="6"/>
      <c r="EC1107" s="6"/>
      <c r="ED1107" s="6"/>
      <c r="EE1107" s="6"/>
      <c r="EF1107" s="6"/>
      <c r="EG1107" s="6"/>
      <c r="EH1107" s="6"/>
      <c r="EI1107" s="6"/>
      <c r="EJ1107" s="6"/>
      <c r="EK1107" s="6"/>
      <c r="EL1107" s="6"/>
      <c r="EM1107" s="6"/>
      <c r="EN1107" s="6"/>
      <c r="EO1107" s="6"/>
      <c r="EP1107" s="6"/>
      <c r="EQ1107" s="6"/>
      <c r="ER1107" s="6"/>
      <c r="ES1107" s="6"/>
      <c r="ET1107" s="6"/>
      <c r="EU1107" s="6"/>
      <c r="EV1107" s="6"/>
      <c r="EW1107" s="6"/>
      <c r="EX1107" s="6"/>
      <c r="EY1107" s="6"/>
      <c r="EZ1107" s="6"/>
      <c r="FA1107" s="6"/>
      <c r="FB1107" s="6"/>
      <c r="FC1107" s="6"/>
      <c r="FD1107" s="6"/>
      <c r="FE1107" s="6"/>
      <c r="FF1107" s="6"/>
      <c r="FG1107" s="6"/>
      <c r="FH1107" s="6"/>
      <c r="FI1107" s="6"/>
      <c r="FJ1107" s="6"/>
      <c r="FK1107" s="6"/>
      <c r="FL1107" s="6"/>
      <c r="FM1107" s="6"/>
      <c r="FN1107" s="6"/>
      <c r="FO1107" s="6"/>
      <c r="FP1107" s="6"/>
      <c r="FQ1107" s="6"/>
      <c r="FR1107" s="6"/>
      <c r="FS1107" s="6"/>
      <c r="FT1107" s="6"/>
      <c r="FU1107" s="6"/>
      <c r="FV1107" s="6"/>
      <c r="FW1107" s="6"/>
      <c r="FX1107" s="6"/>
      <c r="FY1107" s="6"/>
      <c r="FZ1107" s="6"/>
      <c r="GA1107" s="6"/>
      <c r="GB1107" s="6"/>
      <c r="GC1107" s="6"/>
      <c r="GD1107" s="6"/>
      <c r="GE1107" s="6"/>
      <c r="GF1107" s="6"/>
      <c r="GG1107" s="6"/>
      <c r="GH1107" s="6"/>
      <c r="GI1107" s="6"/>
      <c r="GJ1107" s="6"/>
      <c r="GK1107" s="6"/>
      <c r="GL1107" s="6"/>
      <c r="GM1107" s="6"/>
      <c r="GN1107" s="6"/>
      <c r="GO1107" s="6"/>
      <c r="GP1107" s="6"/>
      <c r="GQ1107" s="6"/>
      <c r="GR1107" s="6"/>
      <c r="GS1107" s="6"/>
      <c r="GT1107" s="6"/>
      <c r="GU1107" s="6"/>
      <c r="GV1107" s="6"/>
      <c r="GW1107" s="6"/>
      <c r="GX1107" s="6"/>
      <c r="GY1107" s="6"/>
      <c r="GZ1107" s="6"/>
      <c r="HA1107" s="6"/>
      <c r="HB1107" s="6"/>
      <c r="HC1107" s="6"/>
      <c r="HD1107" s="6"/>
      <c r="HE1107" s="6"/>
      <c r="HF1107" s="6"/>
      <c r="HG1107" s="6"/>
      <c r="HH1107" s="6"/>
    </row>
    <row r="1108" spans="1:216" x14ac:dyDescent="0.3">
      <c r="A1108" s="8"/>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c r="DX1108" s="6"/>
      <c r="DY1108" s="6"/>
      <c r="DZ1108" s="6"/>
      <c r="EA1108" s="6"/>
      <c r="EB1108" s="6"/>
      <c r="EC1108" s="6"/>
      <c r="ED1108" s="6"/>
      <c r="EE1108" s="6"/>
      <c r="EF1108" s="6"/>
      <c r="EG1108" s="6"/>
      <c r="EH1108" s="6"/>
      <c r="EI1108" s="6"/>
      <c r="EJ1108" s="6"/>
      <c r="EK1108" s="6"/>
      <c r="EL1108" s="6"/>
      <c r="EM1108" s="6"/>
      <c r="EN1108" s="6"/>
      <c r="EO1108" s="6"/>
      <c r="EP1108" s="6"/>
      <c r="EQ1108" s="6"/>
      <c r="ER1108" s="6"/>
      <c r="ES1108" s="6"/>
      <c r="ET1108" s="6"/>
      <c r="EU1108" s="6"/>
      <c r="EV1108" s="6"/>
      <c r="EW1108" s="6"/>
      <c r="EX1108" s="6"/>
      <c r="EY1108" s="6"/>
      <c r="EZ1108" s="6"/>
      <c r="FA1108" s="6"/>
      <c r="FB1108" s="6"/>
      <c r="FC1108" s="6"/>
      <c r="FD1108" s="6"/>
      <c r="FE1108" s="6"/>
      <c r="FF1108" s="6"/>
      <c r="FG1108" s="6"/>
      <c r="FH1108" s="6"/>
      <c r="FI1108" s="6"/>
      <c r="FJ1108" s="6"/>
      <c r="FK1108" s="6"/>
      <c r="FL1108" s="6"/>
      <c r="FM1108" s="6"/>
      <c r="FN1108" s="6"/>
      <c r="FO1108" s="6"/>
      <c r="FP1108" s="6"/>
      <c r="FQ1108" s="6"/>
      <c r="FR1108" s="6"/>
      <c r="FS1108" s="6"/>
      <c r="FT1108" s="6"/>
      <c r="FU1108" s="6"/>
      <c r="FV1108" s="6"/>
      <c r="FW1108" s="6"/>
      <c r="FX1108" s="6"/>
      <c r="FY1108" s="6"/>
      <c r="FZ1108" s="6"/>
      <c r="GA1108" s="6"/>
      <c r="GB1108" s="6"/>
      <c r="GC1108" s="6"/>
      <c r="GD1108" s="6"/>
      <c r="GE1108" s="6"/>
      <c r="GF1108" s="6"/>
      <c r="GG1108" s="6"/>
      <c r="GH1108" s="6"/>
      <c r="GI1108" s="6"/>
      <c r="GJ1108" s="6"/>
      <c r="GK1108" s="6"/>
      <c r="GL1108" s="6"/>
      <c r="GM1108" s="6"/>
      <c r="GN1108" s="6"/>
      <c r="GO1108" s="6"/>
      <c r="GP1108" s="6"/>
      <c r="GQ1108" s="6"/>
      <c r="GR1108" s="6"/>
      <c r="GS1108" s="6"/>
      <c r="GT1108" s="6"/>
      <c r="GU1108" s="6"/>
      <c r="GV1108" s="6"/>
      <c r="GW1108" s="6"/>
      <c r="GX1108" s="6"/>
      <c r="GY1108" s="6"/>
      <c r="GZ1108" s="6"/>
      <c r="HA1108" s="6"/>
      <c r="HB1108" s="6"/>
      <c r="HC1108" s="6"/>
      <c r="HD1108" s="6"/>
      <c r="HE1108" s="6"/>
      <c r="HF1108" s="6"/>
      <c r="HG1108" s="6"/>
      <c r="HH1108" s="6"/>
    </row>
    <row r="1109" spans="1:216" x14ac:dyDescent="0.3">
      <c r="A1109" s="8"/>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c r="DX1109" s="6"/>
      <c r="DY1109" s="6"/>
      <c r="DZ1109" s="6"/>
      <c r="EA1109" s="6"/>
      <c r="EB1109" s="6"/>
      <c r="EC1109" s="6"/>
      <c r="ED1109" s="6"/>
      <c r="EE1109" s="6"/>
      <c r="EF1109" s="6"/>
      <c r="EG1109" s="6"/>
      <c r="EH1109" s="6"/>
      <c r="EI1109" s="6"/>
      <c r="EJ1109" s="6"/>
      <c r="EK1109" s="6"/>
      <c r="EL1109" s="6"/>
      <c r="EM1109" s="6"/>
      <c r="EN1109" s="6"/>
      <c r="EO1109" s="6"/>
      <c r="EP1109" s="6"/>
      <c r="EQ1109" s="6"/>
      <c r="ER1109" s="6"/>
      <c r="ES1109" s="6"/>
      <c r="ET1109" s="6"/>
      <c r="EU1109" s="6"/>
      <c r="EV1109" s="6"/>
      <c r="EW1109" s="6"/>
      <c r="EX1109" s="6"/>
      <c r="EY1109" s="6"/>
      <c r="EZ1109" s="6"/>
      <c r="FA1109" s="6"/>
      <c r="FB1109" s="6"/>
      <c r="FC1109" s="6"/>
      <c r="FD1109" s="6"/>
      <c r="FE1109" s="6"/>
      <c r="FF1109" s="6"/>
      <c r="FG1109" s="6"/>
      <c r="FH1109" s="6"/>
      <c r="FI1109" s="6"/>
      <c r="FJ1109" s="6"/>
      <c r="FK1109" s="6"/>
      <c r="FL1109" s="6"/>
      <c r="FM1109" s="6"/>
      <c r="FN1109" s="6"/>
      <c r="FO1109" s="6"/>
      <c r="FP1109" s="6"/>
      <c r="FQ1109" s="6"/>
      <c r="FR1109" s="6"/>
      <c r="FS1109" s="6"/>
      <c r="FT1109" s="6"/>
      <c r="FU1109" s="6"/>
      <c r="FV1109" s="6"/>
      <c r="FW1109" s="6"/>
      <c r="FX1109" s="6"/>
      <c r="FY1109" s="6"/>
      <c r="FZ1109" s="6"/>
      <c r="GA1109" s="6"/>
      <c r="GB1109" s="6"/>
      <c r="GC1109" s="6"/>
      <c r="GD1109" s="6"/>
      <c r="GE1109" s="6"/>
      <c r="GF1109" s="6"/>
      <c r="GG1109" s="6"/>
      <c r="GH1109" s="6"/>
      <c r="GI1109" s="6"/>
      <c r="GJ1109" s="6"/>
      <c r="GK1109" s="6"/>
      <c r="GL1109" s="6"/>
      <c r="GM1109" s="6"/>
      <c r="GN1109" s="6"/>
      <c r="GO1109" s="6"/>
      <c r="GP1109" s="6"/>
      <c r="GQ1109" s="6"/>
      <c r="GR1109" s="6"/>
      <c r="GS1109" s="6"/>
      <c r="GT1109" s="6"/>
      <c r="GU1109" s="6"/>
      <c r="GV1109" s="6"/>
      <c r="GW1109" s="6"/>
      <c r="GX1109" s="6"/>
      <c r="GY1109" s="6"/>
      <c r="GZ1109" s="6"/>
      <c r="HA1109" s="6"/>
      <c r="HB1109" s="6"/>
      <c r="HC1109" s="6"/>
      <c r="HD1109" s="6"/>
      <c r="HE1109" s="6"/>
      <c r="HF1109" s="6"/>
      <c r="HG1109" s="6"/>
      <c r="HH1109" s="6"/>
    </row>
    <row r="1110" spans="1:216" x14ac:dyDescent="0.3">
      <c r="A1110" s="8"/>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c r="DX1110" s="6"/>
      <c r="DY1110" s="6"/>
      <c r="DZ1110" s="6"/>
      <c r="EA1110" s="6"/>
      <c r="EB1110" s="6"/>
      <c r="EC1110" s="6"/>
      <c r="ED1110" s="6"/>
      <c r="EE1110" s="6"/>
      <c r="EF1110" s="6"/>
      <c r="EG1110" s="6"/>
      <c r="EH1110" s="6"/>
      <c r="EI1110" s="6"/>
      <c r="EJ1110" s="6"/>
      <c r="EK1110" s="6"/>
      <c r="EL1110" s="6"/>
      <c r="EM1110" s="6"/>
      <c r="EN1110" s="6"/>
      <c r="EO1110" s="6"/>
      <c r="EP1110" s="6"/>
      <c r="EQ1110" s="6"/>
      <c r="ER1110" s="6"/>
      <c r="ES1110" s="6"/>
      <c r="ET1110" s="6"/>
      <c r="EU1110" s="6"/>
      <c r="EV1110" s="6"/>
      <c r="EW1110" s="6"/>
      <c r="EX1110" s="6"/>
      <c r="EY1110" s="6"/>
      <c r="EZ1110" s="6"/>
      <c r="FA1110" s="6"/>
      <c r="FB1110" s="6"/>
      <c r="FC1110" s="6"/>
      <c r="FD1110" s="6"/>
      <c r="FE1110" s="6"/>
      <c r="FF1110" s="6"/>
      <c r="FG1110" s="6"/>
      <c r="FH1110" s="6"/>
      <c r="FI1110" s="6"/>
      <c r="FJ1110" s="6"/>
      <c r="FK1110" s="6"/>
      <c r="FL1110" s="6"/>
      <c r="FM1110" s="6"/>
      <c r="FN1110" s="6"/>
      <c r="FO1110" s="6"/>
      <c r="FP1110" s="6"/>
      <c r="FQ1110" s="6"/>
      <c r="FR1110" s="6"/>
      <c r="FS1110" s="6"/>
      <c r="FT1110" s="6"/>
      <c r="FU1110" s="6"/>
      <c r="FV1110" s="6"/>
      <c r="FW1110" s="6"/>
      <c r="FX1110" s="6"/>
      <c r="FY1110" s="6"/>
      <c r="FZ1110" s="6"/>
      <c r="GA1110" s="6"/>
      <c r="GB1110" s="6"/>
      <c r="GC1110" s="6"/>
      <c r="GD1110" s="6"/>
      <c r="GE1110" s="6"/>
      <c r="GF1110" s="6"/>
      <c r="GG1110" s="6"/>
      <c r="GH1110" s="6"/>
      <c r="GI1110" s="6"/>
      <c r="GJ1110" s="6"/>
      <c r="GK1110" s="6"/>
      <c r="GL1110" s="6"/>
      <c r="GM1110" s="6"/>
      <c r="GN1110" s="6"/>
      <c r="GO1110" s="6"/>
      <c r="GP1110" s="6"/>
      <c r="GQ1110" s="6"/>
      <c r="GR1110" s="6"/>
      <c r="GS1110" s="6"/>
      <c r="GT1110" s="6"/>
      <c r="GU1110" s="6"/>
      <c r="GV1110" s="6"/>
      <c r="GW1110" s="6"/>
      <c r="GX1110" s="6"/>
      <c r="GY1110" s="6"/>
      <c r="GZ1110" s="6"/>
      <c r="HA1110" s="6"/>
      <c r="HB1110" s="6"/>
      <c r="HC1110" s="6"/>
      <c r="HD1110" s="6"/>
      <c r="HE1110" s="6"/>
      <c r="HF1110" s="6"/>
      <c r="HG1110" s="6"/>
      <c r="HH1110" s="6"/>
    </row>
    <row r="1111" spans="1:216" x14ac:dyDescent="0.3">
      <c r="A1111" s="8"/>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6"/>
      <c r="AR1111" s="6"/>
      <c r="AS1111" s="6"/>
      <c r="AT1111" s="6"/>
      <c r="AU1111" s="6"/>
      <c r="AV1111" s="6"/>
      <c r="AW1111" s="6"/>
      <c r="AX1111" s="6"/>
      <c r="AY1111" s="6"/>
      <c r="AZ1111" s="6"/>
      <c r="BA1111" s="6"/>
      <c r="BB1111" s="6"/>
      <c r="BC1111" s="6"/>
      <c r="BD1111" s="6"/>
      <c r="BE1111" s="6"/>
      <c r="BF1111" s="6"/>
      <c r="BG1111" s="6"/>
      <c r="BH1111" s="6"/>
      <c r="BI1111" s="6"/>
      <c r="BJ1111" s="6"/>
      <c r="BK1111" s="6"/>
      <c r="BL1111" s="6"/>
      <c r="BM1111" s="6"/>
      <c r="BN1111" s="6"/>
      <c r="BO1111" s="6"/>
      <c r="BP1111" s="6"/>
      <c r="BQ1111" s="6"/>
      <c r="BR1111" s="6"/>
      <c r="BS1111" s="6"/>
      <c r="BT1111" s="6"/>
      <c r="BU1111" s="6"/>
      <c r="BV1111" s="6"/>
      <c r="BW1111" s="6"/>
      <c r="BX1111" s="6"/>
      <c r="BY1111" s="6"/>
      <c r="BZ1111" s="6"/>
      <c r="CA1111" s="6"/>
      <c r="CB1111" s="6"/>
      <c r="CC1111" s="6"/>
      <c r="CD1111" s="6"/>
      <c r="CE1111" s="6"/>
      <c r="CF1111" s="6"/>
      <c r="CG1111" s="6"/>
      <c r="CH1111" s="6"/>
      <c r="CI1111" s="6"/>
      <c r="CJ1111" s="6"/>
      <c r="CK1111" s="6"/>
      <c r="CL1111" s="6"/>
      <c r="CM1111" s="6"/>
      <c r="CN1111" s="6"/>
      <c r="CO1111" s="6"/>
      <c r="CP1111" s="6"/>
      <c r="CQ1111" s="6"/>
      <c r="CR1111" s="6"/>
      <c r="CS1111" s="6"/>
      <c r="CT1111" s="6"/>
      <c r="CU1111" s="6"/>
      <c r="CV1111" s="6"/>
      <c r="CW1111" s="6"/>
      <c r="CX1111" s="6"/>
      <c r="CY1111" s="6"/>
      <c r="CZ1111" s="6"/>
      <c r="DA1111" s="6"/>
      <c r="DB1111" s="6"/>
      <c r="DC1111" s="6"/>
      <c r="DD1111" s="6"/>
      <c r="DE1111" s="6"/>
      <c r="DF1111" s="6"/>
      <c r="DG1111" s="6"/>
      <c r="DH1111" s="6"/>
      <c r="DI1111" s="6"/>
      <c r="DJ1111" s="6"/>
      <c r="DK1111" s="6"/>
      <c r="DL1111" s="6"/>
      <c r="DM1111" s="6"/>
      <c r="DN1111" s="6"/>
      <c r="DO1111" s="6"/>
      <c r="DP1111" s="6"/>
      <c r="DQ1111" s="6"/>
      <c r="DR1111" s="6"/>
      <c r="DS1111" s="6"/>
      <c r="DT1111" s="6"/>
      <c r="DU1111" s="6"/>
      <c r="DV1111" s="6"/>
      <c r="DW1111" s="6"/>
      <c r="DX1111" s="6"/>
      <c r="DY1111" s="6"/>
      <c r="DZ1111" s="6"/>
      <c r="EA1111" s="6"/>
      <c r="EB1111" s="6"/>
      <c r="EC1111" s="6"/>
      <c r="ED1111" s="6"/>
      <c r="EE1111" s="6"/>
      <c r="EF1111" s="6"/>
      <c r="EG1111" s="6"/>
      <c r="EH1111" s="6"/>
      <c r="EI1111" s="6"/>
      <c r="EJ1111" s="6"/>
      <c r="EK1111" s="6"/>
      <c r="EL1111" s="6"/>
      <c r="EM1111" s="6"/>
      <c r="EN1111" s="6"/>
      <c r="EO1111" s="6"/>
      <c r="EP1111" s="6"/>
      <c r="EQ1111" s="6"/>
      <c r="ER1111" s="6"/>
      <c r="ES1111" s="6"/>
      <c r="ET1111" s="6"/>
      <c r="EU1111" s="6"/>
      <c r="EV1111" s="6"/>
      <c r="EW1111" s="6"/>
      <c r="EX1111" s="6"/>
      <c r="EY1111" s="6"/>
      <c r="EZ1111" s="6"/>
      <c r="FA1111" s="6"/>
      <c r="FB1111" s="6"/>
      <c r="FC1111" s="6"/>
      <c r="FD1111" s="6"/>
      <c r="FE1111" s="6"/>
      <c r="FF1111" s="6"/>
      <c r="FG1111" s="6"/>
      <c r="FH1111" s="6"/>
      <c r="FI1111" s="6"/>
      <c r="FJ1111" s="6"/>
      <c r="FK1111" s="6"/>
      <c r="FL1111" s="6"/>
      <c r="FM1111" s="6"/>
      <c r="FN1111" s="6"/>
      <c r="FO1111" s="6"/>
      <c r="FP1111" s="6"/>
      <c r="FQ1111" s="6"/>
      <c r="FR1111" s="6"/>
      <c r="FS1111" s="6"/>
      <c r="FT1111" s="6"/>
      <c r="FU1111" s="6"/>
      <c r="FV1111" s="6"/>
      <c r="FW1111" s="6"/>
      <c r="FX1111" s="6"/>
      <c r="FY1111" s="6"/>
      <c r="FZ1111" s="6"/>
      <c r="GA1111" s="6"/>
      <c r="GB1111" s="6"/>
      <c r="GC1111" s="6"/>
      <c r="GD1111" s="6"/>
      <c r="GE1111" s="6"/>
      <c r="GF1111" s="6"/>
      <c r="GG1111" s="6"/>
      <c r="GH1111" s="6"/>
      <c r="GI1111" s="6"/>
      <c r="GJ1111" s="6"/>
      <c r="GK1111" s="6"/>
      <c r="GL1111" s="6"/>
      <c r="GM1111" s="6"/>
      <c r="GN1111" s="6"/>
      <c r="GO1111" s="6"/>
      <c r="GP1111" s="6"/>
      <c r="GQ1111" s="6"/>
      <c r="GR1111" s="6"/>
      <c r="GS1111" s="6"/>
      <c r="GT1111" s="6"/>
      <c r="GU1111" s="6"/>
      <c r="GV1111" s="6"/>
      <c r="GW1111" s="6"/>
      <c r="GX1111" s="6"/>
      <c r="GY1111" s="6"/>
      <c r="GZ1111" s="6"/>
      <c r="HA1111" s="6"/>
      <c r="HB1111" s="6"/>
      <c r="HC1111" s="6"/>
      <c r="HD1111" s="6"/>
      <c r="HE1111" s="6"/>
      <c r="HF1111" s="6"/>
      <c r="HG1111" s="6"/>
      <c r="HH1111" s="6"/>
    </row>
    <row r="1112" spans="1:216" x14ac:dyDescent="0.3">
      <c r="A1112" s="8"/>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row>
    <row r="1113" spans="1:216" x14ac:dyDescent="0.3">
      <c r="A1113" s="8"/>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row>
    <row r="1114" spans="1:216" x14ac:dyDescent="0.3">
      <c r="A1114" s="8"/>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row>
    <row r="1115" spans="1:216" x14ac:dyDescent="0.3">
      <c r="A1115" s="8"/>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row>
    <row r="1116" spans="1:216" x14ac:dyDescent="0.3">
      <c r="A1116" s="8"/>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6"/>
      <c r="AR1116" s="6"/>
      <c r="AS1116" s="6"/>
      <c r="AT1116" s="6"/>
      <c r="AU1116" s="6"/>
      <c r="AV1116" s="6"/>
      <c r="AW1116" s="6"/>
      <c r="AX1116" s="6"/>
      <c r="AY1116" s="6"/>
      <c r="AZ1116" s="6"/>
      <c r="BA1116" s="6"/>
      <c r="BB1116" s="6"/>
      <c r="BC1116" s="6"/>
      <c r="BD1116" s="6"/>
      <c r="BE1116" s="6"/>
      <c r="BF1116" s="6"/>
      <c r="BG1116" s="6"/>
      <c r="BH1116" s="6"/>
      <c r="BI1116" s="6"/>
      <c r="BJ1116" s="6"/>
      <c r="BK1116" s="6"/>
      <c r="BL1116" s="6"/>
      <c r="BM1116" s="6"/>
      <c r="BN1116" s="6"/>
      <c r="BO1116" s="6"/>
      <c r="BP1116" s="6"/>
      <c r="BQ1116" s="6"/>
      <c r="BR1116" s="6"/>
      <c r="BS1116" s="6"/>
      <c r="BT1116" s="6"/>
      <c r="BU1116" s="6"/>
      <c r="BV1116" s="6"/>
      <c r="BW1116" s="6"/>
      <c r="BX1116" s="6"/>
      <c r="BY1116" s="6"/>
      <c r="BZ1116" s="6"/>
      <c r="CA1116" s="6"/>
      <c r="CB1116" s="6"/>
      <c r="CC1116" s="6"/>
      <c r="CD1116" s="6"/>
      <c r="CE1116" s="6"/>
      <c r="CF1116" s="6"/>
      <c r="CG1116" s="6"/>
      <c r="CH1116" s="6"/>
      <c r="CI1116" s="6"/>
      <c r="CJ1116" s="6"/>
      <c r="CK1116" s="6"/>
      <c r="CL1116" s="6"/>
      <c r="CM1116" s="6"/>
      <c r="CN1116" s="6"/>
      <c r="CO1116" s="6"/>
      <c r="CP1116" s="6"/>
      <c r="CQ1116" s="6"/>
      <c r="CR1116" s="6"/>
      <c r="CS1116" s="6"/>
      <c r="CT1116" s="6"/>
      <c r="CU1116" s="6"/>
      <c r="CV1116" s="6"/>
      <c r="CW1116" s="6"/>
      <c r="CX1116" s="6"/>
      <c r="CY1116" s="6"/>
      <c r="CZ1116" s="6"/>
      <c r="DA1116" s="6"/>
      <c r="DB1116" s="6"/>
      <c r="DC1116" s="6"/>
      <c r="DD1116" s="6"/>
      <c r="DE1116" s="6"/>
      <c r="DF1116" s="6"/>
      <c r="DG1116" s="6"/>
      <c r="DH1116" s="6"/>
      <c r="DI1116" s="6"/>
      <c r="DJ1116" s="6"/>
      <c r="DK1116" s="6"/>
      <c r="DL1116" s="6"/>
      <c r="DM1116" s="6"/>
      <c r="DN1116" s="6"/>
      <c r="DO1116" s="6"/>
      <c r="DP1116" s="6"/>
      <c r="DQ1116" s="6"/>
      <c r="DR1116" s="6"/>
      <c r="DS1116" s="6"/>
      <c r="DT1116" s="6"/>
      <c r="DU1116" s="6"/>
      <c r="DV1116" s="6"/>
      <c r="DW1116" s="6"/>
      <c r="DX1116" s="6"/>
      <c r="DY1116" s="6"/>
      <c r="DZ1116" s="6"/>
      <c r="EA1116" s="6"/>
      <c r="EB1116" s="6"/>
      <c r="EC1116" s="6"/>
      <c r="ED1116" s="6"/>
      <c r="EE1116" s="6"/>
      <c r="EF1116" s="6"/>
      <c r="EG1116" s="6"/>
      <c r="EH1116" s="6"/>
      <c r="EI1116" s="6"/>
      <c r="EJ1116" s="6"/>
      <c r="EK1116" s="6"/>
      <c r="EL1116" s="6"/>
      <c r="EM1116" s="6"/>
      <c r="EN1116" s="6"/>
      <c r="EO1116" s="6"/>
      <c r="EP1116" s="6"/>
      <c r="EQ1116" s="6"/>
      <c r="ER1116" s="6"/>
      <c r="ES1116" s="6"/>
      <c r="ET1116" s="6"/>
      <c r="EU1116" s="6"/>
      <c r="EV1116" s="6"/>
      <c r="EW1116" s="6"/>
      <c r="EX1116" s="6"/>
      <c r="EY1116" s="6"/>
      <c r="EZ1116" s="6"/>
      <c r="FA1116" s="6"/>
      <c r="FB1116" s="6"/>
      <c r="FC1116" s="6"/>
      <c r="FD1116" s="6"/>
      <c r="FE1116" s="6"/>
      <c r="FF1116" s="6"/>
      <c r="FG1116" s="6"/>
      <c r="FH1116" s="6"/>
      <c r="FI1116" s="6"/>
      <c r="FJ1116" s="6"/>
      <c r="FK1116" s="6"/>
      <c r="FL1116" s="6"/>
      <c r="FM1116" s="6"/>
      <c r="FN1116" s="6"/>
      <c r="FO1116" s="6"/>
      <c r="FP1116" s="6"/>
      <c r="FQ1116" s="6"/>
      <c r="FR1116" s="6"/>
      <c r="FS1116" s="6"/>
      <c r="FT1116" s="6"/>
      <c r="FU1116" s="6"/>
      <c r="FV1116" s="6"/>
      <c r="FW1116" s="6"/>
      <c r="FX1116" s="6"/>
      <c r="FY1116" s="6"/>
      <c r="FZ1116" s="6"/>
      <c r="GA1116" s="6"/>
      <c r="GB1116" s="6"/>
      <c r="GC1116" s="6"/>
      <c r="GD1116" s="6"/>
      <c r="GE1116" s="6"/>
      <c r="GF1116" s="6"/>
      <c r="GG1116" s="6"/>
      <c r="GH1116" s="6"/>
      <c r="GI1116" s="6"/>
      <c r="GJ1116" s="6"/>
      <c r="GK1116" s="6"/>
      <c r="GL1116" s="6"/>
      <c r="GM1116" s="6"/>
      <c r="GN1116" s="6"/>
      <c r="GO1116" s="6"/>
      <c r="GP1116" s="6"/>
      <c r="GQ1116" s="6"/>
      <c r="GR1116" s="6"/>
      <c r="GS1116" s="6"/>
      <c r="GT1116" s="6"/>
      <c r="GU1116" s="6"/>
      <c r="GV1116" s="6"/>
      <c r="GW1116" s="6"/>
      <c r="GX1116" s="6"/>
      <c r="GY1116" s="6"/>
      <c r="GZ1116" s="6"/>
      <c r="HA1116" s="6"/>
      <c r="HB1116" s="6"/>
      <c r="HC1116" s="6"/>
      <c r="HD1116" s="6"/>
      <c r="HE1116" s="6"/>
      <c r="HF1116" s="6"/>
      <c r="HG1116" s="6"/>
      <c r="HH1116" s="6"/>
    </row>
    <row r="1117" spans="1:216" x14ac:dyDescent="0.3">
      <c r="A1117" s="8"/>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6"/>
      <c r="AR1117" s="6"/>
      <c r="AS1117" s="6"/>
      <c r="AT1117" s="6"/>
      <c r="AU1117" s="6"/>
      <c r="AV1117" s="6"/>
      <c r="AW1117" s="6"/>
      <c r="AX1117" s="6"/>
      <c r="AY1117" s="6"/>
      <c r="AZ1117" s="6"/>
      <c r="BA1117" s="6"/>
      <c r="BB1117" s="6"/>
      <c r="BC1117" s="6"/>
      <c r="BD1117" s="6"/>
      <c r="BE1117" s="6"/>
      <c r="BF1117" s="6"/>
      <c r="BG1117" s="6"/>
      <c r="BH1117" s="6"/>
      <c r="BI1117" s="6"/>
      <c r="BJ1117" s="6"/>
      <c r="BK1117" s="6"/>
      <c r="BL1117" s="6"/>
      <c r="BM1117" s="6"/>
      <c r="BN1117" s="6"/>
      <c r="BO1117" s="6"/>
      <c r="BP1117" s="6"/>
      <c r="BQ1117" s="6"/>
      <c r="BR1117" s="6"/>
      <c r="BS1117" s="6"/>
      <c r="BT1117" s="6"/>
      <c r="BU1117" s="6"/>
      <c r="BV1117" s="6"/>
      <c r="BW1117" s="6"/>
      <c r="BX1117" s="6"/>
      <c r="BY1117" s="6"/>
      <c r="BZ1117" s="6"/>
      <c r="CA1117" s="6"/>
      <c r="CB1117" s="6"/>
      <c r="CC1117" s="6"/>
      <c r="CD1117" s="6"/>
      <c r="CE1117" s="6"/>
      <c r="CF1117" s="6"/>
      <c r="CG1117" s="6"/>
      <c r="CH1117" s="6"/>
      <c r="CI1117" s="6"/>
      <c r="CJ1117" s="6"/>
      <c r="CK1117" s="6"/>
      <c r="CL1117" s="6"/>
      <c r="CM1117" s="6"/>
      <c r="CN1117" s="6"/>
      <c r="CO1117" s="6"/>
      <c r="CP1117" s="6"/>
      <c r="CQ1117" s="6"/>
      <c r="CR1117" s="6"/>
      <c r="CS1117" s="6"/>
      <c r="CT1117" s="6"/>
      <c r="CU1117" s="6"/>
      <c r="CV1117" s="6"/>
      <c r="CW1117" s="6"/>
      <c r="CX1117" s="6"/>
      <c r="CY1117" s="6"/>
      <c r="CZ1117" s="6"/>
      <c r="DA1117" s="6"/>
      <c r="DB1117" s="6"/>
      <c r="DC1117" s="6"/>
      <c r="DD1117" s="6"/>
      <c r="DE1117" s="6"/>
      <c r="DF1117" s="6"/>
      <c r="DG1117" s="6"/>
      <c r="DH1117" s="6"/>
      <c r="DI1117" s="6"/>
      <c r="DJ1117" s="6"/>
      <c r="DK1117" s="6"/>
      <c r="DL1117" s="6"/>
      <c r="DM1117" s="6"/>
      <c r="DN1117" s="6"/>
      <c r="DO1117" s="6"/>
      <c r="DP1117" s="6"/>
      <c r="DQ1117" s="6"/>
      <c r="DR1117" s="6"/>
      <c r="DS1117" s="6"/>
      <c r="DT1117" s="6"/>
      <c r="DU1117" s="6"/>
      <c r="DV1117" s="6"/>
      <c r="DW1117" s="6"/>
      <c r="DX1117" s="6"/>
      <c r="DY1117" s="6"/>
      <c r="DZ1117" s="6"/>
      <c r="EA1117" s="6"/>
      <c r="EB1117" s="6"/>
      <c r="EC1117" s="6"/>
      <c r="ED1117" s="6"/>
      <c r="EE1117" s="6"/>
      <c r="EF1117" s="6"/>
      <c r="EG1117" s="6"/>
      <c r="EH1117" s="6"/>
      <c r="EI1117" s="6"/>
      <c r="EJ1117" s="6"/>
      <c r="EK1117" s="6"/>
      <c r="EL1117" s="6"/>
      <c r="EM1117" s="6"/>
      <c r="EN1117" s="6"/>
      <c r="EO1117" s="6"/>
      <c r="EP1117" s="6"/>
      <c r="EQ1117" s="6"/>
      <c r="ER1117" s="6"/>
      <c r="ES1117" s="6"/>
      <c r="ET1117" s="6"/>
      <c r="EU1117" s="6"/>
      <c r="EV1117" s="6"/>
      <c r="EW1117" s="6"/>
      <c r="EX1117" s="6"/>
      <c r="EY1117" s="6"/>
      <c r="EZ1117" s="6"/>
      <c r="FA1117" s="6"/>
      <c r="FB1117" s="6"/>
      <c r="FC1117" s="6"/>
      <c r="FD1117" s="6"/>
      <c r="FE1117" s="6"/>
      <c r="FF1117" s="6"/>
      <c r="FG1117" s="6"/>
      <c r="FH1117" s="6"/>
      <c r="FI1117" s="6"/>
      <c r="FJ1117" s="6"/>
      <c r="FK1117" s="6"/>
      <c r="FL1117" s="6"/>
      <c r="FM1117" s="6"/>
      <c r="FN1117" s="6"/>
      <c r="FO1117" s="6"/>
      <c r="FP1117" s="6"/>
      <c r="FQ1117" s="6"/>
      <c r="FR1117" s="6"/>
      <c r="FS1117" s="6"/>
      <c r="FT1117" s="6"/>
      <c r="FU1117" s="6"/>
      <c r="FV1117" s="6"/>
      <c r="FW1117" s="6"/>
      <c r="FX1117" s="6"/>
      <c r="FY1117" s="6"/>
      <c r="FZ1117" s="6"/>
      <c r="GA1117" s="6"/>
      <c r="GB1117" s="6"/>
      <c r="GC1117" s="6"/>
      <c r="GD1117" s="6"/>
      <c r="GE1117" s="6"/>
      <c r="GF1117" s="6"/>
      <c r="GG1117" s="6"/>
      <c r="GH1117" s="6"/>
      <c r="GI1117" s="6"/>
      <c r="GJ1117" s="6"/>
      <c r="GK1117" s="6"/>
      <c r="GL1117" s="6"/>
      <c r="GM1117" s="6"/>
      <c r="GN1117" s="6"/>
      <c r="GO1117" s="6"/>
      <c r="GP1117" s="6"/>
      <c r="GQ1117" s="6"/>
      <c r="GR1117" s="6"/>
      <c r="GS1117" s="6"/>
      <c r="GT1117" s="6"/>
      <c r="GU1117" s="6"/>
      <c r="GV1117" s="6"/>
      <c r="GW1117" s="6"/>
      <c r="GX1117" s="6"/>
      <c r="GY1117" s="6"/>
      <c r="GZ1117" s="6"/>
      <c r="HA1117" s="6"/>
      <c r="HB1117" s="6"/>
      <c r="HC1117" s="6"/>
      <c r="HD1117" s="6"/>
      <c r="HE1117" s="6"/>
      <c r="HF1117" s="6"/>
      <c r="HG1117" s="6"/>
      <c r="HH1117" s="6"/>
    </row>
    <row r="1118" spans="1:216" x14ac:dyDescent="0.3">
      <c r="A1118" s="8"/>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c r="DX1118" s="6"/>
      <c r="DY1118" s="6"/>
      <c r="DZ1118" s="6"/>
      <c r="EA1118" s="6"/>
      <c r="EB1118" s="6"/>
      <c r="EC1118" s="6"/>
      <c r="ED1118" s="6"/>
      <c r="EE1118" s="6"/>
      <c r="EF1118" s="6"/>
      <c r="EG1118" s="6"/>
      <c r="EH1118" s="6"/>
      <c r="EI1118" s="6"/>
      <c r="EJ1118" s="6"/>
      <c r="EK1118" s="6"/>
      <c r="EL1118" s="6"/>
      <c r="EM1118" s="6"/>
      <c r="EN1118" s="6"/>
      <c r="EO1118" s="6"/>
      <c r="EP1118" s="6"/>
      <c r="EQ1118" s="6"/>
      <c r="ER1118" s="6"/>
      <c r="ES1118" s="6"/>
      <c r="ET1118" s="6"/>
      <c r="EU1118" s="6"/>
      <c r="EV1118" s="6"/>
      <c r="EW1118" s="6"/>
      <c r="EX1118" s="6"/>
      <c r="EY1118" s="6"/>
      <c r="EZ1118" s="6"/>
      <c r="FA1118" s="6"/>
      <c r="FB1118" s="6"/>
      <c r="FC1118" s="6"/>
      <c r="FD1118" s="6"/>
      <c r="FE1118" s="6"/>
      <c r="FF1118" s="6"/>
      <c r="FG1118" s="6"/>
      <c r="FH1118" s="6"/>
      <c r="FI1118" s="6"/>
      <c r="FJ1118" s="6"/>
      <c r="FK1118" s="6"/>
      <c r="FL1118" s="6"/>
      <c r="FM1118" s="6"/>
      <c r="FN1118" s="6"/>
      <c r="FO1118" s="6"/>
      <c r="FP1118" s="6"/>
      <c r="FQ1118" s="6"/>
      <c r="FR1118" s="6"/>
      <c r="FS1118" s="6"/>
      <c r="FT1118" s="6"/>
      <c r="FU1118" s="6"/>
      <c r="FV1118" s="6"/>
      <c r="FW1118" s="6"/>
      <c r="FX1118" s="6"/>
      <c r="FY1118" s="6"/>
      <c r="FZ1118" s="6"/>
      <c r="GA1118" s="6"/>
      <c r="GB1118" s="6"/>
      <c r="GC1118" s="6"/>
      <c r="GD1118" s="6"/>
      <c r="GE1118" s="6"/>
      <c r="GF1118" s="6"/>
      <c r="GG1118" s="6"/>
      <c r="GH1118" s="6"/>
      <c r="GI1118" s="6"/>
      <c r="GJ1118" s="6"/>
      <c r="GK1118" s="6"/>
      <c r="GL1118" s="6"/>
      <c r="GM1118" s="6"/>
      <c r="GN1118" s="6"/>
      <c r="GO1118" s="6"/>
      <c r="GP1118" s="6"/>
      <c r="GQ1118" s="6"/>
      <c r="GR1118" s="6"/>
      <c r="GS1118" s="6"/>
      <c r="GT1118" s="6"/>
      <c r="GU1118" s="6"/>
      <c r="GV1118" s="6"/>
      <c r="GW1118" s="6"/>
      <c r="GX1118" s="6"/>
      <c r="GY1118" s="6"/>
      <c r="GZ1118" s="6"/>
      <c r="HA1118" s="6"/>
      <c r="HB1118" s="6"/>
      <c r="HC1118" s="6"/>
      <c r="HD1118" s="6"/>
      <c r="HE1118" s="6"/>
      <c r="HF1118" s="6"/>
      <c r="HG1118" s="6"/>
      <c r="HH1118" s="6"/>
    </row>
    <row r="1119" spans="1:216" x14ac:dyDescent="0.3">
      <c r="A1119" s="8"/>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c r="DX1119" s="6"/>
      <c r="DY1119" s="6"/>
      <c r="DZ1119" s="6"/>
      <c r="EA1119" s="6"/>
      <c r="EB1119" s="6"/>
      <c r="EC1119" s="6"/>
      <c r="ED1119" s="6"/>
      <c r="EE1119" s="6"/>
      <c r="EF1119" s="6"/>
      <c r="EG1119" s="6"/>
      <c r="EH1119" s="6"/>
      <c r="EI1119" s="6"/>
      <c r="EJ1119" s="6"/>
      <c r="EK1119" s="6"/>
      <c r="EL1119" s="6"/>
      <c r="EM1119" s="6"/>
      <c r="EN1119" s="6"/>
      <c r="EO1119" s="6"/>
      <c r="EP1119" s="6"/>
      <c r="EQ1119" s="6"/>
      <c r="ER1119" s="6"/>
      <c r="ES1119" s="6"/>
      <c r="ET1119" s="6"/>
      <c r="EU1119" s="6"/>
      <c r="EV1119" s="6"/>
      <c r="EW1119" s="6"/>
      <c r="EX1119" s="6"/>
      <c r="EY1119" s="6"/>
      <c r="EZ1119" s="6"/>
      <c r="FA1119" s="6"/>
      <c r="FB1119" s="6"/>
      <c r="FC1119" s="6"/>
      <c r="FD1119" s="6"/>
      <c r="FE1119" s="6"/>
      <c r="FF1119" s="6"/>
      <c r="FG1119" s="6"/>
      <c r="FH1119" s="6"/>
      <c r="FI1119" s="6"/>
      <c r="FJ1119" s="6"/>
      <c r="FK1119" s="6"/>
      <c r="FL1119" s="6"/>
      <c r="FM1119" s="6"/>
      <c r="FN1119" s="6"/>
      <c r="FO1119" s="6"/>
      <c r="FP1119" s="6"/>
      <c r="FQ1119" s="6"/>
      <c r="FR1119" s="6"/>
      <c r="FS1119" s="6"/>
      <c r="FT1119" s="6"/>
      <c r="FU1119" s="6"/>
      <c r="FV1119" s="6"/>
      <c r="FW1119" s="6"/>
      <c r="FX1119" s="6"/>
      <c r="FY1119" s="6"/>
      <c r="FZ1119" s="6"/>
      <c r="GA1119" s="6"/>
      <c r="GB1119" s="6"/>
      <c r="GC1119" s="6"/>
      <c r="GD1119" s="6"/>
      <c r="GE1119" s="6"/>
      <c r="GF1119" s="6"/>
      <c r="GG1119" s="6"/>
      <c r="GH1119" s="6"/>
      <c r="GI1119" s="6"/>
      <c r="GJ1119" s="6"/>
      <c r="GK1119" s="6"/>
      <c r="GL1119" s="6"/>
      <c r="GM1119" s="6"/>
      <c r="GN1119" s="6"/>
      <c r="GO1119" s="6"/>
      <c r="GP1119" s="6"/>
      <c r="GQ1119" s="6"/>
      <c r="GR1119" s="6"/>
      <c r="GS1119" s="6"/>
      <c r="GT1119" s="6"/>
      <c r="GU1119" s="6"/>
      <c r="GV1119" s="6"/>
      <c r="GW1119" s="6"/>
      <c r="GX1119" s="6"/>
      <c r="GY1119" s="6"/>
      <c r="GZ1119" s="6"/>
      <c r="HA1119" s="6"/>
      <c r="HB1119" s="6"/>
      <c r="HC1119" s="6"/>
      <c r="HD1119" s="6"/>
      <c r="HE1119" s="6"/>
      <c r="HF1119" s="6"/>
      <c r="HG1119" s="6"/>
      <c r="HH1119" s="6"/>
    </row>
    <row r="1120" spans="1:216" x14ac:dyDescent="0.3">
      <c r="A1120" s="8"/>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c r="DX1120" s="6"/>
      <c r="DY1120" s="6"/>
      <c r="DZ1120" s="6"/>
      <c r="EA1120" s="6"/>
      <c r="EB1120" s="6"/>
      <c r="EC1120" s="6"/>
      <c r="ED1120" s="6"/>
      <c r="EE1120" s="6"/>
      <c r="EF1120" s="6"/>
      <c r="EG1120" s="6"/>
      <c r="EH1120" s="6"/>
      <c r="EI1120" s="6"/>
      <c r="EJ1120" s="6"/>
      <c r="EK1120" s="6"/>
      <c r="EL1120" s="6"/>
      <c r="EM1120" s="6"/>
      <c r="EN1120" s="6"/>
      <c r="EO1120" s="6"/>
      <c r="EP1120" s="6"/>
      <c r="EQ1120" s="6"/>
      <c r="ER1120" s="6"/>
      <c r="ES1120" s="6"/>
      <c r="ET1120" s="6"/>
      <c r="EU1120" s="6"/>
      <c r="EV1120" s="6"/>
      <c r="EW1120" s="6"/>
      <c r="EX1120" s="6"/>
      <c r="EY1120" s="6"/>
      <c r="EZ1120" s="6"/>
      <c r="FA1120" s="6"/>
      <c r="FB1120" s="6"/>
      <c r="FC1120" s="6"/>
      <c r="FD1120" s="6"/>
      <c r="FE1120" s="6"/>
      <c r="FF1120" s="6"/>
      <c r="FG1120" s="6"/>
      <c r="FH1120" s="6"/>
      <c r="FI1120" s="6"/>
      <c r="FJ1120" s="6"/>
      <c r="FK1120" s="6"/>
      <c r="FL1120" s="6"/>
      <c r="FM1120" s="6"/>
      <c r="FN1120" s="6"/>
      <c r="FO1120" s="6"/>
      <c r="FP1120" s="6"/>
      <c r="FQ1120" s="6"/>
      <c r="FR1120" s="6"/>
      <c r="FS1120" s="6"/>
      <c r="FT1120" s="6"/>
      <c r="FU1120" s="6"/>
      <c r="FV1120" s="6"/>
      <c r="FW1120" s="6"/>
      <c r="FX1120" s="6"/>
      <c r="FY1120" s="6"/>
      <c r="FZ1120" s="6"/>
      <c r="GA1120" s="6"/>
      <c r="GB1120" s="6"/>
      <c r="GC1120" s="6"/>
      <c r="GD1120" s="6"/>
      <c r="GE1120" s="6"/>
      <c r="GF1120" s="6"/>
      <c r="GG1120" s="6"/>
      <c r="GH1120" s="6"/>
      <c r="GI1120" s="6"/>
      <c r="GJ1120" s="6"/>
      <c r="GK1120" s="6"/>
      <c r="GL1120" s="6"/>
      <c r="GM1120" s="6"/>
      <c r="GN1120" s="6"/>
      <c r="GO1120" s="6"/>
      <c r="GP1120" s="6"/>
      <c r="GQ1120" s="6"/>
      <c r="GR1120" s="6"/>
      <c r="GS1120" s="6"/>
      <c r="GT1120" s="6"/>
      <c r="GU1120" s="6"/>
      <c r="GV1120" s="6"/>
      <c r="GW1120" s="6"/>
      <c r="GX1120" s="6"/>
      <c r="GY1120" s="6"/>
      <c r="GZ1120" s="6"/>
      <c r="HA1120" s="6"/>
      <c r="HB1120" s="6"/>
      <c r="HC1120" s="6"/>
      <c r="HD1120" s="6"/>
      <c r="HE1120" s="6"/>
      <c r="HF1120" s="6"/>
      <c r="HG1120" s="6"/>
      <c r="HH1120" s="6"/>
    </row>
    <row r="1121" spans="1:216" x14ac:dyDescent="0.3">
      <c r="A1121" s="8"/>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6"/>
      <c r="AR1121" s="6"/>
      <c r="AS1121" s="6"/>
      <c r="AT1121" s="6"/>
      <c r="AU1121" s="6"/>
      <c r="AV1121" s="6"/>
      <c r="AW1121" s="6"/>
      <c r="AX1121" s="6"/>
      <c r="AY1121" s="6"/>
      <c r="AZ1121" s="6"/>
      <c r="BA1121" s="6"/>
      <c r="BB1121" s="6"/>
      <c r="BC1121" s="6"/>
      <c r="BD1121" s="6"/>
      <c r="BE1121" s="6"/>
      <c r="BF1121" s="6"/>
      <c r="BG1121" s="6"/>
      <c r="BH1121" s="6"/>
      <c r="BI1121" s="6"/>
      <c r="BJ1121" s="6"/>
      <c r="BK1121" s="6"/>
      <c r="BL1121" s="6"/>
      <c r="BM1121" s="6"/>
      <c r="BN1121" s="6"/>
      <c r="BO1121" s="6"/>
      <c r="BP1121" s="6"/>
      <c r="BQ1121" s="6"/>
      <c r="BR1121" s="6"/>
      <c r="BS1121" s="6"/>
      <c r="BT1121" s="6"/>
      <c r="BU1121" s="6"/>
      <c r="BV1121" s="6"/>
      <c r="BW1121" s="6"/>
      <c r="BX1121" s="6"/>
      <c r="BY1121" s="6"/>
      <c r="BZ1121" s="6"/>
      <c r="CA1121" s="6"/>
      <c r="CB1121" s="6"/>
      <c r="CC1121" s="6"/>
      <c r="CD1121" s="6"/>
      <c r="CE1121" s="6"/>
      <c r="CF1121" s="6"/>
      <c r="CG1121" s="6"/>
      <c r="CH1121" s="6"/>
      <c r="CI1121" s="6"/>
      <c r="CJ1121" s="6"/>
      <c r="CK1121" s="6"/>
      <c r="CL1121" s="6"/>
      <c r="CM1121" s="6"/>
      <c r="CN1121" s="6"/>
      <c r="CO1121" s="6"/>
      <c r="CP1121" s="6"/>
      <c r="CQ1121" s="6"/>
      <c r="CR1121" s="6"/>
      <c r="CS1121" s="6"/>
      <c r="CT1121" s="6"/>
      <c r="CU1121" s="6"/>
      <c r="CV1121" s="6"/>
      <c r="CW1121" s="6"/>
      <c r="CX1121" s="6"/>
      <c r="CY1121" s="6"/>
      <c r="CZ1121" s="6"/>
      <c r="DA1121" s="6"/>
      <c r="DB1121" s="6"/>
      <c r="DC1121" s="6"/>
      <c r="DD1121" s="6"/>
      <c r="DE1121" s="6"/>
      <c r="DF1121" s="6"/>
      <c r="DG1121" s="6"/>
      <c r="DH1121" s="6"/>
      <c r="DI1121" s="6"/>
      <c r="DJ1121" s="6"/>
      <c r="DK1121" s="6"/>
      <c r="DL1121" s="6"/>
      <c r="DM1121" s="6"/>
      <c r="DN1121" s="6"/>
      <c r="DO1121" s="6"/>
      <c r="DP1121" s="6"/>
      <c r="DQ1121" s="6"/>
      <c r="DR1121" s="6"/>
      <c r="DS1121" s="6"/>
      <c r="DT1121" s="6"/>
      <c r="DU1121" s="6"/>
      <c r="DV1121" s="6"/>
      <c r="DW1121" s="6"/>
      <c r="DX1121" s="6"/>
      <c r="DY1121" s="6"/>
      <c r="DZ1121" s="6"/>
      <c r="EA1121" s="6"/>
      <c r="EB1121" s="6"/>
      <c r="EC1121" s="6"/>
      <c r="ED1121" s="6"/>
      <c r="EE1121" s="6"/>
      <c r="EF1121" s="6"/>
      <c r="EG1121" s="6"/>
      <c r="EH1121" s="6"/>
      <c r="EI1121" s="6"/>
      <c r="EJ1121" s="6"/>
      <c r="EK1121" s="6"/>
      <c r="EL1121" s="6"/>
      <c r="EM1121" s="6"/>
      <c r="EN1121" s="6"/>
      <c r="EO1121" s="6"/>
      <c r="EP1121" s="6"/>
      <c r="EQ1121" s="6"/>
      <c r="ER1121" s="6"/>
      <c r="ES1121" s="6"/>
      <c r="ET1121" s="6"/>
      <c r="EU1121" s="6"/>
      <c r="EV1121" s="6"/>
      <c r="EW1121" s="6"/>
      <c r="EX1121" s="6"/>
      <c r="EY1121" s="6"/>
      <c r="EZ1121" s="6"/>
      <c r="FA1121" s="6"/>
      <c r="FB1121" s="6"/>
      <c r="FC1121" s="6"/>
      <c r="FD1121" s="6"/>
      <c r="FE1121" s="6"/>
      <c r="FF1121" s="6"/>
      <c r="FG1121" s="6"/>
      <c r="FH1121" s="6"/>
      <c r="FI1121" s="6"/>
      <c r="FJ1121" s="6"/>
      <c r="FK1121" s="6"/>
      <c r="FL1121" s="6"/>
      <c r="FM1121" s="6"/>
      <c r="FN1121" s="6"/>
      <c r="FO1121" s="6"/>
      <c r="FP1121" s="6"/>
      <c r="FQ1121" s="6"/>
      <c r="FR1121" s="6"/>
      <c r="FS1121" s="6"/>
      <c r="FT1121" s="6"/>
      <c r="FU1121" s="6"/>
      <c r="FV1121" s="6"/>
      <c r="FW1121" s="6"/>
      <c r="FX1121" s="6"/>
      <c r="FY1121" s="6"/>
      <c r="FZ1121" s="6"/>
      <c r="GA1121" s="6"/>
      <c r="GB1121" s="6"/>
      <c r="GC1121" s="6"/>
      <c r="GD1121" s="6"/>
      <c r="GE1121" s="6"/>
      <c r="GF1121" s="6"/>
      <c r="GG1121" s="6"/>
      <c r="GH1121" s="6"/>
      <c r="GI1121" s="6"/>
      <c r="GJ1121" s="6"/>
      <c r="GK1121" s="6"/>
      <c r="GL1121" s="6"/>
      <c r="GM1121" s="6"/>
      <c r="GN1121" s="6"/>
      <c r="GO1121" s="6"/>
      <c r="GP1121" s="6"/>
      <c r="GQ1121" s="6"/>
      <c r="GR1121" s="6"/>
      <c r="GS1121" s="6"/>
      <c r="GT1121" s="6"/>
      <c r="GU1121" s="6"/>
      <c r="GV1121" s="6"/>
      <c r="GW1121" s="6"/>
      <c r="GX1121" s="6"/>
      <c r="GY1121" s="6"/>
      <c r="GZ1121" s="6"/>
      <c r="HA1121" s="6"/>
      <c r="HB1121" s="6"/>
      <c r="HC1121" s="6"/>
      <c r="HD1121" s="6"/>
      <c r="HE1121" s="6"/>
      <c r="HF1121" s="6"/>
      <c r="HG1121" s="6"/>
      <c r="HH1121" s="6"/>
    </row>
    <row r="1122" spans="1:216" x14ac:dyDescent="0.3">
      <c r="A1122" s="8"/>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c r="DX1122" s="6"/>
      <c r="DY1122" s="6"/>
      <c r="DZ1122" s="6"/>
      <c r="EA1122" s="6"/>
      <c r="EB1122" s="6"/>
      <c r="EC1122" s="6"/>
      <c r="ED1122" s="6"/>
      <c r="EE1122" s="6"/>
      <c r="EF1122" s="6"/>
      <c r="EG1122" s="6"/>
      <c r="EH1122" s="6"/>
      <c r="EI1122" s="6"/>
      <c r="EJ1122" s="6"/>
      <c r="EK1122" s="6"/>
      <c r="EL1122" s="6"/>
      <c r="EM1122" s="6"/>
      <c r="EN1122" s="6"/>
      <c r="EO1122" s="6"/>
      <c r="EP1122" s="6"/>
      <c r="EQ1122" s="6"/>
      <c r="ER1122" s="6"/>
      <c r="ES1122" s="6"/>
      <c r="ET1122" s="6"/>
      <c r="EU1122" s="6"/>
      <c r="EV1122" s="6"/>
      <c r="EW1122" s="6"/>
      <c r="EX1122" s="6"/>
      <c r="EY1122" s="6"/>
      <c r="EZ1122" s="6"/>
      <c r="FA1122" s="6"/>
      <c r="FB1122" s="6"/>
      <c r="FC1122" s="6"/>
      <c r="FD1122" s="6"/>
      <c r="FE1122" s="6"/>
      <c r="FF1122" s="6"/>
      <c r="FG1122" s="6"/>
      <c r="FH1122" s="6"/>
      <c r="FI1122" s="6"/>
      <c r="FJ1122" s="6"/>
      <c r="FK1122" s="6"/>
      <c r="FL1122" s="6"/>
      <c r="FM1122" s="6"/>
      <c r="FN1122" s="6"/>
      <c r="FO1122" s="6"/>
      <c r="FP1122" s="6"/>
      <c r="FQ1122" s="6"/>
      <c r="FR1122" s="6"/>
      <c r="FS1122" s="6"/>
      <c r="FT1122" s="6"/>
      <c r="FU1122" s="6"/>
      <c r="FV1122" s="6"/>
      <c r="FW1122" s="6"/>
      <c r="FX1122" s="6"/>
      <c r="FY1122" s="6"/>
      <c r="FZ1122" s="6"/>
      <c r="GA1122" s="6"/>
      <c r="GB1122" s="6"/>
      <c r="GC1122" s="6"/>
      <c r="GD1122" s="6"/>
      <c r="GE1122" s="6"/>
      <c r="GF1122" s="6"/>
      <c r="GG1122" s="6"/>
      <c r="GH1122" s="6"/>
      <c r="GI1122" s="6"/>
      <c r="GJ1122" s="6"/>
      <c r="GK1122" s="6"/>
      <c r="GL1122" s="6"/>
      <c r="GM1122" s="6"/>
      <c r="GN1122" s="6"/>
      <c r="GO1122" s="6"/>
      <c r="GP1122" s="6"/>
      <c r="GQ1122" s="6"/>
      <c r="GR1122" s="6"/>
      <c r="GS1122" s="6"/>
      <c r="GT1122" s="6"/>
      <c r="GU1122" s="6"/>
      <c r="GV1122" s="6"/>
      <c r="GW1122" s="6"/>
      <c r="GX1122" s="6"/>
      <c r="GY1122" s="6"/>
      <c r="GZ1122" s="6"/>
      <c r="HA1122" s="6"/>
      <c r="HB1122" s="6"/>
      <c r="HC1122" s="6"/>
      <c r="HD1122" s="6"/>
      <c r="HE1122" s="6"/>
      <c r="HF1122" s="6"/>
      <c r="HG1122" s="6"/>
      <c r="HH1122" s="6"/>
    </row>
    <row r="1123" spans="1:216" x14ac:dyDescent="0.3">
      <c r="A1123" s="8"/>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c r="DX1123" s="6"/>
      <c r="DY1123" s="6"/>
      <c r="DZ1123" s="6"/>
      <c r="EA1123" s="6"/>
      <c r="EB1123" s="6"/>
      <c r="EC1123" s="6"/>
      <c r="ED1123" s="6"/>
      <c r="EE1123" s="6"/>
      <c r="EF1123" s="6"/>
      <c r="EG1123" s="6"/>
      <c r="EH1123" s="6"/>
      <c r="EI1123" s="6"/>
      <c r="EJ1123" s="6"/>
      <c r="EK1123" s="6"/>
      <c r="EL1123" s="6"/>
      <c r="EM1123" s="6"/>
      <c r="EN1123" s="6"/>
      <c r="EO1123" s="6"/>
      <c r="EP1123" s="6"/>
      <c r="EQ1123" s="6"/>
      <c r="ER1123" s="6"/>
      <c r="ES1123" s="6"/>
      <c r="ET1123" s="6"/>
      <c r="EU1123" s="6"/>
      <c r="EV1123" s="6"/>
      <c r="EW1123" s="6"/>
      <c r="EX1123" s="6"/>
      <c r="EY1123" s="6"/>
      <c r="EZ1123" s="6"/>
      <c r="FA1123" s="6"/>
      <c r="FB1123" s="6"/>
      <c r="FC1123" s="6"/>
      <c r="FD1123" s="6"/>
      <c r="FE1123" s="6"/>
      <c r="FF1123" s="6"/>
      <c r="FG1123" s="6"/>
      <c r="FH1123" s="6"/>
      <c r="FI1123" s="6"/>
      <c r="FJ1123" s="6"/>
      <c r="FK1123" s="6"/>
      <c r="FL1123" s="6"/>
      <c r="FM1123" s="6"/>
      <c r="FN1123" s="6"/>
      <c r="FO1123" s="6"/>
      <c r="FP1123" s="6"/>
      <c r="FQ1123" s="6"/>
      <c r="FR1123" s="6"/>
      <c r="FS1123" s="6"/>
      <c r="FT1123" s="6"/>
      <c r="FU1123" s="6"/>
      <c r="FV1123" s="6"/>
      <c r="FW1123" s="6"/>
      <c r="FX1123" s="6"/>
      <c r="FY1123" s="6"/>
      <c r="FZ1123" s="6"/>
      <c r="GA1123" s="6"/>
      <c r="GB1123" s="6"/>
      <c r="GC1123" s="6"/>
      <c r="GD1123" s="6"/>
      <c r="GE1123" s="6"/>
      <c r="GF1123" s="6"/>
      <c r="GG1123" s="6"/>
      <c r="GH1123" s="6"/>
      <c r="GI1123" s="6"/>
      <c r="GJ1123" s="6"/>
      <c r="GK1123" s="6"/>
      <c r="GL1123" s="6"/>
      <c r="GM1123" s="6"/>
      <c r="GN1123" s="6"/>
      <c r="GO1123" s="6"/>
      <c r="GP1123" s="6"/>
      <c r="GQ1123" s="6"/>
      <c r="GR1123" s="6"/>
      <c r="GS1123" s="6"/>
      <c r="GT1123" s="6"/>
      <c r="GU1123" s="6"/>
      <c r="GV1123" s="6"/>
      <c r="GW1123" s="6"/>
      <c r="GX1123" s="6"/>
      <c r="GY1123" s="6"/>
      <c r="GZ1123" s="6"/>
      <c r="HA1123" s="6"/>
      <c r="HB1123" s="6"/>
      <c r="HC1123" s="6"/>
      <c r="HD1123" s="6"/>
      <c r="HE1123" s="6"/>
      <c r="HF1123" s="6"/>
      <c r="HG1123" s="6"/>
      <c r="HH1123" s="6"/>
    </row>
    <row r="1124" spans="1:216" x14ac:dyDescent="0.3">
      <c r="A1124" s="8"/>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6"/>
      <c r="AR1124" s="6"/>
      <c r="AS1124" s="6"/>
      <c r="AT1124" s="6"/>
      <c r="AU1124" s="6"/>
      <c r="AV1124" s="6"/>
      <c r="AW1124" s="6"/>
      <c r="AX1124" s="6"/>
      <c r="AY1124" s="6"/>
      <c r="AZ1124" s="6"/>
      <c r="BA1124" s="6"/>
      <c r="BB1124" s="6"/>
      <c r="BC1124" s="6"/>
      <c r="BD1124" s="6"/>
      <c r="BE1124" s="6"/>
      <c r="BF1124" s="6"/>
      <c r="BG1124" s="6"/>
      <c r="BH1124" s="6"/>
      <c r="BI1124" s="6"/>
      <c r="BJ1124" s="6"/>
      <c r="BK1124" s="6"/>
      <c r="BL1124" s="6"/>
      <c r="BM1124" s="6"/>
      <c r="BN1124" s="6"/>
      <c r="BO1124" s="6"/>
      <c r="BP1124" s="6"/>
      <c r="BQ1124" s="6"/>
      <c r="BR1124" s="6"/>
      <c r="BS1124" s="6"/>
      <c r="BT1124" s="6"/>
      <c r="BU1124" s="6"/>
      <c r="BV1124" s="6"/>
      <c r="BW1124" s="6"/>
      <c r="BX1124" s="6"/>
      <c r="BY1124" s="6"/>
      <c r="BZ1124" s="6"/>
      <c r="CA1124" s="6"/>
      <c r="CB1124" s="6"/>
      <c r="CC1124" s="6"/>
      <c r="CD1124" s="6"/>
      <c r="CE1124" s="6"/>
      <c r="CF1124" s="6"/>
      <c r="CG1124" s="6"/>
      <c r="CH1124" s="6"/>
      <c r="CI1124" s="6"/>
      <c r="CJ1124" s="6"/>
      <c r="CK1124" s="6"/>
      <c r="CL1124" s="6"/>
      <c r="CM1124" s="6"/>
      <c r="CN1124" s="6"/>
      <c r="CO1124" s="6"/>
      <c r="CP1124" s="6"/>
      <c r="CQ1124" s="6"/>
      <c r="CR1124" s="6"/>
      <c r="CS1124" s="6"/>
      <c r="CT1124" s="6"/>
      <c r="CU1124" s="6"/>
      <c r="CV1124" s="6"/>
      <c r="CW1124" s="6"/>
      <c r="CX1124" s="6"/>
      <c r="CY1124" s="6"/>
      <c r="CZ1124" s="6"/>
      <c r="DA1124" s="6"/>
      <c r="DB1124" s="6"/>
      <c r="DC1124" s="6"/>
      <c r="DD1124" s="6"/>
      <c r="DE1124" s="6"/>
      <c r="DF1124" s="6"/>
      <c r="DG1124" s="6"/>
      <c r="DH1124" s="6"/>
      <c r="DI1124" s="6"/>
      <c r="DJ1124" s="6"/>
      <c r="DK1124" s="6"/>
      <c r="DL1124" s="6"/>
      <c r="DM1124" s="6"/>
      <c r="DN1124" s="6"/>
      <c r="DO1124" s="6"/>
      <c r="DP1124" s="6"/>
      <c r="DQ1124" s="6"/>
      <c r="DR1124" s="6"/>
      <c r="DS1124" s="6"/>
      <c r="DT1124" s="6"/>
      <c r="DU1124" s="6"/>
      <c r="DV1124" s="6"/>
      <c r="DW1124" s="6"/>
      <c r="DX1124" s="6"/>
      <c r="DY1124" s="6"/>
      <c r="DZ1124" s="6"/>
      <c r="EA1124" s="6"/>
      <c r="EB1124" s="6"/>
      <c r="EC1124" s="6"/>
      <c r="ED1124" s="6"/>
      <c r="EE1124" s="6"/>
      <c r="EF1124" s="6"/>
      <c r="EG1124" s="6"/>
      <c r="EH1124" s="6"/>
      <c r="EI1124" s="6"/>
      <c r="EJ1124" s="6"/>
      <c r="EK1124" s="6"/>
      <c r="EL1124" s="6"/>
      <c r="EM1124" s="6"/>
      <c r="EN1124" s="6"/>
      <c r="EO1124" s="6"/>
      <c r="EP1124" s="6"/>
      <c r="EQ1124" s="6"/>
      <c r="ER1124" s="6"/>
      <c r="ES1124" s="6"/>
      <c r="ET1124" s="6"/>
      <c r="EU1124" s="6"/>
      <c r="EV1124" s="6"/>
      <c r="EW1124" s="6"/>
      <c r="EX1124" s="6"/>
      <c r="EY1124" s="6"/>
      <c r="EZ1124" s="6"/>
      <c r="FA1124" s="6"/>
      <c r="FB1124" s="6"/>
      <c r="FC1124" s="6"/>
      <c r="FD1124" s="6"/>
      <c r="FE1124" s="6"/>
      <c r="FF1124" s="6"/>
      <c r="FG1124" s="6"/>
      <c r="FH1124" s="6"/>
      <c r="FI1124" s="6"/>
      <c r="FJ1124" s="6"/>
      <c r="FK1124" s="6"/>
      <c r="FL1124" s="6"/>
      <c r="FM1124" s="6"/>
      <c r="FN1124" s="6"/>
      <c r="FO1124" s="6"/>
      <c r="FP1124" s="6"/>
      <c r="FQ1124" s="6"/>
      <c r="FR1124" s="6"/>
      <c r="FS1124" s="6"/>
      <c r="FT1124" s="6"/>
      <c r="FU1124" s="6"/>
      <c r="FV1124" s="6"/>
      <c r="FW1124" s="6"/>
      <c r="FX1124" s="6"/>
      <c r="FY1124" s="6"/>
      <c r="FZ1124" s="6"/>
      <c r="GA1124" s="6"/>
      <c r="GB1124" s="6"/>
      <c r="GC1124" s="6"/>
      <c r="GD1124" s="6"/>
      <c r="GE1124" s="6"/>
      <c r="GF1124" s="6"/>
      <c r="GG1124" s="6"/>
      <c r="GH1124" s="6"/>
      <c r="GI1124" s="6"/>
      <c r="GJ1124" s="6"/>
      <c r="GK1124" s="6"/>
      <c r="GL1124" s="6"/>
      <c r="GM1124" s="6"/>
      <c r="GN1124" s="6"/>
      <c r="GO1124" s="6"/>
      <c r="GP1124" s="6"/>
      <c r="GQ1124" s="6"/>
      <c r="GR1124" s="6"/>
      <c r="GS1124" s="6"/>
      <c r="GT1124" s="6"/>
      <c r="GU1124" s="6"/>
      <c r="GV1124" s="6"/>
      <c r="GW1124" s="6"/>
      <c r="GX1124" s="6"/>
      <c r="GY1124" s="6"/>
      <c r="GZ1124" s="6"/>
      <c r="HA1124" s="6"/>
      <c r="HB1124" s="6"/>
      <c r="HC1124" s="6"/>
      <c r="HD1124" s="6"/>
      <c r="HE1124" s="6"/>
      <c r="HF1124" s="6"/>
      <c r="HG1124" s="6"/>
      <c r="HH1124" s="6"/>
    </row>
    <row r="1125" spans="1:216" x14ac:dyDescent="0.3">
      <c r="A1125" s="8"/>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6"/>
      <c r="AR1125" s="6"/>
      <c r="AS1125" s="6"/>
      <c r="AT1125" s="6"/>
      <c r="AU1125" s="6"/>
      <c r="AV1125" s="6"/>
      <c r="AW1125" s="6"/>
      <c r="AX1125" s="6"/>
      <c r="AY1125" s="6"/>
      <c r="AZ1125" s="6"/>
      <c r="BA1125" s="6"/>
      <c r="BB1125" s="6"/>
      <c r="BC1125" s="6"/>
      <c r="BD1125" s="6"/>
      <c r="BE1125" s="6"/>
      <c r="BF1125" s="6"/>
      <c r="BG1125" s="6"/>
      <c r="BH1125" s="6"/>
      <c r="BI1125" s="6"/>
      <c r="BJ1125" s="6"/>
      <c r="BK1125" s="6"/>
      <c r="BL1125" s="6"/>
      <c r="BM1125" s="6"/>
      <c r="BN1125" s="6"/>
      <c r="BO1125" s="6"/>
      <c r="BP1125" s="6"/>
      <c r="BQ1125" s="6"/>
      <c r="BR1125" s="6"/>
      <c r="BS1125" s="6"/>
      <c r="BT1125" s="6"/>
      <c r="BU1125" s="6"/>
      <c r="BV1125" s="6"/>
      <c r="BW1125" s="6"/>
      <c r="BX1125" s="6"/>
      <c r="BY1125" s="6"/>
      <c r="BZ1125" s="6"/>
      <c r="CA1125" s="6"/>
      <c r="CB1125" s="6"/>
      <c r="CC1125" s="6"/>
      <c r="CD1125" s="6"/>
      <c r="CE1125" s="6"/>
      <c r="CF1125" s="6"/>
      <c r="CG1125" s="6"/>
      <c r="CH1125" s="6"/>
      <c r="CI1125" s="6"/>
      <c r="CJ1125" s="6"/>
      <c r="CK1125" s="6"/>
      <c r="CL1125" s="6"/>
      <c r="CM1125" s="6"/>
      <c r="CN1125" s="6"/>
      <c r="CO1125" s="6"/>
      <c r="CP1125" s="6"/>
      <c r="CQ1125" s="6"/>
      <c r="CR1125" s="6"/>
      <c r="CS1125" s="6"/>
      <c r="CT1125" s="6"/>
      <c r="CU1125" s="6"/>
      <c r="CV1125" s="6"/>
      <c r="CW1125" s="6"/>
      <c r="CX1125" s="6"/>
      <c r="CY1125" s="6"/>
      <c r="CZ1125" s="6"/>
      <c r="DA1125" s="6"/>
      <c r="DB1125" s="6"/>
      <c r="DC1125" s="6"/>
      <c r="DD1125" s="6"/>
      <c r="DE1125" s="6"/>
      <c r="DF1125" s="6"/>
      <c r="DG1125" s="6"/>
      <c r="DH1125" s="6"/>
      <c r="DI1125" s="6"/>
      <c r="DJ1125" s="6"/>
      <c r="DK1125" s="6"/>
      <c r="DL1125" s="6"/>
      <c r="DM1125" s="6"/>
      <c r="DN1125" s="6"/>
      <c r="DO1125" s="6"/>
      <c r="DP1125" s="6"/>
      <c r="DQ1125" s="6"/>
      <c r="DR1125" s="6"/>
      <c r="DS1125" s="6"/>
      <c r="DT1125" s="6"/>
      <c r="DU1125" s="6"/>
      <c r="DV1125" s="6"/>
      <c r="DW1125" s="6"/>
      <c r="DX1125" s="6"/>
      <c r="DY1125" s="6"/>
      <c r="DZ1125" s="6"/>
      <c r="EA1125" s="6"/>
      <c r="EB1125" s="6"/>
      <c r="EC1125" s="6"/>
      <c r="ED1125" s="6"/>
      <c r="EE1125" s="6"/>
      <c r="EF1125" s="6"/>
      <c r="EG1125" s="6"/>
      <c r="EH1125" s="6"/>
      <c r="EI1125" s="6"/>
      <c r="EJ1125" s="6"/>
      <c r="EK1125" s="6"/>
      <c r="EL1125" s="6"/>
      <c r="EM1125" s="6"/>
      <c r="EN1125" s="6"/>
      <c r="EO1125" s="6"/>
      <c r="EP1125" s="6"/>
      <c r="EQ1125" s="6"/>
      <c r="ER1125" s="6"/>
      <c r="ES1125" s="6"/>
      <c r="ET1125" s="6"/>
      <c r="EU1125" s="6"/>
      <c r="EV1125" s="6"/>
      <c r="EW1125" s="6"/>
      <c r="EX1125" s="6"/>
      <c r="EY1125" s="6"/>
      <c r="EZ1125" s="6"/>
      <c r="FA1125" s="6"/>
      <c r="FB1125" s="6"/>
      <c r="FC1125" s="6"/>
      <c r="FD1125" s="6"/>
      <c r="FE1125" s="6"/>
      <c r="FF1125" s="6"/>
      <c r="FG1125" s="6"/>
      <c r="FH1125" s="6"/>
      <c r="FI1125" s="6"/>
      <c r="FJ1125" s="6"/>
      <c r="FK1125" s="6"/>
      <c r="FL1125" s="6"/>
      <c r="FM1125" s="6"/>
      <c r="FN1125" s="6"/>
      <c r="FO1125" s="6"/>
      <c r="FP1125" s="6"/>
      <c r="FQ1125" s="6"/>
      <c r="FR1125" s="6"/>
      <c r="FS1125" s="6"/>
      <c r="FT1125" s="6"/>
      <c r="FU1125" s="6"/>
      <c r="FV1125" s="6"/>
      <c r="FW1125" s="6"/>
      <c r="FX1125" s="6"/>
      <c r="FY1125" s="6"/>
      <c r="FZ1125" s="6"/>
      <c r="GA1125" s="6"/>
      <c r="GB1125" s="6"/>
      <c r="GC1125" s="6"/>
      <c r="GD1125" s="6"/>
      <c r="GE1125" s="6"/>
      <c r="GF1125" s="6"/>
      <c r="GG1125" s="6"/>
      <c r="GH1125" s="6"/>
      <c r="GI1125" s="6"/>
      <c r="GJ1125" s="6"/>
      <c r="GK1125" s="6"/>
      <c r="GL1125" s="6"/>
      <c r="GM1125" s="6"/>
      <c r="GN1125" s="6"/>
      <c r="GO1125" s="6"/>
      <c r="GP1125" s="6"/>
      <c r="GQ1125" s="6"/>
      <c r="GR1125" s="6"/>
      <c r="GS1125" s="6"/>
      <c r="GT1125" s="6"/>
      <c r="GU1125" s="6"/>
      <c r="GV1125" s="6"/>
      <c r="GW1125" s="6"/>
      <c r="GX1125" s="6"/>
      <c r="GY1125" s="6"/>
      <c r="GZ1125" s="6"/>
      <c r="HA1125" s="6"/>
      <c r="HB1125" s="6"/>
      <c r="HC1125" s="6"/>
      <c r="HD1125" s="6"/>
      <c r="HE1125" s="6"/>
      <c r="HF1125" s="6"/>
      <c r="HG1125" s="6"/>
      <c r="HH1125" s="6"/>
    </row>
    <row r="1126" spans="1:216" x14ac:dyDescent="0.3">
      <c r="A1126" s="8"/>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6"/>
      <c r="AR1126" s="6"/>
      <c r="AS1126" s="6"/>
      <c r="AT1126" s="6"/>
      <c r="AU1126" s="6"/>
      <c r="AV1126" s="6"/>
      <c r="AW1126" s="6"/>
      <c r="AX1126" s="6"/>
      <c r="AY1126" s="6"/>
      <c r="AZ1126" s="6"/>
      <c r="BA1126" s="6"/>
      <c r="BB1126" s="6"/>
      <c r="BC1126" s="6"/>
      <c r="BD1126" s="6"/>
      <c r="BE1126" s="6"/>
      <c r="BF1126" s="6"/>
      <c r="BG1126" s="6"/>
      <c r="BH1126" s="6"/>
      <c r="BI1126" s="6"/>
      <c r="BJ1126" s="6"/>
      <c r="BK1126" s="6"/>
      <c r="BL1126" s="6"/>
      <c r="BM1126" s="6"/>
      <c r="BN1126" s="6"/>
      <c r="BO1126" s="6"/>
      <c r="BP1126" s="6"/>
      <c r="BQ1126" s="6"/>
      <c r="BR1126" s="6"/>
      <c r="BS1126" s="6"/>
      <c r="BT1126" s="6"/>
      <c r="BU1126" s="6"/>
      <c r="BV1126" s="6"/>
      <c r="BW1126" s="6"/>
      <c r="BX1126" s="6"/>
      <c r="BY1126" s="6"/>
      <c r="BZ1126" s="6"/>
      <c r="CA1126" s="6"/>
      <c r="CB1126" s="6"/>
      <c r="CC1126" s="6"/>
      <c r="CD1126" s="6"/>
      <c r="CE1126" s="6"/>
      <c r="CF1126" s="6"/>
      <c r="CG1126" s="6"/>
      <c r="CH1126" s="6"/>
      <c r="CI1126" s="6"/>
      <c r="CJ1126" s="6"/>
      <c r="CK1126" s="6"/>
      <c r="CL1126" s="6"/>
      <c r="CM1126" s="6"/>
      <c r="CN1126" s="6"/>
      <c r="CO1126" s="6"/>
      <c r="CP1126" s="6"/>
      <c r="CQ1126" s="6"/>
      <c r="CR1126" s="6"/>
      <c r="CS1126" s="6"/>
      <c r="CT1126" s="6"/>
      <c r="CU1126" s="6"/>
      <c r="CV1126" s="6"/>
      <c r="CW1126" s="6"/>
      <c r="CX1126" s="6"/>
      <c r="CY1126" s="6"/>
      <c r="CZ1126" s="6"/>
      <c r="DA1126" s="6"/>
      <c r="DB1126" s="6"/>
      <c r="DC1126" s="6"/>
      <c r="DD1126" s="6"/>
      <c r="DE1126" s="6"/>
      <c r="DF1126" s="6"/>
      <c r="DG1126" s="6"/>
      <c r="DH1126" s="6"/>
      <c r="DI1126" s="6"/>
      <c r="DJ1126" s="6"/>
      <c r="DK1126" s="6"/>
      <c r="DL1126" s="6"/>
      <c r="DM1126" s="6"/>
      <c r="DN1126" s="6"/>
      <c r="DO1126" s="6"/>
      <c r="DP1126" s="6"/>
      <c r="DQ1126" s="6"/>
      <c r="DR1126" s="6"/>
      <c r="DS1126" s="6"/>
      <c r="DT1126" s="6"/>
      <c r="DU1126" s="6"/>
      <c r="DV1126" s="6"/>
      <c r="DW1126" s="6"/>
      <c r="DX1126" s="6"/>
      <c r="DY1126" s="6"/>
      <c r="DZ1126" s="6"/>
      <c r="EA1126" s="6"/>
      <c r="EB1126" s="6"/>
      <c r="EC1126" s="6"/>
      <c r="ED1126" s="6"/>
      <c r="EE1126" s="6"/>
      <c r="EF1126" s="6"/>
      <c r="EG1126" s="6"/>
      <c r="EH1126" s="6"/>
      <c r="EI1126" s="6"/>
      <c r="EJ1126" s="6"/>
      <c r="EK1126" s="6"/>
      <c r="EL1126" s="6"/>
      <c r="EM1126" s="6"/>
      <c r="EN1126" s="6"/>
      <c r="EO1126" s="6"/>
      <c r="EP1126" s="6"/>
      <c r="EQ1126" s="6"/>
      <c r="ER1126" s="6"/>
      <c r="ES1126" s="6"/>
      <c r="ET1126" s="6"/>
      <c r="EU1126" s="6"/>
      <c r="EV1126" s="6"/>
      <c r="EW1126" s="6"/>
      <c r="EX1126" s="6"/>
      <c r="EY1126" s="6"/>
      <c r="EZ1126" s="6"/>
      <c r="FA1126" s="6"/>
      <c r="FB1126" s="6"/>
      <c r="FC1126" s="6"/>
      <c r="FD1126" s="6"/>
      <c r="FE1126" s="6"/>
      <c r="FF1126" s="6"/>
      <c r="FG1126" s="6"/>
      <c r="FH1126" s="6"/>
      <c r="FI1126" s="6"/>
      <c r="FJ1126" s="6"/>
      <c r="FK1126" s="6"/>
      <c r="FL1126" s="6"/>
      <c r="FM1126" s="6"/>
      <c r="FN1126" s="6"/>
      <c r="FO1126" s="6"/>
      <c r="FP1126" s="6"/>
      <c r="FQ1126" s="6"/>
      <c r="FR1126" s="6"/>
      <c r="FS1126" s="6"/>
      <c r="FT1126" s="6"/>
      <c r="FU1126" s="6"/>
      <c r="FV1126" s="6"/>
      <c r="FW1126" s="6"/>
      <c r="FX1126" s="6"/>
      <c r="FY1126" s="6"/>
      <c r="FZ1126" s="6"/>
      <c r="GA1126" s="6"/>
      <c r="GB1126" s="6"/>
      <c r="GC1126" s="6"/>
      <c r="GD1126" s="6"/>
      <c r="GE1126" s="6"/>
      <c r="GF1126" s="6"/>
      <c r="GG1126" s="6"/>
      <c r="GH1126" s="6"/>
      <c r="GI1126" s="6"/>
      <c r="GJ1126" s="6"/>
      <c r="GK1126" s="6"/>
      <c r="GL1126" s="6"/>
      <c r="GM1126" s="6"/>
      <c r="GN1126" s="6"/>
      <c r="GO1126" s="6"/>
      <c r="GP1126" s="6"/>
      <c r="GQ1126" s="6"/>
      <c r="GR1126" s="6"/>
      <c r="GS1126" s="6"/>
      <c r="GT1126" s="6"/>
      <c r="GU1126" s="6"/>
      <c r="GV1126" s="6"/>
      <c r="GW1126" s="6"/>
      <c r="GX1126" s="6"/>
      <c r="GY1126" s="6"/>
      <c r="GZ1126" s="6"/>
      <c r="HA1126" s="6"/>
      <c r="HB1126" s="6"/>
      <c r="HC1126" s="6"/>
      <c r="HD1126" s="6"/>
      <c r="HE1126" s="6"/>
      <c r="HF1126" s="6"/>
      <c r="HG1126" s="6"/>
      <c r="HH1126" s="6"/>
    </row>
    <row r="1127" spans="1:216" x14ac:dyDescent="0.3">
      <c r="A1127" s="8"/>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6"/>
      <c r="AR1127" s="6"/>
      <c r="AS1127" s="6"/>
      <c r="AT1127" s="6"/>
      <c r="AU1127" s="6"/>
      <c r="AV1127" s="6"/>
      <c r="AW1127" s="6"/>
      <c r="AX1127" s="6"/>
      <c r="AY1127" s="6"/>
      <c r="AZ1127" s="6"/>
      <c r="BA1127" s="6"/>
      <c r="BB1127" s="6"/>
      <c r="BC1127" s="6"/>
      <c r="BD1127" s="6"/>
      <c r="BE1127" s="6"/>
      <c r="BF1127" s="6"/>
      <c r="BG1127" s="6"/>
      <c r="BH1127" s="6"/>
      <c r="BI1127" s="6"/>
      <c r="BJ1127" s="6"/>
      <c r="BK1127" s="6"/>
      <c r="BL1127" s="6"/>
      <c r="BM1127" s="6"/>
      <c r="BN1127" s="6"/>
      <c r="BO1127" s="6"/>
      <c r="BP1127" s="6"/>
      <c r="BQ1127" s="6"/>
      <c r="BR1127" s="6"/>
      <c r="BS1127" s="6"/>
      <c r="BT1127" s="6"/>
      <c r="BU1127" s="6"/>
      <c r="BV1127" s="6"/>
      <c r="BW1127" s="6"/>
      <c r="BX1127" s="6"/>
      <c r="BY1127" s="6"/>
      <c r="BZ1127" s="6"/>
      <c r="CA1127" s="6"/>
      <c r="CB1127" s="6"/>
      <c r="CC1127" s="6"/>
      <c r="CD1127" s="6"/>
      <c r="CE1127" s="6"/>
      <c r="CF1127" s="6"/>
      <c r="CG1127" s="6"/>
      <c r="CH1127" s="6"/>
      <c r="CI1127" s="6"/>
      <c r="CJ1127" s="6"/>
      <c r="CK1127" s="6"/>
      <c r="CL1127" s="6"/>
      <c r="CM1127" s="6"/>
      <c r="CN1127" s="6"/>
      <c r="CO1127" s="6"/>
      <c r="CP1127" s="6"/>
      <c r="CQ1127" s="6"/>
      <c r="CR1127" s="6"/>
      <c r="CS1127" s="6"/>
      <c r="CT1127" s="6"/>
      <c r="CU1127" s="6"/>
      <c r="CV1127" s="6"/>
      <c r="CW1127" s="6"/>
      <c r="CX1127" s="6"/>
      <c r="CY1127" s="6"/>
      <c r="CZ1127" s="6"/>
      <c r="DA1127" s="6"/>
      <c r="DB1127" s="6"/>
      <c r="DC1127" s="6"/>
      <c r="DD1127" s="6"/>
      <c r="DE1127" s="6"/>
      <c r="DF1127" s="6"/>
      <c r="DG1127" s="6"/>
      <c r="DH1127" s="6"/>
      <c r="DI1127" s="6"/>
      <c r="DJ1127" s="6"/>
      <c r="DK1127" s="6"/>
      <c r="DL1127" s="6"/>
      <c r="DM1127" s="6"/>
      <c r="DN1127" s="6"/>
      <c r="DO1127" s="6"/>
      <c r="DP1127" s="6"/>
      <c r="DQ1127" s="6"/>
      <c r="DR1127" s="6"/>
      <c r="DS1127" s="6"/>
      <c r="DT1127" s="6"/>
      <c r="DU1127" s="6"/>
      <c r="DV1127" s="6"/>
      <c r="DW1127" s="6"/>
      <c r="DX1127" s="6"/>
      <c r="DY1127" s="6"/>
      <c r="DZ1127" s="6"/>
      <c r="EA1127" s="6"/>
      <c r="EB1127" s="6"/>
      <c r="EC1127" s="6"/>
      <c r="ED1127" s="6"/>
      <c r="EE1127" s="6"/>
      <c r="EF1127" s="6"/>
      <c r="EG1127" s="6"/>
      <c r="EH1127" s="6"/>
      <c r="EI1127" s="6"/>
      <c r="EJ1127" s="6"/>
      <c r="EK1127" s="6"/>
      <c r="EL1127" s="6"/>
      <c r="EM1127" s="6"/>
      <c r="EN1127" s="6"/>
      <c r="EO1127" s="6"/>
      <c r="EP1127" s="6"/>
      <c r="EQ1127" s="6"/>
      <c r="ER1127" s="6"/>
      <c r="ES1127" s="6"/>
      <c r="ET1127" s="6"/>
      <c r="EU1127" s="6"/>
      <c r="EV1127" s="6"/>
      <c r="EW1127" s="6"/>
      <c r="EX1127" s="6"/>
      <c r="EY1127" s="6"/>
      <c r="EZ1127" s="6"/>
      <c r="FA1127" s="6"/>
      <c r="FB1127" s="6"/>
      <c r="FC1127" s="6"/>
      <c r="FD1127" s="6"/>
      <c r="FE1127" s="6"/>
      <c r="FF1127" s="6"/>
      <c r="FG1127" s="6"/>
      <c r="FH1127" s="6"/>
      <c r="FI1127" s="6"/>
      <c r="FJ1127" s="6"/>
      <c r="FK1127" s="6"/>
      <c r="FL1127" s="6"/>
      <c r="FM1127" s="6"/>
      <c r="FN1127" s="6"/>
      <c r="FO1127" s="6"/>
      <c r="FP1127" s="6"/>
      <c r="FQ1127" s="6"/>
      <c r="FR1127" s="6"/>
      <c r="FS1127" s="6"/>
      <c r="FT1127" s="6"/>
      <c r="FU1127" s="6"/>
      <c r="FV1127" s="6"/>
      <c r="FW1127" s="6"/>
      <c r="FX1127" s="6"/>
      <c r="FY1127" s="6"/>
      <c r="FZ1127" s="6"/>
      <c r="GA1127" s="6"/>
      <c r="GB1127" s="6"/>
      <c r="GC1127" s="6"/>
      <c r="GD1127" s="6"/>
      <c r="GE1127" s="6"/>
      <c r="GF1127" s="6"/>
      <c r="GG1127" s="6"/>
      <c r="GH1127" s="6"/>
      <c r="GI1127" s="6"/>
      <c r="GJ1127" s="6"/>
      <c r="GK1127" s="6"/>
      <c r="GL1127" s="6"/>
      <c r="GM1127" s="6"/>
      <c r="GN1127" s="6"/>
      <c r="GO1127" s="6"/>
      <c r="GP1127" s="6"/>
      <c r="GQ1127" s="6"/>
      <c r="GR1127" s="6"/>
      <c r="GS1127" s="6"/>
      <c r="GT1127" s="6"/>
      <c r="GU1127" s="6"/>
      <c r="GV1127" s="6"/>
      <c r="GW1127" s="6"/>
      <c r="GX1127" s="6"/>
      <c r="GY1127" s="6"/>
      <c r="GZ1127" s="6"/>
      <c r="HA1127" s="6"/>
      <c r="HB1127" s="6"/>
      <c r="HC1127" s="6"/>
      <c r="HD1127" s="6"/>
      <c r="HE1127" s="6"/>
      <c r="HF1127" s="6"/>
      <c r="HG1127" s="6"/>
      <c r="HH1127" s="6"/>
    </row>
    <row r="1128" spans="1:216" x14ac:dyDescent="0.3">
      <c r="A1128" s="8"/>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c r="DX1128" s="6"/>
      <c r="DY1128" s="6"/>
      <c r="DZ1128" s="6"/>
      <c r="EA1128" s="6"/>
      <c r="EB1128" s="6"/>
      <c r="EC1128" s="6"/>
      <c r="ED1128" s="6"/>
      <c r="EE1128" s="6"/>
      <c r="EF1128" s="6"/>
      <c r="EG1128" s="6"/>
      <c r="EH1128" s="6"/>
      <c r="EI1128" s="6"/>
      <c r="EJ1128" s="6"/>
      <c r="EK1128" s="6"/>
      <c r="EL1128" s="6"/>
      <c r="EM1128" s="6"/>
      <c r="EN1128" s="6"/>
      <c r="EO1128" s="6"/>
      <c r="EP1128" s="6"/>
      <c r="EQ1128" s="6"/>
      <c r="ER1128" s="6"/>
      <c r="ES1128" s="6"/>
      <c r="ET1128" s="6"/>
      <c r="EU1128" s="6"/>
      <c r="EV1128" s="6"/>
      <c r="EW1128" s="6"/>
      <c r="EX1128" s="6"/>
      <c r="EY1128" s="6"/>
      <c r="EZ1128" s="6"/>
      <c r="FA1128" s="6"/>
      <c r="FB1128" s="6"/>
      <c r="FC1128" s="6"/>
      <c r="FD1128" s="6"/>
      <c r="FE1128" s="6"/>
      <c r="FF1128" s="6"/>
      <c r="FG1128" s="6"/>
      <c r="FH1128" s="6"/>
      <c r="FI1128" s="6"/>
      <c r="FJ1128" s="6"/>
      <c r="FK1128" s="6"/>
      <c r="FL1128" s="6"/>
      <c r="FM1128" s="6"/>
      <c r="FN1128" s="6"/>
      <c r="FO1128" s="6"/>
      <c r="FP1128" s="6"/>
      <c r="FQ1128" s="6"/>
      <c r="FR1128" s="6"/>
      <c r="FS1128" s="6"/>
      <c r="FT1128" s="6"/>
      <c r="FU1128" s="6"/>
      <c r="FV1128" s="6"/>
      <c r="FW1128" s="6"/>
      <c r="FX1128" s="6"/>
      <c r="FY1128" s="6"/>
      <c r="FZ1128" s="6"/>
      <c r="GA1128" s="6"/>
      <c r="GB1128" s="6"/>
      <c r="GC1128" s="6"/>
      <c r="GD1128" s="6"/>
      <c r="GE1128" s="6"/>
      <c r="GF1128" s="6"/>
      <c r="GG1128" s="6"/>
      <c r="GH1128" s="6"/>
      <c r="GI1128" s="6"/>
      <c r="GJ1128" s="6"/>
      <c r="GK1128" s="6"/>
      <c r="GL1128" s="6"/>
      <c r="GM1128" s="6"/>
      <c r="GN1128" s="6"/>
      <c r="GO1128" s="6"/>
      <c r="GP1128" s="6"/>
      <c r="GQ1128" s="6"/>
      <c r="GR1128" s="6"/>
      <c r="GS1128" s="6"/>
      <c r="GT1128" s="6"/>
      <c r="GU1128" s="6"/>
      <c r="GV1128" s="6"/>
      <c r="GW1128" s="6"/>
      <c r="GX1128" s="6"/>
      <c r="GY1128" s="6"/>
      <c r="GZ1128" s="6"/>
      <c r="HA1128" s="6"/>
      <c r="HB1128" s="6"/>
      <c r="HC1128" s="6"/>
      <c r="HD1128" s="6"/>
      <c r="HE1128" s="6"/>
      <c r="HF1128" s="6"/>
      <c r="HG1128" s="6"/>
      <c r="HH1128" s="6"/>
    </row>
    <row r="1129" spans="1:216" x14ac:dyDescent="0.3">
      <c r="A1129" s="8"/>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6"/>
      <c r="AR1129" s="6"/>
      <c r="AS1129" s="6"/>
      <c r="AT1129" s="6"/>
      <c r="AU1129" s="6"/>
      <c r="AV1129" s="6"/>
      <c r="AW1129" s="6"/>
      <c r="AX1129" s="6"/>
      <c r="AY1129" s="6"/>
      <c r="AZ1129" s="6"/>
      <c r="BA1129" s="6"/>
      <c r="BB1129" s="6"/>
      <c r="BC1129" s="6"/>
      <c r="BD1129" s="6"/>
      <c r="BE1129" s="6"/>
      <c r="BF1129" s="6"/>
      <c r="BG1129" s="6"/>
      <c r="BH1129" s="6"/>
      <c r="BI1129" s="6"/>
      <c r="BJ1129" s="6"/>
      <c r="BK1129" s="6"/>
      <c r="BL1129" s="6"/>
      <c r="BM1129" s="6"/>
      <c r="BN1129" s="6"/>
      <c r="BO1129" s="6"/>
      <c r="BP1129" s="6"/>
      <c r="BQ1129" s="6"/>
      <c r="BR1129" s="6"/>
      <c r="BS1129" s="6"/>
      <c r="BT1129" s="6"/>
      <c r="BU1129" s="6"/>
      <c r="BV1129" s="6"/>
      <c r="BW1129" s="6"/>
      <c r="BX1129" s="6"/>
      <c r="BY1129" s="6"/>
      <c r="BZ1129" s="6"/>
      <c r="CA1129" s="6"/>
      <c r="CB1129" s="6"/>
      <c r="CC1129" s="6"/>
      <c r="CD1129" s="6"/>
      <c r="CE1129" s="6"/>
      <c r="CF1129" s="6"/>
      <c r="CG1129" s="6"/>
      <c r="CH1129" s="6"/>
      <c r="CI1129" s="6"/>
      <c r="CJ1129" s="6"/>
      <c r="CK1129" s="6"/>
      <c r="CL1129" s="6"/>
      <c r="CM1129" s="6"/>
      <c r="CN1129" s="6"/>
      <c r="CO1129" s="6"/>
      <c r="CP1129" s="6"/>
      <c r="CQ1129" s="6"/>
      <c r="CR1129" s="6"/>
      <c r="CS1129" s="6"/>
      <c r="CT1129" s="6"/>
      <c r="CU1129" s="6"/>
      <c r="CV1129" s="6"/>
      <c r="CW1129" s="6"/>
      <c r="CX1129" s="6"/>
      <c r="CY1129" s="6"/>
      <c r="CZ1129" s="6"/>
      <c r="DA1129" s="6"/>
      <c r="DB1129" s="6"/>
      <c r="DC1129" s="6"/>
      <c r="DD1129" s="6"/>
      <c r="DE1129" s="6"/>
      <c r="DF1129" s="6"/>
      <c r="DG1129" s="6"/>
      <c r="DH1129" s="6"/>
      <c r="DI1129" s="6"/>
      <c r="DJ1129" s="6"/>
      <c r="DK1129" s="6"/>
      <c r="DL1129" s="6"/>
      <c r="DM1129" s="6"/>
      <c r="DN1129" s="6"/>
      <c r="DO1129" s="6"/>
      <c r="DP1129" s="6"/>
      <c r="DQ1129" s="6"/>
      <c r="DR1129" s="6"/>
      <c r="DS1129" s="6"/>
      <c r="DT1129" s="6"/>
      <c r="DU1129" s="6"/>
      <c r="DV1129" s="6"/>
      <c r="DW1129" s="6"/>
      <c r="DX1129" s="6"/>
      <c r="DY1129" s="6"/>
      <c r="DZ1129" s="6"/>
      <c r="EA1129" s="6"/>
      <c r="EB1129" s="6"/>
      <c r="EC1129" s="6"/>
      <c r="ED1129" s="6"/>
      <c r="EE1129" s="6"/>
      <c r="EF1129" s="6"/>
      <c r="EG1129" s="6"/>
      <c r="EH1129" s="6"/>
      <c r="EI1129" s="6"/>
      <c r="EJ1129" s="6"/>
      <c r="EK1129" s="6"/>
      <c r="EL1129" s="6"/>
      <c r="EM1129" s="6"/>
      <c r="EN1129" s="6"/>
      <c r="EO1129" s="6"/>
      <c r="EP1129" s="6"/>
      <c r="EQ1129" s="6"/>
      <c r="ER1129" s="6"/>
      <c r="ES1129" s="6"/>
      <c r="ET1129" s="6"/>
      <c r="EU1129" s="6"/>
      <c r="EV1129" s="6"/>
      <c r="EW1129" s="6"/>
      <c r="EX1129" s="6"/>
      <c r="EY1129" s="6"/>
      <c r="EZ1129" s="6"/>
      <c r="FA1129" s="6"/>
      <c r="FB1129" s="6"/>
      <c r="FC1129" s="6"/>
      <c r="FD1129" s="6"/>
      <c r="FE1129" s="6"/>
      <c r="FF1129" s="6"/>
      <c r="FG1129" s="6"/>
      <c r="FH1129" s="6"/>
      <c r="FI1129" s="6"/>
      <c r="FJ1129" s="6"/>
      <c r="FK1129" s="6"/>
      <c r="FL1129" s="6"/>
      <c r="FM1129" s="6"/>
      <c r="FN1129" s="6"/>
      <c r="FO1129" s="6"/>
      <c r="FP1129" s="6"/>
      <c r="FQ1129" s="6"/>
      <c r="FR1129" s="6"/>
      <c r="FS1129" s="6"/>
      <c r="FT1129" s="6"/>
      <c r="FU1129" s="6"/>
      <c r="FV1129" s="6"/>
      <c r="FW1129" s="6"/>
      <c r="FX1129" s="6"/>
      <c r="FY1129" s="6"/>
      <c r="FZ1129" s="6"/>
      <c r="GA1129" s="6"/>
      <c r="GB1129" s="6"/>
      <c r="GC1129" s="6"/>
      <c r="GD1129" s="6"/>
      <c r="GE1129" s="6"/>
      <c r="GF1129" s="6"/>
      <c r="GG1129" s="6"/>
      <c r="GH1129" s="6"/>
      <c r="GI1129" s="6"/>
      <c r="GJ1129" s="6"/>
      <c r="GK1129" s="6"/>
      <c r="GL1129" s="6"/>
      <c r="GM1129" s="6"/>
      <c r="GN1129" s="6"/>
      <c r="GO1129" s="6"/>
      <c r="GP1129" s="6"/>
      <c r="GQ1129" s="6"/>
      <c r="GR1129" s="6"/>
      <c r="GS1129" s="6"/>
      <c r="GT1129" s="6"/>
      <c r="GU1129" s="6"/>
      <c r="GV1129" s="6"/>
      <c r="GW1129" s="6"/>
      <c r="GX1129" s="6"/>
      <c r="GY1129" s="6"/>
      <c r="GZ1129" s="6"/>
      <c r="HA1129" s="6"/>
      <c r="HB1129" s="6"/>
      <c r="HC1129" s="6"/>
      <c r="HD1129" s="6"/>
      <c r="HE1129" s="6"/>
      <c r="HF1129" s="6"/>
      <c r="HG1129" s="6"/>
      <c r="HH1129" s="6"/>
    </row>
    <row r="1130" spans="1:216" x14ac:dyDescent="0.3">
      <c r="A1130" s="8"/>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6"/>
      <c r="AR1130" s="6"/>
      <c r="AS1130" s="6"/>
      <c r="AT1130" s="6"/>
      <c r="AU1130" s="6"/>
      <c r="AV1130" s="6"/>
      <c r="AW1130" s="6"/>
      <c r="AX1130" s="6"/>
      <c r="AY1130" s="6"/>
      <c r="AZ1130" s="6"/>
      <c r="BA1130" s="6"/>
      <c r="BB1130" s="6"/>
      <c r="BC1130" s="6"/>
      <c r="BD1130" s="6"/>
      <c r="BE1130" s="6"/>
      <c r="BF1130" s="6"/>
      <c r="BG1130" s="6"/>
      <c r="BH1130" s="6"/>
      <c r="BI1130" s="6"/>
      <c r="BJ1130" s="6"/>
      <c r="BK1130" s="6"/>
      <c r="BL1130" s="6"/>
      <c r="BM1130" s="6"/>
      <c r="BN1130" s="6"/>
      <c r="BO1130" s="6"/>
      <c r="BP1130" s="6"/>
      <c r="BQ1130" s="6"/>
      <c r="BR1130" s="6"/>
      <c r="BS1130" s="6"/>
      <c r="BT1130" s="6"/>
      <c r="BU1130" s="6"/>
      <c r="BV1130" s="6"/>
      <c r="BW1130" s="6"/>
      <c r="BX1130" s="6"/>
      <c r="BY1130" s="6"/>
      <c r="BZ1130" s="6"/>
      <c r="CA1130" s="6"/>
      <c r="CB1130" s="6"/>
      <c r="CC1130" s="6"/>
      <c r="CD1130" s="6"/>
      <c r="CE1130" s="6"/>
      <c r="CF1130" s="6"/>
      <c r="CG1130" s="6"/>
      <c r="CH1130" s="6"/>
      <c r="CI1130" s="6"/>
      <c r="CJ1130" s="6"/>
      <c r="CK1130" s="6"/>
      <c r="CL1130" s="6"/>
      <c r="CM1130" s="6"/>
      <c r="CN1130" s="6"/>
      <c r="CO1130" s="6"/>
      <c r="CP1130" s="6"/>
      <c r="CQ1130" s="6"/>
      <c r="CR1130" s="6"/>
      <c r="CS1130" s="6"/>
      <c r="CT1130" s="6"/>
      <c r="CU1130" s="6"/>
      <c r="CV1130" s="6"/>
      <c r="CW1130" s="6"/>
      <c r="CX1130" s="6"/>
      <c r="CY1130" s="6"/>
      <c r="CZ1130" s="6"/>
      <c r="DA1130" s="6"/>
      <c r="DB1130" s="6"/>
      <c r="DC1130" s="6"/>
      <c r="DD1130" s="6"/>
      <c r="DE1130" s="6"/>
      <c r="DF1130" s="6"/>
      <c r="DG1130" s="6"/>
      <c r="DH1130" s="6"/>
      <c r="DI1130" s="6"/>
      <c r="DJ1130" s="6"/>
      <c r="DK1130" s="6"/>
      <c r="DL1130" s="6"/>
      <c r="DM1130" s="6"/>
      <c r="DN1130" s="6"/>
      <c r="DO1130" s="6"/>
      <c r="DP1130" s="6"/>
      <c r="DQ1130" s="6"/>
      <c r="DR1130" s="6"/>
      <c r="DS1130" s="6"/>
      <c r="DT1130" s="6"/>
      <c r="DU1130" s="6"/>
      <c r="DV1130" s="6"/>
      <c r="DW1130" s="6"/>
      <c r="DX1130" s="6"/>
      <c r="DY1130" s="6"/>
      <c r="DZ1130" s="6"/>
      <c r="EA1130" s="6"/>
      <c r="EB1130" s="6"/>
      <c r="EC1130" s="6"/>
      <c r="ED1130" s="6"/>
      <c r="EE1130" s="6"/>
      <c r="EF1130" s="6"/>
      <c r="EG1130" s="6"/>
      <c r="EH1130" s="6"/>
      <c r="EI1130" s="6"/>
      <c r="EJ1130" s="6"/>
      <c r="EK1130" s="6"/>
      <c r="EL1130" s="6"/>
      <c r="EM1130" s="6"/>
      <c r="EN1130" s="6"/>
      <c r="EO1130" s="6"/>
      <c r="EP1130" s="6"/>
      <c r="EQ1130" s="6"/>
      <c r="ER1130" s="6"/>
      <c r="ES1130" s="6"/>
      <c r="ET1130" s="6"/>
      <c r="EU1130" s="6"/>
      <c r="EV1130" s="6"/>
      <c r="EW1130" s="6"/>
      <c r="EX1130" s="6"/>
      <c r="EY1130" s="6"/>
      <c r="EZ1130" s="6"/>
      <c r="FA1130" s="6"/>
      <c r="FB1130" s="6"/>
      <c r="FC1130" s="6"/>
      <c r="FD1130" s="6"/>
      <c r="FE1130" s="6"/>
      <c r="FF1130" s="6"/>
      <c r="FG1130" s="6"/>
      <c r="FH1130" s="6"/>
      <c r="FI1130" s="6"/>
      <c r="FJ1130" s="6"/>
      <c r="FK1130" s="6"/>
      <c r="FL1130" s="6"/>
      <c r="FM1130" s="6"/>
      <c r="FN1130" s="6"/>
      <c r="FO1130" s="6"/>
      <c r="FP1130" s="6"/>
      <c r="FQ1130" s="6"/>
      <c r="FR1130" s="6"/>
      <c r="FS1130" s="6"/>
      <c r="FT1130" s="6"/>
      <c r="FU1130" s="6"/>
      <c r="FV1130" s="6"/>
      <c r="FW1130" s="6"/>
      <c r="FX1130" s="6"/>
      <c r="FY1130" s="6"/>
      <c r="FZ1130" s="6"/>
      <c r="GA1130" s="6"/>
      <c r="GB1130" s="6"/>
      <c r="GC1130" s="6"/>
      <c r="GD1130" s="6"/>
      <c r="GE1130" s="6"/>
      <c r="GF1130" s="6"/>
      <c r="GG1130" s="6"/>
      <c r="GH1130" s="6"/>
      <c r="GI1130" s="6"/>
      <c r="GJ1130" s="6"/>
      <c r="GK1130" s="6"/>
      <c r="GL1130" s="6"/>
      <c r="GM1130" s="6"/>
      <c r="GN1130" s="6"/>
      <c r="GO1130" s="6"/>
      <c r="GP1130" s="6"/>
      <c r="GQ1130" s="6"/>
      <c r="GR1130" s="6"/>
      <c r="GS1130" s="6"/>
      <c r="GT1130" s="6"/>
      <c r="GU1130" s="6"/>
      <c r="GV1130" s="6"/>
      <c r="GW1130" s="6"/>
      <c r="GX1130" s="6"/>
      <c r="GY1130" s="6"/>
      <c r="GZ1130" s="6"/>
      <c r="HA1130" s="6"/>
      <c r="HB1130" s="6"/>
      <c r="HC1130" s="6"/>
      <c r="HD1130" s="6"/>
      <c r="HE1130" s="6"/>
      <c r="HF1130" s="6"/>
      <c r="HG1130" s="6"/>
      <c r="HH1130" s="6"/>
    </row>
    <row r="1131" spans="1:216" x14ac:dyDescent="0.3">
      <c r="A1131" s="8"/>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c r="DX1131" s="6"/>
      <c r="DY1131" s="6"/>
      <c r="DZ1131" s="6"/>
      <c r="EA1131" s="6"/>
      <c r="EB1131" s="6"/>
      <c r="EC1131" s="6"/>
      <c r="ED1131" s="6"/>
      <c r="EE1131" s="6"/>
      <c r="EF1131" s="6"/>
      <c r="EG1131" s="6"/>
      <c r="EH1131" s="6"/>
      <c r="EI1131" s="6"/>
      <c r="EJ1131" s="6"/>
      <c r="EK1131" s="6"/>
      <c r="EL1131" s="6"/>
      <c r="EM1131" s="6"/>
      <c r="EN1131" s="6"/>
      <c r="EO1131" s="6"/>
      <c r="EP1131" s="6"/>
      <c r="EQ1131" s="6"/>
      <c r="ER1131" s="6"/>
      <c r="ES1131" s="6"/>
      <c r="ET1131" s="6"/>
      <c r="EU1131" s="6"/>
      <c r="EV1131" s="6"/>
      <c r="EW1131" s="6"/>
      <c r="EX1131" s="6"/>
      <c r="EY1131" s="6"/>
      <c r="EZ1131" s="6"/>
      <c r="FA1131" s="6"/>
      <c r="FB1131" s="6"/>
      <c r="FC1131" s="6"/>
      <c r="FD1131" s="6"/>
      <c r="FE1131" s="6"/>
      <c r="FF1131" s="6"/>
      <c r="FG1131" s="6"/>
      <c r="FH1131" s="6"/>
      <c r="FI1131" s="6"/>
      <c r="FJ1131" s="6"/>
      <c r="FK1131" s="6"/>
      <c r="FL1131" s="6"/>
      <c r="FM1131" s="6"/>
      <c r="FN1131" s="6"/>
      <c r="FO1131" s="6"/>
      <c r="FP1131" s="6"/>
      <c r="FQ1131" s="6"/>
      <c r="FR1131" s="6"/>
      <c r="FS1131" s="6"/>
      <c r="FT1131" s="6"/>
      <c r="FU1131" s="6"/>
      <c r="FV1131" s="6"/>
      <c r="FW1131" s="6"/>
      <c r="FX1131" s="6"/>
      <c r="FY1131" s="6"/>
      <c r="FZ1131" s="6"/>
      <c r="GA1131" s="6"/>
      <c r="GB1131" s="6"/>
      <c r="GC1131" s="6"/>
      <c r="GD1131" s="6"/>
      <c r="GE1131" s="6"/>
      <c r="GF1131" s="6"/>
      <c r="GG1131" s="6"/>
      <c r="GH1131" s="6"/>
      <c r="GI1131" s="6"/>
      <c r="GJ1131" s="6"/>
      <c r="GK1131" s="6"/>
      <c r="GL1131" s="6"/>
      <c r="GM1131" s="6"/>
      <c r="GN1131" s="6"/>
      <c r="GO1131" s="6"/>
      <c r="GP1131" s="6"/>
      <c r="GQ1131" s="6"/>
      <c r="GR1131" s="6"/>
      <c r="GS1131" s="6"/>
      <c r="GT1131" s="6"/>
      <c r="GU1131" s="6"/>
      <c r="GV1131" s="6"/>
      <c r="GW1131" s="6"/>
      <c r="GX1131" s="6"/>
      <c r="GY1131" s="6"/>
      <c r="GZ1131" s="6"/>
      <c r="HA1131" s="6"/>
      <c r="HB1131" s="6"/>
      <c r="HC1131" s="6"/>
      <c r="HD1131" s="6"/>
      <c r="HE1131" s="6"/>
      <c r="HF1131" s="6"/>
      <c r="HG1131" s="6"/>
      <c r="HH1131" s="6"/>
    </row>
    <row r="1132" spans="1:216" x14ac:dyDescent="0.3">
      <c r="A1132" s="8"/>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c r="DX1132" s="6"/>
      <c r="DY1132" s="6"/>
      <c r="DZ1132" s="6"/>
      <c r="EA1132" s="6"/>
      <c r="EB1132" s="6"/>
      <c r="EC1132" s="6"/>
      <c r="ED1132" s="6"/>
      <c r="EE1132" s="6"/>
      <c r="EF1132" s="6"/>
      <c r="EG1132" s="6"/>
      <c r="EH1132" s="6"/>
      <c r="EI1132" s="6"/>
      <c r="EJ1132" s="6"/>
      <c r="EK1132" s="6"/>
      <c r="EL1132" s="6"/>
      <c r="EM1132" s="6"/>
      <c r="EN1132" s="6"/>
      <c r="EO1132" s="6"/>
      <c r="EP1132" s="6"/>
      <c r="EQ1132" s="6"/>
      <c r="ER1132" s="6"/>
      <c r="ES1132" s="6"/>
      <c r="ET1132" s="6"/>
      <c r="EU1132" s="6"/>
      <c r="EV1132" s="6"/>
      <c r="EW1132" s="6"/>
      <c r="EX1132" s="6"/>
      <c r="EY1132" s="6"/>
      <c r="EZ1132" s="6"/>
      <c r="FA1132" s="6"/>
      <c r="FB1132" s="6"/>
      <c r="FC1132" s="6"/>
      <c r="FD1132" s="6"/>
      <c r="FE1132" s="6"/>
      <c r="FF1132" s="6"/>
      <c r="FG1132" s="6"/>
      <c r="FH1132" s="6"/>
      <c r="FI1132" s="6"/>
      <c r="FJ1132" s="6"/>
      <c r="FK1132" s="6"/>
      <c r="FL1132" s="6"/>
      <c r="FM1132" s="6"/>
      <c r="FN1132" s="6"/>
      <c r="FO1132" s="6"/>
      <c r="FP1132" s="6"/>
      <c r="FQ1132" s="6"/>
      <c r="FR1132" s="6"/>
      <c r="FS1132" s="6"/>
      <c r="FT1132" s="6"/>
      <c r="FU1132" s="6"/>
      <c r="FV1132" s="6"/>
      <c r="FW1132" s="6"/>
      <c r="FX1132" s="6"/>
      <c r="FY1132" s="6"/>
      <c r="FZ1132" s="6"/>
      <c r="GA1132" s="6"/>
      <c r="GB1132" s="6"/>
      <c r="GC1132" s="6"/>
      <c r="GD1132" s="6"/>
      <c r="GE1132" s="6"/>
      <c r="GF1132" s="6"/>
      <c r="GG1132" s="6"/>
      <c r="GH1132" s="6"/>
      <c r="GI1132" s="6"/>
      <c r="GJ1132" s="6"/>
      <c r="GK1132" s="6"/>
      <c r="GL1132" s="6"/>
      <c r="GM1132" s="6"/>
      <c r="GN1132" s="6"/>
      <c r="GO1132" s="6"/>
      <c r="GP1132" s="6"/>
      <c r="GQ1132" s="6"/>
      <c r="GR1132" s="6"/>
      <c r="GS1132" s="6"/>
      <c r="GT1132" s="6"/>
      <c r="GU1132" s="6"/>
      <c r="GV1132" s="6"/>
      <c r="GW1132" s="6"/>
      <c r="GX1132" s="6"/>
      <c r="GY1132" s="6"/>
      <c r="GZ1132" s="6"/>
      <c r="HA1132" s="6"/>
      <c r="HB1132" s="6"/>
      <c r="HC1132" s="6"/>
      <c r="HD1132" s="6"/>
      <c r="HE1132" s="6"/>
      <c r="HF1132" s="6"/>
      <c r="HG1132" s="6"/>
      <c r="HH1132" s="6"/>
    </row>
    <row r="1133" spans="1:216" x14ac:dyDescent="0.3">
      <c r="A1133" s="8"/>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6"/>
      <c r="AR1133" s="6"/>
      <c r="AS1133" s="6"/>
      <c r="AT1133" s="6"/>
      <c r="AU1133" s="6"/>
      <c r="AV1133" s="6"/>
      <c r="AW1133" s="6"/>
      <c r="AX1133" s="6"/>
      <c r="AY1133" s="6"/>
      <c r="AZ1133" s="6"/>
      <c r="BA1133" s="6"/>
      <c r="BB1133" s="6"/>
      <c r="BC1133" s="6"/>
      <c r="BD1133" s="6"/>
      <c r="BE1133" s="6"/>
      <c r="BF1133" s="6"/>
      <c r="BG1133" s="6"/>
      <c r="BH1133" s="6"/>
      <c r="BI1133" s="6"/>
      <c r="BJ1133" s="6"/>
      <c r="BK1133" s="6"/>
      <c r="BL1133" s="6"/>
      <c r="BM1133" s="6"/>
      <c r="BN1133" s="6"/>
      <c r="BO1133" s="6"/>
      <c r="BP1133" s="6"/>
      <c r="BQ1133" s="6"/>
      <c r="BR1133" s="6"/>
      <c r="BS1133" s="6"/>
      <c r="BT1133" s="6"/>
      <c r="BU1133" s="6"/>
      <c r="BV1133" s="6"/>
      <c r="BW1133" s="6"/>
      <c r="BX1133" s="6"/>
      <c r="BY1133" s="6"/>
      <c r="BZ1133" s="6"/>
      <c r="CA1133" s="6"/>
      <c r="CB1133" s="6"/>
      <c r="CC1133" s="6"/>
      <c r="CD1133" s="6"/>
      <c r="CE1133" s="6"/>
      <c r="CF1133" s="6"/>
      <c r="CG1133" s="6"/>
      <c r="CH1133" s="6"/>
      <c r="CI1133" s="6"/>
      <c r="CJ1133" s="6"/>
      <c r="CK1133" s="6"/>
      <c r="CL1133" s="6"/>
      <c r="CM1133" s="6"/>
      <c r="CN1133" s="6"/>
      <c r="CO1133" s="6"/>
      <c r="CP1133" s="6"/>
      <c r="CQ1133" s="6"/>
      <c r="CR1133" s="6"/>
      <c r="CS1133" s="6"/>
      <c r="CT1133" s="6"/>
      <c r="CU1133" s="6"/>
      <c r="CV1133" s="6"/>
      <c r="CW1133" s="6"/>
      <c r="CX1133" s="6"/>
      <c r="CY1133" s="6"/>
      <c r="CZ1133" s="6"/>
      <c r="DA1133" s="6"/>
      <c r="DB1133" s="6"/>
      <c r="DC1133" s="6"/>
      <c r="DD1133" s="6"/>
      <c r="DE1133" s="6"/>
      <c r="DF1133" s="6"/>
      <c r="DG1133" s="6"/>
      <c r="DH1133" s="6"/>
      <c r="DI1133" s="6"/>
      <c r="DJ1133" s="6"/>
      <c r="DK1133" s="6"/>
      <c r="DL1133" s="6"/>
      <c r="DM1133" s="6"/>
      <c r="DN1133" s="6"/>
      <c r="DO1133" s="6"/>
      <c r="DP1133" s="6"/>
      <c r="DQ1133" s="6"/>
      <c r="DR1133" s="6"/>
      <c r="DS1133" s="6"/>
      <c r="DT1133" s="6"/>
      <c r="DU1133" s="6"/>
      <c r="DV1133" s="6"/>
      <c r="DW1133" s="6"/>
      <c r="DX1133" s="6"/>
      <c r="DY1133" s="6"/>
      <c r="DZ1133" s="6"/>
      <c r="EA1133" s="6"/>
      <c r="EB1133" s="6"/>
      <c r="EC1133" s="6"/>
      <c r="ED1133" s="6"/>
      <c r="EE1133" s="6"/>
      <c r="EF1133" s="6"/>
      <c r="EG1133" s="6"/>
      <c r="EH1133" s="6"/>
      <c r="EI1133" s="6"/>
      <c r="EJ1133" s="6"/>
      <c r="EK1133" s="6"/>
      <c r="EL1133" s="6"/>
      <c r="EM1133" s="6"/>
      <c r="EN1133" s="6"/>
      <c r="EO1133" s="6"/>
      <c r="EP1133" s="6"/>
      <c r="EQ1133" s="6"/>
      <c r="ER1133" s="6"/>
      <c r="ES1133" s="6"/>
      <c r="ET1133" s="6"/>
      <c r="EU1133" s="6"/>
      <c r="EV1133" s="6"/>
      <c r="EW1133" s="6"/>
      <c r="EX1133" s="6"/>
      <c r="EY1133" s="6"/>
      <c r="EZ1133" s="6"/>
      <c r="FA1133" s="6"/>
      <c r="FB1133" s="6"/>
      <c r="FC1133" s="6"/>
      <c r="FD1133" s="6"/>
      <c r="FE1133" s="6"/>
      <c r="FF1133" s="6"/>
      <c r="FG1133" s="6"/>
      <c r="FH1133" s="6"/>
      <c r="FI1133" s="6"/>
      <c r="FJ1133" s="6"/>
      <c r="FK1133" s="6"/>
      <c r="FL1133" s="6"/>
      <c r="FM1133" s="6"/>
      <c r="FN1133" s="6"/>
      <c r="FO1133" s="6"/>
      <c r="FP1133" s="6"/>
      <c r="FQ1133" s="6"/>
      <c r="FR1133" s="6"/>
      <c r="FS1133" s="6"/>
      <c r="FT1133" s="6"/>
      <c r="FU1133" s="6"/>
      <c r="FV1133" s="6"/>
      <c r="FW1133" s="6"/>
      <c r="FX1133" s="6"/>
      <c r="FY1133" s="6"/>
      <c r="FZ1133" s="6"/>
      <c r="GA1133" s="6"/>
      <c r="GB1133" s="6"/>
      <c r="GC1133" s="6"/>
      <c r="GD1133" s="6"/>
      <c r="GE1133" s="6"/>
      <c r="GF1133" s="6"/>
      <c r="GG1133" s="6"/>
      <c r="GH1133" s="6"/>
      <c r="GI1133" s="6"/>
      <c r="GJ1133" s="6"/>
      <c r="GK1133" s="6"/>
      <c r="GL1133" s="6"/>
      <c r="GM1133" s="6"/>
      <c r="GN1133" s="6"/>
      <c r="GO1133" s="6"/>
      <c r="GP1133" s="6"/>
      <c r="GQ1133" s="6"/>
      <c r="GR1133" s="6"/>
      <c r="GS1133" s="6"/>
      <c r="GT1133" s="6"/>
      <c r="GU1133" s="6"/>
      <c r="GV1133" s="6"/>
      <c r="GW1133" s="6"/>
      <c r="GX1133" s="6"/>
      <c r="GY1133" s="6"/>
      <c r="GZ1133" s="6"/>
      <c r="HA1133" s="6"/>
      <c r="HB1133" s="6"/>
      <c r="HC1133" s="6"/>
      <c r="HD1133" s="6"/>
      <c r="HE1133" s="6"/>
      <c r="HF1133" s="6"/>
      <c r="HG1133" s="6"/>
      <c r="HH1133" s="6"/>
    </row>
    <row r="1134" spans="1:216" x14ac:dyDescent="0.3">
      <c r="A1134" s="8"/>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6"/>
      <c r="AR1134" s="6"/>
      <c r="AS1134" s="6"/>
      <c r="AT1134" s="6"/>
      <c r="AU1134" s="6"/>
      <c r="AV1134" s="6"/>
      <c r="AW1134" s="6"/>
      <c r="AX1134" s="6"/>
      <c r="AY1134" s="6"/>
      <c r="AZ1134" s="6"/>
      <c r="BA1134" s="6"/>
      <c r="BB1134" s="6"/>
      <c r="BC1134" s="6"/>
      <c r="BD1134" s="6"/>
      <c r="BE1134" s="6"/>
      <c r="BF1134" s="6"/>
      <c r="BG1134" s="6"/>
      <c r="BH1134" s="6"/>
      <c r="BI1134" s="6"/>
      <c r="BJ1134" s="6"/>
      <c r="BK1134" s="6"/>
      <c r="BL1134" s="6"/>
      <c r="BM1134" s="6"/>
      <c r="BN1134" s="6"/>
      <c r="BO1134" s="6"/>
      <c r="BP1134" s="6"/>
      <c r="BQ1134" s="6"/>
      <c r="BR1134" s="6"/>
      <c r="BS1134" s="6"/>
      <c r="BT1134" s="6"/>
      <c r="BU1134" s="6"/>
      <c r="BV1134" s="6"/>
      <c r="BW1134" s="6"/>
      <c r="BX1134" s="6"/>
      <c r="BY1134" s="6"/>
      <c r="BZ1134" s="6"/>
      <c r="CA1134" s="6"/>
      <c r="CB1134" s="6"/>
      <c r="CC1134" s="6"/>
      <c r="CD1134" s="6"/>
      <c r="CE1134" s="6"/>
      <c r="CF1134" s="6"/>
      <c r="CG1134" s="6"/>
      <c r="CH1134" s="6"/>
      <c r="CI1134" s="6"/>
      <c r="CJ1134" s="6"/>
      <c r="CK1134" s="6"/>
      <c r="CL1134" s="6"/>
      <c r="CM1134" s="6"/>
      <c r="CN1134" s="6"/>
      <c r="CO1134" s="6"/>
      <c r="CP1134" s="6"/>
      <c r="CQ1134" s="6"/>
      <c r="CR1134" s="6"/>
      <c r="CS1134" s="6"/>
      <c r="CT1134" s="6"/>
      <c r="CU1134" s="6"/>
      <c r="CV1134" s="6"/>
      <c r="CW1134" s="6"/>
      <c r="CX1134" s="6"/>
      <c r="CY1134" s="6"/>
      <c r="CZ1134" s="6"/>
      <c r="DA1134" s="6"/>
      <c r="DB1134" s="6"/>
      <c r="DC1134" s="6"/>
      <c r="DD1134" s="6"/>
      <c r="DE1134" s="6"/>
      <c r="DF1134" s="6"/>
      <c r="DG1134" s="6"/>
      <c r="DH1134" s="6"/>
      <c r="DI1134" s="6"/>
      <c r="DJ1134" s="6"/>
      <c r="DK1134" s="6"/>
      <c r="DL1134" s="6"/>
      <c r="DM1134" s="6"/>
      <c r="DN1134" s="6"/>
      <c r="DO1134" s="6"/>
      <c r="DP1134" s="6"/>
      <c r="DQ1134" s="6"/>
      <c r="DR1134" s="6"/>
      <c r="DS1134" s="6"/>
      <c r="DT1134" s="6"/>
      <c r="DU1134" s="6"/>
      <c r="DV1134" s="6"/>
      <c r="DW1134" s="6"/>
      <c r="DX1134" s="6"/>
      <c r="DY1134" s="6"/>
      <c r="DZ1134" s="6"/>
      <c r="EA1134" s="6"/>
      <c r="EB1134" s="6"/>
      <c r="EC1134" s="6"/>
      <c r="ED1134" s="6"/>
      <c r="EE1134" s="6"/>
      <c r="EF1134" s="6"/>
      <c r="EG1134" s="6"/>
      <c r="EH1134" s="6"/>
      <c r="EI1134" s="6"/>
      <c r="EJ1134" s="6"/>
      <c r="EK1134" s="6"/>
      <c r="EL1134" s="6"/>
      <c r="EM1134" s="6"/>
      <c r="EN1134" s="6"/>
      <c r="EO1134" s="6"/>
      <c r="EP1134" s="6"/>
      <c r="EQ1134" s="6"/>
      <c r="ER1134" s="6"/>
      <c r="ES1134" s="6"/>
      <c r="ET1134" s="6"/>
      <c r="EU1134" s="6"/>
      <c r="EV1134" s="6"/>
      <c r="EW1134" s="6"/>
      <c r="EX1134" s="6"/>
      <c r="EY1134" s="6"/>
      <c r="EZ1134" s="6"/>
      <c r="FA1134" s="6"/>
      <c r="FB1134" s="6"/>
      <c r="FC1134" s="6"/>
      <c r="FD1134" s="6"/>
      <c r="FE1134" s="6"/>
      <c r="FF1134" s="6"/>
      <c r="FG1134" s="6"/>
      <c r="FH1134" s="6"/>
      <c r="FI1134" s="6"/>
      <c r="FJ1134" s="6"/>
      <c r="FK1134" s="6"/>
      <c r="FL1134" s="6"/>
      <c r="FM1134" s="6"/>
      <c r="FN1134" s="6"/>
      <c r="FO1134" s="6"/>
      <c r="FP1134" s="6"/>
      <c r="FQ1134" s="6"/>
      <c r="FR1134" s="6"/>
      <c r="FS1134" s="6"/>
      <c r="FT1134" s="6"/>
      <c r="FU1134" s="6"/>
      <c r="FV1134" s="6"/>
      <c r="FW1134" s="6"/>
      <c r="FX1134" s="6"/>
      <c r="FY1134" s="6"/>
      <c r="FZ1134" s="6"/>
      <c r="GA1134" s="6"/>
      <c r="GB1134" s="6"/>
      <c r="GC1134" s="6"/>
      <c r="GD1134" s="6"/>
      <c r="GE1134" s="6"/>
      <c r="GF1134" s="6"/>
      <c r="GG1134" s="6"/>
      <c r="GH1134" s="6"/>
      <c r="GI1134" s="6"/>
      <c r="GJ1134" s="6"/>
      <c r="GK1134" s="6"/>
      <c r="GL1134" s="6"/>
      <c r="GM1134" s="6"/>
      <c r="GN1134" s="6"/>
      <c r="GO1134" s="6"/>
      <c r="GP1134" s="6"/>
      <c r="GQ1134" s="6"/>
      <c r="GR1134" s="6"/>
      <c r="GS1134" s="6"/>
      <c r="GT1134" s="6"/>
      <c r="GU1134" s="6"/>
      <c r="GV1134" s="6"/>
      <c r="GW1134" s="6"/>
      <c r="GX1134" s="6"/>
      <c r="GY1134" s="6"/>
      <c r="GZ1134" s="6"/>
      <c r="HA1134" s="6"/>
      <c r="HB1134" s="6"/>
      <c r="HC1134" s="6"/>
      <c r="HD1134" s="6"/>
      <c r="HE1134" s="6"/>
      <c r="HF1134" s="6"/>
      <c r="HG1134" s="6"/>
      <c r="HH1134" s="6"/>
    </row>
    <row r="1135" spans="1:216" x14ac:dyDescent="0.3">
      <c r="A1135" s="8"/>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6"/>
      <c r="AR1135" s="6"/>
      <c r="AS1135" s="6"/>
      <c r="AT1135" s="6"/>
      <c r="AU1135" s="6"/>
      <c r="AV1135" s="6"/>
      <c r="AW1135" s="6"/>
      <c r="AX1135" s="6"/>
      <c r="AY1135" s="6"/>
      <c r="AZ1135" s="6"/>
      <c r="BA1135" s="6"/>
      <c r="BB1135" s="6"/>
      <c r="BC1135" s="6"/>
      <c r="BD1135" s="6"/>
      <c r="BE1135" s="6"/>
      <c r="BF1135" s="6"/>
      <c r="BG1135" s="6"/>
      <c r="BH1135" s="6"/>
      <c r="BI1135" s="6"/>
      <c r="BJ1135" s="6"/>
      <c r="BK1135" s="6"/>
      <c r="BL1135" s="6"/>
      <c r="BM1135" s="6"/>
      <c r="BN1135" s="6"/>
      <c r="BO1135" s="6"/>
      <c r="BP1135" s="6"/>
      <c r="BQ1135" s="6"/>
      <c r="BR1135" s="6"/>
      <c r="BS1135" s="6"/>
      <c r="BT1135" s="6"/>
      <c r="BU1135" s="6"/>
      <c r="BV1135" s="6"/>
      <c r="BW1135" s="6"/>
      <c r="BX1135" s="6"/>
      <c r="BY1135" s="6"/>
      <c r="BZ1135" s="6"/>
      <c r="CA1135" s="6"/>
      <c r="CB1135" s="6"/>
      <c r="CC1135" s="6"/>
      <c r="CD1135" s="6"/>
      <c r="CE1135" s="6"/>
      <c r="CF1135" s="6"/>
      <c r="CG1135" s="6"/>
      <c r="CH1135" s="6"/>
      <c r="CI1135" s="6"/>
      <c r="CJ1135" s="6"/>
      <c r="CK1135" s="6"/>
      <c r="CL1135" s="6"/>
      <c r="CM1135" s="6"/>
      <c r="CN1135" s="6"/>
      <c r="CO1135" s="6"/>
      <c r="CP1135" s="6"/>
      <c r="CQ1135" s="6"/>
      <c r="CR1135" s="6"/>
      <c r="CS1135" s="6"/>
      <c r="CT1135" s="6"/>
      <c r="CU1135" s="6"/>
      <c r="CV1135" s="6"/>
      <c r="CW1135" s="6"/>
      <c r="CX1135" s="6"/>
      <c r="CY1135" s="6"/>
      <c r="CZ1135" s="6"/>
      <c r="DA1135" s="6"/>
      <c r="DB1135" s="6"/>
      <c r="DC1135" s="6"/>
      <c r="DD1135" s="6"/>
      <c r="DE1135" s="6"/>
      <c r="DF1135" s="6"/>
      <c r="DG1135" s="6"/>
      <c r="DH1135" s="6"/>
      <c r="DI1135" s="6"/>
      <c r="DJ1135" s="6"/>
      <c r="DK1135" s="6"/>
      <c r="DL1135" s="6"/>
      <c r="DM1135" s="6"/>
      <c r="DN1135" s="6"/>
      <c r="DO1135" s="6"/>
      <c r="DP1135" s="6"/>
      <c r="DQ1135" s="6"/>
      <c r="DR1135" s="6"/>
      <c r="DS1135" s="6"/>
      <c r="DT1135" s="6"/>
      <c r="DU1135" s="6"/>
      <c r="DV1135" s="6"/>
      <c r="DW1135" s="6"/>
      <c r="DX1135" s="6"/>
      <c r="DY1135" s="6"/>
      <c r="DZ1135" s="6"/>
      <c r="EA1135" s="6"/>
      <c r="EB1135" s="6"/>
      <c r="EC1135" s="6"/>
      <c r="ED1135" s="6"/>
      <c r="EE1135" s="6"/>
      <c r="EF1135" s="6"/>
      <c r="EG1135" s="6"/>
      <c r="EH1135" s="6"/>
      <c r="EI1135" s="6"/>
      <c r="EJ1135" s="6"/>
      <c r="EK1135" s="6"/>
      <c r="EL1135" s="6"/>
      <c r="EM1135" s="6"/>
      <c r="EN1135" s="6"/>
      <c r="EO1135" s="6"/>
      <c r="EP1135" s="6"/>
      <c r="EQ1135" s="6"/>
      <c r="ER1135" s="6"/>
      <c r="ES1135" s="6"/>
      <c r="ET1135" s="6"/>
      <c r="EU1135" s="6"/>
      <c r="EV1135" s="6"/>
      <c r="EW1135" s="6"/>
      <c r="EX1135" s="6"/>
      <c r="EY1135" s="6"/>
      <c r="EZ1135" s="6"/>
      <c r="FA1135" s="6"/>
      <c r="FB1135" s="6"/>
      <c r="FC1135" s="6"/>
      <c r="FD1135" s="6"/>
      <c r="FE1135" s="6"/>
      <c r="FF1135" s="6"/>
      <c r="FG1135" s="6"/>
      <c r="FH1135" s="6"/>
      <c r="FI1135" s="6"/>
      <c r="FJ1135" s="6"/>
      <c r="FK1135" s="6"/>
      <c r="FL1135" s="6"/>
      <c r="FM1135" s="6"/>
      <c r="FN1135" s="6"/>
      <c r="FO1135" s="6"/>
      <c r="FP1135" s="6"/>
      <c r="FQ1135" s="6"/>
      <c r="FR1135" s="6"/>
      <c r="FS1135" s="6"/>
      <c r="FT1135" s="6"/>
      <c r="FU1135" s="6"/>
      <c r="FV1135" s="6"/>
      <c r="FW1135" s="6"/>
      <c r="FX1135" s="6"/>
      <c r="FY1135" s="6"/>
      <c r="FZ1135" s="6"/>
      <c r="GA1135" s="6"/>
      <c r="GB1135" s="6"/>
      <c r="GC1135" s="6"/>
      <c r="GD1135" s="6"/>
      <c r="GE1135" s="6"/>
      <c r="GF1135" s="6"/>
      <c r="GG1135" s="6"/>
      <c r="GH1135" s="6"/>
      <c r="GI1135" s="6"/>
      <c r="GJ1135" s="6"/>
      <c r="GK1135" s="6"/>
      <c r="GL1135" s="6"/>
      <c r="GM1135" s="6"/>
      <c r="GN1135" s="6"/>
      <c r="GO1135" s="6"/>
      <c r="GP1135" s="6"/>
      <c r="GQ1135" s="6"/>
      <c r="GR1135" s="6"/>
      <c r="GS1135" s="6"/>
      <c r="GT1135" s="6"/>
      <c r="GU1135" s="6"/>
      <c r="GV1135" s="6"/>
      <c r="GW1135" s="6"/>
      <c r="GX1135" s="6"/>
      <c r="GY1135" s="6"/>
      <c r="GZ1135" s="6"/>
      <c r="HA1135" s="6"/>
      <c r="HB1135" s="6"/>
      <c r="HC1135" s="6"/>
      <c r="HD1135" s="6"/>
      <c r="HE1135" s="6"/>
      <c r="HF1135" s="6"/>
      <c r="HG1135" s="6"/>
      <c r="HH1135" s="6"/>
    </row>
    <row r="1136" spans="1:216" x14ac:dyDescent="0.3">
      <c r="A1136" s="8"/>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6"/>
      <c r="AR1136" s="6"/>
      <c r="AS1136" s="6"/>
      <c r="AT1136" s="6"/>
      <c r="AU1136" s="6"/>
      <c r="AV1136" s="6"/>
      <c r="AW1136" s="6"/>
      <c r="AX1136" s="6"/>
      <c r="AY1136" s="6"/>
      <c r="AZ1136" s="6"/>
      <c r="BA1136" s="6"/>
      <c r="BB1136" s="6"/>
      <c r="BC1136" s="6"/>
      <c r="BD1136" s="6"/>
      <c r="BE1136" s="6"/>
      <c r="BF1136" s="6"/>
      <c r="BG1136" s="6"/>
      <c r="BH1136" s="6"/>
      <c r="BI1136" s="6"/>
      <c r="BJ1136" s="6"/>
      <c r="BK1136" s="6"/>
      <c r="BL1136" s="6"/>
      <c r="BM1136" s="6"/>
      <c r="BN1136" s="6"/>
      <c r="BO1136" s="6"/>
      <c r="BP1136" s="6"/>
      <c r="BQ1136" s="6"/>
      <c r="BR1136" s="6"/>
      <c r="BS1136" s="6"/>
      <c r="BT1136" s="6"/>
      <c r="BU1136" s="6"/>
      <c r="BV1136" s="6"/>
      <c r="BW1136" s="6"/>
      <c r="BX1136" s="6"/>
      <c r="BY1136" s="6"/>
      <c r="BZ1136" s="6"/>
      <c r="CA1136" s="6"/>
      <c r="CB1136" s="6"/>
      <c r="CC1136" s="6"/>
      <c r="CD1136" s="6"/>
      <c r="CE1136" s="6"/>
      <c r="CF1136" s="6"/>
      <c r="CG1136" s="6"/>
      <c r="CH1136" s="6"/>
      <c r="CI1136" s="6"/>
      <c r="CJ1136" s="6"/>
      <c r="CK1136" s="6"/>
      <c r="CL1136" s="6"/>
      <c r="CM1136" s="6"/>
      <c r="CN1136" s="6"/>
      <c r="CO1136" s="6"/>
      <c r="CP1136" s="6"/>
      <c r="CQ1136" s="6"/>
      <c r="CR1136" s="6"/>
      <c r="CS1136" s="6"/>
      <c r="CT1136" s="6"/>
      <c r="CU1136" s="6"/>
      <c r="CV1136" s="6"/>
      <c r="CW1136" s="6"/>
      <c r="CX1136" s="6"/>
      <c r="CY1136" s="6"/>
      <c r="CZ1136" s="6"/>
      <c r="DA1136" s="6"/>
      <c r="DB1136" s="6"/>
      <c r="DC1136" s="6"/>
      <c r="DD1136" s="6"/>
      <c r="DE1136" s="6"/>
      <c r="DF1136" s="6"/>
      <c r="DG1136" s="6"/>
      <c r="DH1136" s="6"/>
      <c r="DI1136" s="6"/>
      <c r="DJ1136" s="6"/>
      <c r="DK1136" s="6"/>
      <c r="DL1136" s="6"/>
      <c r="DM1136" s="6"/>
      <c r="DN1136" s="6"/>
      <c r="DO1136" s="6"/>
      <c r="DP1136" s="6"/>
      <c r="DQ1136" s="6"/>
      <c r="DR1136" s="6"/>
      <c r="DS1136" s="6"/>
      <c r="DT1136" s="6"/>
      <c r="DU1136" s="6"/>
      <c r="DV1136" s="6"/>
      <c r="DW1136" s="6"/>
      <c r="DX1136" s="6"/>
      <c r="DY1136" s="6"/>
      <c r="DZ1136" s="6"/>
      <c r="EA1136" s="6"/>
      <c r="EB1136" s="6"/>
      <c r="EC1136" s="6"/>
      <c r="ED1136" s="6"/>
      <c r="EE1136" s="6"/>
      <c r="EF1136" s="6"/>
      <c r="EG1136" s="6"/>
      <c r="EH1136" s="6"/>
      <c r="EI1136" s="6"/>
      <c r="EJ1136" s="6"/>
      <c r="EK1136" s="6"/>
      <c r="EL1136" s="6"/>
      <c r="EM1136" s="6"/>
      <c r="EN1136" s="6"/>
      <c r="EO1136" s="6"/>
      <c r="EP1136" s="6"/>
      <c r="EQ1136" s="6"/>
      <c r="ER1136" s="6"/>
      <c r="ES1136" s="6"/>
      <c r="ET1136" s="6"/>
      <c r="EU1136" s="6"/>
      <c r="EV1136" s="6"/>
      <c r="EW1136" s="6"/>
      <c r="EX1136" s="6"/>
      <c r="EY1136" s="6"/>
      <c r="EZ1136" s="6"/>
      <c r="FA1136" s="6"/>
      <c r="FB1136" s="6"/>
      <c r="FC1136" s="6"/>
      <c r="FD1136" s="6"/>
      <c r="FE1136" s="6"/>
      <c r="FF1136" s="6"/>
      <c r="FG1136" s="6"/>
      <c r="FH1136" s="6"/>
      <c r="FI1136" s="6"/>
      <c r="FJ1136" s="6"/>
      <c r="FK1136" s="6"/>
      <c r="FL1136" s="6"/>
      <c r="FM1136" s="6"/>
      <c r="FN1136" s="6"/>
      <c r="FO1136" s="6"/>
      <c r="FP1136" s="6"/>
      <c r="FQ1136" s="6"/>
      <c r="FR1136" s="6"/>
      <c r="FS1136" s="6"/>
      <c r="FT1136" s="6"/>
      <c r="FU1136" s="6"/>
      <c r="FV1136" s="6"/>
      <c r="FW1136" s="6"/>
      <c r="FX1136" s="6"/>
      <c r="FY1136" s="6"/>
      <c r="FZ1136" s="6"/>
      <c r="GA1136" s="6"/>
      <c r="GB1136" s="6"/>
      <c r="GC1136" s="6"/>
      <c r="GD1136" s="6"/>
      <c r="GE1136" s="6"/>
      <c r="GF1136" s="6"/>
      <c r="GG1136" s="6"/>
      <c r="GH1136" s="6"/>
      <c r="GI1136" s="6"/>
      <c r="GJ1136" s="6"/>
      <c r="GK1136" s="6"/>
      <c r="GL1136" s="6"/>
      <c r="GM1136" s="6"/>
      <c r="GN1136" s="6"/>
      <c r="GO1136" s="6"/>
      <c r="GP1136" s="6"/>
      <c r="GQ1136" s="6"/>
      <c r="GR1136" s="6"/>
      <c r="GS1136" s="6"/>
      <c r="GT1136" s="6"/>
      <c r="GU1136" s="6"/>
      <c r="GV1136" s="6"/>
      <c r="GW1136" s="6"/>
      <c r="GX1136" s="6"/>
      <c r="GY1136" s="6"/>
      <c r="GZ1136" s="6"/>
      <c r="HA1136" s="6"/>
      <c r="HB1136" s="6"/>
      <c r="HC1136" s="6"/>
      <c r="HD1136" s="6"/>
      <c r="HE1136" s="6"/>
      <c r="HF1136" s="6"/>
      <c r="HG1136" s="6"/>
      <c r="HH1136" s="6"/>
    </row>
    <row r="1137" spans="1:216" x14ac:dyDescent="0.3">
      <c r="A1137" s="8"/>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6"/>
      <c r="AR1137" s="6"/>
      <c r="AS1137" s="6"/>
      <c r="AT1137" s="6"/>
      <c r="AU1137" s="6"/>
      <c r="AV1137" s="6"/>
      <c r="AW1137" s="6"/>
      <c r="AX1137" s="6"/>
      <c r="AY1137" s="6"/>
      <c r="AZ1137" s="6"/>
      <c r="BA1137" s="6"/>
      <c r="BB1137" s="6"/>
      <c r="BC1137" s="6"/>
      <c r="BD1137" s="6"/>
      <c r="BE1137" s="6"/>
      <c r="BF1137" s="6"/>
      <c r="BG1137" s="6"/>
      <c r="BH1137" s="6"/>
      <c r="BI1137" s="6"/>
      <c r="BJ1137" s="6"/>
      <c r="BK1137" s="6"/>
      <c r="BL1137" s="6"/>
      <c r="BM1137" s="6"/>
      <c r="BN1137" s="6"/>
      <c r="BO1137" s="6"/>
      <c r="BP1137" s="6"/>
      <c r="BQ1137" s="6"/>
      <c r="BR1137" s="6"/>
      <c r="BS1137" s="6"/>
      <c r="BT1137" s="6"/>
      <c r="BU1137" s="6"/>
      <c r="BV1137" s="6"/>
      <c r="BW1137" s="6"/>
      <c r="BX1137" s="6"/>
      <c r="BY1137" s="6"/>
      <c r="BZ1137" s="6"/>
      <c r="CA1137" s="6"/>
      <c r="CB1137" s="6"/>
      <c r="CC1137" s="6"/>
      <c r="CD1137" s="6"/>
      <c r="CE1137" s="6"/>
      <c r="CF1137" s="6"/>
      <c r="CG1137" s="6"/>
      <c r="CH1137" s="6"/>
      <c r="CI1137" s="6"/>
      <c r="CJ1137" s="6"/>
      <c r="CK1137" s="6"/>
      <c r="CL1137" s="6"/>
      <c r="CM1137" s="6"/>
      <c r="CN1137" s="6"/>
      <c r="CO1137" s="6"/>
      <c r="CP1137" s="6"/>
      <c r="CQ1137" s="6"/>
      <c r="CR1137" s="6"/>
      <c r="CS1137" s="6"/>
      <c r="CT1137" s="6"/>
      <c r="CU1137" s="6"/>
      <c r="CV1137" s="6"/>
      <c r="CW1137" s="6"/>
      <c r="CX1137" s="6"/>
      <c r="CY1137" s="6"/>
      <c r="CZ1137" s="6"/>
      <c r="DA1137" s="6"/>
      <c r="DB1137" s="6"/>
      <c r="DC1137" s="6"/>
      <c r="DD1137" s="6"/>
      <c r="DE1137" s="6"/>
      <c r="DF1137" s="6"/>
      <c r="DG1137" s="6"/>
      <c r="DH1137" s="6"/>
      <c r="DI1137" s="6"/>
      <c r="DJ1137" s="6"/>
      <c r="DK1137" s="6"/>
      <c r="DL1137" s="6"/>
      <c r="DM1137" s="6"/>
      <c r="DN1137" s="6"/>
      <c r="DO1137" s="6"/>
      <c r="DP1137" s="6"/>
      <c r="DQ1137" s="6"/>
      <c r="DR1137" s="6"/>
      <c r="DS1137" s="6"/>
      <c r="DT1137" s="6"/>
      <c r="DU1137" s="6"/>
      <c r="DV1137" s="6"/>
      <c r="DW1137" s="6"/>
      <c r="DX1137" s="6"/>
      <c r="DY1137" s="6"/>
      <c r="DZ1137" s="6"/>
      <c r="EA1137" s="6"/>
      <c r="EB1137" s="6"/>
      <c r="EC1137" s="6"/>
      <c r="ED1137" s="6"/>
      <c r="EE1137" s="6"/>
      <c r="EF1137" s="6"/>
      <c r="EG1137" s="6"/>
      <c r="EH1137" s="6"/>
      <c r="EI1137" s="6"/>
      <c r="EJ1137" s="6"/>
      <c r="EK1137" s="6"/>
      <c r="EL1137" s="6"/>
      <c r="EM1137" s="6"/>
      <c r="EN1137" s="6"/>
      <c r="EO1137" s="6"/>
      <c r="EP1137" s="6"/>
      <c r="EQ1137" s="6"/>
      <c r="ER1137" s="6"/>
      <c r="ES1137" s="6"/>
      <c r="ET1137" s="6"/>
      <c r="EU1137" s="6"/>
      <c r="EV1137" s="6"/>
      <c r="EW1137" s="6"/>
      <c r="EX1137" s="6"/>
      <c r="EY1137" s="6"/>
      <c r="EZ1137" s="6"/>
      <c r="FA1137" s="6"/>
      <c r="FB1137" s="6"/>
      <c r="FC1137" s="6"/>
      <c r="FD1137" s="6"/>
      <c r="FE1137" s="6"/>
      <c r="FF1137" s="6"/>
      <c r="FG1137" s="6"/>
      <c r="FH1137" s="6"/>
      <c r="FI1137" s="6"/>
      <c r="FJ1137" s="6"/>
      <c r="FK1137" s="6"/>
      <c r="FL1137" s="6"/>
      <c r="FM1137" s="6"/>
      <c r="FN1137" s="6"/>
      <c r="FO1137" s="6"/>
      <c r="FP1137" s="6"/>
      <c r="FQ1137" s="6"/>
      <c r="FR1137" s="6"/>
      <c r="FS1137" s="6"/>
      <c r="FT1137" s="6"/>
      <c r="FU1137" s="6"/>
      <c r="FV1137" s="6"/>
      <c r="FW1137" s="6"/>
      <c r="FX1137" s="6"/>
      <c r="FY1137" s="6"/>
      <c r="FZ1137" s="6"/>
      <c r="GA1137" s="6"/>
      <c r="GB1137" s="6"/>
      <c r="GC1137" s="6"/>
      <c r="GD1137" s="6"/>
      <c r="GE1137" s="6"/>
      <c r="GF1137" s="6"/>
      <c r="GG1137" s="6"/>
      <c r="GH1137" s="6"/>
      <c r="GI1137" s="6"/>
      <c r="GJ1137" s="6"/>
      <c r="GK1137" s="6"/>
      <c r="GL1137" s="6"/>
      <c r="GM1137" s="6"/>
      <c r="GN1137" s="6"/>
      <c r="GO1137" s="6"/>
      <c r="GP1137" s="6"/>
      <c r="GQ1137" s="6"/>
      <c r="GR1137" s="6"/>
      <c r="GS1137" s="6"/>
      <c r="GT1137" s="6"/>
      <c r="GU1137" s="6"/>
      <c r="GV1137" s="6"/>
      <c r="GW1137" s="6"/>
      <c r="GX1137" s="6"/>
      <c r="GY1137" s="6"/>
      <c r="GZ1137" s="6"/>
      <c r="HA1137" s="6"/>
      <c r="HB1137" s="6"/>
      <c r="HC1137" s="6"/>
      <c r="HD1137" s="6"/>
      <c r="HE1137" s="6"/>
      <c r="HF1137" s="6"/>
      <c r="HG1137" s="6"/>
      <c r="HH1137" s="6"/>
    </row>
    <row r="1138" spans="1:216" x14ac:dyDescent="0.3">
      <c r="A1138" s="8"/>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6"/>
      <c r="AR1138" s="6"/>
      <c r="AS1138" s="6"/>
      <c r="AT1138" s="6"/>
      <c r="AU1138" s="6"/>
      <c r="AV1138" s="6"/>
      <c r="AW1138" s="6"/>
      <c r="AX1138" s="6"/>
      <c r="AY1138" s="6"/>
      <c r="AZ1138" s="6"/>
      <c r="BA1138" s="6"/>
      <c r="BB1138" s="6"/>
      <c r="BC1138" s="6"/>
      <c r="BD1138" s="6"/>
      <c r="BE1138" s="6"/>
      <c r="BF1138" s="6"/>
      <c r="BG1138" s="6"/>
      <c r="BH1138" s="6"/>
      <c r="BI1138" s="6"/>
      <c r="BJ1138" s="6"/>
      <c r="BK1138" s="6"/>
      <c r="BL1138" s="6"/>
      <c r="BM1138" s="6"/>
      <c r="BN1138" s="6"/>
      <c r="BO1138" s="6"/>
      <c r="BP1138" s="6"/>
      <c r="BQ1138" s="6"/>
      <c r="BR1138" s="6"/>
      <c r="BS1138" s="6"/>
      <c r="BT1138" s="6"/>
      <c r="BU1138" s="6"/>
      <c r="BV1138" s="6"/>
      <c r="BW1138" s="6"/>
      <c r="BX1138" s="6"/>
      <c r="BY1138" s="6"/>
      <c r="BZ1138" s="6"/>
      <c r="CA1138" s="6"/>
      <c r="CB1138" s="6"/>
      <c r="CC1138" s="6"/>
      <c r="CD1138" s="6"/>
      <c r="CE1138" s="6"/>
      <c r="CF1138" s="6"/>
      <c r="CG1138" s="6"/>
      <c r="CH1138" s="6"/>
      <c r="CI1138" s="6"/>
      <c r="CJ1138" s="6"/>
      <c r="CK1138" s="6"/>
      <c r="CL1138" s="6"/>
      <c r="CM1138" s="6"/>
      <c r="CN1138" s="6"/>
      <c r="CO1138" s="6"/>
      <c r="CP1138" s="6"/>
      <c r="CQ1138" s="6"/>
      <c r="CR1138" s="6"/>
      <c r="CS1138" s="6"/>
      <c r="CT1138" s="6"/>
      <c r="CU1138" s="6"/>
      <c r="CV1138" s="6"/>
      <c r="CW1138" s="6"/>
      <c r="CX1138" s="6"/>
      <c r="CY1138" s="6"/>
      <c r="CZ1138" s="6"/>
      <c r="DA1138" s="6"/>
      <c r="DB1138" s="6"/>
      <c r="DC1138" s="6"/>
      <c r="DD1138" s="6"/>
      <c r="DE1138" s="6"/>
      <c r="DF1138" s="6"/>
      <c r="DG1138" s="6"/>
      <c r="DH1138" s="6"/>
      <c r="DI1138" s="6"/>
      <c r="DJ1138" s="6"/>
      <c r="DK1138" s="6"/>
      <c r="DL1138" s="6"/>
      <c r="DM1138" s="6"/>
      <c r="DN1138" s="6"/>
      <c r="DO1138" s="6"/>
      <c r="DP1138" s="6"/>
      <c r="DQ1138" s="6"/>
      <c r="DR1138" s="6"/>
      <c r="DS1138" s="6"/>
      <c r="DT1138" s="6"/>
      <c r="DU1138" s="6"/>
      <c r="DV1138" s="6"/>
      <c r="DW1138" s="6"/>
      <c r="DX1138" s="6"/>
      <c r="DY1138" s="6"/>
      <c r="DZ1138" s="6"/>
      <c r="EA1138" s="6"/>
      <c r="EB1138" s="6"/>
      <c r="EC1138" s="6"/>
      <c r="ED1138" s="6"/>
      <c r="EE1138" s="6"/>
      <c r="EF1138" s="6"/>
      <c r="EG1138" s="6"/>
      <c r="EH1138" s="6"/>
      <c r="EI1138" s="6"/>
      <c r="EJ1138" s="6"/>
      <c r="EK1138" s="6"/>
      <c r="EL1138" s="6"/>
      <c r="EM1138" s="6"/>
      <c r="EN1138" s="6"/>
      <c r="EO1138" s="6"/>
      <c r="EP1138" s="6"/>
      <c r="EQ1138" s="6"/>
      <c r="ER1138" s="6"/>
      <c r="ES1138" s="6"/>
      <c r="ET1138" s="6"/>
      <c r="EU1138" s="6"/>
      <c r="EV1138" s="6"/>
      <c r="EW1138" s="6"/>
      <c r="EX1138" s="6"/>
      <c r="EY1138" s="6"/>
      <c r="EZ1138" s="6"/>
      <c r="FA1138" s="6"/>
      <c r="FB1138" s="6"/>
      <c r="FC1138" s="6"/>
      <c r="FD1138" s="6"/>
      <c r="FE1138" s="6"/>
      <c r="FF1138" s="6"/>
      <c r="FG1138" s="6"/>
      <c r="FH1138" s="6"/>
      <c r="FI1138" s="6"/>
      <c r="FJ1138" s="6"/>
      <c r="FK1138" s="6"/>
      <c r="FL1138" s="6"/>
      <c r="FM1138" s="6"/>
      <c r="FN1138" s="6"/>
      <c r="FO1138" s="6"/>
      <c r="FP1138" s="6"/>
      <c r="FQ1138" s="6"/>
      <c r="FR1138" s="6"/>
      <c r="FS1138" s="6"/>
      <c r="FT1138" s="6"/>
      <c r="FU1138" s="6"/>
      <c r="FV1138" s="6"/>
      <c r="FW1138" s="6"/>
      <c r="FX1138" s="6"/>
      <c r="FY1138" s="6"/>
      <c r="FZ1138" s="6"/>
      <c r="GA1138" s="6"/>
      <c r="GB1138" s="6"/>
      <c r="GC1138" s="6"/>
      <c r="GD1138" s="6"/>
      <c r="GE1138" s="6"/>
      <c r="GF1138" s="6"/>
      <c r="GG1138" s="6"/>
      <c r="GH1138" s="6"/>
      <c r="GI1138" s="6"/>
      <c r="GJ1138" s="6"/>
      <c r="GK1138" s="6"/>
      <c r="GL1138" s="6"/>
      <c r="GM1138" s="6"/>
      <c r="GN1138" s="6"/>
      <c r="GO1138" s="6"/>
      <c r="GP1138" s="6"/>
      <c r="GQ1138" s="6"/>
      <c r="GR1138" s="6"/>
      <c r="GS1138" s="6"/>
      <c r="GT1138" s="6"/>
      <c r="GU1138" s="6"/>
      <c r="GV1138" s="6"/>
      <c r="GW1138" s="6"/>
      <c r="GX1138" s="6"/>
      <c r="GY1138" s="6"/>
      <c r="GZ1138" s="6"/>
      <c r="HA1138" s="6"/>
      <c r="HB1138" s="6"/>
      <c r="HC1138" s="6"/>
      <c r="HD1138" s="6"/>
      <c r="HE1138" s="6"/>
      <c r="HF1138" s="6"/>
      <c r="HG1138" s="6"/>
      <c r="HH1138" s="6"/>
    </row>
    <row r="1139" spans="1:216" x14ac:dyDescent="0.3">
      <c r="A1139" s="8"/>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c r="DX1139" s="6"/>
      <c r="DY1139" s="6"/>
      <c r="DZ1139" s="6"/>
      <c r="EA1139" s="6"/>
      <c r="EB1139" s="6"/>
      <c r="EC1139" s="6"/>
      <c r="ED1139" s="6"/>
      <c r="EE1139" s="6"/>
      <c r="EF1139" s="6"/>
      <c r="EG1139" s="6"/>
      <c r="EH1139" s="6"/>
      <c r="EI1139" s="6"/>
      <c r="EJ1139" s="6"/>
      <c r="EK1139" s="6"/>
      <c r="EL1139" s="6"/>
      <c r="EM1139" s="6"/>
      <c r="EN1139" s="6"/>
      <c r="EO1139" s="6"/>
      <c r="EP1139" s="6"/>
      <c r="EQ1139" s="6"/>
      <c r="ER1139" s="6"/>
      <c r="ES1139" s="6"/>
      <c r="ET1139" s="6"/>
      <c r="EU1139" s="6"/>
      <c r="EV1139" s="6"/>
      <c r="EW1139" s="6"/>
      <c r="EX1139" s="6"/>
      <c r="EY1139" s="6"/>
      <c r="EZ1139" s="6"/>
      <c r="FA1139" s="6"/>
      <c r="FB1139" s="6"/>
      <c r="FC1139" s="6"/>
      <c r="FD1139" s="6"/>
      <c r="FE1139" s="6"/>
      <c r="FF1139" s="6"/>
      <c r="FG1139" s="6"/>
      <c r="FH1139" s="6"/>
      <c r="FI1139" s="6"/>
      <c r="FJ1139" s="6"/>
      <c r="FK1139" s="6"/>
      <c r="FL1139" s="6"/>
      <c r="FM1139" s="6"/>
      <c r="FN1139" s="6"/>
      <c r="FO1139" s="6"/>
      <c r="FP1139" s="6"/>
      <c r="FQ1139" s="6"/>
      <c r="FR1139" s="6"/>
      <c r="FS1139" s="6"/>
      <c r="FT1139" s="6"/>
      <c r="FU1139" s="6"/>
      <c r="FV1139" s="6"/>
      <c r="FW1139" s="6"/>
      <c r="FX1139" s="6"/>
      <c r="FY1139" s="6"/>
      <c r="FZ1139" s="6"/>
      <c r="GA1139" s="6"/>
      <c r="GB1139" s="6"/>
      <c r="GC1139" s="6"/>
      <c r="GD1139" s="6"/>
      <c r="GE1139" s="6"/>
      <c r="GF1139" s="6"/>
      <c r="GG1139" s="6"/>
      <c r="GH1139" s="6"/>
      <c r="GI1139" s="6"/>
      <c r="GJ1139" s="6"/>
      <c r="GK1139" s="6"/>
      <c r="GL1139" s="6"/>
      <c r="GM1139" s="6"/>
      <c r="GN1139" s="6"/>
      <c r="GO1139" s="6"/>
      <c r="GP1139" s="6"/>
      <c r="GQ1139" s="6"/>
      <c r="GR1139" s="6"/>
      <c r="GS1139" s="6"/>
      <c r="GT1139" s="6"/>
      <c r="GU1139" s="6"/>
      <c r="GV1139" s="6"/>
      <c r="GW1139" s="6"/>
      <c r="GX1139" s="6"/>
      <c r="GY1139" s="6"/>
      <c r="GZ1139" s="6"/>
      <c r="HA1139" s="6"/>
      <c r="HB1139" s="6"/>
      <c r="HC1139" s="6"/>
      <c r="HD1139" s="6"/>
      <c r="HE1139" s="6"/>
      <c r="HF1139" s="6"/>
      <c r="HG1139" s="6"/>
      <c r="HH1139" s="6"/>
    </row>
    <row r="1140" spans="1:216" x14ac:dyDescent="0.3">
      <c r="A1140" s="8"/>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c r="DX1140" s="6"/>
      <c r="DY1140" s="6"/>
      <c r="DZ1140" s="6"/>
      <c r="EA1140" s="6"/>
      <c r="EB1140" s="6"/>
      <c r="EC1140" s="6"/>
      <c r="ED1140" s="6"/>
      <c r="EE1140" s="6"/>
      <c r="EF1140" s="6"/>
      <c r="EG1140" s="6"/>
      <c r="EH1140" s="6"/>
      <c r="EI1140" s="6"/>
      <c r="EJ1140" s="6"/>
      <c r="EK1140" s="6"/>
      <c r="EL1140" s="6"/>
      <c r="EM1140" s="6"/>
      <c r="EN1140" s="6"/>
      <c r="EO1140" s="6"/>
      <c r="EP1140" s="6"/>
      <c r="EQ1140" s="6"/>
      <c r="ER1140" s="6"/>
      <c r="ES1140" s="6"/>
      <c r="ET1140" s="6"/>
      <c r="EU1140" s="6"/>
      <c r="EV1140" s="6"/>
      <c r="EW1140" s="6"/>
      <c r="EX1140" s="6"/>
      <c r="EY1140" s="6"/>
      <c r="EZ1140" s="6"/>
      <c r="FA1140" s="6"/>
      <c r="FB1140" s="6"/>
      <c r="FC1140" s="6"/>
      <c r="FD1140" s="6"/>
      <c r="FE1140" s="6"/>
      <c r="FF1140" s="6"/>
      <c r="FG1140" s="6"/>
      <c r="FH1140" s="6"/>
      <c r="FI1140" s="6"/>
      <c r="FJ1140" s="6"/>
      <c r="FK1140" s="6"/>
      <c r="FL1140" s="6"/>
      <c r="FM1140" s="6"/>
      <c r="FN1140" s="6"/>
      <c r="FO1140" s="6"/>
      <c r="FP1140" s="6"/>
      <c r="FQ1140" s="6"/>
      <c r="FR1140" s="6"/>
      <c r="FS1140" s="6"/>
      <c r="FT1140" s="6"/>
      <c r="FU1140" s="6"/>
      <c r="FV1140" s="6"/>
      <c r="FW1140" s="6"/>
      <c r="FX1140" s="6"/>
      <c r="FY1140" s="6"/>
      <c r="FZ1140" s="6"/>
      <c r="GA1140" s="6"/>
      <c r="GB1140" s="6"/>
      <c r="GC1140" s="6"/>
      <c r="GD1140" s="6"/>
      <c r="GE1140" s="6"/>
      <c r="GF1140" s="6"/>
      <c r="GG1140" s="6"/>
      <c r="GH1140" s="6"/>
      <c r="GI1140" s="6"/>
      <c r="GJ1140" s="6"/>
      <c r="GK1140" s="6"/>
      <c r="GL1140" s="6"/>
      <c r="GM1140" s="6"/>
      <c r="GN1140" s="6"/>
      <c r="GO1140" s="6"/>
      <c r="GP1140" s="6"/>
      <c r="GQ1140" s="6"/>
      <c r="GR1140" s="6"/>
      <c r="GS1140" s="6"/>
      <c r="GT1140" s="6"/>
      <c r="GU1140" s="6"/>
      <c r="GV1140" s="6"/>
      <c r="GW1140" s="6"/>
      <c r="GX1140" s="6"/>
      <c r="GY1140" s="6"/>
      <c r="GZ1140" s="6"/>
      <c r="HA1140" s="6"/>
      <c r="HB1140" s="6"/>
      <c r="HC1140" s="6"/>
      <c r="HD1140" s="6"/>
      <c r="HE1140" s="6"/>
      <c r="HF1140" s="6"/>
      <c r="HG1140" s="6"/>
      <c r="HH1140" s="6"/>
    </row>
    <row r="1141" spans="1:216" x14ac:dyDescent="0.3">
      <c r="A1141" s="8"/>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c r="DX1141" s="6"/>
      <c r="DY1141" s="6"/>
      <c r="DZ1141" s="6"/>
      <c r="EA1141" s="6"/>
      <c r="EB1141" s="6"/>
      <c r="EC1141" s="6"/>
      <c r="ED1141" s="6"/>
      <c r="EE1141" s="6"/>
      <c r="EF1141" s="6"/>
      <c r="EG1141" s="6"/>
      <c r="EH1141" s="6"/>
      <c r="EI1141" s="6"/>
      <c r="EJ1141" s="6"/>
      <c r="EK1141" s="6"/>
      <c r="EL1141" s="6"/>
      <c r="EM1141" s="6"/>
      <c r="EN1141" s="6"/>
      <c r="EO1141" s="6"/>
      <c r="EP1141" s="6"/>
      <c r="EQ1141" s="6"/>
      <c r="ER1141" s="6"/>
      <c r="ES1141" s="6"/>
      <c r="ET1141" s="6"/>
      <c r="EU1141" s="6"/>
      <c r="EV1141" s="6"/>
      <c r="EW1141" s="6"/>
      <c r="EX1141" s="6"/>
      <c r="EY1141" s="6"/>
      <c r="EZ1141" s="6"/>
      <c r="FA1141" s="6"/>
      <c r="FB1141" s="6"/>
      <c r="FC1141" s="6"/>
      <c r="FD1141" s="6"/>
      <c r="FE1141" s="6"/>
      <c r="FF1141" s="6"/>
      <c r="FG1141" s="6"/>
      <c r="FH1141" s="6"/>
      <c r="FI1141" s="6"/>
      <c r="FJ1141" s="6"/>
      <c r="FK1141" s="6"/>
      <c r="FL1141" s="6"/>
      <c r="FM1141" s="6"/>
      <c r="FN1141" s="6"/>
      <c r="FO1141" s="6"/>
      <c r="FP1141" s="6"/>
      <c r="FQ1141" s="6"/>
      <c r="FR1141" s="6"/>
      <c r="FS1141" s="6"/>
      <c r="FT1141" s="6"/>
      <c r="FU1141" s="6"/>
      <c r="FV1141" s="6"/>
      <c r="FW1141" s="6"/>
      <c r="FX1141" s="6"/>
      <c r="FY1141" s="6"/>
      <c r="FZ1141" s="6"/>
      <c r="GA1141" s="6"/>
      <c r="GB1141" s="6"/>
      <c r="GC1141" s="6"/>
      <c r="GD1141" s="6"/>
      <c r="GE1141" s="6"/>
      <c r="GF1141" s="6"/>
      <c r="GG1141" s="6"/>
      <c r="GH1141" s="6"/>
      <c r="GI1141" s="6"/>
      <c r="GJ1141" s="6"/>
      <c r="GK1141" s="6"/>
      <c r="GL1141" s="6"/>
      <c r="GM1141" s="6"/>
      <c r="GN1141" s="6"/>
      <c r="GO1141" s="6"/>
      <c r="GP1141" s="6"/>
      <c r="GQ1141" s="6"/>
      <c r="GR1141" s="6"/>
      <c r="GS1141" s="6"/>
      <c r="GT1141" s="6"/>
      <c r="GU1141" s="6"/>
      <c r="GV1141" s="6"/>
      <c r="GW1141" s="6"/>
      <c r="GX1141" s="6"/>
      <c r="GY1141" s="6"/>
      <c r="GZ1141" s="6"/>
      <c r="HA1141" s="6"/>
      <c r="HB1141" s="6"/>
      <c r="HC1141" s="6"/>
      <c r="HD1141" s="6"/>
      <c r="HE1141" s="6"/>
      <c r="HF1141" s="6"/>
      <c r="HG1141" s="6"/>
      <c r="HH1141" s="6"/>
    </row>
    <row r="1142" spans="1:216" x14ac:dyDescent="0.3">
      <c r="A1142" s="8"/>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c r="DX1142" s="6"/>
      <c r="DY1142" s="6"/>
      <c r="DZ1142" s="6"/>
      <c r="EA1142" s="6"/>
      <c r="EB1142" s="6"/>
      <c r="EC1142" s="6"/>
      <c r="ED1142" s="6"/>
      <c r="EE1142" s="6"/>
      <c r="EF1142" s="6"/>
      <c r="EG1142" s="6"/>
      <c r="EH1142" s="6"/>
      <c r="EI1142" s="6"/>
      <c r="EJ1142" s="6"/>
      <c r="EK1142" s="6"/>
      <c r="EL1142" s="6"/>
      <c r="EM1142" s="6"/>
      <c r="EN1142" s="6"/>
      <c r="EO1142" s="6"/>
      <c r="EP1142" s="6"/>
      <c r="EQ1142" s="6"/>
      <c r="ER1142" s="6"/>
      <c r="ES1142" s="6"/>
      <c r="ET1142" s="6"/>
      <c r="EU1142" s="6"/>
      <c r="EV1142" s="6"/>
      <c r="EW1142" s="6"/>
      <c r="EX1142" s="6"/>
      <c r="EY1142" s="6"/>
      <c r="EZ1142" s="6"/>
      <c r="FA1142" s="6"/>
      <c r="FB1142" s="6"/>
      <c r="FC1142" s="6"/>
      <c r="FD1142" s="6"/>
      <c r="FE1142" s="6"/>
      <c r="FF1142" s="6"/>
      <c r="FG1142" s="6"/>
      <c r="FH1142" s="6"/>
      <c r="FI1142" s="6"/>
      <c r="FJ1142" s="6"/>
      <c r="FK1142" s="6"/>
      <c r="FL1142" s="6"/>
      <c r="FM1142" s="6"/>
      <c r="FN1142" s="6"/>
      <c r="FO1142" s="6"/>
      <c r="FP1142" s="6"/>
      <c r="FQ1142" s="6"/>
      <c r="FR1142" s="6"/>
      <c r="FS1142" s="6"/>
      <c r="FT1142" s="6"/>
      <c r="FU1142" s="6"/>
      <c r="FV1142" s="6"/>
      <c r="FW1142" s="6"/>
      <c r="FX1142" s="6"/>
      <c r="FY1142" s="6"/>
      <c r="FZ1142" s="6"/>
      <c r="GA1142" s="6"/>
      <c r="GB1142" s="6"/>
      <c r="GC1142" s="6"/>
      <c r="GD1142" s="6"/>
      <c r="GE1142" s="6"/>
      <c r="GF1142" s="6"/>
      <c r="GG1142" s="6"/>
      <c r="GH1142" s="6"/>
      <c r="GI1142" s="6"/>
      <c r="GJ1142" s="6"/>
      <c r="GK1142" s="6"/>
      <c r="GL1142" s="6"/>
      <c r="GM1142" s="6"/>
      <c r="GN1142" s="6"/>
      <c r="GO1142" s="6"/>
      <c r="GP1142" s="6"/>
      <c r="GQ1142" s="6"/>
      <c r="GR1142" s="6"/>
      <c r="GS1142" s="6"/>
      <c r="GT1142" s="6"/>
      <c r="GU1142" s="6"/>
      <c r="GV1142" s="6"/>
      <c r="GW1142" s="6"/>
      <c r="GX1142" s="6"/>
      <c r="GY1142" s="6"/>
      <c r="GZ1142" s="6"/>
      <c r="HA1142" s="6"/>
      <c r="HB1142" s="6"/>
      <c r="HC1142" s="6"/>
      <c r="HD1142" s="6"/>
      <c r="HE1142" s="6"/>
      <c r="HF1142" s="6"/>
      <c r="HG1142" s="6"/>
      <c r="HH1142" s="6"/>
    </row>
    <row r="1143" spans="1:216" x14ac:dyDescent="0.3">
      <c r="A1143" s="8"/>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c r="DX1143" s="6"/>
      <c r="DY1143" s="6"/>
      <c r="DZ1143" s="6"/>
      <c r="EA1143" s="6"/>
      <c r="EB1143" s="6"/>
      <c r="EC1143" s="6"/>
      <c r="ED1143" s="6"/>
      <c r="EE1143" s="6"/>
      <c r="EF1143" s="6"/>
      <c r="EG1143" s="6"/>
      <c r="EH1143" s="6"/>
      <c r="EI1143" s="6"/>
      <c r="EJ1143" s="6"/>
      <c r="EK1143" s="6"/>
      <c r="EL1143" s="6"/>
      <c r="EM1143" s="6"/>
      <c r="EN1143" s="6"/>
      <c r="EO1143" s="6"/>
      <c r="EP1143" s="6"/>
      <c r="EQ1143" s="6"/>
      <c r="ER1143" s="6"/>
      <c r="ES1143" s="6"/>
      <c r="ET1143" s="6"/>
      <c r="EU1143" s="6"/>
      <c r="EV1143" s="6"/>
      <c r="EW1143" s="6"/>
      <c r="EX1143" s="6"/>
      <c r="EY1143" s="6"/>
      <c r="EZ1143" s="6"/>
      <c r="FA1143" s="6"/>
      <c r="FB1143" s="6"/>
      <c r="FC1143" s="6"/>
      <c r="FD1143" s="6"/>
      <c r="FE1143" s="6"/>
      <c r="FF1143" s="6"/>
      <c r="FG1143" s="6"/>
      <c r="FH1143" s="6"/>
      <c r="FI1143" s="6"/>
      <c r="FJ1143" s="6"/>
      <c r="FK1143" s="6"/>
      <c r="FL1143" s="6"/>
      <c r="FM1143" s="6"/>
      <c r="FN1143" s="6"/>
      <c r="FO1143" s="6"/>
      <c r="FP1143" s="6"/>
      <c r="FQ1143" s="6"/>
      <c r="FR1143" s="6"/>
      <c r="FS1143" s="6"/>
      <c r="FT1143" s="6"/>
      <c r="FU1143" s="6"/>
      <c r="FV1143" s="6"/>
      <c r="FW1143" s="6"/>
      <c r="FX1143" s="6"/>
      <c r="FY1143" s="6"/>
      <c r="FZ1143" s="6"/>
      <c r="GA1143" s="6"/>
      <c r="GB1143" s="6"/>
      <c r="GC1143" s="6"/>
      <c r="GD1143" s="6"/>
      <c r="GE1143" s="6"/>
      <c r="GF1143" s="6"/>
      <c r="GG1143" s="6"/>
      <c r="GH1143" s="6"/>
      <c r="GI1143" s="6"/>
      <c r="GJ1143" s="6"/>
      <c r="GK1143" s="6"/>
      <c r="GL1143" s="6"/>
      <c r="GM1143" s="6"/>
      <c r="GN1143" s="6"/>
      <c r="GO1143" s="6"/>
      <c r="GP1143" s="6"/>
      <c r="GQ1143" s="6"/>
      <c r="GR1143" s="6"/>
      <c r="GS1143" s="6"/>
      <c r="GT1143" s="6"/>
      <c r="GU1143" s="6"/>
      <c r="GV1143" s="6"/>
      <c r="GW1143" s="6"/>
      <c r="GX1143" s="6"/>
      <c r="GY1143" s="6"/>
      <c r="GZ1143" s="6"/>
      <c r="HA1143" s="6"/>
      <c r="HB1143" s="6"/>
      <c r="HC1143" s="6"/>
      <c r="HD1143" s="6"/>
      <c r="HE1143" s="6"/>
      <c r="HF1143" s="6"/>
      <c r="HG1143" s="6"/>
      <c r="HH1143" s="6"/>
    </row>
    <row r="1144" spans="1:216" x14ac:dyDescent="0.3">
      <c r="A1144" s="8"/>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c r="DX1144" s="6"/>
      <c r="DY1144" s="6"/>
      <c r="DZ1144" s="6"/>
      <c r="EA1144" s="6"/>
      <c r="EB1144" s="6"/>
      <c r="EC1144" s="6"/>
      <c r="ED1144" s="6"/>
      <c r="EE1144" s="6"/>
      <c r="EF1144" s="6"/>
      <c r="EG1144" s="6"/>
      <c r="EH1144" s="6"/>
      <c r="EI1144" s="6"/>
      <c r="EJ1144" s="6"/>
      <c r="EK1144" s="6"/>
      <c r="EL1144" s="6"/>
      <c r="EM1144" s="6"/>
      <c r="EN1144" s="6"/>
      <c r="EO1144" s="6"/>
      <c r="EP1144" s="6"/>
      <c r="EQ1144" s="6"/>
      <c r="ER1144" s="6"/>
      <c r="ES1144" s="6"/>
      <c r="ET1144" s="6"/>
      <c r="EU1144" s="6"/>
      <c r="EV1144" s="6"/>
      <c r="EW1144" s="6"/>
      <c r="EX1144" s="6"/>
      <c r="EY1144" s="6"/>
      <c r="EZ1144" s="6"/>
      <c r="FA1144" s="6"/>
      <c r="FB1144" s="6"/>
      <c r="FC1144" s="6"/>
      <c r="FD1144" s="6"/>
      <c r="FE1144" s="6"/>
      <c r="FF1144" s="6"/>
      <c r="FG1144" s="6"/>
      <c r="FH1144" s="6"/>
      <c r="FI1144" s="6"/>
      <c r="FJ1144" s="6"/>
      <c r="FK1144" s="6"/>
      <c r="FL1144" s="6"/>
      <c r="FM1144" s="6"/>
      <c r="FN1144" s="6"/>
      <c r="FO1144" s="6"/>
      <c r="FP1144" s="6"/>
      <c r="FQ1144" s="6"/>
      <c r="FR1144" s="6"/>
      <c r="FS1144" s="6"/>
      <c r="FT1144" s="6"/>
      <c r="FU1144" s="6"/>
      <c r="FV1144" s="6"/>
      <c r="FW1144" s="6"/>
      <c r="FX1144" s="6"/>
      <c r="FY1144" s="6"/>
      <c r="FZ1144" s="6"/>
      <c r="GA1144" s="6"/>
      <c r="GB1144" s="6"/>
      <c r="GC1144" s="6"/>
      <c r="GD1144" s="6"/>
      <c r="GE1144" s="6"/>
      <c r="GF1144" s="6"/>
      <c r="GG1144" s="6"/>
      <c r="GH1144" s="6"/>
      <c r="GI1144" s="6"/>
      <c r="GJ1144" s="6"/>
      <c r="GK1144" s="6"/>
      <c r="GL1144" s="6"/>
      <c r="GM1144" s="6"/>
      <c r="GN1144" s="6"/>
      <c r="GO1144" s="6"/>
      <c r="GP1144" s="6"/>
      <c r="GQ1144" s="6"/>
      <c r="GR1144" s="6"/>
      <c r="GS1144" s="6"/>
      <c r="GT1144" s="6"/>
      <c r="GU1144" s="6"/>
      <c r="GV1144" s="6"/>
      <c r="GW1144" s="6"/>
      <c r="GX1144" s="6"/>
      <c r="GY1144" s="6"/>
      <c r="GZ1144" s="6"/>
      <c r="HA1144" s="6"/>
      <c r="HB1144" s="6"/>
      <c r="HC1144" s="6"/>
      <c r="HD1144" s="6"/>
      <c r="HE1144" s="6"/>
      <c r="HF1144" s="6"/>
      <c r="HG1144" s="6"/>
      <c r="HH1144" s="6"/>
    </row>
    <row r="1145" spans="1:216" x14ac:dyDescent="0.3">
      <c r="A1145" s="8"/>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6"/>
      <c r="AR1145" s="6"/>
      <c r="AS1145" s="6"/>
      <c r="AT1145" s="6"/>
      <c r="AU1145" s="6"/>
      <c r="AV1145" s="6"/>
      <c r="AW1145" s="6"/>
      <c r="AX1145" s="6"/>
      <c r="AY1145" s="6"/>
      <c r="AZ1145" s="6"/>
      <c r="BA1145" s="6"/>
      <c r="BB1145" s="6"/>
      <c r="BC1145" s="6"/>
      <c r="BD1145" s="6"/>
      <c r="BE1145" s="6"/>
      <c r="BF1145" s="6"/>
      <c r="BG1145" s="6"/>
      <c r="BH1145" s="6"/>
      <c r="BI1145" s="6"/>
      <c r="BJ1145" s="6"/>
      <c r="BK1145" s="6"/>
      <c r="BL1145" s="6"/>
      <c r="BM1145" s="6"/>
      <c r="BN1145" s="6"/>
      <c r="BO1145" s="6"/>
      <c r="BP1145" s="6"/>
      <c r="BQ1145" s="6"/>
      <c r="BR1145" s="6"/>
      <c r="BS1145" s="6"/>
      <c r="BT1145" s="6"/>
      <c r="BU1145" s="6"/>
      <c r="BV1145" s="6"/>
      <c r="BW1145" s="6"/>
      <c r="BX1145" s="6"/>
      <c r="BY1145" s="6"/>
      <c r="BZ1145" s="6"/>
      <c r="CA1145" s="6"/>
      <c r="CB1145" s="6"/>
      <c r="CC1145" s="6"/>
      <c r="CD1145" s="6"/>
      <c r="CE1145" s="6"/>
      <c r="CF1145" s="6"/>
      <c r="CG1145" s="6"/>
      <c r="CH1145" s="6"/>
      <c r="CI1145" s="6"/>
      <c r="CJ1145" s="6"/>
      <c r="CK1145" s="6"/>
      <c r="CL1145" s="6"/>
      <c r="CM1145" s="6"/>
      <c r="CN1145" s="6"/>
      <c r="CO1145" s="6"/>
      <c r="CP1145" s="6"/>
      <c r="CQ1145" s="6"/>
      <c r="CR1145" s="6"/>
      <c r="CS1145" s="6"/>
      <c r="CT1145" s="6"/>
      <c r="CU1145" s="6"/>
      <c r="CV1145" s="6"/>
      <c r="CW1145" s="6"/>
      <c r="CX1145" s="6"/>
      <c r="CY1145" s="6"/>
      <c r="CZ1145" s="6"/>
      <c r="DA1145" s="6"/>
      <c r="DB1145" s="6"/>
      <c r="DC1145" s="6"/>
      <c r="DD1145" s="6"/>
      <c r="DE1145" s="6"/>
      <c r="DF1145" s="6"/>
      <c r="DG1145" s="6"/>
      <c r="DH1145" s="6"/>
      <c r="DI1145" s="6"/>
      <c r="DJ1145" s="6"/>
      <c r="DK1145" s="6"/>
      <c r="DL1145" s="6"/>
      <c r="DM1145" s="6"/>
      <c r="DN1145" s="6"/>
      <c r="DO1145" s="6"/>
      <c r="DP1145" s="6"/>
      <c r="DQ1145" s="6"/>
      <c r="DR1145" s="6"/>
      <c r="DS1145" s="6"/>
      <c r="DT1145" s="6"/>
      <c r="DU1145" s="6"/>
      <c r="DV1145" s="6"/>
      <c r="DW1145" s="6"/>
      <c r="DX1145" s="6"/>
      <c r="DY1145" s="6"/>
      <c r="DZ1145" s="6"/>
      <c r="EA1145" s="6"/>
      <c r="EB1145" s="6"/>
      <c r="EC1145" s="6"/>
      <c r="ED1145" s="6"/>
      <c r="EE1145" s="6"/>
      <c r="EF1145" s="6"/>
      <c r="EG1145" s="6"/>
      <c r="EH1145" s="6"/>
      <c r="EI1145" s="6"/>
      <c r="EJ1145" s="6"/>
      <c r="EK1145" s="6"/>
      <c r="EL1145" s="6"/>
      <c r="EM1145" s="6"/>
      <c r="EN1145" s="6"/>
      <c r="EO1145" s="6"/>
      <c r="EP1145" s="6"/>
      <c r="EQ1145" s="6"/>
      <c r="ER1145" s="6"/>
      <c r="ES1145" s="6"/>
      <c r="ET1145" s="6"/>
      <c r="EU1145" s="6"/>
      <c r="EV1145" s="6"/>
      <c r="EW1145" s="6"/>
      <c r="EX1145" s="6"/>
      <c r="EY1145" s="6"/>
      <c r="EZ1145" s="6"/>
      <c r="FA1145" s="6"/>
      <c r="FB1145" s="6"/>
      <c r="FC1145" s="6"/>
      <c r="FD1145" s="6"/>
      <c r="FE1145" s="6"/>
      <c r="FF1145" s="6"/>
      <c r="FG1145" s="6"/>
      <c r="FH1145" s="6"/>
      <c r="FI1145" s="6"/>
      <c r="FJ1145" s="6"/>
      <c r="FK1145" s="6"/>
      <c r="FL1145" s="6"/>
      <c r="FM1145" s="6"/>
      <c r="FN1145" s="6"/>
      <c r="FO1145" s="6"/>
      <c r="FP1145" s="6"/>
      <c r="FQ1145" s="6"/>
      <c r="FR1145" s="6"/>
      <c r="FS1145" s="6"/>
      <c r="FT1145" s="6"/>
      <c r="FU1145" s="6"/>
      <c r="FV1145" s="6"/>
      <c r="FW1145" s="6"/>
      <c r="FX1145" s="6"/>
      <c r="FY1145" s="6"/>
      <c r="FZ1145" s="6"/>
      <c r="GA1145" s="6"/>
      <c r="GB1145" s="6"/>
      <c r="GC1145" s="6"/>
      <c r="GD1145" s="6"/>
      <c r="GE1145" s="6"/>
      <c r="GF1145" s="6"/>
      <c r="GG1145" s="6"/>
      <c r="GH1145" s="6"/>
      <c r="GI1145" s="6"/>
      <c r="GJ1145" s="6"/>
      <c r="GK1145" s="6"/>
      <c r="GL1145" s="6"/>
      <c r="GM1145" s="6"/>
      <c r="GN1145" s="6"/>
      <c r="GO1145" s="6"/>
      <c r="GP1145" s="6"/>
      <c r="GQ1145" s="6"/>
      <c r="GR1145" s="6"/>
      <c r="GS1145" s="6"/>
      <c r="GT1145" s="6"/>
      <c r="GU1145" s="6"/>
      <c r="GV1145" s="6"/>
      <c r="GW1145" s="6"/>
      <c r="GX1145" s="6"/>
      <c r="GY1145" s="6"/>
      <c r="GZ1145" s="6"/>
      <c r="HA1145" s="6"/>
      <c r="HB1145" s="6"/>
      <c r="HC1145" s="6"/>
      <c r="HD1145" s="6"/>
      <c r="HE1145" s="6"/>
      <c r="HF1145" s="6"/>
      <c r="HG1145" s="6"/>
      <c r="HH1145" s="6"/>
    </row>
    <row r="1146" spans="1:216" x14ac:dyDescent="0.3">
      <c r="A1146" s="8"/>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6"/>
      <c r="AR1146" s="6"/>
      <c r="AS1146" s="6"/>
      <c r="AT1146" s="6"/>
      <c r="AU1146" s="6"/>
      <c r="AV1146" s="6"/>
      <c r="AW1146" s="6"/>
      <c r="AX1146" s="6"/>
      <c r="AY1146" s="6"/>
      <c r="AZ1146" s="6"/>
      <c r="BA1146" s="6"/>
      <c r="BB1146" s="6"/>
      <c r="BC1146" s="6"/>
      <c r="BD1146" s="6"/>
      <c r="BE1146" s="6"/>
      <c r="BF1146" s="6"/>
      <c r="BG1146" s="6"/>
      <c r="BH1146" s="6"/>
      <c r="BI1146" s="6"/>
      <c r="BJ1146" s="6"/>
      <c r="BK1146" s="6"/>
      <c r="BL1146" s="6"/>
      <c r="BM1146" s="6"/>
      <c r="BN1146" s="6"/>
      <c r="BO1146" s="6"/>
      <c r="BP1146" s="6"/>
      <c r="BQ1146" s="6"/>
      <c r="BR1146" s="6"/>
      <c r="BS1146" s="6"/>
      <c r="BT1146" s="6"/>
      <c r="BU1146" s="6"/>
      <c r="BV1146" s="6"/>
      <c r="BW1146" s="6"/>
      <c r="BX1146" s="6"/>
      <c r="BY1146" s="6"/>
      <c r="BZ1146" s="6"/>
      <c r="CA1146" s="6"/>
      <c r="CB1146" s="6"/>
      <c r="CC1146" s="6"/>
      <c r="CD1146" s="6"/>
      <c r="CE1146" s="6"/>
      <c r="CF1146" s="6"/>
      <c r="CG1146" s="6"/>
      <c r="CH1146" s="6"/>
      <c r="CI1146" s="6"/>
      <c r="CJ1146" s="6"/>
      <c r="CK1146" s="6"/>
      <c r="CL1146" s="6"/>
      <c r="CM1146" s="6"/>
      <c r="CN1146" s="6"/>
      <c r="CO1146" s="6"/>
      <c r="CP1146" s="6"/>
      <c r="CQ1146" s="6"/>
      <c r="CR1146" s="6"/>
      <c r="CS1146" s="6"/>
      <c r="CT1146" s="6"/>
      <c r="CU1146" s="6"/>
      <c r="CV1146" s="6"/>
      <c r="CW1146" s="6"/>
      <c r="CX1146" s="6"/>
      <c r="CY1146" s="6"/>
      <c r="CZ1146" s="6"/>
      <c r="DA1146" s="6"/>
      <c r="DB1146" s="6"/>
      <c r="DC1146" s="6"/>
      <c r="DD1146" s="6"/>
      <c r="DE1146" s="6"/>
      <c r="DF1146" s="6"/>
      <c r="DG1146" s="6"/>
      <c r="DH1146" s="6"/>
      <c r="DI1146" s="6"/>
      <c r="DJ1146" s="6"/>
      <c r="DK1146" s="6"/>
      <c r="DL1146" s="6"/>
      <c r="DM1146" s="6"/>
      <c r="DN1146" s="6"/>
      <c r="DO1146" s="6"/>
      <c r="DP1146" s="6"/>
      <c r="DQ1146" s="6"/>
      <c r="DR1146" s="6"/>
      <c r="DS1146" s="6"/>
      <c r="DT1146" s="6"/>
      <c r="DU1146" s="6"/>
      <c r="DV1146" s="6"/>
      <c r="DW1146" s="6"/>
      <c r="DX1146" s="6"/>
      <c r="DY1146" s="6"/>
      <c r="DZ1146" s="6"/>
      <c r="EA1146" s="6"/>
      <c r="EB1146" s="6"/>
      <c r="EC1146" s="6"/>
      <c r="ED1146" s="6"/>
      <c r="EE1146" s="6"/>
      <c r="EF1146" s="6"/>
      <c r="EG1146" s="6"/>
      <c r="EH1146" s="6"/>
      <c r="EI1146" s="6"/>
      <c r="EJ1146" s="6"/>
      <c r="EK1146" s="6"/>
      <c r="EL1146" s="6"/>
      <c r="EM1146" s="6"/>
      <c r="EN1146" s="6"/>
      <c r="EO1146" s="6"/>
      <c r="EP1146" s="6"/>
      <c r="EQ1146" s="6"/>
      <c r="ER1146" s="6"/>
      <c r="ES1146" s="6"/>
      <c r="ET1146" s="6"/>
      <c r="EU1146" s="6"/>
      <c r="EV1146" s="6"/>
      <c r="EW1146" s="6"/>
      <c r="EX1146" s="6"/>
      <c r="EY1146" s="6"/>
      <c r="EZ1146" s="6"/>
      <c r="FA1146" s="6"/>
      <c r="FB1146" s="6"/>
      <c r="FC1146" s="6"/>
      <c r="FD1146" s="6"/>
      <c r="FE1146" s="6"/>
      <c r="FF1146" s="6"/>
      <c r="FG1146" s="6"/>
      <c r="FH1146" s="6"/>
      <c r="FI1146" s="6"/>
      <c r="FJ1146" s="6"/>
      <c r="FK1146" s="6"/>
      <c r="FL1146" s="6"/>
      <c r="FM1146" s="6"/>
      <c r="FN1146" s="6"/>
      <c r="FO1146" s="6"/>
      <c r="FP1146" s="6"/>
      <c r="FQ1146" s="6"/>
      <c r="FR1146" s="6"/>
      <c r="FS1146" s="6"/>
      <c r="FT1146" s="6"/>
      <c r="FU1146" s="6"/>
      <c r="FV1146" s="6"/>
      <c r="FW1146" s="6"/>
      <c r="FX1146" s="6"/>
      <c r="FY1146" s="6"/>
      <c r="FZ1146" s="6"/>
      <c r="GA1146" s="6"/>
      <c r="GB1146" s="6"/>
      <c r="GC1146" s="6"/>
      <c r="GD1146" s="6"/>
      <c r="GE1146" s="6"/>
      <c r="GF1146" s="6"/>
      <c r="GG1146" s="6"/>
      <c r="GH1146" s="6"/>
      <c r="GI1146" s="6"/>
      <c r="GJ1146" s="6"/>
      <c r="GK1146" s="6"/>
      <c r="GL1146" s="6"/>
      <c r="GM1146" s="6"/>
      <c r="GN1146" s="6"/>
      <c r="GO1146" s="6"/>
      <c r="GP1146" s="6"/>
      <c r="GQ1146" s="6"/>
      <c r="GR1146" s="6"/>
      <c r="GS1146" s="6"/>
      <c r="GT1146" s="6"/>
      <c r="GU1146" s="6"/>
      <c r="GV1146" s="6"/>
      <c r="GW1146" s="6"/>
      <c r="GX1146" s="6"/>
      <c r="GY1146" s="6"/>
      <c r="GZ1146" s="6"/>
      <c r="HA1146" s="6"/>
      <c r="HB1146" s="6"/>
      <c r="HC1146" s="6"/>
      <c r="HD1146" s="6"/>
      <c r="HE1146" s="6"/>
      <c r="HF1146" s="6"/>
      <c r="HG1146" s="6"/>
      <c r="HH1146" s="6"/>
    </row>
    <row r="1147" spans="1:216" x14ac:dyDescent="0.3">
      <c r="A1147" s="8"/>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c r="DX1147" s="6"/>
      <c r="DY1147" s="6"/>
      <c r="DZ1147" s="6"/>
      <c r="EA1147" s="6"/>
      <c r="EB1147" s="6"/>
      <c r="EC1147" s="6"/>
      <c r="ED1147" s="6"/>
      <c r="EE1147" s="6"/>
      <c r="EF1147" s="6"/>
      <c r="EG1147" s="6"/>
      <c r="EH1147" s="6"/>
      <c r="EI1147" s="6"/>
      <c r="EJ1147" s="6"/>
      <c r="EK1147" s="6"/>
      <c r="EL1147" s="6"/>
      <c r="EM1147" s="6"/>
      <c r="EN1147" s="6"/>
      <c r="EO1147" s="6"/>
      <c r="EP1147" s="6"/>
      <c r="EQ1147" s="6"/>
      <c r="ER1147" s="6"/>
      <c r="ES1147" s="6"/>
      <c r="ET1147" s="6"/>
      <c r="EU1147" s="6"/>
      <c r="EV1147" s="6"/>
      <c r="EW1147" s="6"/>
      <c r="EX1147" s="6"/>
      <c r="EY1147" s="6"/>
      <c r="EZ1147" s="6"/>
      <c r="FA1147" s="6"/>
      <c r="FB1147" s="6"/>
      <c r="FC1147" s="6"/>
      <c r="FD1147" s="6"/>
      <c r="FE1147" s="6"/>
      <c r="FF1147" s="6"/>
      <c r="FG1147" s="6"/>
      <c r="FH1147" s="6"/>
      <c r="FI1147" s="6"/>
      <c r="FJ1147" s="6"/>
      <c r="FK1147" s="6"/>
      <c r="FL1147" s="6"/>
      <c r="FM1147" s="6"/>
      <c r="FN1147" s="6"/>
      <c r="FO1147" s="6"/>
      <c r="FP1147" s="6"/>
      <c r="FQ1147" s="6"/>
      <c r="FR1147" s="6"/>
      <c r="FS1147" s="6"/>
      <c r="FT1147" s="6"/>
      <c r="FU1147" s="6"/>
      <c r="FV1147" s="6"/>
      <c r="FW1147" s="6"/>
      <c r="FX1147" s="6"/>
      <c r="FY1147" s="6"/>
      <c r="FZ1147" s="6"/>
      <c r="GA1147" s="6"/>
      <c r="GB1147" s="6"/>
      <c r="GC1147" s="6"/>
      <c r="GD1147" s="6"/>
      <c r="GE1147" s="6"/>
      <c r="GF1147" s="6"/>
      <c r="GG1147" s="6"/>
      <c r="GH1147" s="6"/>
      <c r="GI1147" s="6"/>
      <c r="GJ1147" s="6"/>
      <c r="GK1147" s="6"/>
      <c r="GL1147" s="6"/>
      <c r="GM1147" s="6"/>
      <c r="GN1147" s="6"/>
      <c r="GO1147" s="6"/>
      <c r="GP1147" s="6"/>
      <c r="GQ1147" s="6"/>
      <c r="GR1147" s="6"/>
      <c r="GS1147" s="6"/>
      <c r="GT1147" s="6"/>
      <c r="GU1147" s="6"/>
      <c r="GV1147" s="6"/>
      <c r="GW1147" s="6"/>
      <c r="GX1147" s="6"/>
      <c r="GY1147" s="6"/>
      <c r="GZ1147" s="6"/>
      <c r="HA1147" s="6"/>
      <c r="HB1147" s="6"/>
      <c r="HC1147" s="6"/>
      <c r="HD1147" s="6"/>
      <c r="HE1147" s="6"/>
      <c r="HF1147" s="6"/>
      <c r="HG1147" s="6"/>
      <c r="HH1147" s="6"/>
    </row>
    <row r="1148" spans="1:216" x14ac:dyDescent="0.3">
      <c r="A1148" s="8"/>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c r="DX1148" s="6"/>
      <c r="DY1148" s="6"/>
      <c r="DZ1148" s="6"/>
      <c r="EA1148" s="6"/>
      <c r="EB1148" s="6"/>
      <c r="EC1148" s="6"/>
      <c r="ED1148" s="6"/>
      <c r="EE1148" s="6"/>
      <c r="EF1148" s="6"/>
      <c r="EG1148" s="6"/>
      <c r="EH1148" s="6"/>
      <c r="EI1148" s="6"/>
      <c r="EJ1148" s="6"/>
      <c r="EK1148" s="6"/>
      <c r="EL1148" s="6"/>
      <c r="EM1148" s="6"/>
      <c r="EN1148" s="6"/>
      <c r="EO1148" s="6"/>
      <c r="EP1148" s="6"/>
      <c r="EQ1148" s="6"/>
      <c r="ER1148" s="6"/>
      <c r="ES1148" s="6"/>
      <c r="ET1148" s="6"/>
      <c r="EU1148" s="6"/>
      <c r="EV1148" s="6"/>
      <c r="EW1148" s="6"/>
      <c r="EX1148" s="6"/>
      <c r="EY1148" s="6"/>
      <c r="EZ1148" s="6"/>
      <c r="FA1148" s="6"/>
      <c r="FB1148" s="6"/>
      <c r="FC1148" s="6"/>
      <c r="FD1148" s="6"/>
      <c r="FE1148" s="6"/>
      <c r="FF1148" s="6"/>
      <c r="FG1148" s="6"/>
      <c r="FH1148" s="6"/>
      <c r="FI1148" s="6"/>
      <c r="FJ1148" s="6"/>
      <c r="FK1148" s="6"/>
      <c r="FL1148" s="6"/>
      <c r="FM1148" s="6"/>
      <c r="FN1148" s="6"/>
      <c r="FO1148" s="6"/>
      <c r="FP1148" s="6"/>
      <c r="FQ1148" s="6"/>
      <c r="FR1148" s="6"/>
      <c r="FS1148" s="6"/>
      <c r="FT1148" s="6"/>
      <c r="FU1148" s="6"/>
      <c r="FV1148" s="6"/>
      <c r="FW1148" s="6"/>
      <c r="FX1148" s="6"/>
      <c r="FY1148" s="6"/>
      <c r="FZ1148" s="6"/>
      <c r="GA1148" s="6"/>
      <c r="GB1148" s="6"/>
      <c r="GC1148" s="6"/>
      <c r="GD1148" s="6"/>
      <c r="GE1148" s="6"/>
      <c r="GF1148" s="6"/>
      <c r="GG1148" s="6"/>
      <c r="GH1148" s="6"/>
      <c r="GI1148" s="6"/>
      <c r="GJ1148" s="6"/>
      <c r="GK1148" s="6"/>
      <c r="GL1148" s="6"/>
      <c r="GM1148" s="6"/>
      <c r="GN1148" s="6"/>
      <c r="GO1148" s="6"/>
      <c r="GP1148" s="6"/>
      <c r="GQ1148" s="6"/>
      <c r="GR1148" s="6"/>
      <c r="GS1148" s="6"/>
      <c r="GT1148" s="6"/>
      <c r="GU1148" s="6"/>
      <c r="GV1148" s="6"/>
      <c r="GW1148" s="6"/>
      <c r="GX1148" s="6"/>
      <c r="GY1148" s="6"/>
      <c r="GZ1148" s="6"/>
      <c r="HA1148" s="6"/>
      <c r="HB1148" s="6"/>
      <c r="HC1148" s="6"/>
      <c r="HD1148" s="6"/>
      <c r="HE1148" s="6"/>
      <c r="HF1148" s="6"/>
      <c r="HG1148" s="6"/>
      <c r="HH1148" s="6"/>
    </row>
    <row r="1149" spans="1:216" x14ac:dyDescent="0.3">
      <c r="A1149" s="8"/>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c r="DX1149" s="6"/>
      <c r="DY1149" s="6"/>
      <c r="DZ1149" s="6"/>
      <c r="EA1149" s="6"/>
      <c r="EB1149" s="6"/>
      <c r="EC1149" s="6"/>
      <c r="ED1149" s="6"/>
      <c r="EE1149" s="6"/>
      <c r="EF1149" s="6"/>
      <c r="EG1149" s="6"/>
      <c r="EH1149" s="6"/>
      <c r="EI1149" s="6"/>
      <c r="EJ1149" s="6"/>
      <c r="EK1149" s="6"/>
      <c r="EL1149" s="6"/>
      <c r="EM1149" s="6"/>
      <c r="EN1149" s="6"/>
      <c r="EO1149" s="6"/>
      <c r="EP1149" s="6"/>
      <c r="EQ1149" s="6"/>
      <c r="ER1149" s="6"/>
      <c r="ES1149" s="6"/>
      <c r="ET1149" s="6"/>
      <c r="EU1149" s="6"/>
      <c r="EV1149" s="6"/>
      <c r="EW1149" s="6"/>
      <c r="EX1149" s="6"/>
      <c r="EY1149" s="6"/>
      <c r="EZ1149" s="6"/>
      <c r="FA1149" s="6"/>
      <c r="FB1149" s="6"/>
      <c r="FC1149" s="6"/>
      <c r="FD1149" s="6"/>
      <c r="FE1149" s="6"/>
      <c r="FF1149" s="6"/>
      <c r="FG1149" s="6"/>
      <c r="FH1149" s="6"/>
      <c r="FI1149" s="6"/>
      <c r="FJ1149" s="6"/>
      <c r="FK1149" s="6"/>
      <c r="FL1149" s="6"/>
      <c r="FM1149" s="6"/>
      <c r="FN1149" s="6"/>
      <c r="FO1149" s="6"/>
      <c r="FP1149" s="6"/>
      <c r="FQ1149" s="6"/>
      <c r="FR1149" s="6"/>
      <c r="FS1149" s="6"/>
      <c r="FT1149" s="6"/>
      <c r="FU1149" s="6"/>
      <c r="FV1149" s="6"/>
      <c r="FW1149" s="6"/>
      <c r="FX1149" s="6"/>
      <c r="FY1149" s="6"/>
      <c r="FZ1149" s="6"/>
      <c r="GA1149" s="6"/>
      <c r="GB1149" s="6"/>
      <c r="GC1149" s="6"/>
      <c r="GD1149" s="6"/>
      <c r="GE1149" s="6"/>
      <c r="GF1149" s="6"/>
      <c r="GG1149" s="6"/>
      <c r="GH1149" s="6"/>
      <c r="GI1149" s="6"/>
      <c r="GJ1149" s="6"/>
      <c r="GK1149" s="6"/>
      <c r="GL1149" s="6"/>
      <c r="GM1149" s="6"/>
      <c r="GN1149" s="6"/>
      <c r="GO1149" s="6"/>
      <c r="GP1149" s="6"/>
      <c r="GQ1149" s="6"/>
      <c r="GR1149" s="6"/>
      <c r="GS1149" s="6"/>
      <c r="GT1149" s="6"/>
      <c r="GU1149" s="6"/>
      <c r="GV1149" s="6"/>
      <c r="GW1149" s="6"/>
      <c r="GX1149" s="6"/>
      <c r="GY1149" s="6"/>
      <c r="GZ1149" s="6"/>
      <c r="HA1149" s="6"/>
      <c r="HB1149" s="6"/>
      <c r="HC1149" s="6"/>
      <c r="HD1149" s="6"/>
      <c r="HE1149" s="6"/>
      <c r="HF1149" s="6"/>
      <c r="HG1149" s="6"/>
      <c r="HH1149" s="6"/>
    </row>
    <row r="1150" spans="1:216" x14ac:dyDescent="0.3">
      <c r="A1150" s="8"/>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c r="DX1150" s="6"/>
      <c r="DY1150" s="6"/>
      <c r="DZ1150" s="6"/>
      <c r="EA1150" s="6"/>
      <c r="EB1150" s="6"/>
      <c r="EC1150" s="6"/>
      <c r="ED1150" s="6"/>
      <c r="EE1150" s="6"/>
      <c r="EF1150" s="6"/>
      <c r="EG1150" s="6"/>
      <c r="EH1150" s="6"/>
      <c r="EI1150" s="6"/>
      <c r="EJ1150" s="6"/>
      <c r="EK1150" s="6"/>
      <c r="EL1150" s="6"/>
      <c r="EM1150" s="6"/>
      <c r="EN1150" s="6"/>
      <c r="EO1150" s="6"/>
      <c r="EP1150" s="6"/>
      <c r="EQ1150" s="6"/>
      <c r="ER1150" s="6"/>
      <c r="ES1150" s="6"/>
      <c r="ET1150" s="6"/>
      <c r="EU1150" s="6"/>
      <c r="EV1150" s="6"/>
      <c r="EW1150" s="6"/>
      <c r="EX1150" s="6"/>
      <c r="EY1150" s="6"/>
      <c r="EZ1150" s="6"/>
      <c r="FA1150" s="6"/>
      <c r="FB1150" s="6"/>
      <c r="FC1150" s="6"/>
      <c r="FD1150" s="6"/>
      <c r="FE1150" s="6"/>
      <c r="FF1150" s="6"/>
      <c r="FG1150" s="6"/>
      <c r="FH1150" s="6"/>
      <c r="FI1150" s="6"/>
      <c r="FJ1150" s="6"/>
      <c r="FK1150" s="6"/>
      <c r="FL1150" s="6"/>
      <c r="FM1150" s="6"/>
      <c r="FN1150" s="6"/>
      <c r="FO1150" s="6"/>
      <c r="FP1150" s="6"/>
      <c r="FQ1150" s="6"/>
      <c r="FR1150" s="6"/>
      <c r="FS1150" s="6"/>
      <c r="FT1150" s="6"/>
      <c r="FU1150" s="6"/>
      <c r="FV1150" s="6"/>
      <c r="FW1150" s="6"/>
      <c r="FX1150" s="6"/>
      <c r="FY1150" s="6"/>
      <c r="FZ1150" s="6"/>
      <c r="GA1150" s="6"/>
      <c r="GB1150" s="6"/>
      <c r="GC1150" s="6"/>
      <c r="GD1150" s="6"/>
      <c r="GE1150" s="6"/>
      <c r="GF1150" s="6"/>
      <c r="GG1150" s="6"/>
      <c r="GH1150" s="6"/>
      <c r="GI1150" s="6"/>
      <c r="GJ1150" s="6"/>
      <c r="GK1150" s="6"/>
      <c r="GL1150" s="6"/>
      <c r="GM1150" s="6"/>
      <c r="GN1150" s="6"/>
      <c r="GO1150" s="6"/>
      <c r="GP1150" s="6"/>
      <c r="GQ1150" s="6"/>
      <c r="GR1150" s="6"/>
      <c r="GS1150" s="6"/>
      <c r="GT1150" s="6"/>
      <c r="GU1150" s="6"/>
      <c r="GV1150" s="6"/>
      <c r="GW1150" s="6"/>
      <c r="GX1150" s="6"/>
      <c r="GY1150" s="6"/>
      <c r="GZ1150" s="6"/>
      <c r="HA1150" s="6"/>
      <c r="HB1150" s="6"/>
      <c r="HC1150" s="6"/>
      <c r="HD1150" s="6"/>
      <c r="HE1150" s="6"/>
      <c r="HF1150" s="6"/>
      <c r="HG1150" s="6"/>
      <c r="HH1150" s="6"/>
    </row>
    <row r="1151" spans="1:216" x14ac:dyDescent="0.3">
      <c r="A1151" s="8"/>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6"/>
      <c r="AR1151" s="6"/>
      <c r="AS1151" s="6"/>
      <c r="AT1151" s="6"/>
      <c r="AU1151" s="6"/>
      <c r="AV1151" s="6"/>
      <c r="AW1151" s="6"/>
      <c r="AX1151" s="6"/>
      <c r="AY1151" s="6"/>
      <c r="AZ1151" s="6"/>
      <c r="BA1151" s="6"/>
      <c r="BB1151" s="6"/>
      <c r="BC1151" s="6"/>
      <c r="BD1151" s="6"/>
      <c r="BE1151" s="6"/>
      <c r="BF1151" s="6"/>
      <c r="BG1151" s="6"/>
      <c r="BH1151" s="6"/>
      <c r="BI1151" s="6"/>
      <c r="BJ1151" s="6"/>
      <c r="BK1151" s="6"/>
      <c r="BL1151" s="6"/>
      <c r="BM1151" s="6"/>
      <c r="BN1151" s="6"/>
      <c r="BO1151" s="6"/>
      <c r="BP1151" s="6"/>
      <c r="BQ1151" s="6"/>
      <c r="BR1151" s="6"/>
      <c r="BS1151" s="6"/>
      <c r="BT1151" s="6"/>
      <c r="BU1151" s="6"/>
      <c r="BV1151" s="6"/>
      <c r="BW1151" s="6"/>
      <c r="BX1151" s="6"/>
      <c r="BY1151" s="6"/>
      <c r="BZ1151" s="6"/>
      <c r="CA1151" s="6"/>
      <c r="CB1151" s="6"/>
      <c r="CC1151" s="6"/>
      <c r="CD1151" s="6"/>
      <c r="CE1151" s="6"/>
      <c r="CF1151" s="6"/>
      <c r="CG1151" s="6"/>
      <c r="CH1151" s="6"/>
      <c r="CI1151" s="6"/>
      <c r="CJ1151" s="6"/>
      <c r="CK1151" s="6"/>
      <c r="CL1151" s="6"/>
      <c r="CM1151" s="6"/>
      <c r="CN1151" s="6"/>
      <c r="CO1151" s="6"/>
      <c r="CP1151" s="6"/>
      <c r="CQ1151" s="6"/>
      <c r="CR1151" s="6"/>
      <c r="CS1151" s="6"/>
      <c r="CT1151" s="6"/>
      <c r="CU1151" s="6"/>
      <c r="CV1151" s="6"/>
      <c r="CW1151" s="6"/>
      <c r="CX1151" s="6"/>
      <c r="CY1151" s="6"/>
      <c r="CZ1151" s="6"/>
      <c r="DA1151" s="6"/>
      <c r="DB1151" s="6"/>
      <c r="DC1151" s="6"/>
      <c r="DD1151" s="6"/>
      <c r="DE1151" s="6"/>
      <c r="DF1151" s="6"/>
      <c r="DG1151" s="6"/>
      <c r="DH1151" s="6"/>
      <c r="DI1151" s="6"/>
      <c r="DJ1151" s="6"/>
      <c r="DK1151" s="6"/>
      <c r="DL1151" s="6"/>
      <c r="DM1151" s="6"/>
      <c r="DN1151" s="6"/>
      <c r="DO1151" s="6"/>
      <c r="DP1151" s="6"/>
      <c r="DQ1151" s="6"/>
      <c r="DR1151" s="6"/>
      <c r="DS1151" s="6"/>
      <c r="DT1151" s="6"/>
      <c r="DU1151" s="6"/>
      <c r="DV1151" s="6"/>
      <c r="DW1151" s="6"/>
      <c r="DX1151" s="6"/>
      <c r="DY1151" s="6"/>
      <c r="DZ1151" s="6"/>
      <c r="EA1151" s="6"/>
      <c r="EB1151" s="6"/>
      <c r="EC1151" s="6"/>
      <c r="ED1151" s="6"/>
      <c r="EE1151" s="6"/>
      <c r="EF1151" s="6"/>
      <c r="EG1151" s="6"/>
      <c r="EH1151" s="6"/>
      <c r="EI1151" s="6"/>
      <c r="EJ1151" s="6"/>
      <c r="EK1151" s="6"/>
      <c r="EL1151" s="6"/>
      <c r="EM1151" s="6"/>
      <c r="EN1151" s="6"/>
      <c r="EO1151" s="6"/>
      <c r="EP1151" s="6"/>
      <c r="EQ1151" s="6"/>
      <c r="ER1151" s="6"/>
      <c r="ES1151" s="6"/>
      <c r="ET1151" s="6"/>
      <c r="EU1151" s="6"/>
      <c r="EV1151" s="6"/>
      <c r="EW1151" s="6"/>
      <c r="EX1151" s="6"/>
      <c r="EY1151" s="6"/>
      <c r="EZ1151" s="6"/>
      <c r="FA1151" s="6"/>
      <c r="FB1151" s="6"/>
      <c r="FC1151" s="6"/>
      <c r="FD1151" s="6"/>
      <c r="FE1151" s="6"/>
      <c r="FF1151" s="6"/>
      <c r="FG1151" s="6"/>
      <c r="FH1151" s="6"/>
      <c r="FI1151" s="6"/>
      <c r="FJ1151" s="6"/>
      <c r="FK1151" s="6"/>
      <c r="FL1151" s="6"/>
      <c r="FM1151" s="6"/>
      <c r="FN1151" s="6"/>
      <c r="FO1151" s="6"/>
      <c r="FP1151" s="6"/>
      <c r="FQ1151" s="6"/>
      <c r="FR1151" s="6"/>
      <c r="FS1151" s="6"/>
      <c r="FT1151" s="6"/>
      <c r="FU1151" s="6"/>
      <c r="FV1151" s="6"/>
      <c r="FW1151" s="6"/>
      <c r="FX1151" s="6"/>
      <c r="FY1151" s="6"/>
      <c r="FZ1151" s="6"/>
      <c r="GA1151" s="6"/>
      <c r="GB1151" s="6"/>
      <c r="GC1151" s="6"/>
      <c r="GD1151" s="6"/>
      <c r="GE1151" s="6"/>
      <c r="GF1151" s="6"/>
      <c r="GG1151" s="6"/>
      <c r="GH1151" s="6"/>
      <c r="GI1151" s="6"/>
      <c r="GJ1151" s="6"/>
      <c r="GK1151" s="6"/>
      <c r="GL1151" s="6"/>
      <c r="GM1151" s="6"/>
      <c r="GN1151" s="6"/>
      <c r="GO1151" s="6"/>
      <c r="GP1151" s="6"/>
      <c r="GQ1151" s="6"/>
      <c r="GR1151" s="6"/>
      <c r="GS1151" s="6"/>
      <c r="GT1151" s="6"/>
      <c r="GU1151" s="6"/>
      <c r="GV1151" s="6"/>
      <c r="GW1151" s="6"/>
      <c r="GX1151" s="6"/>
      <c r="GY1151" s="6"/>
      <c r="GZ1151" s="6"/>
      <c r="HA1151" s="6"/>
      <c r="HB1151" s="6"/>
      <c r="HC1151" s="6"/>
      <c r="HD1151" s="6"/>
      <c r="HE1151" s="6"/>
      <c r="HF1151" s="6"/>
      <c r="HG1151" s="6"/>
      <c r="HH1151" s="6"/>
    </row>
    <row r="1152" spans="1:216" x14ac:dyDescent="0.3">
      <c r="A1152" s="8"/>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6"/>
      <c r="AR1152" s="6"/>
      <c r="AS1152" s="6"/>
      <c r="AT1152" s="6"/>
      <c r="AU1152" s="6"/>
      <c r="AV1152" s="6"/>
      <c r="AW1152" s="6"/>
      <c r="AX1152" s="6"/>
      <c r="AY1152" s="6"/>
      <c r="AZ1152" s="6"/>
      <c r="BA1152" s="6"/>
      <c r="BB1152" s="6"/>
      <c r="BC1152" s="6"/>
      <c r="BD1152" s="6"/>
      <c r="BE1152" s="6"/>
      <c r="BF1152" s="6"/>
      <c r="BG1152" s="6"/>
      <c r="BH1152" s="6"/>
      <c r="BI1152" s="6"/>
      <c r="BJ1152" s="6"/>
      <c r="BK1152" s="6"/>
      <c r="BL1152" s="6"/>
      <c r="BM1152" s="6"/>
      <c r="BN1152" s="6"/>
      <c r="BO1152" s="6"/>
      <c r="BP1152" s="6"/>
      <c r="BQ1152" s="6"/>
      <c r="BR1152" s="6"/>
      <c r="BS1152" s="6"/>
      <c r="BT1152" s="6"/>
      <c r="BU1152" s="6"/>
      <c r="BV1152" s="6"/>
      <c r="BW1152" s="6"/>
      <c r="BX1152" s="6"/>
      <c r="BY1152" s="6"/>
      <c r="BZ1152" s="6"/>
      <c r="CA1152" s="6"/>
      <c r="CB1152" s="6"/>
      <c r="CC1152" s="6"/>
      <c r="CD1152" s="6"/>
      <c r="CE1152" s="6"/>
      <c r="CF1152" s="6"/>
      <c r="CG1152" s="6"/>
      <c r="CH1152" s="6"/>
      <c r="CI1152" s="6"/>
      <c r="CJ1152" s="6"/>
      <c r="CK1152" s="6"/>
      <c r="CL1152" s="6"/>
      <c r="CM1152" s="6"/>
      <c r="CN1152" s="6"/>
      <c r="CO1152" s="6"/>
      <c r="CP1152" s="6"/>
      <c r="CQ1152" s="6"/>
      <c r="CR1152" s="6"/>
      <c r="CS1152" s="6"/>
      <c r="CT1152" s="6"/>
      <c r="CU1152" s="6"/>
      <c r="CV1152" s="6"/>
      <c r="CW1152" s="6"/>
      <c r="CX1152" s="6"/>
      <c r="CY1152" s="6"/>
      <c r="CZ1152" s="6"/>
      <c r="DA1152" s="6"/>
      <c r="DB1152" s="6"/>
      <c r="DC1152" s="6"/>
      <c r="DD1152" s="6"/>
      <c r="DE1152" s="6"/>
      <c r="DF1152" s="6"/>
      <c r="DG1152" s="6"/>
      <c r="DH1152" s="6"/>
      <c r="DI1152" s="6"/>
      <c r="DJ1152" s="6"/>
      <c r="DK1152" s="6"/>
      <c r="DL1152" s="6"/>
      <c r="DM1152" s="6"/>
      <c r="DN1152" s="6"/>
      <c r="DO1152" s="6"/>
      <c r="DP1152" s="6"/>
      <c r="DQ1152" s="6"/>
      <c r="DR1152" s="6"/>
      <c r="DS1152" s="6"/>
      <c r="DT1152" s="6"/>
      <c r="DU1152" s="6"/>
      <c r="DV1152" s="6"/>
      <c r="DW1152" s="6"/>
      <c r="DX1152" s="6"/>
      <c r="DY1152" s="6"/>
      <c r="DZ1152" s="6"/>
      <c r="EA1152" s="6"/>
      <c r="EB1152" s="6"/>
      <c r="EC1152" s="6"/>
      <c r="ED1152" s="6"/>
      <c r="EE1152" s="6"/>
      <c r="EF1152" s="6"/>
      <c r="EG1152" s="6"/>
      <c r="EH1152" s="6"/>
      <c r="EI1152" s="6"/>
      <c r="EJ1152" s="6"/>
      <c r="EK1152" s="6"/>
      <c r="EL1152" s="6"/>
      <c r="EM1152" s="6"/>
      <c r="EN1152" s="6"/>
      <c r="EO1152" s="6"/>
      <c r="EP1152" s="6"/>
      <c r="EQ1152" s="6"/>
      <c r="ER1152" s="6"/>
      <c r="ES1152" s="6"/>
      <c r="ET1152" s="6"/>
      <c r="EU1152" s="6"/>
      <c r="EV1152" s="6"/>
      <c r="EW1152" s="6"/>
      <c r="EX1152" s="6"/>
      <c r="EY1152" s="6"/>
      <c r="EZ1152" s="6"/>
      <c r="FA1152" s="6"/>
      <c r="FB1152" s="6"/>
      <c r="FC1152" s="6"/>
      <c r="FD1152" s="6"/>
      <c r="FE1152" s="6"/>
      <c r="FF1152" s="6"/>
      <c r="FG1152" s="6"/>
      <c r="FH1152" s="6"/>
      <c r="FI1152" s="6"/>
      <c r="FJ1152" s="6"/>
      <c r="FK1152" s="6"/>
      <c r="FL1152" s="6"/>
      <c r="FM1152" s="6"/>
      <c r="FN1152" s="6"/>
      <c r="FO1152" s="6"/>
      <c r="FP1152" s="6"/>
      <c r="FQ1152" s="6"/>
      <c r="FR1152" s="6"/>
      <c r="FS1152" s="6"/>
      <c r="FT1152" s="6"/>
      <c r="FU1152" s="6"/>
      <c r="FV1152" s="6"/>
      <c r="FW1152" s="6"/>
      <c r="FX1152" s="6"/>
      <c r="FY1152" s="6"/>
      <c r="FZ1152" s="6"/>
      <c r="GA1152" s="6"/>
      <c r="GB1152" s="6"/>
      <c r="GC1152" s="6"/>
      <c r="GD1152" s="6"/>
      <c r="GE1152" s="6"/>
      <c r="GF1152" s="6"/>
      <c r="GG1152" s="6"/>
      <c r="GH1152" s="6"/>
      <c r="GI1152" s="6"/>
      <c r="GJ1152" s="6"/>
      <c r="GK1152" s="6"/>
      <c r="GL1152" s="6"/>
      <c r="GM1152" s="6"/>
      <c r="GN1152" s="6"/>
      <c r="GO1152" s="6"/>
      <c r="GP1152" s="6"/>
      <c r="GQ1152" s="6"/>
      <c r="GR1152" s="6"/>
      <c r="GS1152" s="6"/>
      <c r="GT1152" s="6"/>
      <c r="GU1152" s="6"/>
      <c r="GV1152" s="6"/>
      <c r="GW1152" s="6"/>
      <c r="GX1152" s="6"/>
      <c r="GY1152" s="6"/>
      <c r="GZ1152" s="6"/>
      <c r="HA1152" s="6"/>
      <c r="HB1152" s="6"/>
      <c r="HC1152" s="6"/>
      <c r="HD1152" s="6"/>
      <c r="HE1152" s="6"/>
      <c r="HF1152" s="6"/>
      <c r="HG1152" s="6"/>
      <c r="HH1152" s="6"/>
    </row>
    <row r="1153" spans="1:216" x14ac:dyDescent="0.3">
      <c r="A1153" s="8"/>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c r="DX1153" s="6"/>
      <c r="DY1153" s="6"/>
      <c r="DZ1153" s="6"/>
      <c r="EA1153" s="6"/>
      <c r="EB1153" s="6"/>
      <c r="EC1153" s="6"/>
      <c r="ED1153" s="6"/>
      <c r="EE1153" s="6"/>
      <c r="EF1153" s="6"/>
      <c r="EG1153" s="6"/>
      <c r="EH1153" s="6"/>
      <c r="EI1153" s="6"/>
      <c r="EJ1153" s="6"/>
      <c r="EK1153" s="6"/>
      <c r="EL1153" s="6"/>
      <c r="EM1153" s="6"/>
      <c r="EN1153" s="6"/>
      <c r="EO1153" s="6"/>
      <c r="EP1153" s="6"/>
      <c r="EQ1153" s="6"/>
      <c r="ER1153" s="6"/>
      <c r="ES1153" s="6"/>
      <c r="ET1153" s="6"/>
      <c r="EU1153" s="6"/>
      <c r="EV1153" s="6"/>
      <c r="EW1153" s="6"/>
      <c r="EX1153" s="6"/>
      <c r="EY1153" s="6"/>
      <c r="EZ1153" s="6"/>
      <c r="FA1153" s="6"/>
      <c r="FB1153" s="6"/>
      <c r="FC1153" s="6"/>
      <c r="FD1153" s="6"/>
      <c r="FE1153" s="6"/>
      <c r="FF1153" s="6"/>
      <c r="FG1153" s="6"/>
      <c r="FH1153" s="6"/>
      <c r="FI1153" s="6"/>
      <c r="FJ1153" s="6"/>
      <c r="FK1153" s="6"/>
      <c r="FL1153" s="6"/>
      <c r="FM1153" s="6"/>
      <c r="FN1153" s="6"/>
      <c r="FO1153" s="6"/>
      <c r="FP1153" s="6"/>
      <c r="FQ1153" s="6"/>
      <c r="FR1153" s="6"/>
      <c r="FS1153" s="6"/>
      <c r="FT1153" s="6"/>
      <c r="FU1153" s="6"/>
      <c r="FV1153" s="6"/>
      <c r="FW1153" s="6"/>
      <c r="FX1153" s="6"/>
      <c r="FY1153" s="6"/>
      <c r="FZ1153" s="6"/>
      <c r="GA1153" s="6"/>
      <c r="GB1153" s="6"/>
      <c r="GC1153" s="6"/>
      <c r="GD1153" s="6"/>
      <c r="GE1153" s="6"/>
      <c r="GF1153" s="6"/>
      <c r="GG1153" s="6"/>
      <c r="GH1153" s="6"/>
      <c r="GI1153" s="6"/>
      <c r="GJ1153" s="6"/>
      <c r="GK1153" s="6"/>
      <c r="GL1153" s="6"/>
      <c r="GM1153" s="6"/>
      <c r="GN1153" s="6"/>
      <c r="GO1153" s="6"/>
      <c r="GP1153" s="6"/>
      <c r="GQ1153" s="6"/>
      <c r="GR1153" s="6"/>
      <c r="GS1153" s="6"/>
      <c r="GT1153" s="6"/>
      <c r="GU1153" s="6"/>
      <c r="GV1153" s="6"/>
      <c r="GW1153" s="6"/>
      <c r="GX1153" s="6"/>
      <c r="GY1153" s="6"/>
      <c r="GZ1153" s="6"/>
      <c r="HA1153" s="6"/>
      <c r="HB1153" s="6"/>
      <c r="HC1153" s="6"/>
      <c r="HD1153" s="6"/>
      <c r="HE1153" s="6"/>
      <c r="HF1153" s="6"/>
      <c r="HG1153" s="6"/>
      <c r="HH1153" s="6"/>
    </row>
    <row r="1154" spans="1:216" x14ac:dyDescent="0.3">
      <c r="A1154" s="8"/>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c r="DX1154" s="6"/>
      <c r="DY1154" s="6"/>
      <c r="DZ1154" s="6"/>
      <c r="EA1154" s="6"/>
      <c r="EB1154" s="6"/>
      <c r="EC1154" s="6"/>
      <c r="ED1154" s="6"/>
      <c r="EE1154" s="6"/>
      <c r="EF1154" s="6"/>
      <c r="EG1154" s="6"/>
      <c r="EH1154" s="6"/>
      <c r="EI1154" s="6"/>
      <c r="EJ1154" s="6"/>
      <c r="EK1154" s="6"/>
      <c r="EL1154" s="6"/>
      <c r="EM1154" s="6"/>
      <c r="EN1154" s="6"/>
      <c r="EO1154" s="6"/>
      <c r="EP1154" s="6"/>
      <c r="EQ1154" s="6"/>
      <c r="ER1154" s="6"/>
      <c r="ES1154" s="6"/>
      <c r="ET1154" s="6"/>
      <c r="EU1154" s="6"/>
      <c r="EV1154" s="6"/>
      <c r="EW1154" s="6"/>
      <c r="EX1154" s="6"/>
      <c r="EY1154" s="6"/>
      <c r="EZ1154" s="6"/>
      <c r="FA1154" s="6"/>
      <c r="FB1154" s="6"/>
      <c r="FC1154" s="6"/>
      <c r="FD1154" s="6"/>
      <c r="FE1154" s="6"/>
      <c r="FF1154" s="6"/>
      <c r="FG1154" s="6"/>
      <c r="FH1154" s="6"/>
      <c r="FI1154" s="6"/>
      <c r="FJ1154" s="6"/>
      <c r="FK1154" s="6"/>
      <c r="FL1154" s="6"/>
      <c r="FM1154" s="6"/>
      <c r="FN1154" s="6"/>
      <c r="FO1154" s="6"/>
      <c r="FP1154" s="6"/>
      <c r="FQ1154" s="6"/>
      <c r="FR1154" s="6"/>
      <c r="FS1154" s="6"/>
      <c r="FT1154" s="6"/>
      <c r="FU1154" s="6"/>
      <c r="FV1154" s="6"/>
      <c r="FW1154" s="6"/>
      <c r="FX1154" s="6"/>
      <c r="FY1154" s="6"/>
      <c r="FZ1154" s="6"/>
      <c r="GA1154" s="6"/>
      <c r="GB1154" s="6"/>
      <c r="GC1154" s="6"/>
      <c r="GD1154" s="6"/>
      <c r="GE1154" s="6"/>
      <c r="GF1154" s="6"/>
      <c r="GG1154" s="6"/>
      <c r="GH1154" s="6"/>
      <c r="GI1154" s="6"/>
      <c r="GJ1154" s="6"/>
      <c r="GK1154" s="6"/>
      <c r="GL1154" s="6"/>
      <c r="GM1154" s="6"/>
      <c r="GN1154" s="6"/>
      <c r="GO1154" s="6"/>
      <c r="GP1154" s="6"/>
      <c r="GQ1154" s="6"/>
      <c r="GR1154" s="6"/>
      <c r="GS1154" s="6"/>
      <c r="GT1154" s="6"/>
      <c r="GU1154" s="6"/>
      <c r="GV1154" s="6"/>
      <c r="GW1154" s="6"/>
      <c r="GX1154" s="6"/>
      <c r="GY1154" s="6"/>
      <c r="GZ1154" s="6"/>
      <c r="HA1154" s="6"/>
      <c r="HB1154" s="6"/>
      <c r="HC1154" s="6"/>
      <c r="HD1154" s="6"/>
      <c r="HE1154" s="6"/>
      <c r="HF1154" s="6"/>
      <c r="HG1154" s="6"/>
      <c r="HH1154" s="6"/>
    </row>
    <row r="1155" spans="1:216" x14ac:dyDescent="0.3">
      <c r="A1155" s="8"/>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c r="DX1155" s="6"/>
      <c r="DY1155" s="6"/>
      <c r="DZ1155" s="6"/>
      <c r="EA1155" s="6"/>
      <c r="EB1155" s="6"/>
      <c r="EC1155" s="6"/>
      <c r="ED1155" s="6"/>
      <c r="EE1155" s="6"/>
      <c r="EF1155" s="6"/>
      <c r="EG1155" s="6"/>
      <c r="EH1155" s="6"/>
      <c r="EI1155" s="6"/>
      <c r="EJ1155" s="6"/>
      <c r="EK1155" s="6"/>
      <c r="EL1155" s="6"/>
      <c r="EM1155" s="6"/>
      <c r="EN1155" s="6"/>
      <c r="EO1155" s="6"/>
      <c r="EP1155" s="6"/>
      <c r="EQ1155" s="6"/>
      <c r="ER1155" s="6"/>
      <c r="ES1155" s="6"/>
      <c r="ET1155" s="6"/>
      <c r="EU1155" s="6"/>
      <c r="EV1155" s="6"/>
      <c r="EW1155" s="6"/>
      <c r="EX1155" s="6"/>
      <c r="EY1155" s="6"/>
      <c r="EZ1155" s="6"/>
      <c r="FA1155" s="6"/>
      <c r="FB1155" s="6"/>
      <c r="FC1155" s="6"/>
      <c r="FD1155" s="6"/>
      <c r="FE1155" s="6"/>
      <c r="FF1155" s="6"/>
      <c r="FG1155" s="6"/>
      <c r="FH1155" s="6"/>
      <c r="FI1155" s="6"/>
      <c r="FJ1155" s="6"/>
      <c r="FK1155" s="6"/>
      <c r="FL1155" s="6"/>
      <c r="FM1155" s="6"/>
      <c r="FN1155" s="6"/>
      <c r="FO1155" s="6"/>
      <c r="FP1155" s="6"/>
      <c r="FQ1155" s="6"/>
      <c r="FR1155" s="6"/>
      <c r="FS1155" s="6"/>
      <c r="FT1155" s="6"/>
      <c r="FU1155" s="6"/>
      <c r="FV1155" s="6"/>
      <c r="FW1155" s="6"/>
      <c r="FX1155" s="6"/>
      <c r="FY1155" s="6"/>
      <c r="FZ1155" s="6"/>
      <c r="GA1155" s="6"/>
      <c r="GB1155" s="6"/>
      <c r="GC1155" s="6"/>
      <c r="GD1155" s="6"/>
      <c r="GE1155" s="6"/>
      <c r="GF1155" s="6"/>
      <c r="GG1155" s="6"/>
      <c r="GH1155" s="6"/>
      <c r="GI1155" s="6"/>
      <c r="GJ1155" s="6"/>
      <c r="GK1155" s="6"/>
      <c r="GL1155" s="6"/>
      <c r="GM1155" s="6"/>
      <c r="GN1155" s="6"/>
      <c r="GO1155" s="6"/>
      <c r="GP1155" s="6"/>
      <c r="GQ1155" s="6"/>
      <c r="GR1155" s="6"/>
      <c r="GS1155" s="6"/>
      <c r="GT1155" s="6"/>
      <c r="GU1155" s="6"/>
      <c r="GV1155" s="6"/>
      <c r="GW1155" s="6"/>
      <c r="GX1155" s="6"/>
      <c r="GY1155" s="6"/>
      <c r="GZ1155" s="6"/>
      <c r="HA1155" s="6"/>
      <c r="HB1155" s="6"/>
      <c r="HC1155" s="6"/>
      <c r="HD1155" s="6"/>
      <c r="HE1155" s="6"/>
      <c r="HF1155" s="6"/>
      <c r="HG1155" s="6"/>
      <c r="HH1155" s="6"/>
    </row>
    <row r="1156" spans="1:216" x14ac:dyDescent="0.3">
      <c r="A1156" s="8"/>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6"/>
      <c r="AR1156" s="6"/>
      <c r="AS1156" s="6"/>
      <c r="AT1156" s="6"/>
      <c r="AU1156" s="6"/>
      <c r="AV1156" s="6"/>
      <c r="AW1156" s="6"/>
      <c r="AX1156" s="6"/>
      <c r="AY1156" s="6"/>
      <c r="AZ1156" s="6"/>
      <c r="BA1156" s="6"/>
      <c r="BB1156" s="6"/>
      <c r="BC1156" s="6"/>
      <c r="BD1156" s="6"/>
      <c r="BE1156" s="6"/>
      <c r="BF1156" s="6"/>
      <c r="BG1156" s="6"/>
      <c r="BH1156" s="6"/>
      <c r="BI1156" s="6"/>
      <c r="BJ1156" s="6"/>
      <c r="BK1156" s="6"/>
      <c r="BL1156" s="6"/>
      <c r="BM1156" s="6"/>
      <c r="BN1156" s="6"/>
      <c r="BO1156" s="6"/>
      <c r="BP1156" s="6"/>
      <c r="BQ1156" s="6"/>
      <c r="BR1156" s="6"/>
      <c r="BS1156" s="6"/>
      <c r="BT1156" s="6"/>
      <c r="BU1156" s="6"/>
      <c r="BV1156" s="6"/>
      <c r="BW1156" s="6"/>
      <c r="BX1156" s="6"/>
      <c r="BY1156" s="6"/>
      <c r="BZ1156" s="6"/>
      <c r="CA1156" s="6"/>
      <c r="CB1156" s="6"/>
      <c r="CC1156" s="6"/>
      <c r="CD1156" s="6"/>
      <c r="CE1156" s="6"/>
      <c r="CF1156" s="6"/>
      <c r="CG1156" s="6"/>
      <c r="CH1156" s="6"/>
      <c r="CI1156" s="6"/>
      <c r="CJ1156" s="6"/>
      <c r="CK1156" s="6"/>
      <c r="CL1156" s="6"/>
      <c r="CM1156" s="6"/>
      <c r="CN1156" s="6"/>
      <c r="CO1156" s="6"/>
      <c r="CP1156" s="6"/>
      <c r="CQ1156" s="6"/>
      <c r="CR1156" s="6"/>
      <c r="CS1156" s="6"/>
      <c r="CT1156" s="6"/>
      <c r="CU1156" s="6"/>
      <c r="CV1156" s="6"/>
      <c r="CW1156" s="6"/>
      <c r="CX1156" s="6"/>
      <c r="CY1156" s="6"/>
      <c r="CZ1156" s="6"/>
      <c r="DA1156" s="6"/>
      <c r="DB1156" s="6"/>
      <c r="DC1156" s="6"/>
      <c r="DD1156" s="6"/>
      <c r="DE1156" s="6"/>
      <c r="DF1156" s="6"/>
      <c r="DG1156" s="6"/>
      <c r="DH1156" s="6"/>
      <c r="DI1156" s="6"/>
      <c r="DJ1156" s="6"/>
      <c r="DK1156" s="6"/>
      <c r="DL1156" s="6"/>
      <c r="DM1156" s="6"/>
      <c r="DN1156" s="6"/>
      <c r="DO1156" s="6"/>
      <c r="DP1156" s="6"/>
      <c r="DQ1156" s="6"/>
      <c r="DR1156" s="6"/>
      <c r="DS1156" s="6"/>
      <c r="DT1156" s="6"/>
      <c r="DU1156" s="6"/>
      <c r="DV1156" s="6"/>
      <c r="DW1156" s="6"/>
      <c r="DX1156" s="6"/>
      <c r="DY1156" s="6"/>
      <c r="DZ1156" s="6"/>
      <c r="EA1156" s="6"/>
      <c r="EB1156" s="6"/>
      <c r="EC1156" s="6"/>
      <c r="ED1156" s="6"/>
      <c r="EE1156" s="6"/>
      <c r="EF1156" s="6"/>
      <c r="EG1156" s="6"/>
      <c r="EH1156" s="6"/>
      <c r="EI1156" s="6"/>
      <c r="EJ1156" s="6"/>
      <c r="EK1156" s="6"/>
      <c r="EL1156" s="6"/>
      <c r="EM1156" s="6"/>
      <c r="EN1156" s="6"/>
      <c r="EO1156" s="6"/>
      <c r="EP1156" s="6"/>
      <c r="EQ1156" s="6"/>
      <c r="ER1156" s="6"/>
      <c r="ES1156" s="6"/>
      <c r="ET1156" s="6"/>
      <c r="EU1156" s="6"/>
      <c r="EV1156" s="6"/>
      <c r="EW1156" s="6"/>
      <c r="EX1156" s="6"/>
      <c r="EY1156" s="6"/>
      <c r="EZ1156" s="6"/>
      <c r="FA1156" s="6"/>
      <c r="FB1156" s="6"/>
      <c r="FC1156" s="6"/>
      <c r="FD1156" s="6"/>
      <c r="FE1156" s="6"/>
      <c r="FF1156" s="6"/>
      <c r="FG1156" s="6"/>
      <c r="FH1156" s="6"/>
      <c r="FI1156" s="6"/>
      <c r="FJ1156" s="6"/>
      <c r="FK1156" s="6"/>
      <c r="FL1156" s="6"/>
      <c r="FM1156" s="6"/>
      <c r="FN1156" s="6"/>
      <c r="FO1156" s="6"/>
      <c r="FP1156" s="6"/>
      <c r="FQ1156" s="6"/>
      <c r="FR1156" s="6"/>
      <c r="FS1156" s="6"/>
      <c r="FT1156" s="6"/>
      <c r="FU1156" s="6"/>
      <c r="FV1156" s="6"/>
      <c r="FW1156" s="6"/>
      <c r="FX1156" s="6"/>
      <c r="FY1156" s="6"/>
      <c r="FZ1156" s="6"/>
      <c r="GA1156" s="6"/>
      <c r="GB1156" s="6"/>
      <c r="GC1156" s="6"/>
      <c r="GD1156" s="6"/>
      <c r="GE1156" s="6"/>
      <c r="GF1156" s="6"/>
      <c r="GG1156" s="6"/>
      <c r="GH1156" s="6"/>
      <c r="GI1156" s="6"/>
      <c r="GJ1156" s="6"/>
      <c r="GK1156" s="6"/>
      <c r="GL1156" s="6"/>
      <c r="GM1156" s="6"/>
      <c r="GN1156" s="6"/>
      <c r="GO1156" s="6"/>
      <c r="GP1156" s="6"/>
      <c r="GQ1156" s="6"/>
      <c r="GR1156" s="6"/>
      <c r="GS1156" s="6"/>
      <c r="GT1156" s="6"/>
      <c r="GU1156" s="6"/>
      <c r="GV1156" s="6"/>
      <c r="GW1156" s="6"/>
      <c r="GX1156" s="6"/>
      <c r="GY1156" s="6"/>
      <c r="GZ1156" s="6"/>
      <c r="HA1156" s="6"/>
      <c r="HB1156" s="6"/>
      <c r="HC1156" s="6"/>
      <c r="HD1156" s="6"/>
      <c r="HE1156" s="6"/>
      <c r="HF1156" s="6"/>
      <c r="HG1156" s="6"/>
      <c r="HH1156" s="6"/>
    </row>
    <row r="1157" spans="1:216" x14ac:dyDescent="0.3">
      <c r="A1157" s="8"/>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c r="DX1157" s="6"/>
      <c r="DY1157" s="6"/>
      <c r="DZ1157" s="6"/>
      <c r="EA1157" s="6"/>
      <c r="EB1157" s="6"/>
      <c r="EC1157" s="6"/>
      <c r="ED1157" s="6"/>
      <c r="EE1157" s="6"/>
      <c r="EF1157" s="6"/>
      <c r="EG1157" s="6"/>
      <c r="EH1157" s="6"/>
      <c r="EI1157" s="6"/>
      <c r="EJ1157" s="6"/>
      <c r="EK1157" s="6"/>
      <c r="EL1157" s="6"/>
      <c r="EM1157" s="6"/>
      <c r="EN1157" s="6"/>
      <c r="EO1157" s="6"/>
      <c r="EP1157" s="6"/>
      <c r="EQ1157" s="6"/>
      <c r="ER1157" s="6"/>
      <c r="ES1157" s="6"/>
      <c r="ET1157" s="6"/>
      <c r="EU1157" s="6"/>
      <c r="EV1157" s="6"/>
      <c r="EW1157" s="6"/>
      <c r="EX1157" s="6"/>
      <c r="EY1157" s="6"/>
      <c r="EZ1157" s="6"/>
      <c r="FA1157" s="6"/>
      <c r="FB1157" s="6"/>
      <c r="FC1157" s="6"/>
      <c r="FD1157" s="6"/>
      <c r="FE1157" s="6"/>
      <c r="FF1157" s="6"/>
      <c r="FG1157" s="6"/>
      <c r="FH1157" s="6"/>
      <c r="FI1157" s="6"/>
      <c r="FJ1157" s="6"/>
      <c r="FK1157" s="6"/>
      <c r="FL1157" s="6"/>
      <c r="FM1157" s="6"/>
      <c r="FN1157" s="6"/>
      <c r="FO1157" s="6"/>
      <c r="FP1157" s="6"/>
      <c r="FQ1157" s="6"/>
      <c r="FR1157" s="6"/>
      <c r="FS1157" s="6"/>
      <c r="FT1157" s="6"/>
      <c r="FU1157" s="6"/>
      <c r="FV1157" s="6"/>
      <c r="FW1157" s="6"/>
      <c r="FX1157" s="6"/>
      <c r="FY1157" s="6"/>
      <c r="FZ1157" s="6"/>
      <c r="GA1157" s="6"/>
      <c r="GB1157" s="6"/>
      <c r="GC1157" s="6"/>
      <c r="GD1157" s="6"/>
      <c r="GE1157" s="6"/>
      <c r="GF1157" s="6"/>
      <c r="GG1157" s="6"/>
      <c r="GH1157" s="6"/>
      <c r="GI1157" s="6"/>
      <c r="GJ1157" s="6"/>
      <c r="GK1157" s="6"/>
      <c r="GL1157" s="6"/>
      <c r="GM1157" s="6"/>
      <c r="GN1157" s="6"/>
      <c r="GO1157" s="6"/>
      <c r="GP1157" s="6"/>
      <c r="GQ1157" s="6"/>
      <c r="GR1157" s="6"/>
      <c r="GS1157" s="6"/>
      <c r="GT1157" s="6"/>
      <c r="GU1157" s="6"/>
      <c r="GV1157" s="6"/>
      <c r="GW1157" s="6"/>
      <c r="GX1157" s="6"/>
      <c r="GY1157" s="6"/>
      <c r="GZ1157" s="6"/>
      <c r="HA1157" s="6"/>
      <c r="HB1157" s="6"/>
      <c r="HC1157" s="6"/>
      <c r="HD1157" s="6"/>
      <c r="HE1157" s="6"/>
      <c r="HF1157" s="6"/>
      <c r="HG1157" s="6"/>
      <c r="HH1157" s="6"/>
    </row>
    <row r="1158" spans="1:216" x14ac:dyDescent="0.3">
      <c r="A1158" s="8"/>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c r="DX1158" s="6"/>
      <c r="DY1158" s="6"/>
      <c r="DZ1158" s="6"/>
      <c r="EA1158" s="6"/>
      <c r="EB1158" s="6"/>
      <c r="EC1158" s="6"/>
      <c r="ED1158" s="6"/>
      <c r="EE1158" s="6"/>
      <c r="EF1158" s="6"/>
      <c r="EG1158" s="6"/>
      <c r="EH1158" s="6"/>
      <c r="EI1158" s="6"/>
      <c r="EJ1158" s="6"/>
      <c r="EK1158" s="6"/>
      <c r="EL1158" s="6"/>
      <c r="EM1158" s="6"/>
      <c r="EN1158" s="6"/>
      <c r="EO1158" s="6"/>
      <c r="EP1158" s="6"/>
      <c r="EQ1158" s="6"/>
      <c r="ER1158" s="6"/>
      <c r="ES1158" s="6"/>
      <c r="ET1158" s="6"/>
      <c r="EU1158" s="6"/>
      <c r="EV1158" s="6"/>
      <c r="EW1158" s="6"/>
      <c r="EX1158" s="6"/>
      <c r="EY1158" s="6"/>
      <c r="EZ1158" s="6"/>
      <c r="FA1158" s="6"/>
      <c r="FB1158" s="6"/>
      <c r="FC1158" s="6"/>
      <c r="FD1158" s="6"/>
      <c r="FE1158" s="6"/>
      <c r="FF1158" s="6"/>
      <c r="FG1158" s="6"/>
      <c r="FH1158" s="6"/>
      <c r="FI1158" s="6"/>
      <c r="FJ1158" s="6"/>
      <c r="FK1158" s="6"/>
      <c r="FL1158" s="6"/>
      <c r="FM1158" s="6"/>
      <c r="FN1158" s="6"/>
      <c r="FO1158" s="6"/>
      <c r="FP1158" s="6"/>
      <c r="FQ1158" s="6"/>
      <c r="FR1158" s="6"/>
      <c r="FS1158" s="6"/>
      <c r="FT1158" s="6"/>
      <c r="FU1158" s="6"/>
      <c r="FV1158" s="6"/>
      <c r="FW1158" s="6"/>
      <c r="FX1158" s="6"/>
      <c r="FY1158" s="6"/>
      <c r="FZ1158" s="6"/>
      <c r="GA1158" s="6"/>
      <c r="GB1158" s="6"/>
      <c r="GC1158" s="6"/>
      <c r="GD1158" s="6"/>
      <c r="GE1158" s="6"/>
      <c r="GF1158" s="6"/>
      <c r="GG1158" s="6"/>
      <c r="GH1158" s="6"/>
      <c r="GI1158" s="6"/>
      <c r="GJ1158" s="6"/>
      <c r="GK1158" s="6"/>
      <c r="GL1158" s="6"/>
      <c r="GM1158" s="6"/>
      <c r="GN1158" s="6"/>
      <c r="GO1158" s="6"/>
      <c r="GP1158" s="6"/>
      <c r="GQ1158" s="6"/>
      <c r="GR1158" s="6"/>
      <c r="GS1158" s="6"/>
      <c r="GT1158" s="6"/>
      <c r="GU1158" s="6"/>
      <c r="GV1158" s="6"/>
      <c r="GW1158" s="6"/>
      <c r="GX1158" s="6"/>
      <c r="GY1158" s="6"/>
      <c r="GZ1158" s="6"/>
      <c r="HA1158" s="6"/>
      <c r="HB1158" s="6"/>
      <c r="HC1158" s="6"/>
      <c r="HD1158" s="6"/>
      <c r="HE1158" s="6"/>
      <c r="HF1158" s="6"/>
      <c r="HG1158" s="6"/>
      <c r="HH1158" s="6"/>
    </row>
    <row r="1159" spans="1:216" x14ac:dyDescent="0.3">
      <c r="A1159" s="8"/>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c r="DX1159" s="6"/>
      <c r="DY1159" s="6"/>
      <c r="DZ1159" s="6"/>
      <c r="EA1159" s="6"/>
      <c r="EB1159" s="6"/>
      <c r="EC1159" s="6"/>
      <c r="ED1159" s="6"/>
      <c r="EE1159" s="6"/>
      <c r="EF1159" s="6"/>
      <c r="EG1159" s="6"/>
      <c r="EH1159" s="6"/>
      <c r="EI1159" s="6"/>
      <c r="EJ1159" s="6"/>
      <c r="EK1159" s="6"/>
      <c r="EL1159" s="6"/>
      <c r="EM1159" s="6"/>
      <c r="EN1159" s="6"/>
      <c r="EO1159" s="6"/>
      <c r="EP1159" s="6"/>
      <c r="EQ1159" s="6"/>
      <c r="ER1159" s="6"/>
      <c r="ES1159" s="6"/>
      <c r="ET1159" s="6"/>
      <c r="EU1159" s="6"/>
      <c r="EV1159" s="6"/>
      <c r="EW1159" s="6"/>
      <c r="EX1159" s="6"/>
      <c r="EY1159" s="6"/>
      <c r="EZ1159" s="6"/>
      <c r="FA1159" s="6"/>
      <c r="FB1159" s="6"/>
      <c r="FC1159" s="6"/>
      <c r="FD1159" s="6"/>
      <c r="FE1159" s="6"/>
      <c r="FF1159" s="6"/>
      <c r="FG1159" s="6"/>
      <c r="FH1159" s="6"/>
      <c r="FI1159" s="6"/>
      <c r="FJ1159" s="6"/>
      <c r="FK1159" s="6"/>
      <c r="FL1159" s="6"/>
      <c r="FM1159" s="6"/>
      <c r="FN1159" s="6"/>
      <c r="FO1159" s="6"/>
      <c r="FP1159" s="6"/>
      <c r="FQ1159" s="6"/>
      <c r="FR1159" s="6"/>
      <c r="FS1159" s="6"/>
      <c r="FT1159" s="6"/>
      <c r="FU1159" s="6"/>
      <c r="FV1159" s="6"/>
      <c r="FW1159" s="6"/>
      <c r="FX1159" s="6"/>
      <c r="FY1159" s="6"/>
      <c r="FZ1159" s="6"/>
      <c r="GA1159" s="6"/>
      <c r="GB1159" s="6"/>
      <c r="GC1159" s="6"/>
      <c r="GD1159" s="6"/>
      <c r="GE1159" s="6"/>
      <c r="GF1159" s="6"/>
      <c r="GG1159" s="6"/>
      <c r="GH1159" s="6"/>
      <c r="GI1159" s="6"/>
      <c r="GJ1159" s="6"/>
      <c r="GK1159" s="6"/>
      <c r="GL1159" s="6"/>
      <c r="GM1159" s="6"/>
      <c r="GN1159" s="6"/>
      <c r="GO1159" s="6"/>
      <c r="GP1159" s="6"/>
      <c r="GQ1159" s="6"/>
      <c r="GR1159" s="6"/>
      <c r="GS1159" s="6"/>
      <c r="GT1159" s="6"/>
      <c r="GU1159" s="6"/>
      <c r="GV1159" s="6"/>
      <c r="GW1159" s="6"/>
      <c r="GX1159" s="6"/>
      <c r="GY1159" s="6"/>
      <c r="GZ1159" s="6"/>
      <c r="HA1159" s="6"/>
      <c r="HB1159" s="6"/>
      <c r="HC1159" s="6"/>
      <c r="HD1159" s="6"/>
      <c r="HE1159" s="6"/>
      <c r="HF1159" s="6"/>
      <c r="HG1159" s="6"/>
      <c r="HH1159" s="6"/>
    </row>
    <row r="1160" spans="1:216" x14ac:dyDescent="0.3">
      <c r="A1160" s="8"/>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c r="DX1160" s="6"/>
      <c r="DY1160" s="6"/>
      <c r="DZ1160" s="6"/>
      <c r="EA1160" s="6"/>
      <c r="EB1160" s="6"/>
      <c r="EC1160" s="6"/>
      <c r="ED1160" s="6"/>
      <c r="EE1160" s="6"/>
      <c r="EF1160" s="6"/>
      <c r="EG1160" s="6"/>
      <c r="EH1160" s="6"/>
      <c r="EI1160" s="6"/>
      <c r="EJ1160" s="6"/>
      <c r="EK1160" s="6"/>
      <c r="EL1160" s="6"/>
      <c r="EM1160" s="6"/>
      <c r="EN1160" s="6"/>
      <c r="EO1160" s="6"/>
      <c r="EP1160" s="6"/>
      <c r="EQ1160" s="6"/>
      <c r="ER1160" s="6"/>
      <c r="ES1160" s="6"/>
      <c r="ET1160" s="6"/>
      <c r="EU1160" s="6"/>
      <c r="EV1160" s="6"/>
      <c r="EW1160" s="6"/>
      <c r="EX1160" s="6"/>
      <c r="EY1160" s="6"/>
      <c r="EZ1160" s="6"/>
      <c r="FA1160" s="6"/>
      <c r="FB1160" s="6"/>
      <c r="FC1160" s="6"/>
      <c r="FD1160" s="6"/>
      <c r="FE1160" s="6"/>
      <c r="FF1160" s="6"/>
      <c r="FG1160" s="6"/>
      <c r="FH1160" s="6"/>
      <c r="FI1160" s="6"/>
      <c r="FJ1160" s="6"/>
      <c r="FK1160" s="6"/>
      <c r="FL1160" s="6"/>
      <c r="FM1160" s="6"/>
      <c r="FN1160" s="6"/>
      <c r="FO1160" s="6"/>
      <c r="FP1160" s="6"/>
      <c r="FQ1160" s="6"/>
      <c r="FR1160" s="6"/>
      <c r="FS1160" s="6"/>
      <c r="FT1160" s="6"/>
      <c r="FU1160" s="6"/>
      <c r="FV1160" s="6"/>
      <c r="FW1160" s="6"/>
      <c r="FX1160" s="6"/>
      <c r="FY1160" s="6"/>
      <c r="FZ1160" s="6"/>
      <c r="GA1160" s="6"/>
      <c r="GB1160" s="6"/>
      <c r="GC1160" s="6"/>
      <c r="GD1160" s="6"/>
      <c r="GE1160" s="6"/>
      <c r="GF1160" s="6"/>
      <c r="GG1160" s="6"/>
      <c r="GH1160" s="6"/>
      <c r="GI1160" s="6"/>
      <c r="GJ1160" s="6"/>
      <c r="GK1160" s="6"/>
      <c r="GL1160" s="6"/>
      <c r="GM1160" s="6"/>
      <c r="GN1160" s="6"/>
      <c r="GO1160" s="6"/>
      <c r="GP1160" s="6"/>
      <c r="GQ1160" s="6"/>
      <c r="GR1160" s="6"/>
      <c r="GS1160" s="6"/>
      <c r="GT1160" s="6"/>
      <c r="GU1160" s="6"/>
      <c r="GV1160" s="6"/>
      <c r="GW1160" s="6"/>
      <c r="GX1160" s="6"/>
      <c r="GY1160" s="6"/>
      <c r="GZ1160" s="6"/>
      <c r="HA1160" s="6"/>
      <c r="HB1160" s="6"/>
      <c r="HC1160" s="6"/>
      <c r="HD1160" s="6"/>
      <c r="HE1160" s="6"/>
      <c r="HF1160" s="6"/>
      <c r="HG1160" s="6"/>
      <c r="HH1160" s="6"/>
    </row>
    <row r="1161" spans="1:216" x14ac:dyDescent="0.3">
      <c r="A1161" s="8"/>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6"/>
      <c r="AR1161" s="6"/>
      <c r="AS1161" s="6"/>
      <c r="AT1161" s="6"/>
      <c r="AU1161" s="6"/>
      <c r="AV1161" s="6"/>
      <c r="AW1161" s="6"/>
      <c r="AX1161" s="6"/>
      <c r="AY1161" s="6"/>
      <c r="AZ1161" s="6"/>
      <c r="BA1161" s="6"/>
      <c r="BB1161" s="6"/>
      <c r="BC1161" s="6"/>
      <c r="BD1161" s="6"/>
      <c r="BE1161" s="6"/>
      <c r="BF1161" s="6"/>
      <c r="BG1161" s="6"/>
      <c r="BH1161" s="6"/>
      <c r="BI1161" s="6"/>
      <c r="BJ1161" s="6"/>
      <c r="BK1161" s="6"/>
      <c r="BL1161" s="6"/>
      <c r="BM1161" s="6"/>
      <c r="BN1161" s="6"/>
      <c r="BO1161" s="6"/>
      <c r="BP1161" s="6"/>
      <c r="BQ1161" s="6"/>
      <c r="BR1161" s="6"/>
      <c r="BS1161" s="6"/>
      <c r="BT1161" s="6"/>
      <c r="BU1161" s="6"/>
      <c r="BV1161" s="6"/>
      <c r="BW1161" s="6"/>
      <c r="BX1161" s="6"/>
      <c r="BY1161" s="6"/>
      <c r="BZ1161" s="6"/>
      <c r="CA1161" s="6"/>
      <c r="CB1161" s="6"/>
      <c r="CC1161" s="6"/>
      <c r="CD1161" s="6"/>
      <c r="CE1161" s="6"/>
      <c r="CF1161" s="6"/>
      <c r="CG1161" s="6"/>
      <c r="CH1161" s="6"/>
      <c r="CI1161" s="6"/>
      <c r="CJ1161" s="6"/>
      <c r="CK1161" s="6"/>
      <c r="CL1161" s="6"/>
      <c r="CM1161" s="6"/>
      <c r="CN1161" s="6"/>
      <c r="CO1161" s="6"/>
      <c r="CP1161" s="6"/>
      <c r="CQ1161" s="6"/>
      <c r="CR1161" s="6"/>
      <c r="CS1161" s="6"/>
      <c r="CT1161" s="6"/>
      <c r="CU1161" s="6"/>
      <c r="CV1161" s="6"/>
      <c r="CW1161" s="6"/>
      <c r="CX1161" s="6"/>
      <c r="CY1161" s="6"/>
      <c r="CZ1161" s="6"/>
      <c r="DA1161" s="6"/>
      <c r="DB1161" s="6"/>
      <c r="DC1161" s="6"/>
      <c r="DD1161" s="6"/>
      <c r="DE1161" s="6"/>
      <c r="DF1161" s="6"/>
      <c r="DG1161" s="6"/>
      <c r="DH1161" s="6"/>
      <c r="DI1161" s="6"/>
      <c r="DJ1161" s="6"/>
      <c r="DK1161" s="6"/>
      <c r="DL1161" s="6"/>
      <c r="DM1161" s="6"/>
      <c r="DN1161" s="6"/>
      <c r="DO1161" s="6"/>
      <c r="DP1161" s="6"/>
      <c r="DQ1161" s="6"/>
      <c r="DR1161" s="6"/>
      <c r="DS1161" s="6"/>
      <c r="DT1161" s="6"/>
      <c r="DU1161" s="6"/>
      <c r="DV1161" s="6"/>
      <c r="DW1161" s="6"/>
      <c r="DX1161" s="6"/>
      <c r="DY1161" s="6"/>
      <c r="DZ1161" s="6"/>
      <c r="EA1161" s="6"/>
      <c r="EB1161" s="6"/>
      <c r="EC1161" s="6"/>
      <c r="ED1161" s="6"/>
      <c r="EE1161" s="6"/>
      <c r="EF1161" s="6"/>
      <c r="EG1161" s="6"/>
      <c r="EH1161" s="6"/>
      <c r="EI1161" s="6"/>
      <c r="EJ1161" s="6"/>
      <c r="EK1161" s="6"/>
      <c r="EL1161" s="6"/>
      <c r="EM1161" s="6"/>
      <c r="EN1161" s="6"/>
      <c r="EO1161" s="6"/>
      <c r="EP1161" s="6"/>
      <c r="EQ1161" s="6"/>
      <c r="ER1161" s="6"/>
      <c r="ES1161" s="6"/>
      <c r="ET1161" s="6"/>
      <c r="EU1161" s="6"/>
      <c r="EV1161" s="6"/>
      <c r="EW1161" s="6"/>
      <c r="EX1161" s="6"/>
      <c r="EY1161" s="6"/>
      <c r="EZ1161" s="6"/>
      <c r="FA1161" s="6"/>
      <c r="FB1161" s="6"/>
      <c r="FC1161" s="6"/>
      <c r="FD1161" s="6"/>
      <c r="FE1161" s="6"/>
      <c r="FF1161" s="6"/>
      <c r="FG1161" s="6"/>
      <c r="FH1161" s="6"/>
      <c r="FI1161" s="6"/>
      <c r="FJ1161" s="6"/>
      <c r="FK1161" s="6"/>
      <c r="FL1161" s="6"/>
      <c r="FM1161" s="6"/>
      <c r="FN1161" s="6"/>
      <c r="FO1161" s="6"/>
      <c r="FP1161" s="6"/>
      <c r="FQ1161" s="6"/>
      <c r="FR1161" s="6"/>
      <c r="FS1161" s="6"/>
      <c r="FT1161" s="6"/>
      <c r="FU1161" s="6"/>
      <c r="FV1161" s="6"/>
      <c r="FW1161" s="6"/>
      <c r="FX1161" s="6"/>
      <c r="FY1161" s="6"/>
      <c r="FZ1161" s="6"/>
      <c r="GA1161" s="6"/>
      <c r="GB1161" s="6"/>
      <c r="GC1161" s="6"/>
      <c r="GD1161" s="6"/>
      <c r="GE1161" s="6"/>
      <c r="GF1161" s="6"/>
      <c r="GG1161" s="6"/>
      <c r="GH1161" s="6"/>
      <c r="GI1161" s="6"/>
      <c r="GJ1161" s="6"/>
      <c r="GK1161" s="6"/>
      <c r="GL1161" s="6"/>
      <c r="GM1161" s="6"/>
      <c r="GN1161" s="6"/>
      <c r="GO1161" s="6"/>
      <c r="GP1161" s="6"/>
      <c r="GQ1161" s="6"/>
      <c r="GR1161" s="6"/>
      <c r="GS1161" s="6"/>
      <c r="GT1161" s="6"/>
      <c r="GU1161" s="6"/>
      <c r="GV1161" s="6"/>
      <c r="GW1161" s="6"/>
      <c r="GX1161" s="6"/>
      <c r="GY1161" s="6"/>
      <c r="GZ1161" s="6"/>
      <c r="HA1161" s="6"/>
      <c r="HB1161" s="6"/>
      <c r="HC1161" s="6"/>
      <c r="HD1161" s="6"/>
      <c r="HE1161" s="6"/>
      <c r="HF1161" s="6"/>
      <c r="HG1161" s="6"/>
      <c r="HH1161" s="6"/>
    </row>
    <row r="1162" spans="1:216" x14ac:dyDescent="0.3">
      <c r="A1162" s="8"/>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6"/>
      <c r="AR1162" s="6"/>
      <c r="AS1162" s="6"/>
      <c r="AT1162" s="6"/>
      <c r="AU1162" s="6"/>
      <c r="AV1162" s="6"/>
      <c r="AW1162" s="6"/>
      <c r="AX1162" s="6"/>
      <c r="AY1162" s="6"/>
      <c r="AZ1162" s="6"/>
      <c r="BA1162" s="6"/>
      <c r="BB1162" s="6"/>
      <c r="BC1162" s="6"/>
      <c r="BD1162" s="6"/>
      <c r="BE1162" s="6"/>
      <c r="BF1162" s="6"/>
      <c r="BG1162" s="6"/>
      <c r="BH1162" s="6"/>
      <c r="BI1162" s="6"/>
      <c r="BJ1162" s="6"/>
      <c r="BK1162" s="6"/>
      <c r="BL1162" s="6"/>
      <c r="BM1162" s="6"/>
      <c r="BN1162" s="6"/>
      <c r="BO1162" s="6"/>
      <c r="BP1162" s="6"/>
      <c r="BQ1162" s="6"/>
      <c r="BR1162" s="6"/>
      <c r="BS1162" s="6"/>
      <c r="BT1162" s="6"/>
      <c r="BU1162" s="6"/>
      <c r="BV1162" s="6"/>
      <c r="BW1162" s="6"/>
      <c r="BX1162" s="6"/>
      <c r="BY1162" s="6"/>
      <c r="BZ1162" s="6"/>
      <c r="CA1162" s="6"/>
      <c r="CB1162" s="6"/>
      <c r="CC1162" s="6"/>
      <c r="CD1162" s="6"/>
      <c r="CE1162" s="6"/>
      <c r="CF1162" s="6"/>
      <c r="CG1162" s="6"/>
      <c r="CH1162" s="6"/>
      <c r="CI1162" s="6"/>
      <c r="CJ1162" s="6"/>
      <c r="CK1162" s="6"/>
      <c r="CL1162" s="6"/>
      <c r="CM1162" s="6"/>
      <c r="CN1162" s="6"/>
      <c r="CO1162" s="6"/>
      <c r="CP1162" s="6"/>
      <c r="CQ1162" s="6"/>
      <c r="CR1162" s="6"/>
      <c r="CS1162" s="6"/>
      <c r="CT1162" s="6"/>
      <c r="CU1162" s="6"/>
      <c r="CV1162" s="6"/>
      <c r="CW1162" s="6"/>
      <c r="CX1162" s="6"/>
      <c r="CY1162" s="6"/>
      <c r="CZ1162" s="6"/>
      <c r="DA1162" s="6"/>
      <c r="DB1162" s="6"/>
      <c r="DC1162" s="6"/>
      <c r="DD1162" s="6"/>
      <c r="DE1162" s="6"/>
      <c r="DF1162" s="6"/>
      <c r="DG1162" s="6"/>
      <c r="DH1162" s="6"/>
      <c r="DI1162" s="6"/>
      <c r="DJ1162" s="6"/>
      <c r="DK1162" s="6"/>
      <c r="DL1162" s="6"/>
      <c r="DM1162" s="6"/>
      <c r="DN1162" s="6"/>
      <c r="DO1162" s="6"/>
      <c r="DP1162" s="6"/>
      <c r="DQ1162" s="6"/>
      <c r="DR1162" s="6"/>
      <c r="DS1162" s="6"/>
      <c r="DT1162" s="6"/>
      <c r="DU1162" s="6"/>
      <c r="DV1162" s="6"/>
      <c r="DW1162" s="6"/>
      <c r="DX1162" s="6"/>
      <c r="DY1162" s="6"/>
      <c r="DZ1162" s="6"/>
      <c r="EA1162" s="6"/>
      <c r="EB1162" s="6"/>
      <c r="EC1162" s="6"/>
      <c r="ED1162" s="6"/>
      <c r="EE1162" s="6"/>
      <c r="EF1162" s="6"/>
      <c r="EG1162" s="6"/>
      <c r="EH1162" s="6"/>
      <c r="EI1162" s="6"/>
      <c r="EJ1162" s="6"/>
      <c r="EK1162" s="6"/>
      <c r="EL1162" s="6"/>
      <c r="EM1162" s="6"/>
      <c r="EN1162" s="6"/>
      <c r="EO1162" s="6"/>
      <c r="EP1162" s="6"/>
      <c r="EQ1162" s="6"/>
      <c r="ER1162" s="6"/>
      <c r="ES1162" s="6"/>
      <c r="ET1162" s="6"/>
      <c r="EU1162" s="6"/>
      <c r="EV1162" s="6"/>
      <c r="EW1162" s="6"/>
      <c r="EX1162" s="6"/>
      <c r="EY1162" s="6"/>
      <c r="EZ1162" s="6"/>
      <c r="FA1162" s="6"/>
      <c r="FB1162" s="6"/>
      <c r="FC1162" s="6"/>
      <c r="FD1162" s="6"/>
      <c r="FE1162" s="6"/>
      <c r="FF1162" s="6"/>
      <c r="FG1162" s="6"/>
      <c r="FH1162" s="6"/>
      <c r="FI1162" s="6"/>
      <c r="FJ1162" s="6"/>
      <c r="FK1162" s="6"/>
      <c r="FL1162" s="6"/>
      <c r="FM1162" s="6"/>
      <c r="FN1162" s="6"/>
      <c r="FO1162" s="6"/>
      <c r="FP1162" s="6"/>
      <c r="FQ1162" s="6"/>
      <c r="FR1162" s="6"/>
      <c r="FS1162" s="6"/>
      <c r="FT1162" s="6"/>
      <c r="FU1162" s="6"/>
      <c r="FV1162" s="6"/>
      <c r="FW1162" s="6"/>
      <c r="FX1162" s="6"/>
      <c r="FY1162" s="6"/>
      <c r="FZ1162" s="6"/>
      <c r="GA1162" s="6"/>
      <c r="GB1162" s="6"/>
      <c r="GC1162" s="6"/>
      <c r="GD1162" s="6"/>
      <c r="GE1162" s="6"/>
      <c r="GF1162" s="6"/>
      <c r="GG1162" s="6"/>
      <c r="GH1162" s="6"/>
      <c r="GI1162" s="6"/>
      <c r="GJ1162" s="6"/>
      <c r="GK1162" s="6"/>
      <c r="GL1162" s="6"/>
      <c r="GM1162" s="6"/>
      <c r="GN1162" s="6"/>
      <c r="GO1162" s="6"/>
      <c r="GP1162" s="6"/>
      <c r="GQ1162" s="6"/>
      <c r="GR1162" s="6"/>
      <c r="GS1162" s="6"/>
      <c r="GT1162" s="6"/>
      <c r="GU1162" s="6"/>
      <c r="GV1162" s="6"/>
      <c r="GW1162" s="6"/>
      <c r="GX1162" s="6"/>
      <c r="GY1162" s="6"/>
      <c r="GZ1162" s="6"/>
      <c r="HA1162" s="6"/>
      <c r="HB1162" s="6"/>
      <c r="HC1162" s="6"/>
      <c r="HD1162" s="6"/>
      <c r="HE1162" s="6"/>
      <c r="HF1162" s="6"/>
      <c r="HG1162" s="6"/>
      <c r="HH1162" s="6"/>
    </row>
    <row r="1163" spans="1:216" x14ac:dyDescent="0.3">
      <c r="A1163" s="8"/>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6"/>
      <c r="AR1163" s="6"/>
      <c r="AS1163" s="6"/>
      <c r="AT1163" s="6"/>
      <c r="AU1163" s="6"/>
      <c r="AV1163" s="6"/>
      <c r="AW1163" s="6"/>
      <c r="AX1163" s="6"/>
      <c r="AY1163" s="6"/>
      <c r="AZ1163" s="6"/>
      <c r="BA1163" s="6"/>
      <c r="BB1163" s="6"/>
      <c r="BC1163" s="6"/>
      <c r="BD1163" s="6"/>
      <c r="BE1163" s="6"/>
      <c r="BF1163" s="6"/>
      <c r="BG1163" s="6"/>
      <c r="BH1163" s="6"/>
      <c r="BI1163" s="6"/>
      <c r="BJ1163" s="6"/>
      <c r="BK1163" s="6"/>
      <c r="BL1163" s="6"/>
      <c r="BM1163" s="6"/>
      <c r="BN1163" s="6"/>
      <c r="BO1163" s="6"/>
      <c r="BP1163" s="6"/>
      <c r="BQ1163" s="6"/>
      <c r="BR1163" s="6"/>
      <c r="BS1163" s="6"/>
      <c r="BT1163" s="6"/>
      <c r="BU1163" s="6"/>
      <c r="BV1163" s="6"/>
      <c r="BW1163" s="6"/>
      <c r="BX1163" s="6"/>
      <c r="BY1163" s="6"/>
      <c r="BZ1163" s="6"/>
      <c r="CA1163" s="6"/>
      <c r="CB1163" s="6"/>
      <c r="CC1163" s="6"/>
      <c r="CD1163" s="6"/>
      <c r="CE1163" s="6"/>
      <c r="CF1163" s="6"/>
      <c r="CG1163" s="6"/>
      <c r="CH1163" s="6"/>
      <c r="CI1163" s="6"/>
      <c r="CJ1163" s="6"/>
      <c r="CK1163" s="6"/>
      <c r="CL1163" s="6"/>
      <c r="CM1163" s="6"/>
      <c r="CN1163" s="6"/>
      <c r="CO1163" s="6"/>
      <c r="CP1163" s="6"/>
      <c r="CQ1163" s="6"/>
      <c r="CR1163" s="6"/>
      <c r="CS1163" s="6"/>
      <c r="CT1163" s="6"/>
      <c r="CU1163" s="6"/>
      <c r="CV1163" s="6"/>
      <c r="CW1163" s="6"/>
      <c r="CX1163" s="6"/>
      <c r="CY1163" s="6"/>
      <c r="CZ1163" s="6"/>
      <c r="DA1163" s="6"/>
      <c r="DB1163" s="6"/>
      <c r="DC1163" s="6"/>
      <c r="DD1163" s="6"/>
      <c r="DE1163" s="6"/>
      <c r="DF1163" s="6"/>
      <c r="DG1163" s="6"/>
      <c r="DH1163" s="6"/>
      <c r="DI1163" s="6"/>
      <c r="DJ1163" s="6"/>
      <c r="DK1163" s="6"/>
      <c r="DL1163" s="6"/>
      <c r="DM1163" s="6"/>
      <c r="DN1163" s="6"/>
      <c r="DO1163" s="6"/>
      <c r="DP1163" s="6"/>
      <c r="DQ1163" s="6"/>
      <c r="DR1163" s="6"/>
      <c r="DS1163" s="6"/>
      <c r="DT1163" s="6"/>
      <c r="DU1163" s="6"/>
      <c r="DV1163" s="6"/>
      <c r="DW1163" s="6"/>
      <c r="DX1163" s="6"/>
      <c r="DY1163" s="6"/>
      <c r="DZ1163" s="6"/>
      <c r="EA1163" s="6"/>
      <c r="EB1163" s="6"/>
      <c r="EC1163" s="6"/>
      <c r="ED1163" s="6"/>
      <c r="EE1163" s="6"/>
      <c r="EF1163" s="6"/>
      <c r="EG1163" s="6"/>
      <c r="EH1163" s="6"/>
      <c r="EI1163" s="6"/>
      <c r="EJ1163" s="6"/>
      <c r="EK1163" s="6"/>
      <c r="EL1163" s="6"/>
      <c r="EM1163" s="6"/>
      <c r="EN1163" s="6"/>
      <c r="EO1163" s="6"/>
      <c r="EP1163" s="6"/>
      <c r="EQ1163" s="6"/>
      <c r="ER1163" s="6"/>
      <c r="ES1163" s="6"/>
      <c r="ET1163" s="6"/>
      <c r="EU1163" s="6"/>
      <c r="EV1163" s="6"/>
      <c r="EW1163" s="6"/>
      <c r="EX1163" s="6"/>
      <c r="EY1163" s="6"/>
      <c r="EZ1163" s="6"/>
      <c r="FA1163" s="6"/>
      <c r="FB1163" s="6"/>
      <c r="FC1163" s="6"/>
      <c r="FD1163" s="6"/>
      <c r="FE1163" s="6"/>
      <c r="FF1163" s="6"/>
      <c r="FG1163" s="6"/>
      <c r="FH1163" s="6"/>
      <c r="FI1163" s="6"/>
      <c r="FJ1163" s="6"/>
      <c r="FK1163" s="6"/>
      <c r="FL1163" s="6"/>
      <c r="FM1163" s="6"/>
      <c r="FN1163" s="6"/>
      <c r="FO1163" s="6"/>
      <c r="FP1163" s="6"/>
      <c r="FQ1163" s="6"/>
      <c r="FR1163" s="6"/>
      <c r="FS1163" s="6"/>
      <c r="FT1163" s="6"/>
      <c r="FU1163" s="6"/>
      <c r="FV1163" s="6"/>
      <c r="FW1163" s="6"/>
      <c r="FX1163" s="6"/>
      <c r="FY1163" s="6"/>
      <c r="FZ1163" s="6"/>
      <c r="GA1163" s="6"/>
      <c r="GB1163" s="6"/>
      <c r="GC1163" s="6"/>
      <c r="GD1163" s="6"/>
      <c r="GE1163" s="6"/>
      <c r="GF1163" s="6"/>
      <c r="GG1163" s="6"/>
      <c r="GH1163" s="6"/>
      <c r="GI1163" s="6"/>
      <c r="GJ1163" s="6"/>
      <c r="GK1163" s="6"/>
      <c r="GL1163" s="6"/>
      <c r="GM1163" s="6"/>
      <c r="GN1163" s="6"/>
      <c r="GO1163" s="6"/>
      <c r="GP1163" s="6"/>
      <c r="GQ1163" s="6"/>
      <c r="GR1163" s="6"/>
      <c r="GS1163" s="6"/>
      <c r="GT1163" s="6"/>
      <c r="GU1163" s="6"/>
      <c r="GV1163" s="6"/>
      <c r="GW1163" s="6"/>
      <c r="GX1163" s="6"/>
      <c r="GY1163" s="6"/>
      <c r="GZ1163" s="6"/>
      <c r="HA1163" s="6"/>
      <c r="HB1163" s="6"/>
      <c r="HC1163" s="6"/>
      <c r="HD1163" s="6"/>
      <c r="HE1163" s="6"/>
      <c r="HF1163" s="6"/>
      <c r="HG1163" s="6"/>
      <c r="HH1163" s="6"/>
    </row>
    <row r="1164" spans="1:216" x14ac:dyDescent="0.3">
      <c r="A1164" s="8"/>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c r="DX1164" s="6"/>
      <c r="DY1164" s="6"/>
      <c r="DZ1164" s="6"/>
      <c r="EA1164" s="6"/>
      <c r="EB1164" s="6"/>
      <c r="EC1164" s="6"/>
      <c r="ED1164" s="6"/>
      <c r="EE1164" s="6"/>
      <c r="EF1164" s="6"/>
      <c r="EG1164" s="6"/>
      <c r="EH1164" s="6"/>
      <c r="EI1164" s="6"/>
      <c r="EJ1164" s="6"/>
      <c r="EK1164" s="6"/>
      <c r="EL1164" s="6"/>
      <c r="EM1164" s="6"/>
      <c r="EN1164" s="6"/>
      <c r="EO1164" s="6"/>
      <c r="EP1164" s="6"/>
      <c r="EQ1164" s="6"/>
      <c r="ER1164" s="6"/>
      <c r="ES1164" s="6"/>
      <c r="ET1164" s="6"/>
      <c r="EU1164" s="6"/>
      <c r="EV1164" s="6"/>
      <c r="EW1164" s="6"/>
      <c r="EX1164" s="6"/>
      <c r="EY1164" s="6"/>
      <c r="EZ1164" s="6"/>
      <c r="FA1164" s="6"/>
      <c r="FB1164" s="6"/>
      <c r="FC1164" s="6"/>
      <c r="FD1164" s="6"/>
      <c r="FE1164" s="6"/>
      <c r="FF1164" s="6"/>
      <c r="FG1164" s="6"/>
      <c r="FH1164" s="6"/>
      <c r="FI1164" s="6"/>
      <c r="FJ1164" s="6"/>
      <c r="FK1164" s="6"/>
      <c r="FL1164" s="6"/>
      <c r="FM1164" s="6"/>
      <c r="FN1164" s="6"/>
      <c r="FO1164" s="6"/>
      <c r="FP1164" s="6"/>
      <c r="FQ1164" s="6"/>
      <c r="FR1164" s="6"/>
      <c r="FS1164" s="6"/>
      <c r="FT1164" s="6"/>
      <c r="FU1164" s="6"/>
      <c r="FV1164" s="6"/>
      <c r="FW1164" s="6"/>
      <c r="FX1164" s="6"/>
      <c r="FY1164" s="6"/>
      <c r="FZ1164" s="6"/>
      <c r="GA1164" s="6"/>
      <c r="GB1164" s="6"/>
      <c r="GC1164" s="6"/>
      <c r="GD1164" s="6"/>
      <c r="GE1164" s="6"/>
      <c r="GF1164" s="6"/>
      <c r="GG1164" s="6"/>
      <c r="GH1164" s="6"/>
      <c r="GI1164" s="6"/>
      <c r="GJ1164" s="6"/>
      <c r="GK1164" s="6"/>
      <c r="GL1164" s="6"/>
      <c r="GM1164" s="6"/>
      <c r="GN1164" s="6"/>
      <c r="GO1164" s="6"/>
      <c r="GP1164" s="6"/>
      <c r="GQ1164" s="6"/>
      <c r="GR1164" s="6"/>
      <c r="GS1164" s="6"/>
      <c r="GT1164" s="6"/>
      <c r="GU1164" s="6"/>
      <c r="GV1164" s="6"/>
      <c r="GW1164" s="6"/>
      <c r="GX1164" s="6"/>
      <c r="GY1164" s="6"/>
      <c r="GZ1164" s="6"/>
      <c r="HA1164" s="6"/>
      <c r="HB1164" s="6"/>
      <c r="HC1164" s="6"/>
      <c r="HD1164" s="6"/>
      <c r="HE1164" s="6"/>
      <c r="HF1164" s="6"/>
      <c r="HG1164" s="6"/>
      <c r="HH1164" s="6"/>
    </row>
    <row r="1165" spans="1:216" x14ac:dyDescent="0.3">
      <c r="A1165" s="8"/>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c r="DX1165" s="6"/>
      <c r="DY1165" s="6"/>
      <c r="DZ1165" s="6"/>
      <c r="EA1165" s="6"/>
      <c r="EB1165" s="6"/>
      <c r="EC1165" s="6"/>
      <c r="ED1165" s="6"/>
      <c r="EE1165" s="6"/>
      <c r="EF1165" s="6"/>
      <c r="EG1165" s="6"/>
      <c r="EH1165" s="6"/>
      <c r="EI1165" s="6"/>
      <c r="EJ1165" s="6"/>
      <c r="EK1165" s="6"/>
      <c r="EL1165" s="6"/>
      <c r="EM1165" s="6"/>
      <c r="EN1165" s="6"/>
      <c r="EO1165" s="6"/>
      <c r="EP1165" s="6"/>
      <c r="EQ1165" s="6"/>
      <c r="ER1165" s="6"/>
      <c r="ES1165" s="6"/>
      <c r="ET1165" s="6"/>
      <c r="EU1165" s="6"/>
      <c r="EV1165" s="6"/>
      <c r="EW1165" s="6"/>
      <c r="EX1165" s="6"/>
      <c r="EY1165" s="6"/>
      <c r="EZ1165" s="6"/>
      <c r="FA1165" s="6"/>
      <c r="FB1165" s="6"/>
      <c r="FC1165" s="6"/>
      <c r="FD1165" s="6"/>
      <c r="FE1165" s="6"/>
      <c r="FF1165" s="6"/>
      <c r="FG1165" s="6"/>
      <c r="FH1165" s="6"/>
      <c r="FI1165" s="6"/>
      <c r="FJ1165" s="6"/>
      <c r="FK1165" s="6"/>
      <c r="FL1165" s="6"/>
      <c r="FM1165" s="6"/>
      <c r="FN1165" s="6"/>
      <c r="FO1165" s="6"/>
      <c r="FP1165" s="6"/>
      <c r="FQ1165" s="6"/>
      <c r="FR1165" s="6"/>
      <c r="FS1165" s="6"/>
      <c r="FT1165" s="6"/>
      <c r="FU1165" s="6"/>
      <c r="FV1165" s="6"/>
      <c r="FW1165" s="6"/>
      <c r="FX1165" s="6"/>
      <c r="FY1165" s="6"/>
      <c r="FZ1165" s="6"/>
      <c r="GA1165" s="6"/>
      <c r="GB1165" s="6"/>
      <c r="GC1165" s="6"/>
      <c r="GD1165" s="6"/>
      <c r="GE1165" s="6"/>
      <c r="GF1165" s="6"/>
      <c r="GG1165" s="6"/>
      <c r="GH1165" s="6"/>
      <c r="GI1165" s="6"/>
      <c r="GJ1165" s="6"/>
      <c r="GK1165" s="6"/>
      <c r="GL1165" s="6"/>
      <c r="GM1165" s="6"/>
      <c r="GN1165" s="6"/>
      <c r="GO1165" s="6"/>
      <c r="GP1165" s="6"/>
      <c r="GQ1165" s="6"/>
      <c r="GR1165" s="6"/>
      <c r="GS1165" s="6"/>
      <c r="GT1165" s="6"/>
      <c r="GU1165" s="6"/>
      <c r="GV1165" s="6"/>
      <c r="GW1165" s="6"/>
      <c r="GX1165" s="6"/>
      <c r="GY1165" s="6"/>
      <c r="GZ1165" s="6"/>
      <c r="HA1165" s="6"/>
      <c r="HB1165" s="6"/>
      <c r="HC1165" s="6"/>
      <c r="HD1165" s="6"/>
      <c r="HE1165" s="6"/>
      <c r="HF1165" s="6"/>
      <c r="HG1165" s="6"/>
      <c r="HH1165" s="6"/>
    </row>
    <row r="1166" spans="1:216" x14ac:dyDescent="0.3">
      <c r="A1166" s="8"/>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c r="DX1166" s="6"/>
      <c r="DY1166" s="6"/>
      <c r="DZ1166" s="6"/>
      <c r="EA1166" s="6"/>
      <c r="EB1166" s="6"/>
      <c r="EC1166" s="6"/>
      <c r="ED1166" s="6"/>
      <c r="EE1166" s="6"/>
      <c r="EF1166" s="6"/>
      <c r="EG1166" s="6"/>
      <c r="EH1166" s="6"/>
      <c r="EI1166" s="6"/>
      <c r="EJ1166" s="6"/>
      <c r="EK1166" s="6"/>
      <c r="EL1166" s="6"/>
      <c r="EM1166" s="6"/>
      <c r="EN1166" s="6"/>
      <c r="EO1166" s="6"/>
      <c r="EP1166" s="6"/>
      <c r="EQ1166" s="6"/>
      <c r="ER1166" s="6"/>
      <c r="ES1166" s="6"/>
      <c r="ET1166" s="6"/>
      <c r="EU1166" s="6"/>
      <c r="EV1166" s="6"/>
      <c r="EW1166" s="6"/>
      <c r="EX1166" s="6"/>
      <c r="EY1166" s="6"/>
      <c r="EZ1166" s="6"/>
      <c r="FA1166" s="6"/>
      <c r="FB1166" s="6"/>
      <c r="FC1166" s="6"/>
      <c r="FD1166" s="6"/>
      <c r="FE1166" s="6"/>
      <c r="FF1166" s="6"/>
      <c r="FG1166" s="6"/>
      <c r="FH1166" s="6"/>
      <c r="FI1166" s="6"/>
      <c r="FJ1166" s="6"/>
      <c r="FK1166" s="6"/>
      <c r="FL1166" s="6"/>
      <c r="FM1166" s="6"/>
      <c r="FN1166" s="6"/>
      <c r="FO1166" s="6"/>
      <c r="FP1166" s="6"/>
      <c r="FQ1166" s="6"/>
      <c r="FR1166" s="6"/>
      <c r="FS1166" s="6"/>
      <c r="FT1166" s="6"/>
      <c r="FU1166" s="6"/>
      <c r="FV1166" s="6"/>
      <c r="FW1166" s="6"/>
      <c r="FX1166" s="6"/>
      <c r="FY1166" s="6"/>
      <c r="FZ1166" s="6"/>
      <c r="GA1166" s="6"/>
      <c r="GB1166" s="6"/>
      <c r="GC1166" s="6"/>
      <c r="GD1166" s="6"/>
      <c r="GE1166" s="6"/>
      <c r="GF1166" s="6"/>
      <c r="GG1166" s="6"/>
      <c r="GH1166" s="6"/>
      <c r="GI1166" s="6"/>
      <c r="GJ1166" s="6"/>
      <c r="GK1166" s="6"/>
      <c r="GL1166" s="6"/>
      <c r="GM1166" s="6"/>
      <c r="GN1166" s="6"/>
      <c r="GO1166" s="6"/>
      <c r="GP1166" s="6"/>
      <c r="GQ1166" s="6"/>
      <c r="GR1166" s="6"/>
      <c r="GS1166" s="6"/>
      <c r="GT1166" s="6"/>
      <c r="GU1166" s="6"/>
      <c r="GV1166" s="6"/>
      <c r="GW1166" s="6"/>
      <c r="GX1166" s="6"/>
      <c r="GY1166" s="6"/>
      <c r="GZ1166" s="6"/>
      <c r="HA1166" s="6"/>
      <c r="HB1166" s="6"/>
      <c r="HC1166" s="6"/>
      <c r="HD1166" s="6"/>
      <c r="HE1166" s="6"/>
      <c r="HF1166" s="6"/>
      <c r="HG1166" s="6"/>
      <c r="HH1166" s="6"/>
    </row>
    <row r="1167" spans="1:216" x14ac:dyDescent="0.3">
      <c r="A1167" s="8"/>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6"/>
      <c r="AR1167" s="6"/>
      <c r="AS1167" s="6"/>
      <c r="AT1167" s="6"/>
      <c r="AU1167" s="6"/>
      <c r="AV1167" s="6"/>
      <c r="AW1167" s="6"/>
      <c r="AX1167" s="6"/>
      <c r="AY1167" s="6"/>
      <c r="AZ1167" s="6"/>
      <c r="BA1167" s="6"/>
      <c r="BB1167" s="6"/>
      <c r="BC1167" s="6"/>
      <c r="BD1167" s="6"/>
      <c r="BE1167" s="6"/>
      <c r="BF1167" s="6"/>
      <c r="BG1167" s="6"/>
      <c r="BH1167" s="6"/>
      <c r="BI1167" s="6"/>
      <c r="BJ1167" s="6"/>
      <c r="BK1167" s="6"/>
      <c r="BL1167" s="6"/>
      <c r="BM1167" s="6"/>
      <c r="BN1167" s="6"/>
      <c r="BO1167" s="6"/>
      <c r="BP1167" s="6"/>
      <c r="BQ1167" s="6"/>
      <c r="BR1167" s="6"/>
      <c r="BS1167" s="6"/>
      <c r="BT1167" s="6"/>
      <c r="BU1167" s="6"/>
      <c r="BV1167" s="6"/>
      <c r="BW1167" s="6"/>
      <c r="BX1167" s="6"/>
      <c r="BY1167" s="6"/>
      <c r="BZ1167" s="6"/>
      <c r="CA1167" s="6"/>
      <c r="CB1167" s="6"/>
      <c r="CC1167" s="6"/>
      <c r="CD1167" s="6"/>
      <c r="CE1167" s="6"/>
      <c r="CF1167" s="6"/>
      <c r="CG1167" s="6"/>
      <c r="CH1167" s="6"/>
      <c r="CI1167" s="6"/>
      <c r="CJ1167" s="6"/>
      <c r="CK1167" s="6"/>
      <c r="CL1167" s="6"/>
      <c r="CM1167" s="6"/>
      <c r="CN1167" s="6"/>
      <c r="CO1167" s="6"/>
      <c r="CP1167" s="6"/>
      <c r="CQ1167" s="6"/>
      <c r="CR1167" s="6"/>
      <c r="CS1167" s="6"/>
      <c r="CT1167" s="6"/>
      <c r="CU1167" s="6"/>
      <c r="CV1167" s="6"/>
      <c r="CW1167" s="6"/>
      <c r="CX1167" s="6"/>
      <c r="CY1167" s="6"/>
      <c r="CZ1167" s="6"/>
      <c r="DA1167" s="6"/>
      <c r="DB1167" s="6"/>
      <c r="DC1167" s="6"/>
      <c r="DD1167" s="6"/>
      <c r="DE1167" s="6"/>
      <c r="DF1167" s="6"/>
      <c r="DG1167" s="6"/>
      <c r="DH1167" s="6"/>
      <c r="DI1167" s="6"/>
      <c r="DJ1167" s="6"/>
      <c r="DK1167" s="6"/>
      <c r="DL1167" s="6"/>
      <c r="DM1167" s="6"/>
      <c r="DN1167" s="6"/>
      <c r="DO1167" s="6"/>
      <c r="DP1167" s="6"/>
      <c r="DQ1167" s="6"/>
      <c r="DR1167" s="6"/>
      <c r="DS1167" s="6"/>
      <c r="DT1167" s="6"/>
      <c r="DU1167" s="6"/>
      <c r="DV1167" s="6"/>
      <c r="DW1167" s="6"/>
      <c r="DX1167" s="6"/>
      <c r="DY1167" s="6"/>
      <c r="DZ1167" s="6"/>
      <c r="EA1167" s="6"/>
      <c r="EB1167" s="6"/>
      <c r="EC1167" s="6"/>
      <c r="ED1167" s="6"/>
      <c r="EE1167" s="6"/>
      <c r="EF1167" s="6"/>
      <c r="EG1167" s="6"/>
      <c r="EH1167" s="6"/>
      <c r="EI1167" s="6"/>
      <c r="EJ1167" s="6"/>
      <c r="EK1167" s="6"/>
      <c r="EL1167" s="6"/>
      <c r="EM1167" s="6"/>
      <c r="EN1167" s="6"/>
      <c r="EO1167" s="6"/>
      <c r="EP1167" s="6"/>
      <c r="EQ1167" s="6"/>
      <c r="ER1167" s="6"/>
      <c r="ES1167" s="6"/>
      <c r="ET1167" s="6"/>
      <c r="EU1167" s="6"/>
      <c r="EV1167" s="6"/>
      <c r="EW1167" s="6"/>
      <c r="EX1167" s="6"/>
      <c r="EY1167" s="6"/>
      <c r="EZ1167" s="6"/>
      <c r="FA1167" s="6"/>
      <c r="FB1167" s="6"/>
      <c r="FC1167" s="6"/>
      <c r="FD1167" s="6"/>
      <c r="FE1167" s="6"/>
      <c r="FF1167" s="6"/>
      <c r="FG1167" s="6"/>
      <c r="FH1167" s="6"/>
      <c r="FI1167" s="6"/>
      <c r="FJ1167" s="6"/>
      <c r="FK1167" s="6"/>
      <c r="FL1167" s="6"/>
      <c r="FM1167" s="6"/>
      <c r="FN1167" s="6"/>
      <c r="FO1167" s="6"/>
      <c r="FP1167" s="6"/>
      <c r="FQ1167" s="6"/>
      <c r="FR1167" s="6"/>
      <c r="FS1167" s="6"/>
      <c r="FT1167" s="6"/>
      <c r="FU1167" s="6"/>
      <c r="FV1167" s="6"/>
      <c r="FW1167" s="6"/>
      <c r="FX1167" s="6"/>
      <c r="FY1167" s="6"/>
      <c r="FZ1167" s="6"/>
      <c r="GA1167" s="6"/>
      <c r="GB1167" s="6"/>
      <c r="GC1167" s="6"/>
      <c r="GD1167" s="6"/>
      <c r="GE1167" s="6"/>
      <c r="GF1167" s="6"/>
      <c r="GG1167" s="6"/>
      <c r="GH1167" s="6"/>
      <c r="GI1167" s="6"/>
      <c r="GJ1167" s="6"/>
      <c r="GK1167" s="6"/>
      <c r="GL1167" s="6"/>
      <c r="GM1167" s="6"/>
      <c r="GN1167" s="6"/>
      <c r="GO1167" s="6"/>
      <c r="GP1167" s="6"/>
      <c r="GQ1167" s="6"/>
      <c r="GR1167" s="6"/>
      <c r="GS1167" s="6"/>
      <c r="GT1167" s="6"/>
      <c r="GU1167" s="6"/>
      <c r="GV1167" s="6"/>
      <c r="GW1167" s="6"/>
      <c r="GX1167" s="6"/>
      <c r="GY1167" s="6"/>
      <c r="GZ1167" s="6"/>
      <c r="HA1167" s="6"/>
      <c r="HB1167" s="6"/>
      <c r="HC1167" s="6"/>
      <c r="HD1167" s="6"/>
      <c r="HE1167" s="6"/>
      <c r="HF1167" s="6"/>
      <c r="HG1167" s="6"/>
      <c r="HH1167" s="6"/>
    </row>
    <row r="1168" spans="1:216" x14ac:dyDescent="0.3">
      <c r="A1168" s="8"/>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c r="DX1168" s="6"/>
      <c r="DY1168" s="6"/>
      <c r="DZ1168" s="6"/>
      <c r="EA1168" s="6"/>
      <c r="EB1168" s="6"/>
      <c r="EC1168" s="6"/>
      <c r="ED1168" s="6"/>
      <c r="EE1168" s="6"/>
      <c r="EF1168" s="6"/>
      <c r="EG1168" s="6"/>
      <c r="EH1168" s="6"/>
      <c r="EI1168" s="6"/>
      <c r="EJ1168" s="6"/>
      <c r="EK1168" s="6"/>
      <c r="EL1168" s="6"/>
      <c r="EM1168" s="6"/>
      <c r="EN1168" s="6"/>
      <c r="EO1168" s="6"/>
      <c r="EP1168" s="6"/>
      <c r="EQ1168" s="6"/>
      <c r="ER1168" s="6"/>
      <c r="ES1168" s="6"/>
      <c r="ET1168" s="6"/>
      <c r="EU1168" s="6"/>
      <c r="EV1168" s="6"/>
      <c r="EW1168" s="6"/>
      <c r="EX1168" s="6"/>
      <c r="EY1168" s="6"/>
      <c r="EZ1168" s="6"/>
      <c r="FA1168" s="6"/>
      <c r="FB1168" s="6"/>
      <c r="FC1168" s="6"/>
      <c r="FD1168" s="6"/>
      <c r="FE1168" s="6"/>
      <c r="FF1168" s="6"/>
      <c r="FG1168" s="6"/>
      <c r="FH1168" s="6"/>
      <c r="FI1168" s="6"/>
      <c r="FJ1168" s="6"/>
      <c r="FK1168" s="6"/>
      <c r="FL1168" s="6"/>
      <c r="FM1168" s="6"/>
      <c r="FN1168" s="6"/>
      <c r="FO1168" s="6"/>
      <c r="FP1168" s="6"/>
      <c r="FQ1168" s="6"/>
      <c r="FR1168" s="6"/>
      <c r="FS1168" s="6"/>
      <c r="FT1168" s="6"/>
      <c r="FU1168" s="6"/>
      <c r="FV1168" s="6"/>
      <c r="FW1168" s="6"/>
      <c r="FX1168" s="6"/>
      <c r="FY1168" s="6"/>
      <c r="FZ1168" s="6"/>
      <c r="GA1168" s="6"/>
      <c r="GB1168" s="6"/>
      <c r="GC1168" s="6"/>
      <c r="GD1168" s="6"/>
      <c r="GE1168" s="6"/>
      <c r="GF1168" s="6"/>
      <c r="GG1168" s="6"/>
      <c r="GH1168" s="6"/>
      <c r="GI1168" s="6"/>
      <c r="GJ1168" s="6"/>
      <c r="GK1168" s="6"/>
      <c r="GL1168" s="6"/>
      <c r="GM1168" s="6"/>
      <c r="GN1168" s="6"/>
      <c r="GO1168" s="6"/>
      <c r="GP1168" s="6"/>
      <c r="GQ1168" s="6"/>
      <c r="GR1168" s="6"/>
      <c r="GS1168" s="6"/>
      <c r="GT1168" s="6"/>
      <c r="GU1168" s="6"/>
      <c r="GV1168" s="6"/>
      <c r="GW1168" s="6"/>
      <c r="GX1168" s="6"/>
      <c r="GY1168" s="6"/>
      <c r="GZ1168" s="6"/>
      <c r="HA1168" s="6"/>
      <c r="HB1168" s="6"/>
      <c r="HC1168" s="6"/>
      <c r="HD1168" s="6"/>
      <c r="HE1168" s="6"/>
      <c r="HF1168" s="6"/>
      <c r="HG1168" s="6"/>
      <c r="HH1168" s="6"/>
    </row>
    <row r="1169" spans="1:216" x14ac:dyDescent="0.3">
      <c r="A1169" s="8"/>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6"/>
      <c r="AR1169" s="6"/>
      <c r="AS1169" s="6"/>
      <c r="AT1169" s="6"/>
      <c r="AU1169" s="6"/>
      <c r="AV1169" s="6"/>
      <c r="AW1169" s="6"/>
      <c r="AX1169" s="6"/>
      <c r="AY1169" s="6"/>
      <c r="AZ1169" s="6"/>
      <c r="BA1169" s="6"/>
      <c r="BB1169" s="6"/>
      <c r="BC1169" s="6"/>
      <c r="BD1169" s="6"/>
      <c r="BE1169" s="6"/>
      <c r="BF1169" s="6"/>
      <c r="BG1169" s="6"/>
      <c r="BH1169" s="6"/>
      <c r="BI1169" s="6"/>
      <c r="BJ1169" s="6"/>
      <c r="BK1169" s="6"/>
      <c r="BL1169" s="6"/>
      <c r="BM1169" s="6"/>
      <c r="BN1169" s="6"/>
      <c r="BO1169" s="6"/>
      <c r="BP1169" s="6"/>
      <c r="BQ1169" s="6"/>
      <c r="BR1169" s="6"/>
      <c r="BS1169" s="6"/>
      <c r="BT1169" s="6"/>
      <c r="BU1169" s="6"/>
      <c r="BV1169" s="6"/>
      <c r="BW1169" s="6"/>
      <c r="BX1169" s="6"/>
      <c r="BY1169" s="6"/>
      <c r="BZ1169" s="6"/>
      <c r="CA1169" s="6"/>
      <c r="CB1169" s="6"/>
      <c r="CC1169" s="6"/>
      <c r="CD1169" s="6"/>
      <c r="CE1169" s="6"/>
      <c r="CF1169" s="6"/>
      <c r="CG1169" s="6"/>
      <c r="CH1169" s="6"/>
      <c r="CI1169" s="6"/>
      <c r="CJ1169" s="6"/>
      <c r="CK1169" s="6"/>
      <c r="CL1169" s="6"/>
      <c r="CM1169" s="6"/>
      <c r="CN1169" s="6"/>
      <c r="CO1169" s="6"/>
      <c r="CP1169" s="6"/>
      <c r="CQ1169" s="6"/>
      <c r="CR1169" s="6"/>
      <c r="CS1169" s="6"/>
      <c r="CT1169" s="6"/>
      <c r="CU1169" s="6"/>
      <c r="CV1169" s="6"/>
      <c r="CW1169" s="6"/>
      <c r="CX1169" s="6"/>
      <c r="CY1169" s="6"/>
      <c r="CZ1169" s="6"/>
      <c r="DA1169" s="6"/>
      <c r="DB1169" s="6"/>
      <c r="DC1169" s="6"/>
      <c r="DD1169" s="6"/>
      <c r="DE1169" s="6"/>
      <c r="DF1169" s="6"/>
      <c r="DG1169" s="6"/>
      <c r="DH1169" s="6"/>
      <c r="DI1169" s="6"/>
      <c r="DJ1169" s="6"/>
      <c r="DK1169" s="6"/>
      <c r="DL1169" s="6"/>
      <c r="DM1169" s="6"/>
      <c r="DN1169" s="6"/>
      <c r="DO1169" s="6"/>
      <c r="DP1169" s="6"/>
      <c r="DQ1169" s="6"/>
      <c r="DR1169" s="6"/>
      <c r="DS1169" s="6"/>
      <c r="DT1169" s="6"/>
      <c r="DU1169" s="6"/>
      <c r="DV1169" s="6"/>
      <c r="DW1169" s="6"/>
      <c r="DX1169" s="6"/>
      <c r="DY1169" s="6"/>
      <c r="DZ1169" s="6"/>
      <c r="EA1169" s="6"/>
      <c r="EB1169" s="6"/>
      <c r="EC1169" s="6"/>
      <c r="ED1169" s="6"/>
      <c r="EE1169" s="6"/>
      <c r="EF1169" s="6"/>
      <c r="EG1169" s="6"/>
      <c r="EH1169" s="6"/>
      <c r="EI1169" s="6"/>
      <c r="EJ1169" s="6"/>
      <c r="EK1169" s="6"/>
      <c r="EL1169" s="6"/>
      <c r="EM1169" s="6"/>
      <c r="EN1169" s="6"/>
      <c r="EO1169" s="6"/>
      <c r="EP1169" s="6"/>
      <c r="EQ1169" s="6"/>
      <c r="ER1169" s="6"/>
      <c r="ES1169" s="6"/>
      <c r="ET1169" s="6"/>
      <c r="EU1169" s="6"/>
      <c r="EV1169" s="6"/>
      <c r="EW1169" s="6"/>
      <c r="EX1169" s="6"/>
      <c r="EY1169" s="6"/>
      <c r="EZ1169" s="6"/>
      <c r="FA1169" s="6"/>
      <c r="FB1169" s="6"/>
      <c r="FC1169" s="6"/>
      <c r="FD1169" s="6"/>
      <c r="FE1169" s="6"/>
      <c r="FF1169" s="6"/>
      <c r="FG1169" s="6"/>
      <c r="FH1169" s="6"/>
      <c r="FI1169" s="6"/>
      <c r="FJ1169" s="6"/>
      <c r="FK1169" s="6"/>
      <c r="FL1169" s="6"/>
      <c r="FM1169" s="6"/>
      <c r="FN1169" s="6"/>
      <c r="FO1169" s="6"/>
      <c r="FP1169" s="6"/>
      <c r="FQ1169" s="6"/>
      <c r="FR1169" s="6"/>
      <c r="FS1169" s="6"/>
      <c r="FT1169" s="6"/>
      <c r="FU1169" s="6"/>
      <c r="FV1169" s="6"/>
      <c r="FW1169" s="6"/>
      <c r="FX1169" s="6"/>
      <c r="FY1169" s="6"/>
      <c r="FZ1169" s="6"/>
      <c r="GA1169" s="6"/>
      <c r="GB1169" s="6"/>
      <c r="GC1169" s="6"/>
      <c r="GD1169" s="6"/>
      <c r="GE1169" s="6"/>
      <c r="GF1169" s="6"/>
      <c r="GG1169" s="6"/>
      <c r="GH1169" s="6"/>
      <c r="GI1169" s="6"/>
      <c r="GJ1169" s="6"/>
      <c r="GK1169" s="6"/>
      <c r="GL1169" s="6"/>
      <c r="GM1169" s="6"/>
      <c r="GN1169" s="6"/>
      <c r="GO1169" s="6"/>
      <c r="GP1169" s="6"/>
      <c r="GQ1169" s="6"/>
      <c r="GR1169" s="6"/>
      <c r="GS1169" s="6"/>
      <c r="GT1169" s="6"/>
      <c r="GU1169" s="6"/>
      <c r="GV1169" s="6"/>
      <c r="GW1169" s="6"/>
      <c r="GX1169" s="6"/>
      <c r="GY1169" s="6"/>
      <c r="GZ1169" s="6"/>
      <c r="HA1169" s="6"/>
      <c r="HB1169" s="6"/>
      <c r="HC1169" s="6"/>
      <c r="HD1169" s="6"/>
      <c r="HE1169" s="6"/>
      <c r="HF1169" s="6"/>
      <c r="HG1169" s="6"/>
      <c r="HH1169" s="6"/>
    </row>
    <row r="1170" spans="1:216" x14ac:dyDescent="0.3">
      <c r="A1170" s="8"/>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c r="DX1170" s="6"/>
      <c r="DY1170" s="6"/>
      <c r="DZ1170" s="6"/>
      <c r="EA1170" s="6"/>
      <c r="EB1170" s="6"/>
      <c r="EC1170" s="6"/>
      <c r="ED1170" s="6"/>
      <c r="EE1170" s="6"/>
      <c r="EF1170" s="6"/>
      <c r="EG1170" s="6"/>
      <c r="EH1170" s="6"/>
      <c r="EI1170" s="6"/>
      <c r="EJ1170" s="6"/>
      <c r="EK1170" s="6"/>
      <c r="EL1170" s="6"/>
      <c r="EM1170" s="6"/>
      <c r="EN1170" s="6"/>
      <c r="EO1170" s="6"/>
      <c r="EP1170" s="6"/>
      <c r="EQ1170" s="6"/>
      <c r="ER1170" s="6"/>
      <c r="ES1170" s="6"/>
      <c r="ET1170" s="6"/>
      <c r="EU1170" s="6"/>
      <c r="EV1170" s="6"/>
      <c r="EW1170" s="6"/>
      <c r="EX1170" s="6"/>
      <c r="EY1170" s="6"/>
      <c r="EZ1170" s="6"/>
      <c r="FA1170" s="6"/>
      <c r="FB1170" s="6"/>
      <c r="FC1170" s="6"/>
      <c r="FD1170" s="6"/>
      <c r="FE1170" s="6"/>
      <c r="FF1170" s="6"/>
      <c r="FG1170" s="6"/>
      <c r="FH1170" s="6"/>
      <c r="FI1170" s="6"/>
      <c r="FJ1170" s="6"/>
      <c r="FK1170" s="6"/>
      <c r="FL1170" s="6"/>
      <c r="FM1170" s="6"/>
      <c r="FN1170" s="6"/>
      <c r="FO1170" s="6"/>
      <c r="FP1170" s="6"/>
      <c r="FQ1170" s="6"/>
      <c r="FR1170" s="6"/>
      <c r="FS1170" s="6"/>
      <c r="FT1170" s="6"/>
      <c r="FU1170" s="6"/>
      <c r="FV1170" s="6"/>
      <c r="FW1170" s="6"/>
      <c r="FX1170" s="6"/>
      <c r="FY1170" s="6"/>
      <c r="FZ1170" s="6"/>
      <c r="GA1170" s="6"/>
      <c r="GB1170" s="6"/>
      <c r="GC1170" s="6"/>
      <c r="GD1170" s="6"/>
      <c r="GE1170" s="6"/>
      <c r="GF1170" s="6"/>
      <c r="GG1170" s="6"/>
      <c r="GH1170" s="6"/>
      <c r="GI1170" s="6"/>
      <c r="GJ1170" s="6"/>
      <c r="GK1170" s="6"/>
      <c r="GL1170" s="6"/>
      <c r="GM1170" s="6"/>
      <c r="GN1170" s="6"/>
      <c r="GO1170" s="6"/>
      <c r="GP1170" s="6"/>
      <c r="GQ1170" s="6"/>
      <c r="GR1170" s="6"/>
      <c r="GS1170" s="6"/>
      <c r="GT1170" s="6"/>
      <c r="GU1170" s="6"/>
      <c r="GV1170" s="6"/>
      <c r="GW1170" s="6"/>
      <c r="GX1170" s="6"/>
      <c r="GY1170" s="6"/>
      <c r="GZ1170" s="6"/>
      <c r="HA1170" s="6"/>
      <c r="HB1170" s="6"/>
      <c r="HC1170" s="6"/>
      <c r="HD1170" s="6"/>
      <c r="HE1170" s="6"/>
      <c r="HF1170" s="6"/>
      <c r="HG1170" s="6"/>
      <c r="HH1170" s="6"/>
    </row>
    <row r="1171" spans="1:216" x14ac:dyDescent="0.3">
      <c r="A1171" s="8"/>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c r="DX1171" s="6"/>
      <c r="DY1171" s="6"/>
      <c r="DZ1171" s="6"/>
      <c r="EA1171" s="6"/>
      <c r="EB1171" s="6"/>
      <c r="EC1171" s="6"/>
      <c r="ED1171" s="6"/>
      <c r="EE1171" s="6"/>
      <c r="EF1171" s="6"/>
      <c r="EG1171" s="6"/>
      <c r="EH1171" s="6"/>
      <c r="EI1171" s="6"/>
      <c r="EJ1171" s="6"/>
      <c r="EK1171" s="6"/>
      <c r="EL1171" s="6"/>
      <c r="EM1171" s="6"/>
      <c r="EN1171" s="6"/>
      <c r="EO1171" s="6"/>
      <c r="EP1171" s="6"/>
      <c r="EQ1171" s="6"/>
      <c r="ER1171" s="6"/>
      <c r="ES1171" s="6"/>
      <c r="ET1171" s="6"/>
      <c r="EU1171" s="6"/>
      <c r="EV1171" s="6"/>
      <c r="EW1171" s="6"/>
      <c r="EX1171" s="6"/>
      <c r="EY1171" s="6"/>
      <c r="EZ1171" s="6"/>
      <c r="FA1171" s="6"/>
      <c r="FB1171" s="6"/>
      <c r="FC1171" s="6"/>
      <c r="FD1171" s="6"/>
      <c r="FE1171" s="6"/>
      <c r="FF1171" s="6"/>
      <c r="FG1171" s="6"/>
      <c r="FH1171" s="6"/>
      <c r="FI1171" s="6"/>
      <c r="FJ1171" s="6"/>
      <c r="FK1171" s="6"/>
      <c r="FL1171" s="6"/>
      <c r="FM1171" s="6"/>
      <c r="FN1171" s="6"/>
      <c r="FO1171" s="6"/>
      <c r="FP1171" s="6"/>
      <c r="FQ1171" s="6"/>
      <c r="FR1171" s="6"/>
      <c r="FS1171" s="6"/>
      <c r="FT1171" s="6"/>
      <c r="FU1171" s="6"/>
      <c r="FV1171" s="6"/>
      <c r="FW1171" s="6"/>
      <c r="FX1171" s="6"/>
      <c r="FY1171" s="6"/>
      <c r="FZ1171" s="6"/>
      <c r="GA1171" s="6"/>
      <c r="GB1171" s="6"/>
      <c r="GC1171" s="6"/>
      <c r="GD1171" s="6"/>
      <c r="GE1171" s="6"/>
      <c r="GF1171" s="6"/>
      <c r="GG1171" s="6"/>
      <c r="GH1171" s="6"/>
      <c r="GI1171" s="6"/>
      <c r="GJ1171" s="6"/>
      <c r="GK1171" s="6"/>
      <c r="GL1171" s="6"/>
      <c r="GM1171" s="6"/>
      <c r="GN1171" s="6"/>
      <c r="GO1171" s="6"/>
      <c r="GP1171" s="6"/>
      <c r="GQ1171" s="6"/>
      <c r="GR1171" s="6"/>
      <c r="GS1171" s="6"/>
      <c r="GT1171" s="6"/>
      <c r="GU1171" s="6"/>
      <c r="GV1171" s="6"/>
      <c r="GW1171" s="6"/>
      <c r="GX1171" s="6"/>
      <c r="GY1171" s="6"/>
      <c r="GZ1171" s="6"/>
      <c r="HA1171" s="6"/>
      <c r="HB1171" s="6"/>
      <c r="HC1171" s="6"/>
      <c r="HD1171" s="6"/>
      <c r="HE1171" s="6"/>
      <c r="HF1171" s="6"/>
      <c r="HG1171" s="6"/>
      <c r="HH1171" s="6"/>
    </row>
    <row r="1172" spans="1:216" x14ac:dyDescent="0.3">
      <c r="A1172" s="8"/>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c r="DX1172" s="6"/>
      <c r="DY1172" s="6"/>
      <c r="DZ1172" s="6"/>
      <c r="EA1172" s="6"/>
      <c r="EB1172" s="6"/>
      <c r="EC1172" s="6"/>
      <c r="ED1172" s="6"/>
      <c r="EE1172" s="6"/>
      <c r="EF1172" s="6"/>
      <c r="EG1172" s="6"/>
      <c r="EH1172" s="6"/>
      <c r="EI1172" s="6"/>
      <c r="EJ1172" s="6"/>
      <c r="EK1172" s="6"/>
      <c r="EL1172" s="6"/>
      <c r="EM1172" s="6"/>
      <c r="EN1172" s="6"/>
      <c r="EO1172" s="6"/>
      <c r="EP1172" s="6"/>
      <c r="EQ1172" s="6"/>
      <c r="ER1172" s="6"/>
      <c r="ES1172" s="6"/>
      <c r="ET1172" s="6"/>
      <c r="EU1172" s="6"/>
      <c r="EV1172" s="6"/>
      <c r="EW1172" s="6"/>
      <c r="EX1172" s="6"/>
      <c r="EY1172" s="6"/>
      <c r="EZ1172" s="6"/>
      <c r="FA1172" s="6"/>
      <c r="FB1172" s="6"/>
      <c r="FC1172" s="6"/>
      <c r="FD1172" s="6"/>
      <c r="FE1172" s="6"/>
      <c r="FF1172" s="6"/>
      <c r="FG1172" s="6"/>
      <c r="FH1172" s="6"/>
      <c r="FI1172" s="6"/>
      <c r="FJ1172" s="6"/>
      <c r="FK1172" s="6"/>
      <c r="FL1172" s="6"/>
      <c r="FM1172" s="6"/>
      <c r="FN1172" s="6"/>
      <c r="FO1172" s="6"/>
      <c r="FP1172" s="6"/>
      <c r="FQ1172" s="6"/>
      <c r="FR1172" s="6"/>
      <c r="FS1172" s="6"/>
      <c r="FT1172" s="6"/>
      <c r="FU1172" s="6"/>
      <c r="FV1172" s="6"/>
      <c r="FW1172" s="6"/>
      <c r="FX1172" s="6"/>
      <c r="FY1172" s="6"/>
      <c r="FZ1172" s="6"/>
      <c r="GA1172" s="6"/>
      <c r="GB1172" s="6"/>
      <c r="GC1172" s="6"/>
      <c r="GD1172" s="6"/>
      <c r="GE1172" s="6"/>
      <c r="GF1172" s="6"/>
      <c r="GG1172" s="6"/>
      <c r="GH1172" s="6"/>
      <c r="GI1172" s="6"/>
      <c r="GJ1172" s="6"/>
      <c r="GK1172" s="6"/>
      <c r="GL1172" s="6"/>
      <c r="GM1172" s="6"/>
      <c r="GN1172" s="6"/>
      <c r="GO1172" s="6"/>
      <c r="GP1172" s="6"/>
      <c r="GQ1172" s="6"/>
      <c r="GR1172" s="6"/>
      <c r="GS1172" s="6"/>
      <c r="GT1172" s="6"/>
      <c r="GU1172" s="6"/>
      <c r="GV1172" s="6"/>
      <c r="GW1172" s="6"/>
      <c r="GX1172" s="6"/>
      <c r="GY1172" s="6"/>
      <c r="GZ1172" s="6"/>
      <c r="HA1172" s="6"/>
      <c r="HB1172" s="6"/>
      <c r="HC1172" s="6"/>
      <c r="HD1172" s="6"/>
      <c r="HE1172" s="6"/>
      <c r="HF1172" s="6"/>
      <c r="HG1172" s="6"/>
      <c r="HH1172" s="6"/>
    </row>
    <row r="1173" spans="1:216" x14ac:dyDescent="0.3">
      <c r="A1173" s="8"/>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6"/>
      <c r="AR1173" s="6"/>
      <c r="AS1173" s="6"/>
      <c r="AT1173" s="6"/>
      <c r="AU1173" s="6"/>
      <c r="AV1173" s="6"/>
      <c r="AW1173" s="6"/>
      <c r="AX1173" s="6"/>
      <c r="AY1173" s="6"/>
      <c r="AZ1173" s="6"/>
      <c r="BA1173" s="6"/>
      <c r="BB1173" s="6"/>
      <c r="BC1173" s="6"/>
      <c r="BD1173" s="6"/>
      <c r="BE1173" s="6"/>
      <c r="BF1173" s="6"/>
      <c r="BG1173" s="6"/>
      <c r="BH1173" s="6"/>
      <c r="BI1173" s="6"/>
      <c r="BJ1173" s="6"/>
      <c r="BK1173" s="6"/>
      <c r="BL1173" s="6"/>
      <c r="BM1173" s="6"/>
      <c r="BN1173" s="6"/>
      <c r="BO1173" s="6"/>
      <c r="BP1173" s="6"/>
      <c r="BQ1173" s="6"/>
      <c r="BR1173" s="6"/>
      <c r="BS1173" s="6"/>
      <c r="BT1173" s="6"/>
      <c r="BU1173" s="6"/>
      <c r="BV1173" s="6"/>
      <c r="BW1173" s="6"/>
      <c r="BX1173" s="6"/>
      <c r="BY1173" s="6"/>
      <c r="BZ1173" s="6"/>
      <c r="CA1173" s="6"/>
      <c r="CB1173" s="6"/>
      <c r="CC1173" s="6"/>
      <c r="CD1173" s="6"/>
      <c r="CE1173" s="6"/>
      <c r="CF1173" s="6"/>
      <c r="CG1173" s="6"/>
      <c r="CH1173" s="6"/>
      <c r="CI1173" s="6"/>
      <c r="CJ1173" s="6"/>
      <c r="CK1173" s="6"/>
      <c r="CL1173" s="6"/>
      <c r="CM1173" s="6"/>
      <c r="CN1173" s="6"/>
      <c r="CO1173" s="6"/>
      <c r="CP1173" s="6"/>
      <c r="CQ1173" s="6"/>
      <c r="CR1173" s="6"/>
      <c r="CS1173" s="6"/>
      <c r="CT1173" s="6"/>
      <c r="CU1173" s="6"/>
      <c r="CV1173" s="6"/>
      <c r="CW1173" s="6"/>
      <c r="CX1173" s="6"/>
      <c r="CY1173" s="6"/>
      <c r="CZ1173" s="6"/>
      <c r="DA1173" s="6"/>
      <c r="DB1173" s="6"/>
      <c r="DC1173" s="6"/>
      <c r="DD1173" s="6"/>
      <c r="DE1173" s="6"/>
      <c r="DF1173" s="6"/>
      <c r="DG1173" s="6"/>
      <c r="DH1173" s="6"/>
      <c r="DI1173" s="6"/>
      <c r="DJ1173" s="6"/>
      <c r="DK1173" s="6"/>
      <c r="DL1173" s="6"/>
      <c r="DM1173" s="6"/>
      <c r="DN1173" s="6"/>
      <c r="DO1173" s="6"/>
      <c r="DP1173" s="6"/>
      <c r="DQ1173" s="6"/>
      <c r="DR1173" s="6"/>
      <c r="DS1173" s="6"/>
      <c r="DT1173" s="6"/>
      <c r="DU1173" s="6"/>
      <c r="DV1173" s="6"/>
      <c r="DW1173" s="6"/>
      <c r="DX1173" s="6"/>
      <c r="DY1173" s="6"/>
      <c r="DZ1173" s="6"/>
      <c r="EA1173" s="6"/>
      <c r="EB1173" s="6"/>
      <c r="EC1173" s="6"/>
      <c r="ED1173" s="6"/>
      <c r="EE1173" s="6"/>
      <c r="EF1173" s="6"/>
      <c r="EG1173" s="6"/>
      <c r="EH1173" s="6"/>
      <c r="EI1173" s="6"/>
      <c r="EJ1173" s="6"/>
      <c r="EK1173" s="6"/>
      <c r="EL1173" s="6"/>
      <c r="EM1173" s="6"/>
      <c r="EN1173" s="6"/>
      <c r="EO1173" s="6"/>
      <c r="EP1173" s="6"/>
      <c r="EQ1173" s="6"/>
      <c r="ER1173" s="6"/>
      <c r="ES1173" s="6"/>
      <c r="ET1173" s="6"/>
      <c r="EU1173" s="6"/>
      <c r="EV1173" s="6"/>
      <c r="EW1173" s="6"/>
      <c r="EX1173" s="6"/>
      <c r="EY1173" s="6"/>
      <c r="EZ1173" s="6"/>
      <c r="FA1173" s="6"/>
      <c r="FB1173" s="6"/>
      <c r="FC1173" s="6"/>
      <c r="FD1173" s="6"/>
      <c r="FE1173" s="6"/>
      <c r="FF1173" s="6"/>
      <c r="FG1173" s="6"/>
      <c r="FH1173" s="6"/>
      <c r="FI1173" s="6"/>
      <c r="FJ1173" s="6"/>
      <c r="FK1173" s="6"/>
      <c r="FL1173" s="6"/>
      <c r="FM1173" s="6"/>
      <c r="FN1173" s="6"/>
      <c r="FO1173" s="6"/>
      <c r="FP1173" s="6"/>
      <c r="FQ1173" s="6"/>
      <c r="FR1173" s="6"/>
      <c r="FS1173" s="6"/>
      <c r="FT1173" s="6"/>
      <c r="FU1173" s="6"/>
      <c r="FV1173" s="6"/>
      <c r="FW1173" s="6"/>
      <c r="FX1173" s="6"/>
      <c r="FY1173" s="6"/>
      <c r="FZ1173" s="6"/>
      <c r="GA1173" s="6"/>
      <c r="GB1173" s="6"/>
      <c r="GC1173" s="6"/>
      <c r="GD1173" s="6"/>
      <c r="GE1173" s="6"/>
      <c r="GF1173" s="6"/>
      <c r="GG1173" s="6"/>
      <c r="GH1173" s="6"/>
      <c r="GI1173" s="6"/>
      <c r="GJ1173" s="6"/>
      <c r="GK1173" s="6"/>
      <c r="GL1173" s="6"/>
      <c r="GM1173" s="6"/>
      <c r="GN1173" s="6"/>
      <c r="GO1173" s="6"/>
      <c r="GP1173" s="6"/>
      <c r="GQ1173" s="6"/>
      <c r="GR1173" s="6"/>
      <c r="GS1173" s="6"/>
      <c r="GT1173" s="6"/>
      <c r="GU1173" s="6"/>
      <c r="GV1173" s="6"/>
      <c r="GW1173" s="6"/>
      <c r="GX1173" s="6"/>
      <c r="GY1173" s="6"/>
      <c r="GZ1173" s="6"/>
      <c r="HA1173" s="6"/>
      <c r="HB1173" s="6"/>
      <c r="HC1173" s="6"/>
      <c r="HD1173" s="6"/>
      <c r="HE1173" s="6"/>
      <c r="HF1173" s="6"/>
      <c r="HG1173" s="6"/>
      <c r="HH1173" s="6"/>
    </row>
    <row r="1174" spans="1:216" x14ac:dyDescent="0.3">
      <c r="A1174" s="8"/>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6"/>
      <c r="AR1174" s="6"/>
      <c r="AS1174" s="6"/>
      <c r="AT1174" s="6"/>
      <c r="AU1174" s="6"/>
      <c r="AV1174" s="6"/>
      <c r="AW1174" s="6"/>
      <c r="AX1174" s="6"/>
      <c r="AY1174" s="6"/>
      <c r="AZ1174" s="6"/>
      <c r="BA1174" s="6"/>
      <c r="BB1174" s="6"/>
      <c r="BC1174" s="6"/>
      <c r="BD1174" s="6"/>
      <c r="BE1174" s="6"/>
      <c r="BF1174" s="6"/>
      <c r="BG1174" s="6"/>
      <c r="BH1174" s="6"/>
      <c r="BI1174" s="6"/>
      <c r="BJ1174" s="6"/>
      <c r="BK1174" s="6"/>
      <c r="BL1174" s="6"/>
      <c r="BM1174" s="6"/>
      <c r="BN1174" s="6"/>
      <c r="BO1174" s="6"/>
      <c r="BP1174" s="6"/>
      <c r="BQ1174" s="6"/>
      <c r="BR1174" s="6"/>
      <c r="BS1174" s="6"/>
      <c r="BT1174" s="6"/>
      <c r="BU1174" s="6"/>
      <c r="BV1174" s="6"/>
      <c r="BW1174" s="6"/>
      <c r="BX1174" s="6"/>
      <c r="BY1174" s="6"/>
      <c r="BZ1174" s="6"/>
      <c r="CA1174" s="6"/>
      <c r="CB1174" s="6"/>
      <c r="CC1174" s="6"/>
      <c r="CD1174" s="6"/>
      <c r="CE1174" s="6"/>
      <c r="CF1174" s="6"/>
      <c r="CG1174" s="6"/>
      <c r="CH1174" s="6"/>
      <c r="CI1174" s="6"/>
      <c r="CJ1174" s="6"/>
      <c r="CK1174" s="6"/>
      <c r="CL1174" s="6"/>
      <c r="CM1174" s="6"/>
      <c r="CN1174" s="6"/>
      <c r="CO1174" s="6"/>
      <c r="CP1174" s="6"/>
      <c r="CQ1174" s="6"/>
      <c r="CR1174" s="6"/>
      <c r="CS1174" s="6"/>
      <c r="CT1174" s="6"/>
      <c r="CU1174" s="6"/>
      <c r="CV1174" s="6"/>
      <c r="CW1174" s="6"/>
      <c r="CX1174" s="6"/>
      <c r="CY1174" s="6"/>
      <c r="CZ1174" s="6"/>
      <c r="DA1174" s="6"/>
      <c r="DB1174" s="6"/>
      <c r="DC1174" s="6"/>
      <c r="DD1174" s="6"/>
      <c r="DE1174" s="6"/>
      <c r="DF1174" s="6"/>
      <c r="DG1174" s="6"/>
      <c r="DH1174" s="6"/>
      <c r="DI1174" s="6"/>
      <c r="DJ1174" s="6"/>
      <c r="DK1174" s="6"/>
      <c r="DL1174" s="6"/>
      <c r="DM1174" s="6"/>
      <c r="DN1174" s="6"/>
      <c r="DO1174" s="6"/>
      <c r="DP1174" s="6"/>
      <c r="DQ1174" s="6"/>
      <c r="DR1174" s="6"/>
      <c r="DS1174" s="6"/>
      <c r="DT1174" s="6"/>
      <c r="DU1174" s="6"/>
      <c r="DV1174" s="6"/>
      <c r="DW1174" s="6"/>
      <c r="DX1174" s="6"/>
      <c r="DY1174" s="6"/>
      <c r="DZ1174" s="6"/>
      <c r="EA1174" s="6"/>
      <c r="EB1174" s="6"/>
      <c r="EC1174" s="6"/>
      <c r="ED1174" s="6"/>
      <c r="EE1174" s="6"/>
      <c r="EF1174" s="6"/>
      <c r="EG1174" s="6"/>
      <c r="EH1174" s="6"/>
      <c r="EI1174" s="6"/>
      <c r="EJ1174" s="6"/>
      <c r="EK1174" s="6"/>
      <c r="EL1174" s="6"/>
      <c r="EM1174" s="6"/>
      <c r="EN1174" s="6"/>
      <c r="EO1174" s="6"/>
      <c r="EP1174" s="6"/>
      <c r="EQ1174" s="6"/>
      <c r="ER1174" s="6"/>
      <c r="ES1174" s="6"/>
      <c r="ET1174" s="6"/>
      <c r="EU1174" s="6"/>
      <c r="EV1174" s="6"/>
      <c r="EW1174" s="6"/>
      <c r="EX1174" s="6"/>
      <c r="EY1174" s="6"/>
      <c r="EZ1174" s="6"/>
      <c r="FA1174" s="6"/>
      <c r="FB1174" s="6"/>
      <c r="FC1174" s="6"/>
      <c r="FD1174" s="6"/>
      <c r="FE1174" s="6"/>
      <c r="FF1174" s="6"/>
      <c r="FG1174" s="6"/>
      <c r="FH1174" s="6"/>
      <c r="FI1174" s="6"/>
      <c r="FJ1174" s="6"/>
      <c r="FK1174" s="6"/>
      <c r="FL1174" s="6"/>
      <c r="FM1174" s="6"/>
      <c r="FN1174" s="6"/>
      <c r="FO1174" s="6"/>
      <c r="FP1174" s="6"/>
      <c r="FQ1174" s="6"/>
      <c r="FR1174" s="6"/>
      <c r="FS1174" s="6"/>
      <c r="FT1174" s="6"/>
      <c r="FU1174" s="6"/>
      <c r="FV1174" s="6"/>
      <c r="FW1174" s="6"/>
      <c r="FX1174" s="6"/>
      <c r="FY1174" s="6"/>
      <c r="FZ1174" s="6"/>
      <c r="GA1174" s="6"/>
      <c r="GB1174" s="6"/>
      <c r="GC1174" s="6"/>
      <c r="GD1174" s="6"/>
      <c r="GE1174" s="6"/>
      <c r="GF1174" s="6"/>
      <c r="GG1174" s="6"/>
      <c r="GH1174" s="6"/>
      <c r="GI1174" s="6"/>
      <c r="GJ1174" s="6"/>
      <c r="GK1174" s="6"/>
      <c r="GL1174" s="6"/>
      <c r="GM1174" s="6"/>
      <c r="GN1174" s="6"/>
      <c r="GO1174" s="6"/>
      <c r="GP1174" s="6"/>
      <c r="GQ1174" s="6"/>
      <c r="GR1174" s="6"/>
      <c r="GS1174" s="6"/>
      <c r="GT1174" s="6"/>
      <c r="GU1174" s="6"/>
      <c r="GV1174" s="6"/>
      <c r="GW1174" s="6"/>
      <c r="GX1174" s="6"/>
      <c r="GY1174" s="6"/>
      <c r="GZ1174" s="6"/>
      <c r="HA1174" s="6"/>
      <c r="HB1174" s="6"/>
      <c r="HC1174" s="6"/>
      <c r="HD1174" s="6"/>
      <c r="HE1174" s="6"/>
      <c r="HF1174" s="6"/>
      <c r="HG1174" s="6"/>
      <c r="HH1174" s="6"/>
    </row>
    <row r="1175" spans="1:216" x14ac:dyDescent="0.3">
      <c r="A1175" s="8"/>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6"/>
      <c r="AR1175" s="6"/>
      <c r="AS1175" s="6"/>
      <c r="AT1175" s="6"/>
      <c r="AU1175" s="6"/>
      <c r="AV1175" s="6"/>
      <c r="AW1175" s="6"/>
      <c r="AX1175" s="6"/>
      <c r="AY1175" s="6"/>
      <c r="AZ1175" s="6"/>
      <c r="BA1175" s="6"/>
      <c r="BB1175" s="6"/>
      <c r="BC1175" s="6"/>
      <c r="BD1175" s="6"/>
      <c r="BE1175" s="6"/>
      <c r="BF1175" s="6"/>
      <c r="BG1175" s="6"/>
      <c r="BH1175" s="6"/>
      <c r="BI1175" s="6"/>
      <c r="BJ1175" s="6"/>
      <c r="BK1175" s="6"/>
      <c r="BL1175" s="6"/>
      <c r="BM1175" s="6"/>
      <c r="BN1175" s="6"/>
      <c r="BO1175" s="6"/>
      <c r="BP1175" s="6"/>
      <c r="BQ1175" s="6"/>
      <c r="BR1175" s="6"/>
      <c r="BS1175" s="6"/>
      <c r="BT1175" s="6"/>
      <c r="BU1175" s="6"/>
      <c r="BV1175" s="6"/>
      <c r="BW1175" s="6"/>
      <c r="BX1175" s="6"/>
      <c r="BY1175" s="6"/>
      <c r="BZ1175" s="6"/>
      <c r="CA1175" s="6"/>
      <c r="CB1175" s="6"/>
      <c r="CC1175" s="6"/>
      <c r="CD1175" s="6"/>
      <c r="CE1175" s="6"/>
      <c r="CF1175" s="6"/>
      <c r="CG1175" s="6"/>
      <c r="CH1175" s="6"/>
      <c r="CI1175" s="6"/>
      <c r="CJ1175" s="6"/>
      <c r="CK1175" s="6"/>
      <c r="CL1175" s="6"/>
      <c r="CM1175" s="6"/>
      <c r="CN1175" s="6"/>
      <c r="CO1175" s="6"/>
      <c r="CP1175" s="6"/>
      <c r="CQ1175" s="6"/>
      <c r="CR1175" s="6"/>
      <c r="CS1175" s="6"/>
      <c r="CT1175" s="6"/>
      <c r="CU1175" s="6"/>
      <c r="CV1175" s="6"/>
      <c r="CW1175" s="6"/>
      <c r="CX1175" s="6"/>
      <c r="CY1175" s="6"/>
      <c r="CZ1175" s="6"/>
      <c r="DA1175" s="6"/>
      <c r="DB1175" s="6"/>
      <c r="DC1175" s="6"/>
      <c r="DD1175" s="6"/>
      <c r="DE1175" s="6"/>
      <c r="DF1175" s="6"/>
      <c r="DG1175" s="6"/>
      <c r="DH1175" s="6"/>
      <c r="DI1175" s="6"/>
      <c r="DJ1175" s="6"/>
      <c r="DK1175" s="6"/>
      <c r="DL1175" s="6"/>
      <c r="DM1175" s="6"/>
      <c r="DN1175" s="6"/>
      <c r="DO1175" s="6"/>
      <c r="DP1175" s="6"/>
      <c r="DQ1175" s="6"/>
      <c r="DR1175" s="6"/>
      <c r="DS1175" s="6"/>
      <c r="DT1175" s="6"/>
      <c r="DU1175" s="6"/>
      <c r="DV1175" s="6"/>
      <c r="DW1175" s="6"/>
      <c r="DX1175" s="6"/>
      <c r="DY1175" s="6"/>
      <c r="DZ1175" s="6"/>
      <c r="EA1175" s="6"/>
      <c r="EB1175" s="6"/>
      <c r="EC1175" s="6"/>
      <c r="ED1175" s="6"/>
      <c r="EE1175" s="6"/>
      <c r="EF1175" s="6"/>
      <c r="EG1175" s="6"/>
      <c r="EH1175" s="6"/>
      <c r="EI1175" s="6"/>
      <c r="EJ1175" s="6"/>
      <c r="EK1175" s="6"/>
      <c r="EL1175" s="6"/>
      <c r="EM1175" s="6"/>
      <c r="EN1175" s="6"/>
      <c r="EO1175" s="6"/>
      <c r="EP1175" s="6"/>
      <c r="EQ1175" s="6"/>
      <c r="ER1175" s="6"/>
      <c r="ES1175" s="6"/>
      <c r="ET1175" s="6"/>
      <c r="EU1175" s="6"/>
      <c r="EV1175" s="6"/>
      <c r="EW1175" s="6"/>
      <c r="EX1175" s="6"/>
      <c r="EY1175" s="6"/>
      <c r="EZ1175" s="6"/>
      <c r="FA1175" s="6"/>
      <c r="FB1175" s="6"/>
      <c r="FC1175" s="6"/>
      <c r="FD1175" s="6"/>
      <c r="FE1175" s="6"/>
      <c r="FF1175" s="6"/>
      <c r="FG1175" s="6"/>
      <c r="FH1175" s="6"/>
      <c r="FI1175" s="6"/>
      <c r="FJ1175" s="6"/>
      <c r="FK1175" s="6"/>
      <c r="FL1175" s="6"/>
      <c r="FM1175" s="6"/>
      <c r="FN1175" s="6"/>
      <c r="FO1175" s="6"/>
      <c r="FP1175" s="6"/>
      <c r="FQ1175" s="6"/>
      <c r="FR1175" s="6"/>
      <c r="FS1175" s="6"/>
      <c r="FT1175" s="6"/>
      <c r="FU1175" s="6"/>
      <c r="FV1175" s="6"/>
      <c r="FW1175" s="6"/>
      <c r="FX1175" s="6"/>
      <c r="FY1175" s="6"/>
      <c r="FZ1175" s="6"/>
      <c r="GA1175" s="6"/>
      <c r="GB1175" s="6"/>
      <c r="GC1175" s="6"/>
      <c r="GD1175" s="6"/>
      <c r="GE1175" s="6"/>
      <c r="GF1175" s="6"/>
      <c r="GG1175" s="6"/>
      <c r="GH1175" s="6"/>
      <c r="GI1175" s="6"/>
      <c r="GJ1175" s="6"/>
      <c r="GK1175" s="6"/>
      <c r="GL1175" s="6"/>
      <c r="GM1175" s="6"/>
      <c r="GN1175" s="6"/>
      <c r="GO1175" s="6"/>
      <c r="GP1175" s="6"/>
      <c r="GQ1175" s="6"/>
      <c r="GR1175" s="6"/>
      <c r="GS1175" s="6"/>
      <c r="GT1175" s="6"/>
      <c r="GU1175" s="6"/>
      <c r="GV1175" s="6"/>
      <c r="GW1175" s="6"/>
      <c r="GX1175" s="6"/>
      <c r="GY1175" s="6"/>
      <c r="GZ1175" s="6"/>
      <c r="HA1175" s="6"/>
      <c r="HB1175" s="6"/>
      <c r="HC1175" s="6"/>
      <c r="HD1175" s="6"/>
      <c r="HE1175" s="6"/>
      <c r="HF1175" s="6"/>
      <c r="HG1175" s="6"/>
      <c r="HH1175" s="6"/>
    </row>
    <row r="1176" spans="1:216" x14ac:dyDescent="0.3">
      <c r="A1176" s="8"/>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6"/>
      <c r="AR1176" s="6"/>
      <c r="AS1176" s="6"/>
      <c r="AT1176" s="6"/>
      <c r="AU1176" s="6"/>
      <c r="AV1176" s="6"/>
      <c r="AW1176" s="6"/>
      <c r="AX1176" s="6"/>
      <c r="AY1176" s="6"/>
      <c r="AZ1176" s="6"/>
      <c r="BA1176" s="6"/>
      <c r="BB1176" s="6"/>
      <c r="BC1176" s="6"/>
      <c r="BD1176" s="6"/>
      <c r="BE1176" s="6"/>
      <c r="BF1176" s="6"/>
      <c r="BG1176" s="6"/>
      <c r="BH1176" s="6"/>
      <c r="BI1176" s="6"/>
      <c r="BJ1176" s="6"/>
      <c r="BK1176" s="6"/>
      <c r="BL1176" s="6"/>
      <c r="BM1176" s="6"/>
      <c r="BN1176" s="6"/>
      <c r="BO1176" s="6"/>
      <c r="BP1176" s="6"/>
      <c r="BQ1176" s="6"/>
      <c r="BR1176" s="6"/>
      <c r="BS1176" s="6"/>
      <c r="BT1176" s="6"/>
      <c r="BU1176" s="6"/>
      <c r="BV1176" s="6"/>
      <c r="BW1176" s="6"/>
      <c r="BX1176" s="6"/>
      <c r="BY1176" s="6"/>
      <c r="BZ1176" s="6"/>
      <c r="CA1176" s="6"/>
      <c r="CB1176" s="6"/>
      <c r="CC1176" s="6"/>
      <c r="CD1176" s="6"/>
      <c r="CE1176" s="6"/>
      <c r="CF1176" s="6"/>
      <c r="CG1176" s="6"/>
      <c r="CH1176" s="6"/>
      <c r="CI1176" s="6"/>
      <c r="CJ1176" s="6"/>
      <c r="CK1176" s="6"/>
      <c r="CL1176" s="6"/>
      <c r="CM1176" s="6"/>
      <c r="CN1176" s="6"/>
      <c r="CO1176" s="6"/>
      <c r="CP1176" s="6"/>
      <c r="CQ1176" s="6"/>
      <c r="CR1176" s="6"/>
      <c r="CS1176" s="6"/>
      <c r="CT1176" s="6"/>
      <c r="CU1176" s="6"/>
      <c r="CV1176" s="6"/>
      <c r="CW1176" s="6"/>
      <c r="CX1176" s="6"/>
      <c r="CY1176" s="6"/>
      <c r="CZ1176" s="6"/>
      <c r="DA1176" s="6"/>
      <c r="DB1176" s="6"/>
      <c r="DC1176" s="6"/>
      <c r="DD1176" s="6"/>
      <c r="DE1176" s="6"/>
      <c r="DF1176" s="6"/>
      <c r="DG1176" s="6"/>
      <c r="DH1176" s="6"/>
      <c r="DI1176" s="6"/>
      <c r="DJ1176" s="6"/>
      <c r="DK1176" s="6"/>
      <c r="DL1176" s="6"/>
      <c r="DM1176" s="6"/>
      <c r="DN1176" s="6"/>
      <c r="DO1176" s="6"/>
      <c r="DP1176" s="6"/>
      <c r="DQ1176" s="6"/>
      <c r="DR1176" s="6"/>
      <c r="DS1176" s="6"/>
      <c r="DT1176" s="6"/>
      <c r="DU1176" s="6"/>
      <c r="DV1176" s="6"/>
      <c r="DW1176" s="6"/>
      <c r="DX1176" s="6"/>
      <c r="DY1176" s="6"/>
      <c r="DZ1176" s="6"/>
      <c r="EA1176" s="6"/>
      <c r="EB1176" s="6"/>
      <c r="EC1176" s="6"/>
      <c r="ED1176" s="6"/>
      <c r="EE1176" s="6"/>
      <c r="EF1176" s="6"/>
      <c r="EG1176" s="6"/>
      <c r="EH1176" s="6"/>
      <c r="EI1176" s="6"/>
      <c r="EJ1176" s="6"/>
      <c r="EK1176" s="6"/>
      <c r="EL1176" s="6"/>
      <c r="EM1176" s="6"/>
      <c r="EN1176" s="6"/>
      <c r="EO1176" s="6"/>
      <c r="EP1176" s="6"/>
      <c r="EQ1176" s="6"/>
      <c r="ER1176" s="6"/>
      <c r="ES1176" s="6"/>
      <c r="ET1176" s="6"/>
      <c r="EU1176" s="6"/>
      <c r="EV1176" s="6"/>
      <c r="EW1176" s="6"/>
      <c r="EX1176" s="6"/>
      <c r="EY1176" s="6"/>
      <c r="EZ1176" s="6"/>
      <c r="FA1176" s="6"/>
      <c r="FB1176" s="6"/>
      <c r="FC1176" s="6"/>
      <c r="FD1176" s="6"/>
      <c r="FE1176" s="6"/>
      <c r="FF1176" s="6"/>
      <c r="FG1176" s="6"/>
      <c r="FH1176" s="6"/>
      <c r="FI1176" s="6"/>
      <c r="FJ1176" s="6"/>
      <c r="FK1176" s="6"/>
      <c r="FL1176" s="6"/>
      <c r="FM1176" s="6"/>
      <c r="FN1176" s="6"/>
      <c r="FO1176" s="6"/>
      <c r="FP1176" s="6"/>
      <c r="FQ1176" s="6"/>
      <c r="FR1176" s="6"/>
      <c r="FS1176" s="6"/>
      <c r="FT1176" s="6"/>
      <c r="FU1176" s="6"/>
      <c r="FV1176" s="6"/>
      <c r="FW1176" s="6"/>
      <c r="FX1176" s="6"/>
      <c r="FY1176" s="6"/>
      <c r="FZ1176" s="6"/>
      <c r="GA1176" s="6"/>
      <c r="GB1176" s="6"/>
      <c r="GC1176" s="6"/>
      <c r="GD1176" s="6"/>
      <c r="GE1176" s="6"/>
      <c r="GF1176" s="6"/>
      <c r="GG1176" s="6"/>
      <c r="GH1176" s="6"/>
      <c r="GI1176" s="6"/>
      <c r="GJ1176" s="6"/>
      <c r="GK1176" s="6"/>
      <c r="GL1176" s="6"/>
      <c r="GM1176" s="6"/>
      <c r="GN1176" s="6"/>
      <c r="GO1176" s="6"/>
      <c r="GP1176" s="6"/>
      <c r="GQ1176" s="6"/>
      <c r="GR1176" s="6"/>
      <c r="GS1176" s="6"/>
      <c r="GT1176" s="6"/>
      <c r="GU1176" s="6"/>
      <c r="GV1176" s="6"/>
      <c r="GW1176" s="6"/>
      <c r="GX1176" s="6"/>
      <c r="GY1176" s="6"/>
      <c r="GZ1176" s="6"/>
      <c r="HA1176" s="6"/>
      <c r="HB1176" s="6"/>
      <c r="HC1176" s="6"/>
      <c r="HD1176" s="6"/>
      <c r="HE1176" s="6"/>
      <c r="HF1176" s="6"/>
      <c r="HG1176" s="6"/>
      <c r="HH1176" s="6"/>
    </row>
    <row r="1177" spans="1:216" x14ac:dyDescent="0.3">
      <c r="A1177" s="8"/>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6"/>
      <c r="AR1177" s="6"/>
      <c r="AS1177" s="6"/>
      <c r="AT1177" s="6"/>
      <c r="AU1177" s="6"/>
      <c r="AV1177" s="6"/>
      <c r="AW1177" s="6"/>
      <c r="AX1177" s="6"/>
      <c r="AY1177" s="6"/>
      <c r="AZ1177" s="6"/>
      <c r="BA1177" s="6"/>
      <c r="BB1177" s="6"/>
      <c r="BC1177" s="6"/>
      <c r="BD1177" s="6"/>
      <c r="BE1177" s="6"/>
      <c r="BF1177" s="6"/>
      <c r="BG1177" s="6"/>
      <c r="BH1177" s="6"/>
      <c r="BI1177" s="6"/>
      <c r="BJ1177" s="6"/>
      <c r="BK1177" s="6"/>
      <c r="BL1177" s="6"/>
      <c r="BM1177" s="6"/>
      <c r="BN1177" s="6"/>
      <c r="BO1177" s="6"/>
      <c r="BP1177" s="6"/>
      <c r="BQ1177" s="6"/>
      <c r="BR1177" s="6"/>
      <c r="BS1177" s="6"/>
      <c r="BT1177" s="6"/>
      <c r="BU1177" s="6"/>
      <c r="BV1177" s="6"/>
      <c r="BW1177" s="6"/>
      <c r="BX1177" s="6"/>
      <c r="BY1177" s="6"/>
      <c r="BZ1177" s="6"/>
      <c r="CA1177" s="6"/>
      <c r="CB1177" s="6"/>
      <c r="CC1177" s="6"/>
      <c r="CD1177" s="6"/>
      <c r="CE1177" s="6"/>
      <c r="CF1177" s="6"/>
      <c r="CG1177" s="6"/>
      <c r="CH1177" s="6"/>
      <c r="CI1177" s="6"/>
      <c r="CJ1177" s="6"/>
      <c r="CK1177" s="6"/>
      <c r="CL1177" s="6"/>
      <c r="CM1177" s="6"/>
      <c r="CN1177" s="6"/>
      <c r="CO1177" s="6"/>
      <c r="CP1177" s="6"/>
      <c r="CQ1177" s="6"/>
      <c r="CR1177" s="6"/>
      <c r="CS1177" s="6"/>
      <c r="CT1177" s="6"/>
      <c r="CU1177" s="6"/>
      <c r="CV1177" s="6"/>
      <c r="CW1177" s="6"/>
      <c r="CX1177" s="6"/>
      <c r="CY1177" s="6"/>
      <c r="CZ1177" s="6"/>
      <c r="DA1177" s="6"/>
      <c r="DB1177" s="6"/>
      <c r="DC1177" s="6"/>
      <c r="DD1177" s="6"/>
      <c r="DE1177" s="6"/>
      <c r="DF1177" s="6"/>
      <c r="DG1177" s="6"/>
      <c r="DH1177" s="6"/>
      <c r="DI1177" s="6"/>
      <c r="DJ1177" s="6"/>
      <c r="DK1177" s="6"/>
      <c r="DL1177" s="6"/>
      <c r="DM1177" s="6"/>
      <c r="DN1177" s="6"/>
      <c r="DO1177" s="6"/>
      <c r="DP1177" s="6"/>
      <c r="DQ1177" s="6"/>
      <c r="DR1177" s="6"/>
      <c r="DS1177" s="6"/>
      <c r="DT1177" s="6"/>
      <c r="DU1177" s="6"/>
      <c r="DV1177" s="6"/>
      <c r="DW1177" s="6"/>
      <c r="DX1177" s="6"/>
      <c r="DY1177" s="6"/>
      <c r="DZ1177" s="6"/>
      <c r="EA1177" s="6"/>
      <c r="EB1177" s="6"/>
      <c r="EC1177" s="6"/>
      <c r="ED1177" s="6"/>
      <c r="EE1177" s="6"/>
      <c r="EF1177" s="6"/>
      <c r="EG1177" s="6"/>
      <c r="EH1177" s="6"/>
      <c r="EI1177" s="6"/>
      <c r="EJ1177" s="6"/>
      <c r="EK1177" s="6"/>
      <c r="EL1177" s="6"/>
      <c r="EM1177" s="6"/>
      <c r="EN1177" s="6"/>
      <c r="EO1177" s="6"/>
      <c r="EP1177" s="6"/>
      <c r="EQ1177" s="6"/>
      <c r="ER1177" s="6"/>
      <c r="ES1177" s="6"/>
      <c r="ET1177" s="6"/>
      <c r="EU1177" s="6"/>
      <c r="EV1177" s="6"/>
      <c r="EW1177" s="6"/>
      <c r="EX1177" s="6"/>
      <c r="EY1177" s="6"/>
      <c r="EZ1177" s="6"/>
      <c r="FA1177" s="6"/>
      <c r="FB1177" s="6"/>
      <c r="FC1177" s="6"/>
      <c r="FD1177" s="6"/>
      <c r="FE1177" s="6"/>
      <c r="FF1177" s="6"/>
      <c r="FG1177" s="6"/>
      <c r="FH1177" s="6"/>
      <c r="FI1177" s="6"/>
      <c r="FJ1177" s="6"/>
      <c r="FK1177" s="6"/>
      <c r="FL1177" s="6"/>
      <c r="FM1177" s="6"/>
      <c r="FN1177" s="6"/>
      <c r="FO1177" s="6"/>
      <c r="FP1177" s="6"/>
      <c r="FQ1177" s="6"/>
      <c r="FR1177" s="6"/>
      <c r="FS1177" s="6"/>
      <c r="FT1177" s="6"/>
      <c r="FU1177" s="6"/>
      <c r="FV1177" s="6"/>
      <c r="FW1177" s="6"/>
      <c r="FX1177" s="6"/>
      <c r="FY1177" s="6"/>
      <c r="FZ1177" s="6"/>
      <c r="GA1177" s="6"/>
      <c r="GB1177" s="6"/>
      <c r="GC1177" s="6"/>
      <c r="GD1177" s="6"/>
      <c r="GE1177" s="6"/>
      <c r="GF1177" s="6"/>
      <c r="GG1177" s="6"/>
      <c r="GH1177" s="6"/>
      <c r="GI1177" s="6"/>
      <c r="GJ1177" s="6"/>
      <c r="GK1177" s="6"/>
      <c r="GL1177" s="6"/>
      <c r="GM1177" s="6"/>
      <c r="GN1177" s="6"/>
      <c r="GO1177" s="6"/>
      <c r="GP1177" s="6"/>
      <c r="GQ1177" s="6"/>
      <c r="GR1177" s="6"/>
      <c r="GS1177" s="6"/>
      <c r="GT1177" s="6"/>
      <c r="GU1177" s="6"/>
      <c r="GV1177" s="6"/>
      <c r="GW1177" s="6"/>
      <c r="GX1177" s="6"/>
      <c r="GY1177" s="6"/>
      <c r="GZ1177" s="6"/>
      <c r="HA1177" s="6"/>
      <c r="HB1177" s="6"/>
      <c r="HC1177" s="6"/>
      <c r="HD1177" s="6"/>
      <c r="HE1177" s="6"/>
      <c r="HF1177" s="6"/>
      <c r="HG1177" s="6"/>
      <c r="HH1177" s="6"/>
    </row>
    <row r="1178" spans="1:216" x14ac:dyDescent="0.3">
      <c r="A1178" s="8"/>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6"/>
      <c r="AR1178" s="6"/>
      <c r="AS1178" s="6"/>
      <c r="AT1178" s="6"/>
      <c r="AU1178" s="6"/>
      <c r="AV1178" s="6"/>
      <c r="AW1178" s="6"/>
      <c r="AX1178" s="6"/>
      <c r="AY1178" s="6"/>
      <c r="AZ1178" s="6"/>
      <c r="BA1178" s="6"/>
      <c r="BB1178" s="6"/>
      <c r="BC1178" s="6"/>
      <c r="BD1178" s="6"/>
      <c r="BE1178" s="6"/>
      <c r="BF1178" s="6"/>
      <c r="BG1178" s="6"/>
      <c r="BH1178" s="6"/>
      <c r="BI1178" s="6"/>
      <c r="BJ1178" s="6"/>
      <c r="BK1178" s="6"/>
      <c r="BL1178" s="6"/>
      <c r="BM1178" s="6"/>
      <c r="BN1178" s="6"/>
      <c r="BO1178" s="6"/>
      <c r="BP1178" s="6"/>
      <c r="BQ1178" s="6"/>
      <c r="BR1178" s="6"/>
      <c r="BS1178" s="6"/>
      <c r="BT1178" s="6"/>
      <c r="BU1178" s="6"/>
      <c r="BV1178" s="6"/>
      <c r="BW1178" s="6"/>
      <c r="BX1178" s="6"/>
      <c r="BY1178" s="6"/>
      <c r="BZ1178" s="6"/>
      <c r="CA1178" s="6"/>
      <c r="CB1178" s="6"/>
      <c r="CC1178" s="6"/>
      <c r="CD1178" s="6"/>
      <c r="CE1178" s="6"/>
      <c r="CF1178" s="6"/>
      <c r="CG1178" s="6"/>
      <c r="CH1178" s="6"/>
      <c r="CI1178" s="6"/>
      <c r="CJ1178" s="6"/>
      <c r="CK1178" s="6"/>
      <c r="CL1178" s="6"/>
      <c r="CM1178" s="6"/>
      <c r="CN1178" s="6"/>
      <c r="CO1178" s="6"/>
      <c r="CP1178" s="6"/>
      <c r="CQ1178" s="6"/>
      <c r="CR1178" s="6"/>
      <c r="CS1178" s="6"/>
      <c r="CT1178" s="6"/>
      <c r="CU1178" s="6"/>
      <c r="CV1178" s="6"/>
      <c r="CW1178" s="6"/>
      <c r="CX1178" s="6"/>
      <c r="CY1178" s="6"/>
      <c r="CZ1178" s="6"/>
      <c r="DA1178" s="6"/>
      <c r="DB1178" s="6"/>
      <c r="DC1178" s="6"/>
      <c r="DD1178" s="6"/>
      <c r="DE1178" s="6"/>
      <c r="DF1178" s="6"/>
      <c r="DG1178" s="6"/>
      <c r="DH1178" s="6"/>
      <c r="DI1178" s="6"/>
      <c r="DJ1178" s="6"/>
      <c r="DK1178" s="6"/>
      <c r="DL1178" s="6"/>
      <c r="DM1178" s="6"/>
      <c r="DN1178" s="6"/>
      <c r="DO1178" s="6"/>
      <c r="DP1178" s="6"/>
      <c r="DQ1178" s="6"/>
      <c r="DR1178" s="6"/>
      <c r="DS1178" s="6"/>
      <c r="DT1178" s="6"/>
      <c r="DU1178" s="6"/>
      <c r="DV1178" s="6"/>
      <c r="DW1178" s="6"/>
      <c r="DX1178" s="6"/>
      <c r="DY1178" s="6"/>
      <c r="DZ1178" s="6"/>
      <c r="EA1178" s="6"/>
      <c r="EB1178" s="6"/>
      <c r="EC1178" s="6"/>
      <c r="ED1178" s="6"/>
      <c r="EE1178" s="6"/>
      <c r="EF1178" s="6"/>
      <c r="EG1178" s="6"/>
      <c r="EH1178" s="6"/>
      <c r="EI1178" s="6"/>
      <c r="EJ1178" s="6"/>
      <c r="EK1178" s="6"/>
      <c r="EL1178" s="6"/>
      <c r="EM1178" s="6"/>
      <c r="EN1178" s="6"/>
      <c r="EO1178" s="6"/>
      <c r="EP1178" s="6"/>
      <c r="EQ1178" s="6"/>
      <c r="ER1178" s="6"/>
      <c r="ES1178" s="6"/>
      <c r="ET1178" s="6"/>
      <c r="EU1178" s="6"/>
      <c r="EV1178" s="6"/>
      <c r="EW1178" s="6"/>
      <c r="EX1178" s="6"/>
      <c r="EY1178" s="6"/>
      <c r="EZ1178" s="6"/>
      <c r="FA1178" s="6"/>
      <c r="FB1178" s="6"/>
      <c r="FC1178" s="6"/>
      <c r="FD1178" s="6"/>
      <c r="FE1178" s="6"/>
      <c r="FF1178" s="6"/>
      <c r="FG1178" s="6"/>
      <c r="FH1178" s="6"/>
      <c r="FI1178" s="6"/>
      <c r="FJ1178" s="6"/>
      <c r="FK1178" s="6"/>
      <c r="FL1178" s="6"/>
      <c r="FM1178" s="6"/>
      <c r="FN1178" s="6"/>
      <c r="FO1178" s="6"/>
      <c r="FP1178" s="6"/>
      <c r="FQ1178" s="6"/>
      <c r="FR1178" s="6"/>
      <c r="FS1178" s="6"/>
      <c r="FT1178" s="6"/>
      <c r="FU1178" s="6"/>
      <c r="FV1178" s="6"/>
      <c r="FW1178" s="6"/>
      <c r="FX1178" s="6"/>
      <c r="FY1178" s="6"/>
      <c r="FZ1178" s="6"/>
      <c r="GA1178" s="6"/>
      <c r="GB1178" s="6"/>
      <c r="GC1178" s="6"/>
      <c r="GD1178" s="6"/>
      <c r="GE1178" s="6"/>
      <c r="GF1178" s="6"/>
      <c r="GG1178" s="6"/>
      <c r="GH1178" s="6"/>
      <c r="GI1178" s="6"/>
      <c r="GJ1178" s="6"/>
      <c r="GK1178" s="6"/>
      <c r="GL1178" s="6"/>
      <c r="GM1178" s="6"/>
      <c r="GN1178" s="6"/>
      <c r="GO1178" s="6"/>
      <c r="GP1178" s="6"/>
      <c r="GQ1178" s="6"/>
      <c r="GR1178" s="6"/>
      <c r="GS1178" s="6"/>
      <c r="GT1178" s="6"/>
      <c r="GU1178" s="6"/>
      <c r="GV1178" s="6"/>
      <c r="GW1178" s="6"/>
      <c r="GX1178" s="6"/>
      <c r="GY1178" s="6"/>
      <c r="GZ1178" s="6"/>
      <c r="HA1178" s="6"/>
      <c r="HB1178" s="6"/>
      <c r="HC1178" s="6"/>
      <c r="HD1178" s="6"/>
      <c r="HE1178" s="6"/>
      <c r="HF1178" s="6"/>
      <c r="HG1178" s="6"/>
      <c r="HH1178" s="6"/>
    </row>
    <row r="1179" spans="1:216" x14ac:dyDescent="0.3">
      <c r="A1179" s="8"/>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c r="DX1179" s="6"/>
      <c r="DY1179" s="6"/>
      <c r="DZ1179" s="6"/>
      <c r="EA1179" s="6"/>
      <c r="EB1179" s="6"/>
      <c r="EC1179" s="6"/>
      <c r="ED1179" s="6"/>
      <c r="EE1179" s="6"/>
      <c r="EF1179" s="6"/>
      <c r="EG1179" s="6"/>
      <c r="EH1179" s="6"/>
      <c r="EI1179" s="6"/>
      <c r="EJ1179" s="6"/>
      <c r="EK1179" s="6"/>
      <c r="EL1179" s="6"/>
      <c r="EM1179" s="6"/>
      <c r="EN1179" s="6"/>
      <c r="EO1179" s="6"/>
      <c r="EP1179" s="6"/>
      <c r="EQ1179" s="6"/>
      <c r="ER1179" s="6"/>
      <c r="ES1179" s="6"/>
      <c r="ET1179" s="6"/>
      <c r="EU1179" s="6"/>
      <c r="EV1179" s="6"/>
      <c r="EW1179" s="6"/>
      <c r="EX1179" s="6"/>
      <c r="EY1179" s="6"/>
      <c r="EZ1179" s="6"/>
      <c r="FA1179" s="6"/>
      <c r="FB1179" s="6"/>
      <c r="FC1179" s="6"/>
      <c r="FD1179" s="6"/>
      <c r="FE1179" s="6"/>
      <c r="FF1179" s="6"/>
      <c r="FG1179" s="6"/>
      <c r="FH1179" s="6"/>
      <c r="FI1179" s="6"/>
      <c r="FJ1179" s="6"/>
      <c r="FK1179" s="6"/>
      <c r="FL1179" s="6"/>
      <c r="FM1179" s="6"/>
      <c r="FN1179" s="6"/>
      <c r="FO1179" s="6"/>
      <c r="FP1179" s="6"/>
      <c r="FQ1179" s="6"/>
      <c r="FR1179" s="6"/>
      <c r="FS1179" s="6"/>
      <c r="FT1179" s="6"/>
      <c r="FU1179" s="6"/>
      <c r="FV1179" s="6"/>
      <c r="FW1179" s="6"/>
      <c r="FX1179" s="6"/>
      <c r="FY1179" s="6"/>
      <c r="FZ1179" s="6"/>
      <c r="GA1179" s="6"/>
      <c r="GB1179" s="6"/>
      <c r="GC1179" s="6"/>
      <c r="GD1179" s="6"/>
      <c r="GE1179" s="6"/>
      <c r="GF1179" s="6"/>
      <c r="GG1179" s="6"/>
      <c r="GH1179" s="6"/>
      <c r="GI1179" s="6"/>
      <c r="GJ1179" s="6"/>
      <c r="GK1179" s="6"/>
      <c r="GL1179" s="6"/>
      <c r="GM1179" s="6"/>
      <c r="GN1179" s="6"/>
      <c r="GO1179" s="6"/>
      <c r="GP1179" s="6"/>
      <c r="GQ1179" s="6"/>
      <c r="GR1179" s="6"/>
      <c r="GS1179" s="6"/>
      <c r="GT1179" s="6"/>
      <c r="GU1179" s="6"/>
      <c r="GV1179" s="6"/>
      <c r="GW1179" s="6"/>
      <c r="GX1179" s="6"/>
      <c r="GY1179" s="6"/>
      <c r="GZ1179" s="6"/>
      <c r="HA1179" s="6"/>
      <c r="HB1179" s="6"/>
      <c r="HC1179" s="6"/>
      <c r="HD1179" s="6"/>
      <c r="HE1179" s="6"/>
      <c r="HF1179" s="6"/>
      <c r="HG1179" s="6"/>
      <c r="HH1179" s="6"/>
    </row>
    <row r="1180" spans="1:216" x14ac:dyDescent="0.3">
      <c r="A1180" s="8"/>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c r="DX1180" s="6"/>
      <c r="DY1180" s="6"/>
      <c r="DZ1180" s="6"/>
      <c r="EA1180" s="6"/>
      <c r="EB1180" s="6"/>
      <c r="EC1180" s="6"/>
      <c r="ED1180" s="6"/>
      <c r="EE1180" s="6"/>
      <c r="EF1180" s="6"/>
      <c r="EG1180" s="6"/>
      <c r="EH1180" s="6"/>
      <c r="EI1180" s="6"/>
      <c r="EJ1180" s="6"/>
      <c r="EK1180" s="6"/>
      <c r="EL1180" s="6"/>
      <c r="EM1180" s="6"/>
      <c r="EN1180" s="6"/>
      <c r="EO1180" s="6"/>
      <c r="EP1180" s="6"/>
      <c r="EQ1180" s="6"/>
      <c r="ER1180" s="6"/>
      <c r="ES1180" s="6"/>
      <c r="ET1180" s="6"/>
      <c r="EU1180" s="6"/>
      <c r="EV1180" s="6"/>
      <c r="EW1180" s="6"/>
      <c r="EX1180" s="6"/>
      <c r="EY1180" s="6"/>
      <c r="EZ1180" s="6"/>
      <c r="FA1180" s="6"/>
      <c r="FB1180" s="6"/>
      <c r="FC1180" s="6"/>
      <c r="FD1180" s="6"/>
      <c r="FE1180" s="6"/>
      <c r="FF1180" s="6"/>
      <c r="FG1180" s="6"/>
      <c r="FH1180" s="6"/>
      <c r="FI1180" s="6"/>
      <c r="FJ1180" s="6"/>
      <c r="FK1180" s="6"/>
      <c r="FL1180" s="6"/>
      <c r="FM1180" s="6"/>
      <c r="FN1180" s="6"/>
      <c r="FO1180" s="6"/>
      <c r="FP1180" s="6"/>
      <c r="FQ1180" s="6"/>
      <c r="FR1180" s="6"/>
      <c r="FS1180" s="6"/>
      <c r="FT1180" s="6"/>
      <c r="FU1180" s="6"/>
      <c r="FV1180" s="6"/>
      <c r="FW1180" s="6"/>
      <c r="FX1180" s="6"/>
      <c r="FY1180" s="6"/>
      <c r="FZ1180" s="6"/>
      <c r="GA1180" s="6"/>
      <c r="GB1180" s="6"/>
      <c r="GC1180" s="6"/>
      <c r="GD1180" s="6"/>
      <c r="GE1180" s="6"/>
      <c r="GF1180" s="6"/>
      <c r="GG1180" s="6"/>
      <c r="GH1180" s="6"/>
      <c r="GI1180" s="6"/>
      <c r="GJ1180" s="6"/>
      <c r="GK1180" s="6"/>
      <c r="GL1180" s="6"/>
      <c r="GM1180" s="6"/>
      <c r="GN1180" s="6"/>
      <c r="GO1180" s="6"/>
      <c r="GP1180" s="6"/>
      <c r="GQ1180" s="6"/>
      <c r="GR1180" s="6"/>
      <c r="GS1180" s="6"/>
      <c r="GT1180" s="6"/>
      <c r="GU1180" s="6"/>
      <c r="GV1180" s="6"/>
      <c r="GW1180" s="6"/>
      <c r="GX1180" s="6"/>
      <c r="GY1180" s="6"/>
      <c r="GZ1180" s="6"/>
      <c r="HA1180" s="6"/>
      <c r="HB1180" s="6"/>
      <c r="HC1180" s="6"/>
      <c r="HD1180" s="6"/>
      <c r="HE1180" s="6"/>
      <c r="HF1180" s="6"/>
      <c r="HG1180" s="6"/>
      <c r="HH1180" s="6"/>
    </row>
    <row r="1181" spans="1:216" x14ac:dyDescent="0.3">
      <c r="A1181" s="8"/>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6"/>
      <c r="AR1181" s="6"/>
      <c r="AS1181" s="6"/>
      <c r="AT1181" s="6"/>
      <c r="AU1181" s="6"/>
      <c r="AV1181" s="6"/>
      <c r="AW1181" s="6"/>
      <c r="AX1181" s="6"/>
      <c r="AY1181" s="6"/>
      <c r="AZ1181" s="6"/>
      <c r="BA1181" s="6"/>
      <c r="BB1181" s="6"/>
      <c r="BC1181" s="6"/>
      <c r="BD1181" s="6"/>
      <c r="BE1181" s="6"/>
      <c r="BF1181" s="6"/>
      <c r="BG1181" s="6"/>
      <c r="BH1181" s="6"/>
      <c r="BI1181" s="6"/>
      <c r="BJ1181" s="6"/>
      <c r="BK1181" s="6"/>
      <c r="BL1181" s="6"/>
      <c r="BM1181" s="6"/>
      <c r="BN1181" s="6"/>
      <c r="BO1181" s="6"/>
      <c r="BP1181" s="6"/>
      <c r="BQ1181" s="6"/>
      <c r="BR1181" s="6"/>
      <c r="BS1181" s="6"/>
      <c r="BT1181" s="6"/>
      <c r="BU1181" s="6"/>
      <c r="BV1181" s="6"/>
      <c r="BW1181" s="6"/>
      <c r="BX1181" s="6"/>
      <c r="BY1181" s="6"/>
      <c r="BZ1181" s="6"/>
      <c r="CA1181" s="6"/>
      <c r="CB1181" s="6"/>
      <c r="CC1181" s="6"/>
      <c r="CD1181" s="6"/>
      <c r="CE1181" s="6"/>
      <c r="CF1181" s="6"/>
      <c r="CG1181" s="6"/>
      <c r="CH1181" s="6"/>
      <c r="CI1181" s="6"/>
      <c r="CJ1181" s="6"/>
      <c r="CK1181" s="6"/>
      <c r="CL1181" s="6"/>
      <c r="CM1181" s="6"/>
      <c r="CN1181" s="6"/>
      <c r="CO1181" s="6"/>
      <c r="CP1181" s="6"/>
      <c r="CQ1181" s="6"/>
      <c r="CR1181" s="6"/>
      <c r="CS1181" s="6"/>
      <c r="CT1181" s="6"/>
      <c r="CU1181" s="6"/>
      <c r="CV1181" s="6"/>
      <c r="CW1181" s="6"/>
      <c r="CX1181" s="6"/>
      <c r="CY1181" s="6"/>
      <c r="CZ1181" s="6"/>
      <c r="DA1181" s="6"/>
      <c r="DB1181" s="6"/>
      <c r="DC1181" s="6"/>
      <c r="DD1181" s="6"/>
      <c r="DE1181" s="6"/>
      <c r="DF1181" s="6"/>
      <c r="DG1181" s="6"/>
      <c r="DH1181" s="6"/>
      <c r="DI1181" s="6"/>
      <c r="DJ1181" s="6"/>
      <c r="DK1181" s="6"/>
      <c r="DL1181" s="6"/>
      <c r="DM1181" s="6"/>
      <c r="DN1181" s="6"/>
      <c r="DO1181" s="6"/>
      <c r="DP1181" s="6"/>
      <c r="DQ1181" s="6"/>
      <c r="DR1181" s="6"/>
      <c r="DS1181" s="6"/>
      <c r="DT1181" s="6"/>
      <c r="DU1181" s="6"/>
      <c r="DV1181" s="6"/>
      <c r="DW1181" s="6"/>
      <c r="DX1181" s="6"/>
      <c r="DY1181" s="6"/>
      <c r="DZ1181" s="6"/>
      <c r="EA1181" s="6"/>
      <c r="EB1181" s="6"/>
      <c r="EC1181" s="6"/>
      <c r="ED1181" s="6"/>
      <c r="EE1181" s="6"/>
      <c r="EF1181" s="6"/>
      <c r="EG1181" s="6"/>
      <c r="EH1181" s="6"/>
      <c r="EI1181" s="6"/>
      <c r="EJ1181" s="6"/>
      <c r="EK1181" s="6"/>
      <c r="EL1181" s="6"/>
      <c r="EM1181" s="6"/>
      <c r="EN1181" s="6"/>
      <c r="EO1181" s="6"/>
      <c r="EP1181" s="6"/>
      <c r="EQ1181" s="6"/>
      <c r="ER1181" s="6"/>
      <c r="ES1181" s="6"/>
      <c r="ET1181" s="6"/>
      <c r="EU1181" s="6"/>
      <c r="EV1181" s="6"/>
      <c r="EW1181" s="6"/>
      <c r="EX1181" s="6"/>
      <c r="EY1181" s="6"/>
      <c r="EZ1181" s="6"/>
      <c r="FA1181" s="6"/>
      <c r="FB1181" s="6"/>
      <c r="FC1181" s="6"/>
      <c r="FD1181" s="6"/>
      <c r="FE1181" s="6"/>
      <c r="FF1181" s="6"/>
      <c r="FG1181" s="6"/>
      <c r="FH1181" s="6"/>
      <c r="FI1181" s="6"/>
      <c r="FJ1181" s="6"/>
      <c r="FK1181" s="6"/>
      <c r="FL1181" s="6"/>
      <c r="FM1181" s="6"/>
      <c r="FN1181" s="6"/>
      <c r="FO1181" s="6"/>
      <c r="FP1181" s="6"/>
      <c r="FQ1181" s="6"/>
      <c r="FR1181" s="6"/>
      <c r="FS1181" s="6"/>
      <c r="FT1181" s="6"/>
      <c r="FU1181" s="6"/>
      <c r="FV1181" s="6"/>
      <c r="FW1181" s="6"/>
      <c r="FX1181" s="6"/>
      <c r="FY1181" s="6"/>
      <c r="FZ1181" s="6"/>
      <c r="GA1181" s="6"/>
      <c r="GB1181" s="6"/>
      <c r="GC1181" s="6"/>
      <c r="GD1181" s="6"/>
      <c r="GE1181" s="6"/>
      <c r="GF1181" s="6"/>
      <c r="GG1181" s="6"/>
      <c r="GH1181" s="6"/>
      <c r="GI1181" s="6"/>
      <c r="GJ1181" s="6"/>
      <c r="GK1181" s="6"/>
      <c r="GL1181" s="6"/>
      <c r="GM1181" s="6"/>
      <c r="GN1181" s="6"/>
      <c r="GO1181" s="6"/>
      <c r="GP1181" s="6"/>
      <c r="GQ1181" s="6"/>
      <c r="GR1181" s="6"/>
      <c r="GS1181" s="6"/>
      <c r="GT1181" s="6"/>
      <c r="GU1181" s="6"/>
      <c r="GV1181" s="6"/>
      <c r="GW1181" s="6"/>
      <c r="GX1181" s="6"/>
      <c r="GY1181" s="6"/>
      <c r="GZ1181" s="6"/>
      <c r="HA1181" s="6"/>
      <c r="HB1181" s="6"/>
      <c r="HC1181" s="6"/>
      <c r="HD1181" s="6"/>
      <c r="HE1181" s="6"/>
      <c r="HF1181" s="6"/>
      <c r="HG1181" s="6"/>
      <c r="HH1181" s="6"/>
    </row>
    <row r="1182" spans="1:216" x14ac:dyDescent="0.3">
      <c r="A1182" s="8"/>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6"/>
      <c r="AR1182" s="6"/>
      <c r="AS1182" s="6"/>
      <c r="AT1182" s="6"/>
      <c r="AU1182" s="6"/>
      <c r="AV1182" s="6"/>
      <c r="AW1182" s="6"/>
      <c r="AX1182" s="6"/>
      <c r="AY1182" s="6"/>
      <c r="AZ1182" s="6"/>
      <c r="BA1182" s="6"/>
      <c r="BB1182" s="6"/>
      <c r="BC1182" s="6"/>
      <c r="BD1182" s="6"/>
      <c r="BE1182" s="6"/>
      <c r="BF1182" s="6"/>
      <c r="BG1182" s="6"/>
      <c r="BH1182" s="6"/>
      <c r="BI1182" s="6"/>
      <c r="BJ1182" s="6"/>
      <c r="BK1182" s="6"/>
      <c r="BL1182" s="6"/>
      <c r="BM1182" s="6"/>
      <c r="BN1182" s="6"/>
      <c r="BO1182" s="6"/>
      <c r="BP1182" s="6"/>
      <c r="BQ1182" s="6"/>
      <c r="BR1182" s="6"/>
      <c r="BS1182" s="6"/>
      <c r="BT1182" s="6"/>
      <c r="BU1182" s="6"/>
      <c r="BV1182" s="6"/>
      <c r="BW1182" s="6"/>
      <c r="BX1182" s="6"/>
      <c r="BY1182" s="6"/>
      <c r="BZ1182" s="6"/>
      <c r="CA1182" s="6"/>
      <c r="CB1182" s="6"/>
      <c r="CC1182" s="6"/>
      <c r="CD1182" s="6"/>
      <c r="CE1182" s="6"/>
      <c r="CF1182" s="6"/>
      <c r="CG1182" s="6"/>
      <c r="CH1182" s="6"/>
      <c r="CI1182" s="6"/>
      <c r="CJ1182" s="6"/>
      <c r="CK1182" s="6"/>
      <c r="CL1182" s="6"/>
      <c r="CM1182" s="6"/>
      <c r="CN1182" s="6"/>
      <c r="CO1182" s="6"/>
      <c r="CP1182" s="6"/>
      <c r="CQ1182" s="6"/>
      <c r="CR1182" s="6"/>
      <c r="CS1182" s="6"/>
      <c r="CT1182" s="6"/>
      <c r="CU1182" s="6"/>
      <c r="CV1182" s="6"/>
      <c r="CW1182" s="6"/>
      <c r="CX1182" s="6"/>
      <c r="CY1182" s="6"/>
      <c r="CZ1182" s="6"/>
      <c r="DA1182" s="6"/>
      <c r="DB1182" s="6"/>
      <c r="DC1182" s="6"/>
      <c r="DD1182" s="6"/>
      <c r="DE1182" s="6"/>
      <c r="DF1182" s="6"/>
      <c r="DG1182" s="6"/>
      <c r="DH1182" s="6"/>
      <c r="DI1182" s="6"/>
      <c r="DJ1182" s="6"/>
      <c r="DK1182" s="6"/>
      <c r="DL1182" s="6"/>
      <c r="DM1182" s="6"/>
      <c r="DN1182" s="6"/>
      <c r="DO1182" s="6"/>
      <c r="DP1182" s="6"/>
      <c r="DQ1182" s="6"/>
      <c r="DR1182" s="6"/>
      <c r="DS1182" s="6"/>
      <c r="DT1182" s="6"/>
      <c r="DU1182" s="6"/>
      <c r="DV1182" s="6"/>
      <c r="DW1182" s="6"/>
      <c r="DX1182" s="6"/>
      <c r="DY1182" s="6"/>
      <c r="DZ1182" s="6"/>
      <c r="EA1182" s="6"/>
      <c r="EB1182" s="6"/>
      <c r="EC1182" s="6"/>
      <c r="ED1182" s="6"/>
      <c r="EE1182" s="6"/>
      <c r="EF1182" s="6"/>
      <c r="EG1182" s="6"/>
      <c r="EH1182" s="6"/>
      <c r="EI1182" s="6"/>
      <c r="EJ1182" s="6"/>
      <c r="EK1182" s="6"/>
      <c r="EL1182" s="6"/>
      <c r="EM1182" s="6"/>
      <c r="EN1182" s="6"/>
      <c r="EO1182" s="6"/>
      <c r="EP1182" s="6"/>
      <c r="EQ1182" s="6"/>
      <c r="ER1182" s="6"/>
      <c r="ES1182" s="6"/>
      <c r="ET1182" s="6"/>
      <c r="EU1182" s="6"/>
      <c r="EV1182" s="6"/>
      <c r="EW1182" s="6"/>
      <c r="EX1182" s="6"/>
      <c r="EY1182" s="6"/>
      <c r="EZ1182" s="6"/>
      <c r="FA1182" s="6"/>
      <c r="FB1182" s="6"/>
      <c r="FC1182" s="6"/>
      <c r="FD1182" s="6"/>
      <c r="FE1182" s="6"/>
      <c r="FF1182" s="6"/>
      <c r="FG1182" s="6"/>
      <c r="FH1182" s="6"/>
      <c r="FI1182" s="6"/>
      <c r="FJ1182" s="6"/>
      <c r="FK1182" s="6"/>
      <c r="FL1182" s="6"/>
      <c r="FM1182" s="6"/>
      <c r="FN1182" s="6"/>
      <c r="FO1182" s="6"/>
      <c r="FP1182" s="6"/>
      <c r="FQ1182" s="6"/>
      <c r="FR1182" s="6"/>
      <c r="FS1182" s="6"/>
      <c r="FT1182" s="6"/>
      <c r="FU1182" s="6"/>
      <c r="FV1182" s="6"/>
      <c r="FW1182" s="6"/>
      <c r="FX1182" s="6"/>
      <c r="FY1182" s="6"/>
      <c r="FZ1182" s="6"/>
      <c r="GA1182" s="6"/>
      <c r="GB1182" s="6"/>
      <c r="GC1182" s="6"/>
      <c r="GD1182" s="6"/>
      <c r="GE1182" s="6"/>
      <c r="GF1182" s="6"/>
      <c r="GG1182" s="6"/>
      <c r="GH1182" s="6"/>
      <c r="GI1182" s="6"/>
      <c r="GJ1182" s="6"/>
      <c r="GK1182" s="6"/>
      <c r="GL1182" s="6"/>
      <c r="GM1182" s="6"/>
      <c r="GN1182" s="6"/>
      <c r="GO1182" s="6"/>
      <c r="GP1182" s="6"/>
      <c r="GQ1182" s="6"/>
      <c r="GR1182" s="6"/>
      <c r="GS1182" s="6"/>
      <c r="GT1182" s="6"/>
      <c r="GU1182" s="6"/>
      <c r="GV1182" s="6"/>
      <c r="GW1182" s="6"/>
      <c r="GX1182" s="6"/>
      <c r="GY1182" s="6"/>
      <c r="GZ1182" s="6"/>
      <c r="HA1182" s="6"/>
      <c r="HB1182" s="6"/>
      <c r="HC1182" s="6"/>
      <c r="HD1182" s="6"/>
      <c r="HE1182" s="6"/>
      <c r="HF1182" s="6"/>
      <c r="HG1182" s="6"/>
      <c r="HH1182" s="6"/>
    </row>
    <row r="1183" spans="1:216" x14ac:dyDescent="0.3">
      <c r="A1183" s="8"/>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6"/>
      <c r="AR1183" s="6"/>
      <c r="AS1183" s="6"/>
      <c r="AT1183" s="6"/>
      <c r="AU1183" s="6"/>
      <c r="AV1183" s="6"/>
      <c r="AW1183" s="6"/>
      <c r="AX1183" s="6"/>
      <c r="AY1183" s="6"/>
      <c r="AZ1183" s="6"/>
      <c r="BA1183" s="6"/>
      <c r="BB1183" s="6"/>
      <c r="BC1183" s="6"/>
      <c r="BD1183" s="6"/>
      <c r="BE1183" s="6"/>
      <c r="BF1183" s="6"/>
      <c r="BG1183" s="6"/>
      <c r="BH1183" s="6"/>
      <c r="BI1183" s="6"/>
      <c r="BJ1183" s="6"/>
      <c r="BK1183" s="6"/>
      <c r="BL1183" s="6"/>
      <c r="BM1183" s="6"/>
      <c r="BN1183" s="6"/>
      <c r="BO1183" s="6"/>
      <c r="BP1183" s="6"/>
      <c r="BQ1183" s="6"/>
      <c r="BR1183" s="6"/>
      <c r="BS1183" s="6"/>
      <c r="BT1183" s="6"/>
      <c r="BU1183" s="6"/>
      <c r="BV1183" s="6"/>
      <c r="BW1183" s="6"/>
      <c r="BX1183" s="6"/>
      <c r="BY1183" s="6"/>
      <c r="BZ1183" s="6"/>
      <c r="CA1183" s="6"/>
      <c r="CB1183" s="6"/>
      <c r="CC1183" s="6"/>
      <c r="CD1183" s="6"/>
      <c r="CE1183" s="6"/>
      <c r="CF1183" s="6"/>
      <c r="CG1183" s="6"/>
      <c r="CH1183" s="6"/>
      <c r="CI1183" s="6"/>
      <c r="CJ1183" s="6"/>
      <c r="CK1183" s="6"/>
      <c r="CL1183" s="6"/>
      <c r="CM1183" s="6"/>
      <c r="CN1183" s="6"/>
      <c r="CO1183" s="6"/>
      <c r="CP1183" s="6"/>
      <c r="CQ1183" s="6"/>
      <c r="CR1183" s="6"/>
      <c r="CS1183" s="6"/>
      <c r="CT1183" s="6"/>
      <c r="CU1183" s="6"/>
      <c r="CV1183" s="6"/>
      <c r="CW1183" s="6"/>
      <c r="CX1183" s="6"/>
      <c r="CY1183" s="6"/>
      <c r="CZ1183" s="6"/>
      <c r="DA1183" s="6"/>
      <c r="DB1183" s="6"/>
      <c r="DC1183" s="6"/>
      <c r="DD1183" s="6"/>
      <c r="DE1183" s="6"/>
      <c r="DF1183" s="6"/>
      <c r="DG1183" s="6"/>
      <c r="DH1183" s="6"/>
      <c r="DI1183" s="6"/>
      <c r="DJ1183" s="6"/>
      <c r="DK1183" s="6"/>
      <c r="DL1183" s="6"/>
      <c r="DM1183" s="6"/>
      <c r="DN1183" s="6"/>
      <c r="DO1183" s="6"/>
      <c r="DP1183" s="6"/>
      <c r="DQ1183" s="6"/>
      <c r="DR1183" s="6"/>
      <c r="DS1183" s="6"/>
      <c r="DT1183" s="6"/>
      <c r="DU1183" s="6"/>
      <c r="DV1183" s="6"/>
      <c r="DW1183" s="6"/>
      <c r="DX1183" s="6"/>
      <c r="DY1183" s="6"/>
      <c r="DZ1183" s="6"/>
      <c r="EA1183" s="6"/>
      <c r="EB1183" s="6"/>
      <c r="EC1183" s="6"/>
      <c r="ED1183" s="6"/>
      <c r="EE1183" s="6"/>
      <c r="EF1183" s="6"/>
      <c r="EG1183" s="6"/>
      <c r="EH1183" s="6"/>
      <c r="EI1183" s="6"/>
      <c r="EJ1183" s="6"/>
      <c r="EK1183" s="6"/>
      <c r="EL1183" s="6"/>
      <c r="EM1183" s="6"/>
      <c r="EN1183" s="6"/>
      <c r="EO1183" s="6"/>
      <c r="EP1183" s="6"/>
      <c r="EQ1183" s="6"/>
      <c r="ER1183" s="6"/>
      <c r="ES1183" s="6"/>
      <c r="ET1183" s="6"/>
      <c r="EU1183" s="6"/>
      <c r="EV1183" s="6"/>
      <c r="EW1183" s="6"/>
      <c r="EX1183" s="6"/>
      <c r="EY1183" s="6"/>
      <c r="EZ1183" s="6"/>
      <c r="FA1183" s="6"/>
      <c r="FB1183" s="6"/>
      <c r="FC1183" s="6"/>
      <c r="FD1183" s="6"/>
      <c r="FE1183" s="6"/>
      <c r="FF1183" s="6"/>
      <c r="FG1183" s="6"/>
      <c r="FH1183" s="6"/>
      <c r="FI1183" s="6"/>
      <c r="FJ1183" s="6"/>
      <c r="FK1183" s="6"/>
      <c r="FL1183" s="6"/>
      <c r="FM1183" s="6"/>
      <c r="FN1183" s="6"/>
      <c r="FO1183" s="6"/>
      <c r="FP1183" s="6"/>
      <c r="FQ1183" s="6"/>
      <c r="FR1183" s="6"/>
      <c r="FS1183" s="6"/>
      <c r="FT1183" s="6"/>
      <c r="FU1183" s="6"/>
      <c r="FV1183" s="6"/>
      <c r="FW1183" s="6"/>
      <c r="FX1183" s="6"/>
      <c r="FY1183" s="6"/>
      <c r="FZ1183" s="6"/>
      <c r="GA1183" s="6"/>
      <c r="GB1183" s="6"/>
      <c r="GC1183" s="6"/>
      <c r="GD1183" s="6"/>
      <c r="GE1183" s="6"/>
      <c r="GF1183" s="6"/>
      <c r="GG1183" s="6"/>
      <c r="GH1183" s="6"/>
      <c r="GI1183" s="6"/>
      <c r="GJ1183" s="6"/>
      <c r="GK1183" s="6"/>
      <c r="GL1183" s="6"/>
      <c r="GM1183" s="6"/>
      <c r="GN1183" s="6"/>
      <c r="GO1183" s="6"/>
      <c r="GP1183" s="6"/>
      <c r="GQ1183" s="6"/>
      <c r="GR1183" s="6"/>
      <c r="GS1183" s="6"/>
      <c r="GT1183" s="6"/>
      <c r="GU1183" s="6"/>
      <c r="GV1183" s="6"/>
      <c r="GW1183" s="6"/>
      <c r="GX1183" s="6"/>
      <c r="GY1183" s="6"/>
      <c r="GZ1183" s="6"/>
      <c r="HA1183" s="6"/>
      <c r="HB1183" s="6"/>
      <c r="HC1183" s="6"/>
      <c r="HD1183" s="6"/>
      <c r="HE1183" s="6"/>
      <c r="HF1183" s="6"/>
      <c r="HG1183" s="6"/>
      <c r="HH1183" s="6"/>
    </row>
    <row r="1184" spans="1:216" x14ac:dyDescent="0.3">
      <c r="A1184" s="8"/>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6"/>
      <c r="AR1184" s="6"/>
      <c r="AS1184" s="6"/>
      <c r="AT1184" s="6"/>
      <c r="AU1184" s="6"/>
      <c r="AV1184" s="6"/>
      <c r="AW1184" s="6"/>
      <c r="AX1184" s="6"/>
      <c r="AY1184" s="6"/>
      <c r="AZ1184" s="6"/>
      <c r="BA1184" s="6"/>
      <c r="BB1184" s="6"/>
      <c r="BC1184" s="6"/>
      <c r="BD1184" s="6"/>
      <c r="BE1184" s="6"/>
      <c r="BF1184" s="6"/>
      <c r="BG1184" s="6"/>
      <c r="BH1184" s="6"/>
      <c r="BI1184" s="6"/>
      <c r="BJ1184" s="6"/>
      <c r="BK1184" s="6"/>
      <c r="BL1184" s="6"/>
      <c r="BM1184" s="6"/>
      <c r="BN1184" s="6"/>
      <c r="BO1184" s="6"/>
      <c r="BP1184" s="6"/>
      <c r="BQ1184" s="6"/>
      <c r="BR1184" s="6"/>
      <c r="BS1184" s="6"/>
      <c r="BT1184" s="6"/>
      <c r="BU1184" s="6"/>
      <c r="BV1184" s="6"/>
      <c r="BW1184" s="6"/>
      <c r="BX1184" s="6"/>
      <c r="BY1184" s="6"/>
      <c r="BZ1184" s="6"/>
      <c r="CA1184" s="6"/>
      <c r="CB1184" s="6"/>
      <c r="CC1184" s="6"/>
      <c r="CD1184" s="6"/>
      <c r="CE1184" s="6"/>
      <c r="CF1184" s="6"/>
      <c r="CG1184" s="6"/>
      <c r="CH1184" s="6"/>
      <c r="CI1184" s="6"/>
      <c r="CJ1184" s="6"/>
      <c r="CK1184" s="6"/>
      <c r="CL1184" s="6"/>
      <c r="CM1184" s="6"/>
      <c r="CN1184" s="6"/>
      <c r="CO1184" s="6"/>
      <c r="CP1184" s="6"/>
      <c r="CQ1184" s="6"/>
      <c r="CR1184" s="6"/>
      <c r="CS1184" s="6"/>
      <c r="CT1184" s="6"/>
      <c r="CU1184" s="6"/>
      <c r="CV1184" s="6"/>
      <c r="CW1184" s="6"/>
      <c r="CX1184" s="6"/>
      <c r="CY1184" s="6"/>
      <c r="CZ1184" s="6"/>
      <c r="DA1184" s="6"/>
      <c r="DB1184" s="6"/>
      <c r="DC1184" s="6"/>
      <c r="DD1184" s="6"/>
      <c r="DE1184" s="6"/>
      <c r="DF1184" s="6"/>
      <c r="DG1184" s="6"/>
      <c r="DH1184" s="6"/>
      <c r="DI1184" s="6"/>
      <c r="DJ1184" s="6"/>
      <c r="DK1184" s="6"/>
      <c r="DL1184" s="6"/>
      <c r="DM1184" s="6"/>
      <c r="DN1184" s="6"/>
      <c r="DO1184" s="6"/>
      <c r="DP1184" s="6"/>
      <c r="DQ1184" s="6"/>
      <c r="DR1184" s="6"/>
      <c r="DS1184" s="6"/>
      <c r="DT1184" s="6"/>
      <c r="DU1184" s="6"/>
      <c r="DV1184" s="6"/>
      <c r="DW1184" s="6"/>
      <c r="DX1184" s="6"/>
      <c r="DY1184" s="6"/>
      <c r="DZ1184" s="6"/>
      <c r="EA1184" s="6"/>
      <c r="EB1184" s="6"/>
      <c r="EC1184" s="6"/>
      <c r="ED1184" s="6"/>
      <c r="EE1184" s="6"/>
      <c r="EF1184" s="6"/>
      <c r="EG1184" s="6"/>
      <c r="EH1184" s="6"/>
      <c r="EI1184" s="6"/>
      <c r="EJ1184" s="6"/>
      <c r="EK1184" s="6"/>
      <c r="EL1184" s="6"/>
      <c r="EM1184" s="6"/>
      <c r="EN1184" s="6"/>
      <c r="EO1184" s="6"/>
      <c r="EP1184" s="6"/>
      <c r="EQ1184" s="6"/>
      <c r="ER1184" s="6"/>
      <c r="ES1184" s="6"/>
      <c r="ET1184" s="6"/>
      <c r="EU1184" s="6"/>
      <c r="EV1184" s="6"/>
      <c r="EW1184" s="6"/>
      <c r="EX1184" s="6"/>
      <c r="EY1184" s="6"/>
      <c r="EZ1184" s="6"/>
      <c r="FA1184" s="6"/>
      <c r="FB1184" s="6"/>
      <c r="FC1184" s="6"/>
      <c r="FD1184" s="6"/>
      <c r="FE1184" s="6"/>
      <c r="FF1184" s="6"/>
      <c r="FG1184" s="6"/>
      <c r="FH1184" s="6"/>
      <c r="FI1184" s="6"/>
      <c r="FJ1184" s="6"/>
      <c r="FK1184" s="6"/>
      <c r="FL1184" s="6"/>
      <c r="FM1184" s="6"/>
      <c r="FN1184" s="6"/>
      <c r="FO1184" s="6"/>
      <c r="FP1184" s="6"/>
      <c r="FQ1184" s="6"/>
      <c r="FR1184" s="6"/>
      <c r="FS1184" s="6"/>
      <c r="FT1184" s="6"/>
      <c r="FU1184" s="6"/>
      <c r="FV1184" s="6"/>
      <c r="FW1184" s="6"/>
      <c r="FX1184" s="6"/>
      <c r="FY1184" s="6"/>
      <c r="FZ1184" s="6"/>
      <c r="GA1184" s="6"/>
      <c r="GB1184" s="6"/>
      <c r="GC1184" s="6"/>
      <c r="GD1184" s="6"/>
      <c r="GE1184" s="6"/>
      <c r="GF1184" s="6"/>
      <c r="GG1184" s="6"/>
      <c r="GH1184" s="6"/>
      <c r="GI1184" s="6"/>
      <c r="GJ1184" s="6"/>
      <c r="GK1184" s="6"/>
      <c r="GL1184" s="6"/>
      <c r="GM1184" s="6"/>
      <c r="GN1184" s="6"/>
      <c r="GO1184" s="6"/>
      <c r="GP1184" s="6"/>
      <c r="GQ1184" s="6"/>
      <c r="GR1184" s="6"/>
      <c r="GS1184" s="6"/>
      <c r="GT1184" s="6"/>
      <c r="GU1184" s="6"/>
      <c r="GV1184" s="6"/>
      <c r="GW1184" s="6"/>
      <c r="GX1184" s="6"/>
      <c r="GY1184" s="6"/>
      <c r="GZ1184" s="6"/>
      <c r="HA1184" s="6"/>
      <c r="HB1184" s="6"/>
      <c r="HC1184" s="6"/>
      <c r="HD1184" s="6"/>
      <c r="HE1184" s="6"/>
      <c r="HF1184" s="6"/>
      <c r="HG1184" s="6"/>
      <c r="HH1184" s="6"/>
    </row>
    <row r="1185" spans="1:216" x14ac:dyDescent="0.3">
      <c r="A1185" s="8"/>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6"/>
      <c r="AR1185" s="6"/>
      <c r="AS1185" s="6"/>
      <c r="AT1185" s="6"/>
      <c r="AU1185" s="6"/>
      <c r="AV1185" s="6"/>
      <c r="AW1185" s="6"/>
      <c r="AX1185" s="6"/>
      <c r="AY1185" s="6"/>
      <c r="AZ1185" s="6"/>
      <c r="BA1185" s="6"/>
      <c r="BB1185" s="6"/>
      <c r="BC1185" s="6"/>
      <c r="BD1185" s="6"/>
      <c r="BE1185" s="6"/>
      <c r="BF1185" s="6"/>
      <c r="BG1185" s="6"/>
      <c r="BH1185" s="6"/>
      <c r="BI1185" s="6"/>
      <c r="BJ1185" s="6"/>
      <c r="BK1185" s="6"/>
      <c r="BL1185" s="6"/>
      <c r="BM1185" s="6"/>
      <c r="BN1185" s="6"/>
      <c r="BO1185" s="6"/>
      <c r="BP1185" s="6"/>
      <c r="BQ1185" s="6"/>
      <c r="BR1185" s="6"/>
      <c r="BS1185" s="6"/>
      <c r="BT1185" s="6"/>
      <c r="BU1185" s="6"/>
      <c r="BV1185" s="6"/>
      <c r="BW1185" s="6"/>
      <c r="BX1185" s="6"/>
      <c r="BY1185" s="6"/>
      <c r="BZ1185" s="6"/>
      <c r="CA1185" s="6"/>
      <c r="CB1185" s="6"/>
      <c r="CC1185" s="6"/>
      <c r="CD1185" s="6"/>
      <c r="CE1185" s="6"/>
      <c r="CF1185" s="6"/>
      <c r="CG1185" s="6"/>
      <c r="CH1185" s="6"/>
      <c r="CI1185" s="6"/>
      <c r="CJ1185" s="6"/>
      <c r="CK1185" s="6"/>
      <c r="CL1185" s="6"/>
      <c r="CM1185" s="6"/>
      <c r="CN1185" s="6"/>
      <c r="CO1185" s="6"/>
      <c r="CP1185" s="6"/>
      <c r="CQ1185" s="6"/>
      <c r="CR1185" s="6"/>
      <c r="CS1185" s="6"/>
      <c r="CT1185" s="6"/>
      <c r="CU1185" s="6"/>
      <c r="CV1185" s="6"/>
      <c r="CW1185" s="6"/>
      <c r="CX1185" s="6"/>
      <c r="CY1185" s="6"/>
      <c r="CZ1185" s="6"/>
      <c r="DA1185" s="6"/>
      <c r="DB1185" s="6"/>
      <c r="DC1185" s="6"/>
      <c r="DD1185" s="6"/>
      <c r="DE1185" s="6"/>
      <c r="DF1185" s="6"/>
      <c r="DG1185" s="6"/>
      <c r="DH1185" s="6"/>
      <c r="DI1185" s="6"/>
      <c r="DJ1185" s="6"/>
      <c r="DK1185" s="6"/>
      <c r="DL1185" s="6"/>
      <c r="DM1185" s="6"/>
      <c r="DN1185" s="6"/>
      <c r="DO1185" s="6"/>
      <c r="DP1185" s="6"/>
      <c r="DQ1185" s="6"/>
      <c r="DR1185" s="6"/>
      <c r="DS1185" s="6"/>
      <c r="DT1185" s="6"/>
      <c r="DU1185" s="6"/>
      <c r="DV1185" s="6"/>
      <c r="DW1185" s="6"/>
      <c r="DX1185" s="6"/>
      <c r="DY1185" s="6"/>
      <c r="DZ1185" s="6"/>
      <c r="EA1185" s="6"/>
      <c r="EB1185" s="6"/>
      <c r="EC1185" s="6"/>
      <c r="ED1185" s="6"/>
      <c r="EE1185" s="6"/>
      <c r="EF1185" s="6"/>
      <c r="EG1185" s="6"/>
      <c r="EH1185" s="6"/>
      <c r="EI1185" s="6"/>
      <c r="EJ1185" s="6"/>
      <c r="EK1185" s="6"/>
      <c r="EL1185" s="6"/>
      <c r="EM1185" s="6"/>
      <c r="EN1185" s="6"/>
      <c r="EO1185" s="6"/>
      <c r="EP1185" s="6"/>
      <c r="EQ1185" s="6"/>
      <c r="ER1185" s="6"/>
      <c r="ES1185" s="6"/>
      <c r="ET1185" s="6"/>
      <c r="EU1185" s="6"/>
      <c r="EV1185" s="6"/>
      <c r="EW1185" s="6"/>
      <c r="EX1185" s="6"/>
      <c r="EY1185" s="6"/>
      <c r="EZ1185" s="6"/>
      <c r="FA1185" s="6"/>
      <c r="FB1185" s="6"/>
      <c r="FC1185" s="6"/>
      <c r="FD1185" s="6"/>
      <c r="FE1185" s="6"/>
      <c r="FF1185" s="6"/>
      <c r="FG1185" s="6"/>
      <c r="FH1185" s="6"/>
      <c r="FI1185" s="6"/>
      <c r="FJ1185" s="6"/>
      <c r="FK1185" s="6"/>
      <c r="FL1185" s="6"/>
      <c r="FM1185" s="6"/>
      <c r="FN1185" s="6"/>
      <c r="FO1185" s="6"/>
      <c r="FP1185" s="6"/>
      <c r="FQ1185" s="6"/>
      <c r="FR1185" s="6"/>
      <c r="FS1185" s="6"/>
      <c r="FT1185" s="6"/>
      <c r="FU1185" s="6"/>
      <c r="FV1185" s="6"/>
      <c r="FW1185" s="6"/>
      <c r="FX1185" s="6"/>
      <c r="FY1185" s="6"/>
      <c r="FZ1185" s="6"/>
      <c r="GA1185" s="6"/>
      <c r="GB1185" s="6"/>
      <c r="GC1185" s="6"/>
      <c r="GD1185" s="6"/>
      <c r="GE1185" s="6"/>
      <c r="GF1185" s="6"/>
      <c r="GG1185" s="6"/>
      <c r="GH1185" s="6"/>
      <c r="GI1185" s="6"/>
      <c r="GJ1185" s="6"/>
      <c r="GK1185" s="6"/>
      <c r="GL1185" s="6"/>
      <c r="GM1185" s="6"/>
      <c r="GN1185" s="6"/>
      <c r="GO1185" s="6"/>
      <c r="GP1185" s="6"/>
      <c r="GQ1185" s="6"/>
      <c r="GR1185" s="6"/>
      <c r="GS1185" s="6"/>
      <c r="GT1185" s="6"/>
      <c r="GU1185" s="6"/>
      <c r="GV1185" s="6"/>
      <c r="GW1185" s="6"/>
      <c r="GX1185" s="6"/>
      <c r="GY1185" s="6"/>
      <c r="GZ1185" s="6"/>
      <c r="HA1185" s="6"/>
      <c r="HB1185" s="6"/>
      <c r="HC1185" s="6"/>
      <c r="HD1185" s="6"/>
      <c r="HE1185" s="6"/>
      <c r="HF1185" s="6"/>
      <c r="HG1185" s="6"/>
      <c r="HH1185" s="6"/>
    </row>
    <row r="1186" spans="1:216" x14ac:dyDescent="0.3">
      <c r="A1186" s="8"/>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6"/>
      <c r="AR1186" s="6"/>
      <c r="AS1186" s="6"/>
      <c r="AT1186" s="6"/>
      <c r="AU1186" s="6"/>
      <c r="AV1186" s="6"/>
      <c r="AW1186" s="6"/>
      <c r="AX1186" s="6"/>
      <c r="AY1186" s="6"/>
      <c r="AZ1186" s="6"/>
      <c r="BA1186" s="6"/>
      <c r="BB1186" s="6"/>
      <c r="BC1186" s="6"/>
      <c r="BD1186" s="6"/>
      <c r="BE1186" s="6"/>
      <c r="BF1186" s="6"/>
      <c r="BG1186" s="6"/>
      <c r="BH1186" s="6"/>
      <c r="BI1186" s="6"/>
      <c r="BJ1186" s="6"/>
      <c r="BK1186" s="6"/>
      <c r="BL1186" s="6"/>
      <c r="BM1186" s="6"/>
      <c r="BN1186" s="6"/>
      <c r="BO1186" s="6"/>
      <c r="BP1186" s="6"/>
      <c r="BQ1186" s="6"/>
      <c r="BR1186" s="6"/>
      <c r="BS1186" s="6"/>
      <c r="BT1186" s="6"/>
      <c r="BU1186" s="6"/>
      <c r="BV1186" s="6"/>
      <c r="BW1186" s="6"/>
      <c r="BX1186" s="6"/>
      <c r="BY1186" s="6"/>
      <c r="BZ1186" s="6"/>
      <c r="CA1186" s="6"/>
      <c r="CB1186" s="6"/>
      <c r="CC1186" s="6"/>
      <c r="CD1186" s="6"/>
      <c r="CE1186" s="6"/>
      <c r="CF1186" s="6"/>
      <c r="CG1186" s="6"/>
      <c r="CH1186" s="6"/>
      <c r="CI1186" s="6"/>
      <c r="CJ1186" s="6"/>
      <c r="CK1186" s="6"/>
      <c r="CL1186" s="6"/>
      <c r="CM1186" s="6"/>
      <c r="CN1186" s="6"/>
      <c r="CO1186" s="6"/>
      <c r="CP1186" s="6"/>
      <c r="CQ1186" s="6"/>
      <c r="CR1186" s="6"/>
      <c r="CS1186" s="6"/>
      <c r="CT1186" s="6"/>
      <c r="CU1186" s="6"/>
      <c r="CV1186" s="6"/>
      <c r="CW1186" s="6"/>
      <c r="CX1186" s="6"/>
      <c r="CY1186" s="6"/>
      <c r="CZ1186" s="6"/>
      <c r="DA1186" s="6"/>
      <c r="DB1186" s="6"/>
      <c r="DC1186" s="6"/>
      <c r="DD1186" s="6"/>
      <c r="DE1186" s="6"/>
      <c r="DF1186" s="6"/>
      <c r="DG1186" s="6"/>
      <c r="DH1186" s="6"/>
      <c r="DI1186" s="6"/>
      <c r="DJ1186" s="6"/>
      <c r="DK1186" s="6"/>
      <c r="DL1186" s="6"/>
      <c r="DM1186" s="6"/>
      <c r="DN1186" s="6"/>
      <c r="DO1186" s="6"/>
      <c r="DP1186" s="6"/>
      <c r="DQ1186" s="6"/>
      <c r="DR1186" s="6"/>
      <c r="DS1186" s="6"/>
      <c r="DT1186" s="6"/>
      <c r="DU1186" s="6"/>
      <c r="DV1186" s="6"/>
      <c r="DW1186" s="6"/>
      <c r="DX1186" s="6"/>
      <c r="DY1186" s="6"/>
      <c r="DZ1186" s="6"/>
      <c r="EA1186" s="6"/>
      <c r="EB1186" s="6"/>
      <c r="EC1186" s="6"/>
      <c r="ED1186" s="6"/>
      <c r="EE1186" s="6"/>
      <c r="EF1186" s="6"/>
      <c r="EG1186" s="6"/>
      <c r="EH1186" s="6"/>
      <c r="EI1186" s="6"/>
      <c r="EJ1186" s="6"/>
      <c r="EK1186" s="6"/>
      <c r="EL1186" s="6"/>
      <c r="EM1186" s="6"/>
      <c r="EN1186" s="6"/>
      <c r="EO1186" s="6"/>
      <c r="EP1186" s="6"/>
      <c r="EQ1186" s="6"/>
      <c r="ER1186" s="6"/>
      <c r="ES1186" s="6"/>
      <c r="ET1186" s="6"/>
      <c r="EU1186" s="6"/>
      <c r="EV1186" s="6"/>
      <c r="EW1186" s="6"/>
      <c r="EX1186" s="6"/>
      <c r="EY1186" s="6"/>
      <c r="EZ1186" s="6"/>
      <c r="FA1186" s="6"/>
      <c r="FB1186" s="6"/>
      <c r="FC1186" s="6"/>
      <c r="FD1186" s="6"/>
      <c r="FE1186" s="6"/>
      <c r="FF1186" s="6"/>
      <c r="FG1186" s="6"/>
      <c r="FH1186" s="6"/>
      <c r="FI1186" s="6"/>
      <c r="FJ1186" s="6"/>
      <c r="FK1186" s="6"/>
      <c r="FL1186" s="6"/>
      <c r="FM1186" s="6"/>
      <c r="FN1186" s="6"/>
      <c r="FO1186" s="6"/>
      <c r="FP1186" s="6"/>
      <c r="FQ1186" s="6"/>
      <c r="FR1186" s="6"/>
      <c r="FS1186" s="6"/>
      <c r="FT1186" s="6"/>
      <c r="FU1186" s="6"/>
      <c r="FV1186" s="6"/>
      <c r="FW1186" s="6"/>
      <c r="FX1186" s="6"/>
      <c r="FY1186" s="6"/>
      <c r="FZ1186" s="6"/>
      <c r="GA1186" s="6"/>
      <c r="GB1186" s="6"/>
      <c r="GC1186" s="6"/>
      <c r="GD1186" s="6"/>
      <c r="GE1186" s="6"/>
      <c r="GF1186" s="6"/>
      <c r="GG1186" s="6"/>
      <c r="GH1186" s="6"/>
      <c r="GI1186" s="6"/>
      <c r="GJ1186" s="6"/>
      <c r="GK1186" s="6"/>
      <c r="GL1186" s="6"/>
      <c r="GM1186" s="6"/>
      <c r="GN1186" s="6"/>
      <c r="GO1186" s="6"/>
      <c r="GP1186" s="6"/>
      <c r="GQ1186" s="6"/>
      <c r="GR1186" s="6"/>
      <c r="GS1186" s="6"/>
      <c r="GT1186" s="6"/>
      <c r="GU1186" s="6"/>
      <c r="GV1186" s="6"/>
      <c r="GW1186" s="6"/>
      <c r="GX1186" s="6"/>
      <c r="GY1186" s="6"/>
      <c r="GZ1186" s="6"/>
      <c r="HA1186" s="6"/>
      <c r="HB1186" s="6"/>
      <c r="HC1186" s="6"/>
      <c r="HD1186" s="6"/>
      <c r="HE1186" s="6"/>
      <c r="HF1186" s="6"/>
      <c r="HG1186" s="6"/>
      <c r="HH1186" s="6"/>
    </row>
    <row r="1187" spans="1:216" x14ac:dyDescent="0.3">
      <c r="A1187" s="8"/>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6"/>
      <c r="AR1187" s="6"/>
      <c r="AS1187" s="6"/>
      <c r="AT1187" s="6"/>
      <c r="AU1187" s="6"/>
      <c r="AV1187" s="6"/>
      <c r="AW1187" s="6"/>
      <c r="AX1187" s="6"/>
      <c r="AY1187" s="6"/>
      <c r="AZ1187" s="6"/>
      <c r="BA1187" s="6"/>
      <c r="BB1187" s="6"/>
      <c r="BC1187" s="6"/>
      <c r="BD1187" s="6"/>
      <c r="BE1187" s="6"/>
      <c r="BF1187" s="6"/>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c r="DX1187" s="6"/>
      <c r="DY1187" s="6"/>
      <c r="DZ1187" s="6"/>
      <c r="EA1187" s="6"/>
      <c r="EB1187" s="6"/>
      <c r="EC1187" s="6"/>
      <c r="ED1187" s="6"/>
      <c r="EE1187" s="6"/>
      <c r="EF1187" s="6"/>
      <c r="EG1187" s="6"/>
      <c r="EH1187" s="6"/>
      <c r="EI1187" s="6"/>
      <c r="EJ1187" s="6"/>
      <c r="EK1187" s="6"/>
      <c r="EL1187" s="6"/>
      <c r="EM1187" s="6"/>
      <c r="EN1187" s="6"/>
      <c r="EO1187" s="6"/>
      <c r="EP1187" s="6"/>
      <c r="EQ1187" s="6"/>
      <c r="ER1187" s="6"/>
      <c r="ES1187" s="6"/>
      <c r="ET1187" s="6"/>
      <c r="EU1187" s="6"/>
      <c r="EV1187" s="6"/>
      <c r="EW1187" s="6"/>
      <c r="EX1187" s="6"/>
      <c r="EY1187" s="6"/>
      <c r="EZ1187" s="6"/>
      <c r="FA1187" s="6"/>
      <c r="FB1187" s="6"/>
      <c r="FC1187" s="6"/>
      <c r="FD1187" s="6"/>
      <c r="FE1187" s="6"/>
      <c r="FF1187" s="6"/>
      <c r="FG1187" s="6"/>
      <c r="FH1187" s="6"/>
      <c r="FI1187" s="6"/>
      <c r="FJ1187" s="6"/>
      <c r="FK1187" s="6"/>
      <c r="FL1187" s="6"/>
      <c r="FM1187" s="6"/>
      <c r="FN1187" s="6"/>
      <c r="FO1187" s="6"/>
      <c r="FP1187" s="6"/>
      <c r="FQ1187" s="6"/>
      <c r="FR1187" s="6"/>
      <c r="FS1187" s="6"/>
      <c r="FT1187" s="6"/>
      <c r="FU1187" s="6"/>
      <c r="FV1187" s="6"/>
      <c r="FW1187" s="6"/>
      <c r="FX1187" s="6"/>
      <c r="FY1187" s="6"/>
      <c r="FZ1187" s="6"/>
      <c r="GA1187" s="6"/>
      <c r="GB1187" s="6"/>
      <c r="GC1187" s="6"/>
      <c r="GD1187" s="6"/>
      <c r="GE1187" s="6"/>
      <c r="GF1187" s="6"/>
      <c r="GG1187" s="6"/>
      <c r="GH1187" s="6"/>
      <c r="GI1187" s="6"/>
      <c r="GJ1187" s="6"/>
      <c r="GK1187" s="6"/>
      <c r="GL1187" s="6"/>
      <c r="GM1187" s="6"/>
      <c r="GN1187" s="6"/>
      <c r="GO1187" s="6"/>
      <c r="GP1187" s="6"/>
      <c r="GQ1187" s="6"/>
      <c r="GR1187" s="6"/>
      <c r="GS1187" s="6"/>
      <c r="GT1187" s="6"/>
      <c r="GU1187" s="6"/>
      <c r="GV1187" s="6"/>
      <c r="GW1187" s="6"/>
      <c r="GX1187" s="6"/>
      <c r="GY1187" s="6"/>
      <c r="GZ1187" s="6"/>
      <c r="HA1187" s="6"/>
      <c r="HB1187" s="6"/>
      <c r="HC1187" s="6"/>
      <c r="HD1187" s="6"/>
      <c r="HE1187" s="6"/>
      <c r="HF1187" s="6"/>
      <c r="HG1187" s="6"/>
      <c r="HH1187" s="6"/>
    </row>
    <row r="1188" spans="1:216" x14ac:dyDescent="0.3">
      <c r="A1188" s="8"/>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6"/>
      <c r="AR1188" s="6"/>
      <c r="AS1188" s="6"/>
      <c r="AT1188" s="6"/>
      <c r="AU1188" s="6"/>
      <c r="AV1188" s="6"/>
      <c r="AW1188" s="6"/>
      <c r="AX1188" s="6"/>
      <c r="AY1188" s="6"/>
      <c r="AZ1188" s="6"/>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c r="DX1188" s="6"/>
      <c r="DY1188" s="6"/>
      <c r="DZ1188" s="6"/>
      <c r="EA1188" s="6"/>
      <c r="EB1188" s="6"/>
      <c r="EC1188" s="6"/>
      <c r="ED1188" s="6"/>
      <c r="EE1188" s="6"/>
      <c r="EF1188" s="6"/>
      <c r="EG1188" s="6"/>
      <c r="EH1188" s="6"/>
      <c r="EI1188" s="6"/>
      <c r="EJ1188" s="6"/>
      <c r="EK1188" s="6"/>
      <c r="EL1188" s="6"/>
      <c r="EM1188" s="6"/>
      <c r="EN1188" s="6"/>
      <c r="EO1188" s="6"/>
      <c r="EP1188" s="6"/>
      <c r="EQ1188" s="6"/>
      <c r="ER1188" s="6"/>
      <c r="ES1188" s="6"/>
      <c r="ET1188" s="6"/>
      <c r="EU1188" s="6"/>
      <c r="EV1188" s="6"/>
      <c r="EW1188" s="6"/>
      <c r="EX1188" s="6"/>
      <c r="EY1188" s="6"/>
      <c r="EZ1188" s="6"/>
      <c r="FA1188" s="6"/>
      <c r="FB1188" s="6"/>
      <c r="FC1188" s="6"/>
      <c r="FD1188" s="6"/>
      <c r="FE1188" s="6"/>
      <c r="FF1188" s="6"/>
      <c r="FG1188" s="6"/>
      <c r="FH1188" s="6"/>
      <c r="FI1188" s="6"/>
      <c r="FJ1188" s="6"/>
      <c r="FK1188" s="6"/>
      <c r="FL1188" s="6"/>
      <c r="FM1188" s="6"/>
      <c r="FN1188" s="6"/>
      <c r="FO1188" s="6"/>
      <c r="FP1188" s="6"/>
      <c r="FQ1188" s="6"/>
      <c r="FR1188" s="6"/>
      <c r="FS1188" s="6"/>
      <c r="FT1188" s="6"/>
      <c r="FU1188" s="6"/>
      <c r="FV1188" s="6"/>
      <c r="FW1188" s="6"/>
      <c r="FX1188" s="6"/>
      <c r="FY1188" s="6"/>
      <c r="FZ1188" s="6"/>
      <c r="GA1188" s="6"/>
      <c r="GB1188" s="6"/>
      <c r="GC1188" s="6"/>
      <c r="GD1188" s="6"/>
      <c r="GE1188" s="6"/>
      <c r="GF1188" s="6"/>
      <c r="GG1188" s="6"/>
      <c r="GH1188" s="6"/>
      <c r="GI1188" s="6"/>
      <c r="GJ1188" s="6"/>
      <c r="GK1188" s="6"/>
      <c r="GL1188" s="6"/>
      <c r="GM1188" s="6"/>
      <c r="GN1188" s="6"/>
      <c r="GO1188" s="6"/>
      <c r="GP1188" s="6"/>
      <c r="GQ1188" s="6"/>
      <c r="GR1188" s="6"/>
      <c r="GS1188" s="6"/>
      <c r="GT1188" s="6"/>
      <c r="GU1188" s="6"/>
      <c r="GV1188" s="6"/>
      <c r="GW1188" s="6"/>
      <c r="GX1188" s="6"/>
      <c r="GY1188" s="6"/>
      <c r="GZ1188" s="6"/>
      <c r="HA1188" s="6"/>
      <c r="HB1188" s="6"/>
      <c r="HC1188" s="6"/>
      <c r="HD1188" s="6"/>
      <c r="HE1188" s="6"/>
      <c r="HF1188" s="6"/>
      <c r="HG1188" s="6"/>
      <c r="HH1188" s="6"/>
    </row>
    <row r="1189" spans="1:216" x14ac:dyDescent="0.3">
      <c r="A1189" s="8"/>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6"/>
      <c r="AR1189" s="6"/>
      <c r="AS1189" s="6"/>
      <c r="AT1189" s="6"/>
      <c r="AU1189" s="6"/>
      <c r="AV1189" s="6"/>
      <c r="AW1189" s="6"/>
      <c r="AX1189" s="6"/>
      <c r="AY1189" s="6"/>
      <c r="AZ1189" s="6"/>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c r="DX1189" s="6"/>
      <c r="DY1189" s="6"/>
      <c r="DZ1189" s="6"/>
      <c r="EA1189" s="6"/>
      <c r="EB1189" s="6"/>
      <c r="EC1189" s="6"/>
      <c r="ED1189" s="6"/>
      <c r="EE1189" s="6"/>
      <c r="EF1189" s="6"/>
      <c r="EG1189" s="6"/>
      <c r="EH1189" s="6"/>
      <c r="EI1189" s="6"/>
      <c r="EJ1189" s="6"/>
      <c r="EK1189" s="6"/>
      <c r="EL1189" s="6"/>
      <c r="EM1189" s="6"/>
      <c r="EN1189" s="6"/>
      <c r="EO1189" s="6"/>
      <c r="EP1189" s="6"/>
      <c r="EQ1189" s="6"/>
      <c r="ER1189" s="6"/>
      <c r="ES1189" s="6"/>
      <c r="ET1189" s="6"/>
      <c r="EU1189" s="6"/>
      <c r="EV1189" s="6"/>
      <c r="EW1189" s="6"/>
      <c r="EX1189" s="6"/>
      <c r="EY1189" s="6"/>
      <c r="EZ1189" s="6"/>
      <c r="FA1189" s="6"/>
      <c r="FB1189" s="6"/>
      <c r="FC1189" s="6"/>
      <c r="FD1189" s="6"/>
      <c r="FE1189" s="6"/>
      <c r="FF1189" s="6"/>
      <c r="FG1189" s="6"/>
      <c r="FH1189" s="6"/>
      <c r="FI1189" s="6"/>
      <c r="FJ1189" s="6"/>
      <c r="FK1189" s="6"/>
      <c r="FL1189" s="6"/>
      <c r="FM1189" s="6"/>
      <c r="FN1189" s="6"/>
      <c r="FO1189" s="6"/>
      <c r="FP1189" s="6"/>
      <c r="FQ1189" s="6"/>
      <c r="FR1189" s="6"/>
      <c r="FS1189" s="6"/>
      <c r="FT1189" s="6"/>
      <c r="FU1189" s="6"/>
      <c r="FV1189" s="6"/>
      <c r="FW1189" s="6"/>
      <c r="FX1189" s="6"/>
      <c r="FY1189" s="6"/>
      <c r="FZ1189" s="6"/>
      <c r="GA1189" s="6"/>
      <c r="GB1189" s="6"/>
      <c r="GC1189" s="6"/>
      <c r="GD1189" s="6"/>
      <c r="GE1189" s="6"/>
      <c r="GF1189" s="6"/>
      <c r="GG1189" s="6"/>
      <c r="GH1189" s="6"/>
      <c r="GI1189" s="6"/>
      <c r="GJ1189" s="6"/>
      <c r="GK1189" s="6"/>
      <c r="GL1189" s="6"/>
      <c r="GM1189" s="6"/>
      <c r="GN1189" s="6"/>
      <c r="GO1189" s="6"/>
      <c r="GP1189" s="6"/>
      <c r="GQ1189" s="6"/>
      <c r="GR1189" s="6"/>
      <c r="GS1189" s="6"/>
      <c r="GT1189" s="6"/>
      <c r="GU1189" s="6"/>
      <c r="GV1189" s="6"/>
      <c r="GW1189" s="6"/>
      <c r="GX1189" s="6"/>
      <c r="GY1189" s="6"/>
      <c r="GZ1189" s="6"/>
      <c r="HA1189" s="6"/>
      <c r="HB1189" s="6"/>
      <c r="HC1189" s="6"/>
      <c r="HD1189" s="6"/>
      <c r="HE1189" s="6"/>
      <c r="HF1189" s="6"/>
      <c r="HG1189" s="6"/>
      <c r="HH1189" s="6"/>
    </row>
    <row r="1190" spans="1:216" x14ac:dyDescent="0.3">
      <c r="A1190" s="8"/>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6"/>
      <c r="AR1190" s="6"/>
      <c r="AS1190" s="6"/>
      <c r="AT1190" s="6"/>
      <c r="AU1190" s="6"/>
      <c r="AV1190" s="6"/>
      <c r="AW1190" s="6"/>
      <c r="AX1190" s="6"/>
      <c r="AY1190" s="6"/>
      <c r="AZ1190" s="6"/>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c r="DX1190" s="6"/>
      <c r="DY1190" s="6"/>
      <c r="DZ1190" s="6"/>
      <c r="EA1190" s="6"/>
      <c r="EB1190" s="6"/>
      <c r="EC1190" s="6"/>
      <c r="ED1190" s="6"/>
      <c r="EE1190" s="6"/>
      <c r="EF1190" s="6"/>
      <c r="EG1190" s="6"/>
      <c r="EH1190" s="6"/>
      <c r="EI1190" s="6"/>
      <c r="EJ1190" s="6"/>
      <c r="EK1190" s="6"/>
      <c r="EL1190" s="6"/>
      <c r="EM1190" s="6"/>
      <c r="EN1190" s="6"/>
      <c r="EO1190" s="6"/>
      <c r="EP1190" s="6"/>
      <c r="EQ1190" s="6"/>
      <c r="ER1190" s="6"/>
      <c r="ES1190" s="6"/>
      <c r="ET1190" s="6"/>
      <c r="EU1190" s="6"/>
      <c r="EV1190" s="6"/>
      <c r="EW1190" s="6"/>
      <c r="EX1190" s="6"/>
      <c r="EY1190" s="6"/>
      <c r="EZ1190" s="6"/>
      <c r="FA1190" s="6"/>
      <c r="FB1190" s="6"/>
      <c r="FC1190" s="6"/>
      <c r="FD1190" s="6"/>
      <c r="FE1190" s="6"/>
      <c r="FF1190" s="6"/>
      <c r="FG1190" s="6"/>
      <c r="FH1190" s="6"/>
      <c r="FI1190" s="6"/>
      <c r="FJ1190" s="6"/>
      <c r="FK1190" s="6"/>
      <c r="FL1190" s="6"/>
      <c r="FM1190" s="6"/>
      <c r="FN1190" s="6"/>
      <c r="FO1190" s="6"/>
      <c r="FP1190" s="6"/>
      <c r="FQ1190" s="6"/>
      <c r="FR1190" s="6"/>
      <c r="FS1190" s="6"/>
      <c r="FT1190" s="6"/>
      <c r="FU1190" s="6"/>
      <c r="FV1190" s="6"/>
      <c r="FW1190" s="6"/>
      <c r="FX1190" s="6"/>
      <c r="FY1190" s="6"/>
      <c r="FZ1190" s="6"/>
      <c r="GA1190" s="6"/>
      <c r="GB1190" s="6"/>
      <c r="GC1190" s="6"/>
      <c r="GD1190" s="6"/>
      <c r="GE1190" s="6"/>
      <c r="GF1190" s="6"/>
      <c r="GG1190" s="6"/>
      <c r="GH1190" s="6"/>
      <c r="GI1190" s="6"/>
      <c r="GJ1190" s="6"/>
      <c r="GK1190" s="6"/>
      <c r="GL1190" s="6"/>
      <c r="GM1190" s="6"/>
      <c r="GN1190" s="6"/>
      <c r="GO1190" s="6"/>
      <c r="GP1190" s="6"/>
      <c r="GQ1190" s="6"/>
      <c r="GR1190" s="6"/>
      <c r="GS1190" s="6"/>
      <c r="GT1190" s="6"/>
      <c r="GU1190" s="6"/>
      <c r="GV1190" s="6"/>
      <c r="GW1190" s="6"/>
      <c r="GX1190" s="6"/>
      <c r="GY1190" s="6"/>
      <c r="GZ1190" s="6"/>
      <c r="HA1190" s="6"/>
      <c r="HB1190" s="6"/>
      <c r="HC1190" s="6"/>
      <c r="HD1190" s="6"/>
      <c r="HE1190" s="6"/>
      <c r="HF1190" s="6"/>
      <c r="HG1190" s="6"/>
      <c r="HH1190" s="6"/>
    </row>
    <row r="1191" spans="1:216" x14ac:dyDescent="0.3">
      <c r="A1191" s="8"/>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6"/>
      <c r="AR1191" s="6"/>
      <c r="AS1191" s="6"/>
      <c r="AT1191" s="6"/>
      <c r="AU1191" s="6"/>
      <c r="AV1191" s="6"/>
      <c r="AW1191" s="6"/>
      <c r="AX1191" s="6"/>
      <c r="AY1191" s="6"/>
      <c r="AZ1191" s="6"/>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c r="DX1191" s="6"/>
      <c r="DY1191" s="6"/>
      <c r="DZ1191" s="6"/>
      <c r="EA1191" s="6"/>
      <c r="EB1191" s="6"/>
      <c r="EC1191" s="6"/>
      <c r="ED1191" s="6"/>
      <c r="EE1191" s="6"/>
      <c r="EF1191" s="6"/>
      <c r="EG1191" s="6"/>
      <c r="EH1191" s="6"/>
      <c r="EI1191" s="6"/>
      <c r="EJ1191" s="6"/>
      <c r="EK1191" s="6"/>
      <c r="EL1191" s="6"/>
      <c r="EM1191" s="6"/>
      <c r="EN1191" s="6"/>
      <c r="EO1191" s="6"/>
      <c r="EP1191" s="6"/>
      <c r="EQ1191" s="6"/>
      <c r="ER1191" s="6"/>
      <c r="ES1191" s="6"/>
      <c r="ET1191" s="6"/>
      <c r="EU1191" s="6"/>
      <c r="EV1191" s="6"/>
      <c r="EW1191" s="6"/>
      <c r="EX1191" s="6"/>
      <c r="EY1191" s="6"/>
      <c r="EZ1191" s="6"/>
      <c r="FA1191" s="6"/>
      <c r="FB1191" s="6"/>
      <c r="FC1191" s="6"/>
      <c r="FD1191" s="6"/>
      <c r="FE1191" s="6"/>
      <c r="FF1191" s="6"/>
      <c r="FG1191" s="6"/>
      <c r="FH1191" s="6"/>
      <c r="FI1191" s="6"/>
      <c r="FJ1191" s="6"/>
      <c r="FK1191" s="6"/>
      <c r="FL1191" s="6"/>
      <c r="FM1191" s="6"/>
      <c r="FN1191" s="6"/>
      <c r="FO1191" s="6"/>
      <c r="FP1191" s="6"/>
      <c r="FQ1191" s="6"/>
      <c r="FR1191" s="6"/>
      <c r="FS1191" s="6"/>
      <c r="FT1191" s="6"/>
      <c r="FU1191" s="6"/>
      <c r="FV1191" s="6"/>
      <c r="FW1191" s="6"/>
      <c r="FX1191" s="6"/>
      <c r="FY1191" s="6"/>
      <c r="FZ1191" s="6"/>
      <c r="GA1191" s="6"/>
      <c r="GB1191" s="6"/>
      <c r="GC1191" s="6"/>
      <c r="GD1191" s="6"/>
      <c r="GE1191" s="6"/>
      <c r="GF1191" s="6"/>
      <c r="GG1191" s="6"/>
      <c r="GH1191" s="6"/>
      <c r="GI1191" s="6"/>
      <c r="GJ1191" s="6"/>
      <c r="GK1191" s="6"/>
      <c r="GL1191" s="6"/>
      <c r="GM1191" s="6"/>
      <c r="GN1191" s="6"/>
      <c r="GO1191" s="6"/>
      <c r="GP1191" s="6"/>
      <c r="GQ1191" s="6"/>
      <c r="GR1191" s="6"/>
      <c r="GS1191" s="6"/>
      <c r="GT1191" s="6"/>
      <c r="GU1191" s="6"/>
      <c r="GV1191" s="6"/>
      <c r="GW1191" s="6"/>
      <c r="GX1191" s="6"/>
      <c r="GY1191" s="6"/>
      <c r="GZ1191" s="6"/>
      <c r="HA1191" s="6"/>
      <c r="HB1191" s="6"/>
      <c r="HC1191" s="6"/>
      <c r="HD1191" s="6"/>
      <c r="HE1191" s="6"/>
      <c r="HF1191" s="6"/>
      <c r="HG1191" s="6"/>
      <c r="HH1191" s="6"/>
    </row>
    <row r="1192" spans="1:216" x14ac:dyDescent="0.3">
      <c r="A1192" s="8"/>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6"/>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c r="DX1192" s="6"/>
      <c r="DY1192" s="6"/>
      <c r="DZ1192" s="6"/>
      <c r="EA1192" s="6"/>
      <c r="EB1192" s="6"/>
      <c r="EC1192" s="6"/>
      <c r="ED1192" s="6"/>
      <c r="EE1192" s="6"/>
      <c r="EF1192" s="6"/>
      <c r="EG1192" s="6"/>
      <c r="EH1192" s="6"/>
      <c r="EI1192" s="6"/>
      <c r="EJ1192" s="6"/>
      <c r="EK1192" s="6"/>
      <c r="EL1192" s="6"/>
      <c r="EM1192" s="6"/>
      <c r="EN1192" s="6"/>
      <c r="EO1192" s="6"/>
      <c r="EP1192" s="6"/>
      <c r="EQ1192" s="6"/>
      <c r="ER1192" s="6"/>
      <c r="ES1192" s="6"/>
      <c r="ET1192" s="6"/>
      <c r="EU1192" s="6"/>
      <c r="EV1192" s="6"/>
      <c r="EW1192" s="6"/>
      <c r="EX1192" s="6"/>
      <c r="EY1192" s="6"/>
      <c r="EZ1192" s="6"/>
      <c r="FA1192" s="6"/>
      <c r="FB1192" s="6"/>
      <c r="FC1192" s="6"/>
      <c r="FD1192" s="6"/>
      <c r="FE1192" s="6"/>
      <c r="FF1192" s="6"/>
      <c r="FG1192" s="6"/>
      <c r="FH1192" s="6"/>
      <c r="FI1192" s="6"/>
      <c r="FJ1192" s="6"/>
      <c r="FK1192" s="6"/>
      <c r="FL1192" s="6"/>
      <c r="FM1192" s="6"/>
      <c r="FN1192" s="6"/>
      <c r="FO1192" s="6"/>
      <c r="FP1192" s="6"/>
      <c r="FQ1192" s="6"/>
      <c r="FR1192" s="6"/>
      <c r="FS1192" s="6"/>
      <c r="FT1192" s="6"/>
      <c r="FU1192" s="6"/>
      <c r="FV1192" s="6"/>
      <c r="FW1192" s="6"/>
      <c r="FX1192" s="6"/>
      <c r="FY1192" s="6"/>
      <c r="FZ1192" s="6"/>
      <c r="GA1192" s="6"/>
      <c r="GB1192" s="6"/>
      <c r="GC1192" s="6"/>
      <c r="GD1192" s="6"/>
      <c r="GE1192" s="6"/>
      <c r="GF1192" s="6"/>
      <c r="GG1192" s="6"/>
      <c r="GH1192" s="6"/>
      <c r="GI1192" s="6"/>
      <c r="GJ1192" s="6"/>
      <c r="GK1192" s="6"/>
      <c r="GL1192" s="6"/>
      <c r="GM1192" s="6"/>
      <c r="GN1192" s="6"/>
      <c r="GO1192" s="6"/>
      <c r="GP1192" s="6"/>
      <c r="GQ1192" s="6"/>
      <c r="GR1192" s="6"/>
      <c r="GS1192" s="6"/>
      <c r="GT1192" s="6"/>
      <c r="GU1192" s="6"/>
      <c r="GV1192" s="6"/>
      <c r="GW1192" s="6"/>
      <c r="GX1192" s="6"/>
      <c r="GY1192" s="6"/>
      <c r="GZ1192" s="6"/>
      <c r="HA1192" s="6"/>
      <c r="HB1192" s="6"/>
      <c r="HC1192" s="6"/>
      <c r="HD1192" s="6"/>
      <c r="HE1192" s="6"/>
      <c r="HF1192" s="6"/>
      <c r="HG1192" s="6"/>
      <c r="HH1192" s="6"/>
    </row>
    <row r="1193" spans="1:216" x14ac:dyDescent="0.3">
      <c r="A1193" s="8"/>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6"/>
      <c r="AR1193" s="6"/>
      <c r="AS1193" s="6"/>
      <c r="AT1193" s="6"/>
      <c r="AU1193" s="6"/>
      <c r="AV1193" s="6"/>
      <c r="AW1193" s="6"/>
      <c r="AX1193" s="6"/>
      <c r="AY1193" s="6"/>
      <c r="AZ1193" s="6"/>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c r="DX1193" s="6"/>
      <c r="DY1193" s="6"/>
      <c r="DZ1193" s="6"/>
      <c r="EA1193" s="6"/>
      <c r="EB1193" s="6"/>
      <c r="EC1193" s="6"/>
      <c r="ED1193" s="6"/>
      <c r="EE1193" s="6"/>
      <c r="EF1193" s="6"/>
      <c r="EG1193" s="6"/>
      <c r="EH1193" s="6"/>
      <c r="EI1193" s="6"/>
      <c r="EJ1193" s="6"/>
      <c r="EK1193" s="6"/>
      <c r="EL1193" s="6"/>
      <c r="EM1193" s="6"/>
      <c r="EN1193" s="6"/>
      <c r="EO1193" s="6"/>
      <c r="EP1193" s="6"/>
      <c r="EQ1193" s="6"/>
      <c r="ER1193" s="6"/>
      <c r="ES1193" s="6"/>
      <c r="ET1193" s="6"/>
      <c r="EU1193" s="6"/>
      <c r="EV1193" s="6"/>
      <c r="EW1193" s="6"/>
      <c r="EX1193" s="6"/>
      <c r="EY1193" s="6"/>
      <c r="EZ1193" s="6"/>
      <c r="FA1193" s="6"/>
      <c r="FB1193" s="6"/>
      <c r="FC1193" s="6"/>
      <c r="FD1193" s="6"/>
      <c r="FE1193" s="6"/>
      <c r="FF1193" s="6"/>
      <c r="FG1193" s="6"/>
      <c r="FH1193" s="6"/>
      <c r="FI1193" s="6"/>
      <c r="FJ1193" s="6"/>
      <c r="FK1193" s="6"/>
      <c r="FL1193" s="6"/>
      <c r="FM1193" s="6"/>
      <c r="FN1193" s="6"/>
      <c r="FO1193" s="6"/>
      <c r="FP1193" s="6"/>
      <c r="FQ1193" s="6"/>
      <c r="FR1193" s="6"/>
      <c r="FS1193" s="6"/>
      <c r="FT1193" s="6"/>
      <c r="FU1193" s="6"/>
      <c r="FV1193" s="6"/>
      <c r="FW1193" s="6"/>
      <c r="FX1193" s="6"/>
      <c r="FY1193" s="6"/>
      <c r="FZ1193" s="6"/>
      <c r="GA1193" s="6"/>
      <c r="GB1193" s="6"/>
      <c r="GC1193" s="6"/>
      <c r="GD1193" s="6"/>
      <c r="GE1193" s="6"/>
      <c r="GF1193" s="6"/>
      <c r="GG1193" s="6"/>
      <c r="GH1193" s="6"/>
      <c r="GI1193" s="6"/>
      <c r="GJ1193" s="6"/>
      <c r="GK1193" s="6"/>
      <c r="GL1193" s="6"/>
      <c r="GM1193" s="6"/>
      <c r="GN1193" s="6"/>
      <c r="GO1193" s="6"/>
      <c r="GP1193" s="6"/>
      <c r="GQ1193" s="6"/>
      <c r="GR1193" s="6"/>
      <c r="GS1193" s="6"/>
      <c r="GT1193" s="6"/>
      <c r="GU1193" s="6"/>
      <c r="GV1193" s="6"/>
      <c r="GW1193" s="6"/>
      <c r="GX1193" s="6"/>
      <c r="GY1193" s="6"/>
      <c r="GZ1193" s="6"/>
      <c r="HA1193" s="6"/>
      <c r="HB1193" s="6"/>
      <c r="HC1193" s="6"/>
      <c r="HD1193" s="6"/>
      <c r="HE1193" s="6"/>
      <c r="HF1193" s="6"/>
      <c r="HG1193" s="6"/>
      <c r="HH1193" s="6"/>
    </row>
    <row r="1194" spans="1:216" x14ac:dyDescent="0.3">
      <c r="A1194" s="8"/>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6"/>
      <c r="AR1194" s="6"/>
      <c r="AS1194" s="6"/>
      <c r="AT1194" s="6"/>
      <c r="AU1194" s="6"/>
      <c r="AV1194" s="6"/>
      <c r="AW1194" s="6"/>
      <c r="AX1194" s="6"/>
      <c r="AY1194" s="6"/>
      <c r="AZ1194" s="6"/>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c r="DX1194" s="6"/>
      <c r="DY1194" s="6"/>
      <c r="DZ1194" s="6"/>
      <c r="EA1194" s="6"/>
      <c r="EB1194" s="6"/>
      <c r="EC1194" s="6"/>
      <c r="ED1194" s="6"/>
      <c r="EE1194" s="6"/>
      <c r="EF1194" s="6"/>
      <c r="EG1194" s="6"/>
      <c r="EH1194" s="6"/>
      <c r="EI1194" s="6"/>
      <c r="EJ1194" s="6"/>
      <c r="EK1194" s="6"/>
      <c r="EL1194" s="6"/>
      <c r="EM1194" s="6"/>
      <c r="EN1194" s="6"/>
      <c r="EO1194" s="6"/>
      <c r="EP1194" s="6"/>
      <c r="EQ1194" s="6"/>
      <c r="ER1194" s="6"/>
      <c r="ES1194" s="6"/>
      <c r="ET1194" s="6"/>
      <c r="EU1194" s="6"/>
      <c r="EV1194" s="6"/>
      <c r="EW1194" s="6"/>
      <c r="EX1194" s="6"/>
      <c r="EY1194" s="6"/>
      <c r="EZ1194" s="6"/>
      <c r="FA1194" s="6"/>
      <c r="FB1194" s="6"/>
      <c r="FC1194" s="6"/>
      <c r="FD1194" s="6"/>
      <c r="FE1194" s="6"/>
      <c r="FF1194" s="6"/>
      <c r="FG1194" s="6"/>
      <c r="FH1194" s="6"/>
      <c r="FI1194" s="6"/>
      <c r="FJ1194" s="6"/>
      <c r="FK1194" s="6"/>
      <c r="FL1194" s="6"/>
      <c r="FM1194" s="6"/>
      <c r="FN1194" s="6"/>
      <c r="FO1194" s="6"/>
      <c r="FP1194" s="6"/>
      <c r="FQ1194" s="6"/>
      <c r="FR1194" s="6"/>
      <c r="FS1194" s="6"/>
      <c r="FT1194" s="6"/>
      <c r="FU1194" s="6"/>
      <c r="FV1194" s="6"/>
      <c r="FW1194" s="6"/>
      <c r="FX1194" s="6"/>
      <c r="FY1194" s="6"/>
      <c r="FZ1194" s="6"/>
      <c r="GA1194" s="6"/>
      <c r="GB1194" s="6"/>
      <c r="GC1194" s="6"/>
      <c r="GD1194" s="6"/>
      <c r="GE1194" s="6"/>
      <c r="GF1194" s="6"/>
      <c r="GG1194" s="6"/>
      <c r="GH1194" s="6"/>
      <c r="GI1194" s="6"/>
      <c r="GJ1194" s="6"/>
      <c r="GK1194" s="6"/>
      <c r="GL1194" s="6"/>
      <c r="GM1194" s="6"/>
      <c r="GN1194" s="6"/>
      <c r="GO1194" s="6"/>
      <c r="GP1194" s="6"/>
      <c r="GQ1194" s="6"/>
      <c r="GR1194" s="6"/>
      <c r="GS1194" s="6"/>
      <c r="GT1194" s="6"/>
      <c r="GU1194" s="6"/>
      <c r="GV1194" s="6"/>
      <c r="GW1194" s="6"/>
      <c r="GX1194" s="6"/>
      <c r="GY1194" s="6"/>
      <c r="GZ1194" s="6"/>
      <c r="HA1194" s="6"/>
      <c r="HB1194" s="6"/>
      <c r="HC1194" s="6"/>
      <c r="HD1194" s="6"/>
      <c r="HE1194" s="6"/>
      <c r="HF1194" s="6"/>
      <c r="HG1194" s="6"/>
      <c r="HH1194" s="6"/>
    </row>
    <row r="1195" spans="1:216" x14ac:dyDescent="0.3">
      <c r="A1195" s="8"/>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6"/>
      <c r="AR1195" s="6"/>
      <c r="AS1195" s="6"/>
      <c r="AT1195" s="6"/>
      <c r="AU1195" s="6"/>
      <c r="AV1195" s="6"/>
      <c r="AW1195" s="6"/>
      <c r="AX1195" s="6"/>
      <c r="AY1195" s="6"/>
      <c r="AZ1195" s="6"/>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c r="DX1195" s="6"/>
      <c r="DY1195" s="6"/>
      <c r="DZ1195" s="6"/>
      <c r="EA1195" s="6"/>
      <c r="EB1195" s="6"/>
      <c r="EC1195" s="6"/>
      <c r="ED1195" s="6"/>
      <c r="EE1195" s="6"/>
      <c r="EF1195" s="6"/>
      <c r="EG1195" s="6"/>
      <c r="EH1195" s="6"/>
      <c r="EI1195" s="6"/>
      <c r="EJ1195" s="6"/>
      <c r="EK1195" s="6"/>
      <c r="EL1195" s="6"/>
      <c r="EM1195" s="6"/>
      <c r="EN1195" s="6"/>
      <c r="EO1195" s="6"/>
      <c r="EP1195" s="6"/>
      <c r="EQ1195" s="6"/>
      <c r="ER1195" s="6"/>
      <c r="ES1195" s="6"/>
      <c r="ET1195" s="6"/>
      <c r="EU1195" s="6"/>
      <c r="EV1195" s="6"/>
      <c r="EW1195" s="6"/>
      <c r="EX1195" s="6"/>
      <c r="EY1195" s="6"/>
      <c r="EZ1195" s="6"/>
      <c r="FA1195" s="6"/>
      <c r="FB1195" s="6"/>
      <c r="FC1195" s="6"/>
      <c r="FD1195" s="6"/>
      <c r="FE1195" s="6"/>
      <c r="FF1195" s="6"/>
      <c r="FG1195" s="6"/>
      <c r="FH1195" s="6"/>
      <c r="FI1195" s="6"/>
      <c r="FJ1195" s="6"/>
      <c r="FK1195" s="6"/>
      <c r="FL1195" s="6"/>
      <c r="FM1195" s="6"/>
      <c r="FN1195" s="6"/>
      <c r="FO1195" s="6"/>
      <c r="FP1195" s="6"/>
      <c r="FQ1195" s="6"/>
      <c r="FR1195" s="6"/>
      <c r="FS1195" s="6"/>
      <c r="FT1195" s="6"/>
      <c r="FU1195" s="6"/>
      <c r="FV1195" s="6"/>
      <c r="FW1195" s="6"/>
      <c r="FX1195" s="6"/>
      <c r="FY1195" s="6"/>
      <c r="FZ1195" s="6"/>
      <c r="GA1195" s="6"/>
      <c r="GB1195" s="6"/>
      <c r="GC1195" s="6"/>
      <c r="GD1195" s="6"/>
      <c r="GE1195" s="6"/>
      <c r="GF1195" s="6"/>
      <c r="GG1195" s="6"/>
      <c r="GH1195" s="6"/>
      <c r="GI1195" s="6"/>
      <c r="GJ1195" s="6"/>
      <c r="GK1195" s="6"/>
      <c r="GL1195" s="6"/>
      <c r="GM1195" s="6"/>
      <c r="GN1195" s="6"/>
      <c r="GO1195" s="6"/>
      <c r="GP1195" s="6"/>
      <c r="GQ1195" s="6"/>
      <c r="GR1195" s="6"/>
      <c r="GS1195" s="6"/>
      <c r="GT1195" s="6"/>
      <c r="GU1195" s="6"/>
      <c r="GV1195" s="6"/>
      <c r="GW1195" s="6"/>
      <c r="GX1195" s="6"/>
      <c r="GY1195" s="6"/>
      <c r="GZ1195" s="6"/>
      <c r="HA1195" s="6"/>
      <c r="HB1195" s="6"/>
      <c r="HC1195" s="6"/>
      <c r="HD1195" s="6"/>
      <c r="HE1195" s="6"/>
      <c r="HF1195" s="6"/>
      <c r="HG1195" s="6"/>
      <c r="HH1195" s="6"/>
    </row>
    <row r="1196" spans="1:216" x14ac:dyDescent="0.3">
      <c r="A1196" s="8"/>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6"/>
      <c r="AR1196" s="6"/>
      <c r="AS1196" s="6"/>
      <c r="AT1196" s="6"/>
      <c r="AU1196" s="6"/>
      <c r="AV1196" s="6"/>
      <c r="AW1196" s="6"/>
      <c r="AX1196" s="6"/>
      <c r="AY1196" s="6"/>
      <c r="AZ1196" s="6"/>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c r="DX1196" s="6"/>
      <c r="DY1196" s="6"/>
      <c r="DZ1196" s="6"/>
      <c r="EA1196" s="6"/>
      <c r="EB1196" s="6"/>
      <c r="EC1196" s="6"/>
      <c r="ED1196" s="6"/>
      <c r="EE1196" s="6"/>
      <c r="EF1196" s="6"/>
      <c r="EG1196" s="6"/>
      <c r="EH1196" s="6"/>
      <c r="EI1196" s="6"/>
      <c r="EJ1196" s="6"/>
      <c r="EK1196" s="6"/>
      <c r="EL1196" s="6"/>
      <c r="EM1196" s="6"/>
      <c r="EN1196" s="6"/>
      <c r="EO1196" s="6"/>
      <c r="EP1196" s="6"/>
      <c r="EQ1196" s="6"/>
      <c r="ER1196" s="6"/>
      <c r="ES1196" s="6"/>
      <c r="ET1196" s="6"/>
      <c r="EU1196" s="6"/>
      <c r="EV1196" s="6"/>
      <c r="EW1196" s="6"/>
      <c r="EX1196" s="6"/>
      <c r="EY1196" s="6"/>
      <c r="EZ1196" s="6"/>
      <c r="FA1196" s="6"/>
      <c r="FB1196" s="6"/>
      <c r="FC1196" s="6"/>
      <c r="FD1196" s="6"/>
      <c r="FE1196" s="6"/>
      <c r="FF1196" s="6"/>
      <c r="FG1196" s="6"/>
      <c r="FH1196" s="6"/>
      <c r="FI1196" s="6"/>
      <c r="FJ1196" s="6"/>
      <c r="FK1196" s="6"/>
      <c r="FL1196" s="6"/>
      <c r="FM1196" s="6"/>
      <c r="FN1196" s="6"/>
      <c r="FO1196" s="6"/>
      <c r="FP1196" s="6"/>
      <c r="FQ1196" s="6"/>
      <c r="FR1196" s="6"/>
      <c r="FS1196" s="6"/>
      <c r="FT1196" s="6"/>
      <c r="FU1196" s="6"/>
      <c r="FV1196" s="6"/>
      <c r="FW1196" s="6"/>
      <c r="FX1196" s="6"/>
      <c r="FY1196" s="6"/>
      <c r="FZ1196" s="6"/>
      <c r="GA1196" s="6"/>
      <c r="GB1196" s="6"/>
      <c r="GC1196" s="6"/>
      <c r="GD1196" s="6"/>
      <c r="GE1196" s="6"/>
      <c r="GF1196" s="6"/>
      <c r="GG1196" s="6"/>
      <c r="GH1196" s="6"/>
      <c r="GI1196" s="6"/>
      <c r="GJ1196" s="6"/>
      <c r="GK1196" s="6"/>
      <c r="GL1196" s="6"/>
      <c r="GM1196" s="6"/>
      <c r="GN1196" s="6"/>
      <c r="GO1196" s="6"/>
      <c r="GP1196" s="6"/>
      <c r="GQ1196" s="6"/>
      <c r="GR1196" s="6"/>
      <c r="GS1196" s="6"/>
      <c r="GT1196" s="6"/>
      <c r="GU1196" s="6"/>
      <c r="GV1196" s="6"/>
      <c r="GW1196" s="6"/>
      <c r="GX1196" s="6"/>
      <c r="GY1196" s="6"/>
      <c r="GZ1196" s="6"/>
      <c r="HA1196" s="6"/>
      <c r="HB1196" s="6"/>
      <c r="HC1196" s="6"/>
      <c r="HD1196" s="6"/>
      <c r="HE1196" s="6"/>
      <c r="HF1196" s="6"/>
      <c r="HG1196" s="6"/>
      <c r="HH1196" s="6"/>
    </row>
    <row r="1197" spans="1:216" x14ac:dyDescent="0.3">
      <c r="A1197" s="8"/>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6"/>
      <c r="AR1197" s="6"/>
      <c r="AS1197" s="6"/>
      <c r="AT1197" s="6"/>
      <c r="AU1197" s="6"/>
      <c r="AV1197" s="6"/>
      <c r="AW1197" s="6"/>
      <c r="AX1197" s="6"/>
      <c r="AY1197" s="6"/>
      <c r="AZ1197" s="6"/>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c r="DX1197" s="6"/>
      <c r="DY1197" s="6"/>
      <c r="DZ1197" s="6"/>
      <c r="EA1197" s="6"/>
      <c r="EB1197" s="6"/>
      <c r="EC1197" s="6"/>
      <c r="ED1197" s="6"/>
      <c r="EE1197" s="6"/>
      <c r="EF1197" s="6"/>
      <c r="EG1197" s="6"/>
      <c r="EH1197" s="6"/>
      <c r="EI1197" s="6"/>
      <c r="EJ1197" s="6"/>
      <c r="EK1197" s="6"/>
      <c r="EL1197" s="6"/>
      <c r="EM1197" s="6"/>
      <c r="EN1197" s="6"/>
      <c r="EO1197" s="6"/>
      <c r="EP1197" s="6"/>
      <c r="EQ1197" s="6"/>
      <c r="ER1197" s="6"/>
      <c r="ES1197" s="6"/>
      <c r="ET1197" s="6"/>
      <c r="EU1197" s="6"/>
      <c r="EV1197" s="6"/>
      <c r="EW1197" s="6"/>
      <c r="EX1197" s="6"/>
      <c r="EY1197" s="6"/>
      <c r="EZ1197" s="6"/>
      <c r="FA1197" s="6"/>
      <c r="FB1197" s="6"/>
      <c r="FC1197" s="6"/>
      <c r="FD1197" s="6"/>
      <c r="FE1197" s="6"/>
      <c r="FF1197" s="6"/>
      <c r="FG1197" s="6"/>
      <c r="FH1197" s="6"/>
      <c r="FI1197" s="6"/>
      <c r="FJ1197" s="6"/>
      <c r="FK1197" s="6"/>
      <c r="FL1197" s="6"/>
      <c r="FM1197" s="6"/>
      <c r="FN1197" s="6"/>
      <c r="FO1197" s="6"/>
      <c r="FP1197" s="6"/>
      <c r="FQ1197" s="6"/>
      <c r="FR1197" s="6"/>
      <c r="FS1197" s="6"/>
      <c r="FT1197" s="6"/>
      <c r="FU1197" s="6"/>
      <c r="FV1197" s="6"/>
      <c r="FW1197" s="6"/>
      <c r="FX1197" s="6"/>
      <c r="FY1197" s="6"/>
      <c r="FZ1197" s="6"/>
      <c r="GA1197" s="6"/>
      <c r="GB1197" s="6"/>
      <c r="GC1197" s="6"/>
      <c r="GD1197" s="6"/>
      <c r="GE1197" s="6"/>
      <c r="GF1197" s="6"/>
      <c r="GG1197" s="6"/>
      <c r="GH1197" s="6"/>
      <c r="GI1197" s="6"/>
      <c r="GJ1197" s="6"/>
      <c r="GK1197" s="6"/>
      <c r="GL1197" s="6"/>
      <c r="GM1197" s="6"/>
      <c r="GN1197" s="6"/>
      <c r="GO1197" s="6"/>
      <c r="GP1197" s="6"/>
      <c r="GQ1197" s="6"/>
      <c r="GR1197" s="6"/>
      <c r="GS1197" s="6"/>
      <c r="GT1197" s="6"/>
      <c r="GU1197" s="6"/>
      <c r="GV1197" s="6"/>
      <c r="GW1197" s="6"/>
      <c r="GX1197" s="6"/>
      <c r="GY1197" s="6"/>
      <c r="GZ1197" s="6"/>
      <c r="HA1197" s="6"/>
      <c r="HB1197" s="6"/>
      <c r="HC1197" s="6"/>
      <c r="HD1197" s="6"/>
      <c r="HE1197" s="6"/>
      <c r="HF1197" s="6"/>
      <c r="HG1197" s="6"/>
      <c r="HH1197" s="6"/>
    </row>
    <row r="1198" spans="1:216" x14ac:dyDescent="0.3">
      <c r="A1198" s="8"/>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6"/>
      <c r="AR1198" s="6"/>
      <c r="AS1198" s="6"/>
      <c r="AT1198" s="6"/>
      <c r="AU1198" s="6"/>
      <c r="AV1198" s="6"/>
      <c r="AW1198" s="6"/>
      <c r="AX1198" s="6"/>
      <c r="AY1198" s="6"/>
      <c r="AZ1198" s="6"/>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c r="DX1198" s="6"/>
      <c r="DY1198" s="6"/>
      <c r="DZ1198" s="6"/>
      <c r="EA1198" s="6"/>
      <c r="EB1198" s="6"/>
      <c r="EC1198" s="6"/>
      <c r="ED1198" s="6"/>
      <c r="EE1198" s="6"/>
      <c r="EF1198" s="6"/>
      <c r="EG1198" s="6"/>
      <c r="EH1198" s="6"/>
      <c r="EI1198" s="6"/>
      <c r="EJ1198" s="6"/>
      <c r="EK1198" s="6"/>
      <c r="EL1198" s="6"/>
      <c r="EM1198" s="6"/>
      <c r="EN1198" s="6"/>
      <c r="EO1198" s="6"/>
      <c r="EP1198" s="6"/>
      <c r="EQ1198" s="6"/>
      <c r="ER1198" s="6"/>
      <c r="ES1198" s="6"/>
      <c r="ET1198" s="6"/>
      <c r="EU1198" s="6"/>
      <c r="EV1198" s="6"/>
      <c r="EW1198" s="6"/>
      <c r="EX1198" s="6"/>
      <c r="EY1198" s="6"/>
      <c r="EZ1198" s="6"/>
      <c r="FA1198" s="6"/>
      <c r="FB1198" s="6"/>
      <c r="FC1198" s="6"/>
      <c r="FD1198" s="6"/>
      <c r="FE1198" s="6"/>
      <c r="FF1198" s="6"/>
      <c r="FG1198" s="6"/>
      <c r="FH1198" s="6"/>
      <c r="FI1198" s="6"/>
      <c r="FJ1198" s="6"/>
      <c r="FK1198" s="6"/>
      <c r="FL1198" s="6"/>
      <c r="FM1198" s="6"/>
      <c r="FN1198" s="6"/>
      <c r="FO1198" s="6"/>
      <c r="FP1198" s="6"/>
      <c r="FQ1198" s="6"/>
      <c r="FR1198" s="6"/>
      <c r="FS1198" s="6"/>
      <c r="FT1198" s="6"/>
      <c r="FU1198" s="6"/>
      <c r="FV1198" s="6"/>
      <c r="FW1198" s="6"/>
      <c r="FX1198" s="6"/>
      <c r="FY1198" s="6"/>
      <c r="FZ1198" s="6"/>
      <c r="GA1198" s="6"/>
      <c r="GB1198" s="6"/>
      <c r="GC1198" s="6"/>
      <c r="GD1198" s="6"/>
      <c r="GE1198" s="6"/>
      <c r="GF1198" s="6"/>
      <c r="GG1198" s="6"/>
      <c r="GH1198" s="6"/>
      <c r="GI1198" s="6"/>
      <c r="GJ1198" s="6"/>
      <c r="GK1198" s="6"/>
      <c r="GL1198" s="6"/>
      <c r="GM1198" s="6"/>
      <c r="GN1198" s="6"/>
      <c r="GO1198" s="6"/>
      <c r="GP1198" s="6"/>
      <c r="GQ1198" s="6"/>
      <c r="GR1198" s="6"/>
      <c r="GS1198" s="6"/>
      <c r="GT1198" s="6"/>
      <c r="GU1198" s="6"/>
      <c r="GV1198" s="6"/>
      <c r="GW1198" s="6"/>
      <c r="GX1198" s="6"/>
      <c r="GY1198" s="6"/>
      <c r="GZ1198" s="6"/>
      <c r="HA1198" s="6"/>
      <c r="HB1198" s="6"/>
      <c r="HC1198" s="6"/>
      <c r="HD1198" s="6"/>
      <c r="HE1198" s="6"/>
      <c r="HF1198" s="6"/>
      <c r="HG1198" s="6"/>
      <c r="HH1198" s="6"/>
    </row>
    <row r="1199" spans="1:216" x14ac:dyDescent="0.3">
      <c r="A1199" s="8"/>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6"/>
      <c r="AR1199" s="6"/>
      <c r="AS1199" s="6"/>
      <c r="AT1199" s="6"/>
      <c r="AU1199" s="6"/>
      <c r="AV1199" s="6"/>
      <c r="AW1199" s="6"/>
      <c r="AX1199" s="6"/>
      <c r="AY1199" s="6"/>
      <c r="AZ1199" s="6"/>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c r="DX1199" s="6"/>
      <c r="DY1199" s="6"/>
      <c r="DZ1199" s="6"/>
      <c r="EA1199" s="6"/>
      <c r="EB1199" s="6"/>
      <c r="EC1199" s="6"/>
      <c r="ED1199" s="6"/>
      <c r="EE1199" s="6"/>
      <c r="EF1199" s="6"/>
      <c r="EG1199" s="6"/>
      <c r="EH1199" s="6"/>
      <c r="EI1199" s="6"/>
      <c r="EJ1199" s="6"/>
      <c r="EK1199" s="6"/>
      <c r="EL1199" s="6"/>
      <c r="EM1199" s="6"/>
      <c r="EN1199" s="6"/>
      <c r="EO1199" s="6"/>
      <c r="EP1199" s="6"/>
      <c r="EQ1199" s="6"/>
      <c r="ER1199" s="6"/>
      <c r="ES1199" s="6"/>
      <c r="ET1199" s="6"/>
      <c r="EU1199" s="6"/>
      <c r="EV1199" s="6"/>
      <c r="EW1199" s="6"/>
      <c r="EX1199" s="6"/>
      <c r="EY1199" s="6"/>
      <c r="EZ1199" s="6"/>
      <c r="FA1199" s="6"/>
      <c r="FB1199" s="6"/>
      <c r="FC1199" s="6"/>
      <c r="FD1199" s="6"/>
      <c r="FE1199" s="6"/>
      <c r="FF1199" s="6"/>
      <c r="FG1199" s="6"/>
      <c r="FH1199" s="6"/>
      <c r="FI1199" s="6"/>
      <c r="FJ1199" s="6"/>
      <c r="FK1199" s="6"/>
      <c r="FL1199" s="6"/>
      <c r="FM1199" s="6"/>
      <c r="FN1199" s="6"/>
      <c r="FO1199" s="6"/>
      <c r="FP1199" s="6"/>
      <c r="FQ1199" s="6"/>
      <c r="FR1199" s="6"/>
      <c r="FS1199" s="6"/>
      <c r="FT1199" s="6"/>
      <c r="FU1199" s="6"/>
      <c r="FV1199" s="6"/>
      <c r="FW1199" s="6"/>
      <c r="FX1199" s="6"/>
      <c r="FY1199" s="6"/>
      <c r="FZ1199" s="6"/>
      <c r="GA1199" s="6"/>
      <c r="GB1199" s="6"/>
      <c r="GC1199" s="6"/>
      <c r="GD1199" s="6"/>
      <c r="GE1199" s="6"/>
      <c r="GF1199" s="6"/>
      <c r="GG1199" s="6"/>
      <c r="GH1199" s="6"/>
      <c r="GI1199" s="6"/>
      <c r="GJ1199" s="6"/>
      <c r="GK1199" s="6"/>
      <c r="GL1199" s="6"/>
      <c r="GM1199" s="6"/>
      <c r="GN1199" s="6"/>
      <c r="GO1199" s="6"/>
      <c r="GP1199" s="6"/>
      <c r="GQ1199" s="6"/>
      <c r="GR1199" s="6"/>
      <c r="GS1199" s="6"/>
      <c r="GT1199" s="6"/>
      <c r="GU1199" s="6"/>
      <c r="GV1199" s="6"/>
      <c r="GW1199" s="6"/>
      <c r="GX1199" s="6"/>
      <c r="GY1199" s="6"/>
      <c r="GZ1199" s="6"/>
      <c r="HA1199" s="6"/>
      <c r="HB1199" s="6"/>
      <c r="HC1199" s="6"/>
      <c r="HD1199" s="6"/>
      <c r="HE1199" s="6"/>
      <c r="HF1199" s="6"/>
      <c r="HG1199" s="6"/>
      <c r="HH1199" s="6"/>
    </row>
    <row r="1200" spans="1:216" x14ac:dyDescent="0.3">
      <c r="A1200" s="8"/>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6"/>
      <c r="AR1200" s="6"/>
      <c r="AS1200" s="6"/>
      <c r="AT1200" s="6"/>
      <c r="AU1200" s="6"/>
      <c r="AV1200" s="6"/>
      <c r="AW1200" s="6"/>
      <c r="AX1200" s="6"/>
      <c r="AY1200" s="6"/>
      <c r="AZ1200" s="6"/>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c r="DX1200" s="6"/>
      <c r="DY1200" s="6"/>
      <c r="DZ1200" s="6"/>
      <c r="EA1200" s="6"/>
      <c r="EB1200" s="6"/>
      <c r="EC1200" s="6"/>
      <c r="ED1200" s="6"/>
      <c r="EE1200" s="6"/>
      <c r="EF1200" s="6"/>
      <c r="EG1200" s="6"/>
      <c r="EH1200" s="6"/>
      <c r="EI1200" s="6"/>
      <c r="EJ1200" s="6"/>
      <c r="EK1200" s="6"/>
      <c r="EL1200" s="6"/>
      <c r="EM1200" s="6"/>
      <c r="EN1200" s="6"/>
      <c r="EO1200" s="6"/>
      <c r="EP1200" s="6"/>
      <c r="EQ1200" s="6"/>
      <c r="ER1200" s="6"/>
      <c r="ES1200" s="6"/>
      <c r="ET1200" s="6"/>
      <c r="EU1200" s="6"/>
      <c r="EV1200" s="6"/>
      <c r="EW1200" s="6"/>
      <c r="EX1200" s="6"/>
      <c r="EY1200" s="6"/>
      <c r="EZ1200" s="6"/>
      <c r="FA1200" s="6"/>
      <c r="FB1200" s="6"/>
      <c r="FC1200" s="6"/>
      <c r="FD1200" s="6"/>
      <c r="FE1200" s="6"/>
      <c r="FF1200" s="6"/>
      <c r="FG1200" s="6"/>
      <c r="FH1200" s="6"/>
      <c r="FI1200" s="6"/>
      <c r="FJ1200" s="6"/>
      <c r="FK1200" s="6"/>
      <c r="FL1200" s="6"/>
      <c r="FM1200" s="6"/>
      <c r="FN1200" s="6"/>
      <c r="FO1200" s="6"/>
      <c r="FP1200" s="6"/>
      <c r="FQ1200" s="6"/>
      <c r="FR1200" s="6"/>
      <c r="FS1200" s="6"/>
      <c r="FT1200" s="6"/>
      <c r="FU1200" s="6"/>
      <c r="FV1200" s="6"/>
      <c r="FW1200" s="6"/>
      <c r="FX1200" s="6"/>
      <c r="FY1200" s="6"/>
      <c r="FZ1200" s="6"/>
      <c r="GA1200" s="6"/>
      <c r="GB1200" s="6"/>
      <c r="GC1200" s="6"/>
      <c r="GD1200" s="6"/>
      <c r="GE1200" s="6"/>
      <c r="GF1200" s="6"/>
      <c r="GG1200" s="6"/>
      <c r="GH1200" s="6"/>
      <c r="GI1200" s="6"/>
      <c r="GJ1200" s="6"/>
      <c r="GK1200" s="6"/>
      <c r="GL1200" s="6"/>
      <c r="GM1200" s="6"/>
      <c r="GN1200" s="6"/>
      <c r="GO1200" s="6"/>
      <c r="GP1200" s="6"/>
      <c r="GQ1200" s="6"/>
      <c r="GR1200" s="6"/>
      <c r="GS1200" s="6"/>
      <c r="GT1200" s="6"/>
      <c r="GU1200" s="6"/>
      <c r="GV1200" s="6"/>
      <c r="GW1200" s="6"/>
      <c r="GX1200" s="6"/>
      <c r="GY1200" s="6"/>
      <c r="GZ1200" s="6"/>
      <c r="HA1200" s="6"/>
      <c r="HB1200" s="6"/>
      <c r="HC1200" s="6"/>
      <c r="HD1200" s="6"/>
      <c r="HE1200" s="6"/>
      <c r="HF1200" s="6"/>
      <c r="HG1200" s="6"/>
      <c r="HH1200" s="6"/>
    </row>
    <row r="1201" spans="1:216" x14ac:dyDescent="0.3">
      <c r="A1201" s="8"/>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6"/>
      <c r="AR1201" s="6"/>
      <c r="AS1201" s="6"/>
      <c r="AT1201" s="6"/>
      <c r="AU1201" s="6"/>
      <c r="AV1201" s="6"/>
      <c r="AW1201" s="6"/>
      <c r="AX1201" s="6"/>
      <c r="AY1201" s="6"/>
      <c r="AZ1201" s="6"/>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c r="DX1201" s="6"/>
      <c r="DY1201" s="6"/>
      <c r="DZ1201" s="6"/>
      <c r="EA1201" s="6"/>
      <c r="EB1201" s="6"/>
      <c r="EC1201" s="6"/>
      <c r="ED1201" s="6"/>
      <c r="EE1201" s="6"/>
      <c r="EF1201" s="6"/>
      <c r="EG1201" s="6"/>
      <c r="EH1201" s="6"/>
      <c r="EI1201" s="6"/>
      <c r="EJ1201" s="6"/>
      <c r="EK1201" s="6"/>
      <c r="EL1201" s="6"/>
      <c r="EM1201" s="6"/>
      <c r="EN1201" s="6"/>
      <c r="EO1201" s="6"/>
      <c r="EP1201" s="6"/>
      <c r="EQ1201" s="6"/>
      <c r="ER1201" s="6"/>
      <c r="ES1201" s="6"/>
      <c r="ET1201" s="6"/>
      <c r="EU1201" s="6"/>
      <c r="EV1201" s="6"/>
      <c r="EW1201" s="6"/>
      <c r="EX1201" s="6"/>
      <c r="EY1201" s="6"/>
      <c r="EZ1201" s="6"/>
      <c r="FA1201" s="6"/>
      <c r="FB1201" s="6"/>
      <c r="FC1201" s="6"/>
      <c r="FD1201" s="6"/>
      <c r="FE1201" s="6"/>
      <c r="FF1201" s="6"/>
      <c r="FG1201" s="6"/>
      <c r="FH1201" s="6"/>
      <c r="FI1201" s="6"/>
      <c r="FJ1201" s="6"/>
      <c r="FK1201" s="6"/>
      <c r="FL1201" s="6"/>
      <c r="FM1201" s="6"/>
      <c r="FN1201" s="6"/>
      <c r="FO1201" s="6"/>
      <c r="FP1201" s="6"/>
      <c r="FQ1201" s="6"/>
      <c r="FR1201" s="6"/>
      <c r="FS1201" s="6"/>
      <c r="FT1201" s="6"/>
      <c r="FU1201" s="6"/>
      <c r="FV1201" s="6"/>
      <c r="FW1201" s="6"/>
      <c r="FX1201" s="6"/>
      <c r="FY1201" s="6"/>
      <c r="FZ1201" s="6"/>
      <c r="GA1201" s="6"/>
      <c r="GB1201" s="6"/>
      <c r="GC1201" s="6"/>
      <c r="GD1201" s="6"/>
      <c r="GE1201" s="6"/>
      <c r="GF1201" s="6"/>
      <c r="GG1201" s="6"/>
      <c r="GH1201" s="6"/>
      <c r="GI1201" s="6"/>
      <c r="GJ1201" s="6"/>
      <c r="GK1201" s="6"/>
      <c r="GL1201" s="6"/>
      <c r="GM1201" s="6"/>
      <c r="GN1201" s="6"/>
      <c r="GO1201" s="6"/>
      <c r="GP1201" s="6"/>
      <c r="GQ1201" s="6"/>
      <c r="GR1201" s="6"/>
      <c r="GS1201" s="6"/>
      <c r="GT1201" s="6"/>
      <c r="GU1201" s="6"/>
      <c r="GV1201" s="6"/>
      <c r="GW1201" s="6"/>
      <c r="GX1201" s="6"/>
      <c r="GY1201" s="6"/>
      <c r="GZ1201" s="6"/>
      <c r="HA1201" s="6"/>
      <c r="HB1201" s="6"/>
      <c r="HC1201" s="6"/>
      <c r="HD1201" s="6"/>
      <c r="HE1201" s="6"/>
      <c r="HF1201" s="6"/>
      <c r="HG1201" s="6"/>
      <c r="HH1201" s="6"/>
    </row>
    <row r="1202" spans="1:216" x14ac:dyDescent="0.3">
      <c r="A1202" s="8"/>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6"/>
      <c r="AR1202" s="6"/>
      <c r="AS1202" s="6"/>
      <c r="AT1202" s="6"/>
      <c r="AU1202" s="6"/>
      <c r="AV1202" s="6"/>
      <c r="AW1202" s="6"/>
      <c r="AX1202" s="6"/>
      <c r="AY1202" s="6"/>
      <c r="AZ1202" s="6"/>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c r="DX1202" s="6"/>
      <c r="DY1202" s="6"/>
      <c r="DZ1202" s="6"/>
      <c r="EA1202" s="6"/>
      <c r="EB1202" s="6"/>
      <c r="EC1202" s="6"/>
      <c r="ED1202" s="6"/>
      <c r="EE1202" s="6"/>
      <c r="EF1202" s="6"/>
      <c r="EG1202" s="6"/>
      <c r="EH1202" s="6"/>
      <c r="EI1202" s="6"/>
      <c r="EJ1202" s="6"/>
      <c r="EK1202" s="6"/>
      <c r="EL1202" s="6"/>
      <c r="EM1202" s="6"/>
      <c r="EN1202" s="6"/>
      <c r="EO1202" s="6"/>
      <c r="EP1202" s="6"/>
      <c r="EQ1202" s="6"/>
      <c r="ER1202" s="6"/>
      <c r="ES1202" s="6"/>
      <c r="ET1202" s="6"/>
      <c r="EU1202" s="6"/>
      <c r="EV1202" s="6"/>
      <c r="EW1202" s="6"/>
      <c r="EX1202" s="6"/>
      <c r="EY1202" s="6"/>
      <c r="EZ1202" s="6"/>
      <c r="FA1202" s="6"/>
      <c r="FB1202" s="6"/>
      <c r="FC1202" s="6"/>
      <c r="FD1202" s="6"/>
      <c r="FE1202" s="6"/>
      <c r="FF1202" s="6"/>
      <c r="FG1202" s="6"/>
      <c r="FH1202" s="6"/>
      <c r="FI1202" s="6"/>
      <c r="FJ1202" s="6"/>
      <c r="FK1202" s="6"/>
      <c r="FL1202" s="6"/>
      <c r="FM1202" s="6"/>
      <c r="FN1202" s="6"/>
      <c r="FO1202" s="6"/>
      <c r="FP1202" s="6"/>
      <c r="FQ1202" s="6"/>
      <c r="FR1202" s="6"/>
      <c r="FS1202" s="6"/>
      <c r="FT1202" s="6"/>
      <c r="FU1202" s="6"/>
      <c r="FV1202" s="6"/>
      <c r="FW1202" s="6"/>
      <c r="FX1202" s="6"/>
      <c r="FY1202" s="6"/>
      <c r="FZ1202" s="6"/>
      <c r="GA1202" s="6"/>
      <c r="GB1202" s="6"/>
      <c r="GC1202" s="6"/>
      <c r="GD1202" s="6"/>
      <c r="GE1202" s="6"/>
      <c r="GF1202" s="6"/>
      <c r="GG1202" s="6"/>
      <c r="GH1202" s="6"/>
      <c r="GI1202" s="6"/>
      <c r="GJ1202" s="6"/>
      <c r="GK1202" s="6"/>
      <c r="GL1202" s="6"/>
      <c r="GM1202" s="6"/>
      <c r="GN1202" s="6"/>
      <c r="GO1202" s="6"/>
      <c r="GP1202" s="6"/>
      <c r="GQ1202" s="6"/>
      <c r="GR1202" s="6"/>
      <c r="GS1202" s="6"/>
      <c r="GT1202" s="6"/>
      <c r="GU1202" s="6"/>
      <c r="GV1202" s="6"/>
      <c r="GW1202" s="6"/>
      <c r="GX1202" s="6"/>
      <c r="GY1202" s="6"/>
      <c r="GZ1202" s="6"/>
      <c r="HA1202" s="6"/>
      <c r="HB1202" s="6"/>
      <c r="HC1202" s="6"/>
      <c r="HD1202" s="6"/>
      <c r="HE1202" s="6"/>
      <c r="HF1202" s="6"/>
      <c r="HG1202" s="6"/>
      <c r="HH1202" s="6"/>
    </row>
    <row r="1203" spans="1:216" x14ac:dyDescent="0.3">
      <c r="A1203" s="8"/>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6"/>
      <c r="AR1203" s="6"/>
      <c r="AS1203" s="6"/>
      <c r="AT1203" s="6"/>
      <c r="AU1203" s="6"/>
      <c r="AV1203" s="6"/>
      <c r="AW1203" s="6"/>
      <c r="AX1203" s="6"/>
      <c r="AY1203" s="6"/>
      <c r="AZ1203" s="6"/>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c r="DX1203" s="6"/>
      <c r="DY1203" s="6"/>
      <c r="DZ1203" s="6"/>
      <c r="EA1203" s="6"/>
      <c r="EB1203" s="6"/>
      <c r="EC1203" s="6"/>
      <c r="ED1203" s="6"/>
      <c r="EE1203" s="6"/>
      <c r="EF1203" s="6"/>
      <c r="EG1203" s="6"/>
      <c r="EH1203" s="6"/>
      <c r="EI1203" s="6"/>
      <c r="EJ1203" s="6"/>
      <c r="EK1203" s="6"/>
      <c r="EL1203" s="6"/>
      <c r="EM1203" s="6"/>
      <c r="EN1203" s="6"/>
      <c r="EO1203" s="6"/>
      <c r="EP1203" s="6"/>
      <c r="EQ1203" s="6"/>
      <c r="ER1203" s="6"/>
      <c r="ES1203" s="6"/>
      <c r="ET1203" s="6"/>
      <c r="EU1203" s="6"/>
      <c r="EV1203" s="6"/>
      <c r="EW1203" s="6"/>
      <c r="EX1203" s="6"/>
      <c r="EY1203" s="6"/>
      <c r="EZ1203" s="6"/>
      <c r="FA1203" s="6"/>
      <c r="FB1203" s="6"/>
      <c r="FC1203" s="6"/>
      <c r="FD1203" s="6"/>
      <c r="FE1203" s="6"/>
      <c r="FF1203" s="6"/>
      <c r="FG1203" s="6"/>
      <c r="FH1203" s="6"/>
      <c r="FI1203" s="6"/>
      <c r="FJ1203" s="6"/>
      <c r="FK1203" s="6"/>
      <c r="FL1203" s="6"/>
      <c r="FM1203" s="6"/>
      <c r="FN1203" s="6"/>
      <c r="FO1203" s="6"/>
      <c r="FP1203" s="6"/>
      <c r="FQ1203" s="6"/>
      <c r="FR1203" s="6"/>
      <c r="FS1203" s="6"/>
      <c r="FT1203" s="6"/>
      <c r="FU1203" s="6"/>
      <c r="FV1203" s="6"/>
      <c r="FW1203" s="6"/>
      <c r="FX1203" s="6"/>
      <c r="FY1203" s="6"/>
      <c r="FZ1203" s="6"/>
      <c r="GA1203" s="6"/>
      <c r="GB1203" s="6"/>
      <c r="GC1203" s="6"/>
      <c r="GD1203" s="6"/>
      <c r="GE1203" s="6"/>
      <c r="GF1203" s="6"/>
      <c r="GG1203" s="6"/>
      <c r="GH1203" s="6"/>
      <c r="GI1203" s="6"/>
      <c r="GJ1203" s="6"/>
      <c r="GK1203" s="6"/>
      <c r="GL1203" s="6"/>
      <c r="GM1203" s="6"/>
      <c r="GN1203" s="6"/>
      <c r="GO1203" s="6"/>
      <c r="GP1203" s="6"/>
      <c r="GQ1203" s="6"/>
      <c r="GR1203" s="6"/>
      <c r="GS1203" s="6"/>
      <c r="GT1203" s="6"/>
      <c r="GU1203" s="6"/>
      <c r="GV1203" s="6"/>
      <c r="GW1203" s="6"/>
      <c r="GX1203" s="6"/>
      <c r="GY1203" s="6"/>
      <c r="GZ1203" s="6"/>
      <c r="HA1203" s="6"/>
      <c r="HB1203" s="6"/>
      <c r="HC1203" s="6"/>
      <c r="HD1203" s="6"/>
      <c r="HE1203" s="6"/>
      <c r="HF1203" s="6"/>
      <c r="HG1203" s="6"/>
      <c r="HH1203" s="6"/>
    </row>
    <row r="1204" spans="1:216" x14ac:dyDescent="0.3">
      <c r="A1204" s="8"/>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6"/>
      <c r="AR1204" s="6"/>
      <c r="AS1204" s="6"/>
      <c r="AT1204" s="6"/>
      <c r="AU1204" s="6"/>
      <c r="AV1204" s="6"/>
      <c r="AW1204" s="6"/>
      <c r="AX1204" s="6"/>
      <c r="AY1204" s="6"/>
      <c r="AZ1204" s="6"/>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c r="DX1204" s="6"/>
      <c r="DY1204" s="6"/>
      <c r="DZ1204" s="6"/>
      <c r="EA1204" s="6"/>
      <c r="EB1204" s="6"/>
      <c r="EC1204" s="6"/>
      <c r="ED1204" s="6"/>
      <c r="EE1204" s="6"/>
      <c r="EF1204" s="6"/>
      <c r="EG1204" s="6"/>
      <c r="EH1204" s="6"/>
      <c r="EI1204" s="6"/>
      <c r="EJ1204" s="6"/>
      <c r="EK1204" s="6"/>
      <c r="EL1204" s="6"/>
      <c r="EM1204" s="6"/>
      <c r="EN1204" s="6"/>
      <c r="EO1204" s="6"/>
      <c r="EP1204" s="6"/>
      <c r="EQ1204" s="6"/>
      <c r="ER1204" s="6"/>
      <c r="ES1204" s="6"/>
      <c r="ET1204" s="6"/>
      <c r="EU1204" s="6"/>
      <c r="EV1204" s="6"/>
      <c r="EW1204" s="6"/>
      <c r="EX1204" s="6"/>
      <c r="EY1204" s="6"/>
      <c r="EZ1204" s="6"/>
      <c r="FA1204" s="6"/>
      <c r="FB1204" s="6"/>
      <c r="FC1204" s="6"/>
      <c r="FD1204" s="6"/>
      <c r="FE1204" s="6"/>
      <c r="FF1204" s="6"/>
      <c r="FG1204" s="6"/>
      <c r="FH1204" s="6"/>
      <c r="FI1204" s="6"/>
      <c r="FJ1204" s="6"/>
      <c r="FK1204" s="6"/>
      <c r="FL1204" s="6"/>
      <c r="FM1204" s="6"/>
      <c r="FN1204" s="6"/>
      <c r="FO1204" s="6"/>
      <c r="FP1204" s="6"/>
      <c r="FQ1204" s="6"/>
      <c r="FR1204" s="6"/>
      <c r="FS1204" s="6"/>
      <c r="FT1204" s="6"/>
      <c r="FU1204" s="6"/>
      <c r="FV1204" s="6"/>
      <c r="FW1204" s="6"/>
      <c r="FX1204" s="6"/>
      <c r="FY1204" s="6"/>
      <c r="FZ1204" s="6"/>
      <c r="GA1204" s="6"/>
      <c r="GB1204" s="6"/>
      <c r="GC1204" s="6"/>
      <c r="GD1204" s="6"/>
      <c r="GE1204" s="6"/>
      <c r="GF1204" s="6"/>
      <c r="GG1204" s="6"/>
      <c r="GH1204" s="6"/>
      <c r="GI1204" s="6"/>
      <c r="GJ1204" s="6"/>
      <c r="GK1204" s="6"/>
      <c r="GL1204" s="6"/>
      <c r="GM1204" s="6"/>
      <c r="GN1204" s="6"/>
      <c r="GO1204" s="6"/>
      <c r="GP1204" s="6"/>
      <c r="GQ1204" s="6"/>
      <c r="GR1204" s="6"/>
      <c r="GS1204" s="6"/>
      <c r="GT1204" s="6"/>
      <c r="GU1204" s="6"/>
      <c r="GV1204" s="6"/>
      <c r="GW1204" s="6"/>
      <c r="GX1204" s="6"/>
      <c r="GY1204" s="6"/>
      <c r="GZ1204" s="6"/>
      <c r="HA1204" s="6"/>
      <c r="HB1204" s="6"/>
      <c r="HC1204" s="6"/>
      <c r="HD1204" s="6"/>
      <c r="HE1204" s="6"/>
      <c r="HF1204" s="6"/>
      <c r="HG1204" s="6"/>
      <c r="HH1204" s="6"/>
    </row>
    <row r="1205" spans="1:216" x14ac:dyDescent="0.3">
      <c r="A1205" s="8"/>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6"/>
      <c r="AR1205" s="6"/>
      <c r="AS1205" s="6"/>
      <c r="AT1205" s="6"/>
      <c r="AU1205" s="6"/>
      <c r="AV1205" s="6"/>
      <c r="AW1205" s="6"/>
      <c r="AX1205" s="6"/>
      <c r="AY1205" s="6"/>
      <c r="AZ1205" s="6"/>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c r="DX1205" s="6"/>
      <c r="DY1205" s="6"/>
      <c r="DZ1205" s="6"/>
      <c r="EA1205" s="6"/>
      <c r="EB1205" s="6"/>
      <c r="EC1205" s="6"/>
      <c r="ED1205" s="6"/>
      <c r="EE1205" s="6"/>
      <c r="EF1205" s="6"/>
      <c r="EG1205" s="6"/>
      <c r="EH1205" s="6"/>
      <c r="EI1205" s="6"/>
      <c r="EJ1205" s="6"/>
      <c r="EK1205" s="6"/>
      <c r="EL1205" s="6"/>
      <c r="EM1205" s="6"/>
      <c r="EN1205" s="6"/>
      <c r="EO1205" s="6"/>
      <c r="EP1205" s="6"/>
      <c r="EQ1205" s="6"/>
      <c r="ER1205" s="6"/>
      <c r="ES1205" s="6"/>
      <c r="ET1205" s="6"/>
      <c r="EU1205" s="6"/>
      <c r="EV1205" s="6"/>
      <c r="EW1205" s="6"/>
      <c r="EX1205" s="6"/>
      <c r="EY1205" s="6"/>
      <c r="EZ1205" s="6"/>
      <c r="FA1205" s="6"/>
      <c r="FB1205" s="6"/>
      <c r="FC1205" s="6"/>
      <c r="FD1205" s="6"/>
      <c r="FE1205" s="6"/>
      <c r="FF1205" s="6"/>
      <c r="FG1205" s="6"/>
      <c r="FH1205" s="6"/>
      <c r="FI1205" s="6"/>
      <c r="FJ1205" s="6"/>
      <c r="FK1205" s="6"/>
      <c r="FL1205" s="6"/>
      <c r="FM1205" s="6"/>
      <c r="FN1205" s="6"/>
      <c r="FO1205" s="6"/>
      <c r="FP1205" s="6"/>
      <c r="FQ1205" s="6"/>
      <c r="FR1205" s="6"/>
      <c r="FS1205" s="6"/>
      <c r="FT1205" s="6"/>
      <c r="FU1205" s="6"/>
      <c r="FV1205" s="6"/>
      <c r="FW1205" s="6"/>
      <c r="FX1205" s="6"/>
      <c r="FY1205" s="6"/>
      <c r="FZ1205" s="6"/>
      <c r="GA1205" s="6"/>
      <c r="GB1205" s="6"/>
      <c r="GC1205" s="6"/>
      <c r="GD1205" s="6"/>
      <c r="GE1205" s="6"/>
      <c r="GF1205" s="6"/>
      <c r="GG1205" s="6"/>
      <c r="GH1205" s="6"/>
      <c r="GI1205" s="6"/>
      <c r="GJ1205" s="6"/>
      <c r="GK1205" s="6"/>
      <c r="GL1205" s="6"/>
      <c r="GM1205" s="6"/>
      <c r="GN1205" s="6"/>
      <c r="GO1205" s="6"/>
      <c r="GP1205" s="6"/>
      <c r="GQ1205" s="6"/>
      <c r="GR1205" s="6"/>
      <c r="GS1205" s="6"/>
      <c r="GT1205" s="6"/>
      <c r="GU1205" s="6"/>
      <c r="GV1205" s="6"/>
      <c r="GW1205" s="6"/>
      <c r="GX1205" s="6"/>
      <c r="GY1205" s="6"/>
      <c r="GZ1205" s="6"/>
      <c r="HA1205" s="6"/>
      <c r="HB1205" s="6"/>
      <c r="HC1205" s="6"/>
      <c r="HD1205" s="6"/>
      <c r="HE1205" s="6"/>
      <c r="HF1205" s="6"/>
      <c r="HG1205" s="6"/>
      <c r="HH1205" s="6"/>
    </row>
    <row r="1206" spans="1:216" x14ac:dyDescent="0.3">
      <c r="A1206" s="8"/>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6"/>
      <c r="AR1206" s="6"/>
      <c r="AS1206" s="6"/>
      <c r="AT1206" s="6"/>
      <c r="AU1206" s="6"/>
      <c r="AV1206" s="6"/>
      <c r="AW1206" s="6"/>
      <c r="AX1206" s="6"/>
      <c r="AY1206" s="6"/>
      <c r="AZ1206" s="6"/>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c r="DX1206" s="6"/>
      <c r="DY1206" s="6"/>
      <c r="DZ1206" s="6"/>
      <c r="EA1206" s="6"/>
      <c r="EB1206" s="6"/>
      <c r="EC1206" s="6"/>
      <c r="ED1206" s="6"/>
      <c r="EE1206" s="6"/>
      <c r="EF1206" s="6"/>
      <c r="EG1206" s="6"/>
      <c r="EH1206" s="6"/>
      <c r="EI1206" s="6"/>
      <c r="EJ1206" s="6"/>
      <c r="EK1206" s="6"/>
      <c r="EL1206" s="6"/>
      <c r="EM1206" s="6"/>
      <c r="EN1206" s="6"/>
      <c r="EO1206" s="6"/>
      <c r="EP1206" s="6"/>
      <c r="EQ1206" s="6"/>
      <c r="ER1206" s="6"/>
      <c r="ES1206" s="6"/>
      <c r="ET1206" s="6"/>
      <c r="EU1206" s="6"/>
      <c r="EV1206" s="6"/>
      <c r="EW1206" s="6"/>
      <c r="EX1206" s="6"/>
      <c r="EY1206" s="6"/>
      <c r="EZ1206" s="6"/>
      <c r="FA1206" s="6"/>
      <c r="FB1206" s="6"/>
      <c r="FC1206" s="6"/>
      <c r="FD1206" s="6"/>
      <c r="FE1206" s="6"/>
      <c r="FF1206" s="6"/>
      <c r="FG1206" s="6"/>
      <c r="FH1206" s="6"/>
      <c r="FI1206" s="6"/>
      <c r="FJ1206" s="6"/>
      <c r="FK1206" s="6"/>
      <c r="FL1206" s="6"/>
      <c r="FM1206" s="6"/>
      <c r="FN1206" s="6"/>
      <c r="FO1206" s="6"/>
      <c r="FP1206" s="6"/>
      <c r="FQ1206" s="6"/>
      <c r="FR1206" s="6"/>
      <c r="FS1206" s="6"/>
      <c r="FT1206" s="6"/>
      <c r="FU1206" s="6"/>
      <c r="FV1206" s="6"/>
      <c r="FW1206" s="6"/>
      <c r="FX1206" s="6"/>
      <c r="FY1206" s="6"/>
      <c r="FZ1206" s="6"/>
      <c r="GA1206" s="6"/>
      <c r="GB1206" s="6"/>
      <c r="GC1206" s="6"/>
      <c r="GD1206" s="6"/>
      <c r="GE1206" s="6"/>
      <c r="GF1206" s="6"/>
      <c r="GG1206" s="6"/>
      <c r="GH1206" s="6"/>
      <c r="GI1206" s="6"/>
      <c r="GJ1206" s="6"/>
      <c r="GK1206" s="6"/>
      <c r="GL1206" s="6"/>
      <c r="GM1206" s="6"/>
      <c r="GN1206" s="6"/>
      <c r="GO1206" s="6"/>
      <c r="GP1206" s="6"/>
      <c r="GQ1206" s="6"/>
      <c r="GR1206" s="6"/>
      <c r="GS1206" s="6"/>
      <c r="GT1206" s="6"/>
      <c r="GU1206" s="6"/>
      <c r="GV1206" s="6"/>
      <c r="GW1206" s="6"/>
      <c r="GX1206" s="6"/>
      <c r="GY1206" s="6"/>
      <c r="GZ1206" s="6"/>
      <c r="HA1206" s="6"/>
      <c r="HB1206" s="6"/>
      <c r="HC1206" s="6"/>
      <c r="HD1206" s="6"/>
      <c r="HE1206" s="6"/>
      <c r="HF1206" s="6"/>
      <c r="HG1206" s="6"/>
      <c r="HH1206" s="6"/>
    </row>
    <row r="1207" spans="1:216" x14ac:dyDescent="0.3">
      <c r="A1207" s="8"/>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6"/>
      <c r="AR1207" s="6"/>
      <c r="AS1207" s="6"/>
      <c r="AT1207" s="6"/>
      <c r="AU1207" s="6"/>
      <c r="AV1207" s="6"/>
      <c r="AW1207" s="6"/>
      <c r="AX1207" s="6"/>
      <c r="AY1207" s="6"/>
      <c r="AZ1207" s="6"/>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c r="DX1207" s="6"/>
      <c r="DY1207" s="6"/>
      <c r="DZ1207" s="6"/>
      <c r="EA1207" s="6"/>
      <c r="EB1207" s="6"/>
      <c r="EC1207" s="6"/>
      <c r="ED1207" s="6"/>
      <c r="EE1207" s="6"/>
      <c r="EF1207" s="6"/>
      <c r="EG1207" s="6"/>
      <c r="EH1207" s="6"/>
      <c r="EI1207" s="6"/>
      <c r="EJ1207" s="6"/>
      <c r="EK1207" s="6"/>
      <c r="EL1207" s="6"/>
      <c r="EM1207" s="6"/>
      <c r="EN1207" s="6"/>
      <c r="EO1207" s="6"/>
      <c r="EP1207" s="6"/>
      <c r="EQ1207" s="6"/>
      <c r="ER1207" s="6"/>
      <c r="ES1207" s="6"/>
      <c r="ET1207" s="6"/>
      <c r="EU1207" s="6"/>
      <c r="EV1207" s="6"/>
      <c r="EW1207" s="6"/>
      <c r="EX1207" s="6"/>
      <c r="EY1207" s="6"/>
      <c r="EZ1207" s="6"/>
      <c r="FA1207" s="6"/>
      <c r="FB1207" s="6"/>
      <c r="FC1207" s="6"/>
      <c r="FD1207" s="6"/>
      <c r="FE1207" s="6"/>
      <c r="FF1207" s="6"/>
      <c r="FG1207" s="6"/>
      <c r="FH1207" s="6"/>
      <c r="FI1207" s="6"/>
      <c r="FJ1207" s="6"/>
      <c r="FK1207" s="6"/>
      <c r="FL1207" s="6"/>
      <c r="FM1207" s="6"/>
      <c r="FN1207" s="6"/>
      <c r="FO1207" s="6"/>
      <c r="FP1207" s="6"/>
      <c r="FQ1207" s="6"/>
      <c r="FR1207" s="6"/>
      <c r="FS1207" s="6"/>
      <c r="FT1207" s="6"/>
      <c r="FU1207" s="6"/>
      <c r="FV1207" s="6"/>
      <c r="FW1207" s="6"/>
      <c r="FX1207" s="6"/>
      <c r="FY1207" s="6"/>
      <c r="FZ1207" s="6"/>
      <c r="GA1207" s="6"/>
      <c r="GB1207" s="6"/>
      <c r="GC1207" s="6"/>
      <c r="GD1207" s="6"/>
      <c r="GE1207" s="6"/>
      <c r="GF1207" s="6"/>
      <c r="GG1207" s="6"/>
      <c r="GH1207" s="6"/>
      <c r="GI1207" s="6"/>
      <c r="GJ1207" s="6"/>
      <c r="GK1207" s="6"/>
      <c r="GL1207" s="6"/>
      <c r="GM1207" s="6"/>
      <c r="GN1207" s="6"/>
      <c r="GO1207" s="6"/>
      <c r="GP1207" s="6"/>
      <c r="GQ1207" s="6"/>
      <c r="GR1207" s="6"/>
      <c r="GS1207" s="6"/>
      <c r="GT1207" s="6"/>
      <c r="GU1207" s="6"/>
      <c r="GV1207" s="6"/>
      <c r="GW1207" s="6"/>
      <c r="GX1207" s="6"/>
      <c r="GY1207" s="6"/>
      <c r="GZ1207" s="6"/>
      <c r="HA1207" s="6"/>
      <c r="HB1207" s="6"/>
      <c r="HC1207" s="6"/>
      <c r="HD1207" s="6"/>
      <c r="HE1207" s="6"/>
      <c r="HF1207" s="6"/>
      <c r="HG1207" s="6"/>
      <c r="HH1207" s="6"/>
    </row>
    <row r="1208" spans="1:216" x14ac:dyDescent="0.3">
      <c r="A1208" s="8"/>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6"/>
      <c r="AR1208" s="6"/>
      <c r="AS1208" s="6"/>
      <c r="AT1208" s="6"/>
      <c r="AU1208" s="6"/>
      <c r="AV1208" s="6"/>
      <c r="AW1208" s="6"/>
      <c r="AX1208" s="6"/>
      <c r="AY1208" s="6"/>
      <c r="AZ1208" s="6"/>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c r="DX1208" s="6"/>
      <c r="DY1208" s="6"/>
      <c r="DZ1208" s="6"/>
      <c r="EA1208" s="6"/>
      <c r="EB1208" s="6"/>
      <c r="EC1208" s="6"/>
      <c r="ED1208" s="6"/>
      <c r="EE1208" s="6"/>
      <c r="EF1208" s="6"/>
      <c r="EG1208" s="6"/>
      <c r="EH1208" s="6"/>
      <c r="EI1208" s="6"/>
      <c r="EJ1208" s="6"/>
      <c r="EK1208" s="6"/>
      <c r="EL1208" s="6"/>
      <c r="EM1208" s="6"/>
      <c r="EN1208" s="6"/>
      <c r="EO1208" s="6"/>
      <c r="EP1208" s="6"/>
      <c r="EQ1208" s="6"/>
      <c r="ER1208" s="6"/>
      <c r="ES1208" s="6"/>
      <c r="ET1208" s="6"/>
      <c r="EU1208" s="6"/>
      <c r="EV1208" s="6"/>
      <c r="EW1208" s="6"/>
      <c r="EX1208" s="6"/>
      <c r="EY1208" s="6"/>
      <c r="EZ1208" s="6"/>
      <c r="FA1208" s="6"/>
      <c r="FB1208" s="6"/>
      <c r="FC1208" s="6"/>
      <c r="FD1208" s="6"/>
      <c r="FE1208" s="6"/>
      <c r="FF1208" s="6"/>
      <c r="FG1208" s="6"/>
      <c r="FH1208" s="6"/>
      <c r="FI1208" s="6"/>
      <c r="FJ1208" s="6"/>
      <c r="FK1208" s="6"/>
      <c r="FL1208" s="6"/>
      <c r="FM1208" s="6"/>
      <c r="FN1208" s="6"/>
      <c r="FO1208" s="6"/>
      <c r="FP1208" s="6"/>
      <c r="FQ1208" s="6"/>
      <c r="FR1208" s="6"/>
      <c r="FS1208" s="6"/>
      <c r="FT1208" s="6"/>
      <c r="FU1208" s="6"/>
      <c r="FV1208" s="6"/>
      <c r="FW1208" s="6"/>
      <c r="FX1208" s="6"/>
      <c r="FY1208" s="6"/>
      <c r="FZ1208" s="6"/>
      <c r="GA1208" s="6"/>
      <c r="GB1208" s="6"/>
      <c r="GC1208" s="6"/>
      <c r="GD1208" s="6"/>
      <c r="GE1208" s="6"/>
      <c r="GF1208" s="6"/>
      <c r="GG1208" s="6"/>
      <c r="GH1208" s="6"/>
      <c r="GI1208" s="6"/>
      <c r="GJ1208" s="6"/>
      <c r="GK1208" s="6"/>
      <c r="GL1208" s="6"/>
      <c r="GM1208" s="6"/>
      <c r="GN1208" s="6"/>
      <c r="GO1208" s="6"/>
      <c r="GP1208" s="6"/>
      <c r="GQ1208" s="6"/>
      <c r="GR1208" s="6"/>
      <c r="GS1208" s="6"/>
      <c r="GT1208" s="6"/>
      <c r="GU1208" s="6"/>
      <c r="GV1208" s="6"/>
      <c r="GW1208" s="6"/>
      <c r="GX1208" s="6"/>
      <c r="GY1208" s="6"/>
      <c r="GZ1208" s="6"/>
      <c r="HA1208" s="6"/>
      <c r="HB1208" s="6"/>
      <c r="HC1208" s="6"/>
      <c r="HD1208" s="6"/>
      <c r="HE1208" s="6"/>
      <c r="HF1208" s="6"/>
      <c r="HG1208" s="6"/>
      <c r="HH1208" s="6"/>
    </row>
    <row r="1209" spans="1:216" x14ac:dyDescent="0.3">
      <c r="A1209" s="8"/>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6"/>
      <c r="AR1209" s="6"/>
      <c r="AS1209" s="6"/>
      <c r="AT1209" s="6"/>
      <c r="AU1209" s="6"/>
      <c r="AV1209" s="6"/>
      <c r="AW1209" s="6"/>
      <c r="AX1209" s="6"/>
      <c r="AY1209" s="6"/>
      <c r="AZ1209" s="6"/>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c r="DX1209" s="6"/>
      <c r="DY1209" s="6"/>
      <c r="DZ1209" s="6"/>
      <c r="EA1209" s="6"/>
      <c r="EB1209" s="6"/>
      <c r="EC1209" s="6"/>
      <c r="ED1209" s="6"/>
      <c r="EE1209" s="6"/>
      <c r="EF1209" s="6"/>
      <c r="EG1209" s="6"/>
      <c r="EH1209" s="6"/>
      <c r="EI1209" s="6"/>
      <c r="EJ1209" s="6"/>
      <c r="EK1209" s="6"/>
      <c r="EL1209" s="6"/>
      <c r="EM1209" s="6"/>
      <c r="EN1209" s="6"/>
      <c r="EO1209" s="6"/>
      <c r="EP1209" s="6"/>
      <c r="EQ1209" s="6"/>
      <c r="ER1209" s="6"/>
      <c r="ES1209" s="6"/>
      <c r="ET1209" s="6"/>
      <c r="EU1209" s="6"/>
      <c r="EV1209" s="6"/>
      <c r="EW1209" s="6"/>
      <c r="EX1209" s="6"/>
      <c r="EY1209" s="6"/>
      <c r="EZ1209" s="6"/>
      <c r="FA1209" s="6"/>
      <c r="FB1209" s="6"/>
      <c r="FC1209" s="6"/>
      <c r="FD1209" s="6"/>
      <c r="FE1209" s="6"/>
      <c r="FF1209" s="6"/>
      <c r="FG1209" s="6"/>
      <c r="FH1209" s="6"/>
      <c r="FI1209" s="6"/>
      <c r="FJ1209" s="6"/>
      <c r="FK1209" s="6"/>
      <c r="FL1209" s="6"/>
      <c r="FM1209" s="6"/>
      <c r="FN1209" s="6"/>
      <c r="FO1209" s="6"/>
      <c r="FP1209" s="6"/>
      <c r="FQ1209" s="6"/>
      <c r="FR1209" s="6"/>
      <c r="FS1209" s="6"/>
      <c r="FT1209" s="6"/>
      <c r="FU1209" s="6"/>
      <c r="FV1209" s="6"/>
      <c r="FW1209" s="6"/>
      <c r="FX1209" s="6"/>
      <c r="FY1209" s="6"/>
      <c r="FZ1209" s="6"/>
      <c r="GA1209" s="6"/>
      <c r="GB1209" s="6"/>
      <c r="GC1209" s="6"/>
      <c r="GD1209" s="6"/>
      <c r="GE1209" s="6"/>
      <c r="GF1209" s="6"/>
      <c r="GG1209" s="6"/>
      <c r="GH1209" s="6"/>
      <c r="GI1209" s="6"/>
      <c r="GJ1209" s="6"/>
      <c r="GK1209" s="6"/>
      <c r="GL1209" s="6"/>
      <c r="GM1209" s="6"/>
      <c r="GN1209" s="6"/>
      <c r="GO1209" s="6"/>
      <c r="GP1209" s="6"/>
      <c r="GQ1209" s="6"/>
      <c r="GR1209" s="6"/>
      <c r="GS1209" s="6"/>
      <c r="GT1209" s="6"/>
      <c r="GU1209" s="6"/>
      <c r="GV1209" s="6"/>
      <c r="GW1209" s="6"/>
      <c r="GX1209" s="6"/>
      <c r="GY1209" s="6"/>
      <c r="GZ1209" s="6"/>
      <c r="HA1209" s="6"/>
      <c r="HB1209" s="6"/>
      <c r="HC1209" s="6"/>
      <c r="HD1209" s="6"/>
      <c r="HE1209" s="6"/>
      <c r="HF1209" s="6"/>
      <c r="HG1209" s="6"/>
      <c r="HH1209" s="6"/>
    </row>
    <row r="1210" spans="1:216" x14ac:dyDescent="0.3">
      <c r="A1210" s="8"/>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6"/>
      <c r="AR1210" s="6"/>
      <c r="AS1210" s="6"/>
      <c r="AT1210" s="6"/>
      <c r="AU1210" s="6"/>
      <c r="AV1210" s="6"/>
      <c r="AW1210" s="6"/>
      <c r="AX1210" s="6"/>
      <c r="AY1210" s="6"/>
      <c r="AZ1210" s="6"/>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c r="DX1210" s="6"/>
      <c r="DY1210" s="6"/>
      <c r="DZ1210" s="6"/>
      <c r="EA1210" s="6"/>
      <c r="EB1210" s="6"/>
      <c r="EC1210" s="6"/>
      <c r="ED1210" s="6"/>
      <c r="EE1210" s="6"/>
      <c r="EF1210" s="6"/>
      <c r="EG1210" s="6"/>
      <c r="EH1210" s="6"/>
      <c r="EI1210" s="6"/>
      <c r="EJ1210" s="6"/>
      <c r="EK1210" s="6"/>
      <c r="EL1210" s="6"/>
      <c r="EM1210" s="6"/>
      <c r="EN1210" s="6"/>
      <c r="EO1210" s="6"/>
      <c r="EP1210" s="6"/>
      <c r="EQ1210" s="6"/>
      <c r="ER1210" s="6"/>
      <c r="ES1210" s="6"/>
      <c r="ET1210" s="6"/>
      <c r="EU1210" s="6"/>
      <c r="EV1210" s="6"/>
      <c r="EW1210" s="6"/>
      <c r="EX1210" s="6"/>
      <c r="EY1210" s="6"/>
      <c r="EZ1210" s="6"/>
      <c r="FA1210" s="6"/>
      <c r="FB1210" s="6"/>
      <c r="FC1210" s="6"/>
      <c r="FD1210" s="6"/>
      <c r="FE1210" s="6"/>
      <c r="FF1210" s="6"/>
      <c r="FG1210" s="6"/>
      <c r="FH1210" s="6"/>
      <c r="FI1210" s="6"/>
      <c r="FJ1210" s="6"/>
      <c r="FK1210" s="6"/>
      <c r="FL1210" s="6"/>
      <c r="FM1210" s="6"/>
      <c r="FN1210" s="6"/>
      <c r="FO1210" s="6"/>
      <c r="FP1210" s="6"/>
      <c r="FQ1210" s="6"/>
      <c r="FR1210" s="6"/>
      <c r="FS1210" s="6"/>
      <c r="FT1210" s="6"/>
      <c r="FU1210" s="6"/>
      <c r="FV1210" s="6"/>
      <c r="FW1210" s="6"/>
      <c r="FX1210" s="6"/>
      <c r="FY1210" s="6"/>
      <c r="FZ1210" s="6"/>
      <c r="GA1210" s="6"/>
      <c r="GB1210" s="6"/>
      <c r="GC1210" s="6"/>
      <c r="GD1210" s="6"/>
      <c r="GE1210" s="6"/>
      <c r="GF1210" s="6"/>
      <c r="GG1210" s="6"/>
      <c r="GH1210" s="6"/>
      <c r="GI1210" s="6"/>
      <c r="GJ1210" s="6"/>
      <c r="GK1210" s="6"/>
      <c r="GL1210" s="6"/>
      <c r="GM1210" s="6"/>
      <c r="GN1210" s="6"/>
      <c r="GO1210" s="6"/>
      <c r="GP1210" s="6"/>
      <c r="GQ1210" s="6"/>
      <c r="GR1210" s="6"/>
      <c r="GS1210" s="6"/>
      <c r="GT1210" s="6"/>
      <c r="GU1210" s="6"/>
      <c r="GV1210" s="6"/>
      <c r="GW1210" s="6"/>
      <c r="GX1210" s="6"/>
      <c r="GY1210" s="6"/>
      <c r="GZ1210" s="6"/>
      <c r="HA1210" s="6"/>
      <c r="HB1210" s="6"/>
      <c r="HC1210" s="6"/>
      <c r="HD1210" s="6"/>
      <c r="HE1210" s="6"/>
      <c r="HF1210" s="6"/>
      <c r="HG1210" s="6"/>
      <c r="HH1210" s="6"/>
    </row>
    <row r="1211" spans="1:216" x14ac:dyDescent="0.3">
      <c r="A1211" s="8"/>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6"/>
      <c r="AR1211" s="6"/>
      <c r="AS1211" s="6"/>
      <c r="AT1211" s="6"/>
      <c r="AU1211" s="6"/>
      <c r="AV1211" s="6"/>
      <c r="AW1211" s="6"/>
      <c r="AX1211" s="6"/>
      <c r="AY1211" s="6"/>
      <c r="AZ1211" s="6"/>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c r="DX1211" s="6"/>
      <c r="DY1211" s="6"/>
      <c r="DZ1211" s="6"/>
      <c r="EA1211" s="6"/>
      <c r="EB1211" s="6"/>
      <c r="EC1211" s="6"/>
      <c r="ED1211" s="6"/>
      <c r="EE1211" s="6"/>
      <c r="EF1211" s="6"/>
      <c r="EG1211" s="6"/>
      <c r="EH1211" s="6"/>
      <c r="EI1211" s="6"/>
      <c r="EJ1211" s="6"/>
      <c r="EK1211" s="6"/>
      <c r="EL1211" s="6"/>
      <c r="EM1211" s="6"/>
      <c r="EN1211" s="6"/>
      <c r="EO1211" s="6"/>
      <c r="EP1211" s="6"/>
      <c r="EQ1211" s="6"/>
      <c r="ER1211" s="6"/>
      <c r="ES1211" s="6"/>
      <c r="ET1211" s="6"/>
      <c r="EU1211" s="6"/>
      <c r="EV1211" s="6"/>
      <c r="EW1211" s="6"/>
      <c r="EX1211" s="6"/>
      <c r="EY1211" s="6"/>
      <c r="EZ1211" s="6"/>
      <c r="FA1211" s="6"/>
      <c r="FB1211" s="6"/>
      <c r="FC1211" s="6"/>
      <c r="FD1211" s="6"/>
      <c r="FE1211" s="6"/>
      <c r="FF1211" s="6"/>
      <c r="FG1211" s="6"/>
      <c r="FH1211" s="6"/>
      <c r="FI1211" s="6"/>
      <c r="FJ1211" s="6"/>
      <c r="FK1211" s="6"/>
      <c r="FL1211" s="6"/>
      <c r="FM1211" s="6"/>
      <c r="FN1211" s="6"/>
      <c r="FO1211" s="6"/>
      <c r="FP1211" s="6"/>
      <c r="FQ1211" s="6"/>
      <c r="FR1211" s="6"/>
      <c r="FS1211" s="6"/>
      <c r="FT1211" s="6"/>
      <c r="FU1211" s="6"/>
      <c r="FV1211" s="6"/>
      <c r="FW1211" s="6"/>
      <c r="FX1211" s="6"/>
      <c r="FY1211" s="6"/>
      <c r="FZ1211" s="6"/>
      <c r="GA1211" s="6"/>
      <c r="GB1211" s="6"/>
      <c r="GC1211" s="6"/>
      <c r="GD1211" s="6"/>
      <c r="GE1211" s="6"/>
      <c r="GF1211" s="6"/>
      <c r="GG1211" s="6"/>
      <c r="GH1211" s="6"/>
      <c r="GI1211" s="6"/>
      <c r="GJ1211" s="6"/>
      <c r="GK1211" s="6"/>
      <c r="GL1211" s="6"/>
      <c r="GM1211" s="6"/>
      <c r="GN1211" s="6"/>
      <c r="GO1211" s="6"/>
      <c r="GP1211" s="6"/>
      <c r="GQ1211" s="6"/>
      <c r="GR1211" s="6"/>
      <c r="GS1211" s="6"/>
      <c r="GT1211" s="6"/>
      <c r="GU1211" s="6"/>
      <c r="GV1211" s="6"/>
      <c r="GW1211" s="6"/>
      <c r="GX1211" s="6"/>
      <c r="GY1211" s="6"/>
      <c r="GZ1211" s="6"/>
      <c r="HA1211" s="6"/>
      <c r="HB1211" s="6"/>
      <c r="HC1211" s="6"/>
      <c r="HD1211" s="6"/>
      <c r="HE1211" s="6"/>
      <c r="HF1211" s="6"/>
      <c r="HG1211" s="6"/>
      <c r="HH1211" s="6"/>
    </row>
    <row r="1212" spans="1:216" x14ac:dyDescent="0.3">
      <c r="A1212" s="8"/>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6"/>
      <c r="AR1212" s="6"/>
      <c r="AS1212" s="6"/>
      <c r="AT1212" s="6"/>
      <c r="AU1212" s="6"/>
      <c r="AV1212" s="6"/>
      <c r="AW1212" s="6"/>
      <c r="AX1212" s="6"/>
      <c r="AY1212" s="6"/>
      <c r="AZ1212" s="6"/>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c r="DX1212" s="6"/>
      <c r="DY1212" s="6"/>
      <c r="DZ1212" s="6"/>
      <c r="EA1212" s="6"/>
      <c r="EB1212" s="6"/>
      <c r="EC1212" s="6"/>
      <c r="ED1212" s="6"/>
      <c r="EE1212" s="6"/>
      <c r="EF1212" s="6"/>
      <c r="EG1212" s="6"/>
      <c r="EH1212" s="6"/>
      <c r="EI1212" s="6"/>
      <c r="EJ1212" s="6"/>
      <c r="EK1212" s="6"/>
      <c r="EL1212" s="6"/>
      <c r="EM1212" s="6"/>
      <c r="EN1212" s="6"/>
      <c r="EO1212" s="6"/>
      <c r="EP1212" s="6"/>
      <c r="EQ1212" s="6"/>
      <c r="ER1212" s="6"/>
      <c r="ES1212" s="6"/>
      <c r="ET1212" s="6"/>
      <c r="EU1212" s="6"/>
      <c r="EV1212" s="6"/>
      <c r="EW1212" s="6"/>
      <c r="EX1212" s="6"/>
      <c r="EY1212" s="6"/>
      <c r="EZ1212" s="6"/>
      <c r="FA1212" s="6"/>
      <c r="FB1212" s="6"/>
      <c r="FC1212" s="6"/>
      <c r="FD1212" s="6"/>
      <c r="FE1212" s="6"/>
      <c r="FF1212" s="6"/>
      <c r="FG1212" s="6"/>
      <c r="FH1212" s="6"/>
      <c r="FI1212" s="6"/>
      <c r="FJ1212" s="6"/>
      <c r="FK1212" s="6"/>
      <c r="FL1212" s="6"/>
      <c r="FM1212" s="6"/>
      <c r="FN1212" s="6"/>
      <c r="FO1212" s="6"/>
      <c r="FP1212" s="6"/>
      <c r="FQ1212" s="6"/>
      <c r="FR1212" s="6"/>
      <c r="FS1212" s="6"/>
      <c r="FT1212" s="6"/>
      <c r="FU1212" s="6"/>
      <c r="FV1212" s="6"/>
      <c r="FW1212" s="6"/>
      <c r="FX1212" s="6"/>
      <c r="FY1212" s="6"/>
      <c r="FZ1212" s="6"/>
      <c r="GA1212" s="6"/>
      <c r="GB1212" s="6"/>
      <c r="GC1212" s="6"/>
      <c r="GD1212" s="6"/>
      <c r="GE1212" s="6"/>
      <c r="GF1212" s="6"/>
      <c r="GG1212" s="6"/>
      <c r="GH1212" s="6"/>
      <c r="GI1212" s="6"/>
      <c r="GJ1212" s="6"/>
      <c r="GK1212" s="6"/>
      <c r="GL1212" s="6"/>
      <c r="GM1212" s="6"/>
      <c r="GN1212" s="6"/>
      <c r="GO1212" s="6"/>
      <c r="GP1212" s="6"/>
      <c r="GQ1212" s="6"/>
      <c r="GR1212" s="6"/>
      <c r="GS1212" s="6"/>
      <c r="GT1212" s="6"/>
      <c r="GU1212" s="6"/>
      <c r="GV1212" s="6"/>
      <c r="GW1212" s="6"/>
      <c r="GX1212" s="6"/>
      <c r="GY1212" s="6"/>
      <c r="GZ1212" s="6"/>
      <c r="HA1212" s="6"/>
      <c r="HB1212" s="6"/>
      <c r="HC1212" s="6"/>
      <c r="HD1212" s="6"/>
      <c r="HE1212" s="6"/>
      <c r="HF1212" s="6"/>
      <c r="HG1212" s="6"/>
      <c r="HH1212" s="6"/>
    </row>
    <row r="1213" spans="1:216" x14ac:dyDescent="0.3">
      <c r="A1213" s="8"/>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6"/>
      <c r="AR1213" s="6"/>
      <c r="AS1213" s="6"/>
      <c r="AT1213" s="6"/>
      <c r="AU1213" s="6"/>
      <c r="AV1213" s="6"/>
      <c r="AW1213" s="6"/>
      <c r="AX1213" s="6"/>
      <c r="AY1213" s="6"/>
      <c r="AZ1213" s="6"/>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c r="DX1213" s="6"/>
      <c r="DY1213" s="6"/>
      <c r="DZ1213" s="6"/>
      <c r="EA1213" s="6"/>
      <c r="EB1213" s="6"/>
      <c r="EC1213" s="6"/>
      <c r="ED1213" s="6"/>
      <c r="EE1213" s="6"/>
      <c r="EF1213" s="6"/>
      <c r="EG1213" s="6"/>
      <c r="EH1213" s="6"/>
      <c r="EI1213" s="6"/>
      <c r="EJ1213" s="6"/>
      <c r="EK1213" s="6"/>
      <c r="EL1213" s="6"/>
      <c r="EM1213" s="6"/>
      <c r="EN1213" s="6"/>
      <c r="EO1213" s="6"/>
      <c r="EP1213" s="6"/>
      <c r="EQ1213" s="6"/>
      <c r="ER1213" s="6"/>
      <c r="ES1213" s="6"/>
      <c r="ET1213" s="6"/>
      <c r="EU1213" s="6"/>
      <c r="EV1213" s="6"/>
      <c r="EW1213" s="6"/>
      <c r="EX1213" s="6"/>
      <c r="EY1213" s="6"/>
      <c r="EZ1213" s="6"/>
      <c r="FA1213" s="6"/>
      <c r="FB1213" s="6"/>
      <c r="FC1213" s="6"/>
      <c r="FD1213" s="6"/>
      <c r="FE1213" s="6"/>
      <c r="FF1213" s="6"/>
      <c r="FG1213" s="6"/>
      <c r="FH1213" s="6"/>
      <c r="FI1213" s="6"/>
      <c r="FJ1213" s="6"/>
      <c r="FK1213" s="6"/>
      <c r="FL1213" s="6"/>
      <c r="FM1213" s="6"/>
      <c r="FN1213" s="6"/>
      <c r="FO1213" s="6"/>
      <c r="FP1213" s="6"/>
      <c r="FQ1213" s="6"/>
      <c r="FR1213" s="6"/>
      <c r="FS1213" s="6"/>
      <c r="FT1213" s="6"/>
      <c r="FU1213" s="6"/>
      <c r="FV1213" s="6"/>
      <c r="FW1213" s="6"/>
      <c r="FX1213" s="6"/>
      <c r="FY1213" s="6"/>
      <c r="FZ1213" s="6"/>
      <c r="GA1213" s="6"/>
      <c r="GB1213" s="6"/>
      <c r="GC1213" s="6"/>
      <c r="GD1213" s="6"/>
      <c r="GE1213" s="6"/>
      <c r="GF1213" s="6"/>
      <c r="GG1213" s="6"/>
      <c r="GH1213" s="6"/>
      <c r="GI1213" s="6"/>
      <c r="GJ1213" s="6"/>
      <c r="GK1213" s="6"/>
      <c r="GL1213" s="6"/>
      <c r="GM1213" s="6"/>
      <c r="GN1213" s="6"/>
      <c r="GO1213" s="6"/>
      <c r="GP1213" s="6"/>
      <c r="GQ1213" s="6"/>
      <c r="GR1213" s="6"/>
      <c r="GS1213" s="6"/>
      <c r="GT1213" s="6"/>
      <c r="GU1213" s="6"/>
      <c r="GV1213" s="6"/>
      <c r="GW1213" s="6"/>
      <c r="GX1213" s="6"/>
      <c r="GY1213" s="6"/>
      <c r="GZ1213" s="6"/>
      <c r="HA1213" s="6"/>
      <c r="HB1213" s="6"/>
      <c r="HC1213" s="6"/>
      <c r="HD1213" s="6"/>
      <c r="HE1213" s="6"/>
      <c r="HF1213" s="6"/>
      <c r="HG1213" s="6"/>
      <c r="HH1213" s="6"/>
    </row>
    <row r="1214" spans="1:216" x14ac:dyDescent="0.3">
      <c r="A1214" s="8"/>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6"/>
      <c r="AR1214" s="6"/>
      <c r="AS1214" s="6"/>
      <c r="AT1214" s="6"/>
      <c r="AU1214" s="6"/>
      <c r="AV1214" s="6"/>
      <c r="AW1214" s="6"/>
      <c r="AX1214" s="6"/>
      <c r="AY1214" s="6"/>
      <c r="AZ1214" s="6"/>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c r="DX1214" s="6"/>
      <c r="DY1214" s="6"/>
      <c r="DZ1214" s="6"/>
      <c r="EA1214" s="6"/>
      <c r="EB1214" s="6"/>
      <c r="EC1214" s="6"/>
      <c r="ED1214" s="6"/>
      <c r="EE1214" s="6"/>
      <c r="EF1214" s="6"/>
      <c r="EG1214" s="6"/>
      <c r="EH1214" s="6"/>
      <c r="EI1214" s="6"/>
      <c r="EJ1214" s="6"/>
      <c r="EK1214" s="6"/>
      <c r="EL1214" s="6"/>
      <c r="EM1214" s="6"/>
      <c r="EN1214" s="6"/>
      <c r="EO1214" s="6"/>
      <c r="EP1214" s="6"/>
      <c r="EQ1214" s="6"/>
      <c r="ER1214" s="6"/>
      <c r="ES1214" s="6"/>
      <c r="ET1214" s="6"/>
      <c r="EU1214" s="6"/>
      <c r="EV1214" s="6"/>
      <c r="EW1214" s="6"/>
      <c r="EX1214" s="6"/>
      <c r="EY1214" s="6"/>
      <c r="EZ1214" s="6"/>
      <c r="FA1214" s="6"/>
      <c r="FB1214" s="6"/>
      <c r="FC1214" s="6"/>
      <c r="FD1214" s="6"/>
      <c r="FE1214" s="6"/>
      <c r="FF1214" s="6"/>
      <c r="FG1214" s="6"/>
      <c r="FH1214" s="6"/>
      <c r="FI1214" s="6"/>
      <c r="FJ1214" s="6"/>
      <c r="FK1214" s="6"/>
      <c r="FL1214" s="6"/>
      <c r="FM1214" s="6"/>
      <c r="FN1214" s="6"/>
      <c r="FO1214" s="6"/>
      <c r="FP1214" s="6"/>
      <c r="FQ1214" s="6"/>
      <c r="FR1214" s="6"/>
      <c r="FS1214" s="6"/>
      <c r="FT1214" s="6"/>
      <c r="FU1214" s="6"/>
      <c r="FV1214" s="6"/>
      <c r="FW1214" s="6"/>
      <c r="FX1214" s="6"/>
      <c r="FY1214" s="6"/>
      <c r="FZ1214" s="6"/>
      <c r="GA1214" s="6"/>
      <c r="GB1214" s="6"/>
      <c r="GC1214" s="6"/>
      <c r="GD1214" s="6"/>
      <c r="GE1214" s="6"/>
      <c r="GF1214" s="6"/>
      <c r="GG1214" s="6"/>
      <c r="GH1214" s="6"/>
      <c r="GI1214" s="6"/>
      <c r="GJ1214" s="6"/>
      <c r="GK1214" s="6"/>
      <c r="GL1214" s="6"/>
      <c r="GM1214" s="6"/>
      <c r="GN1214" s="6"/>
      <c r="GO1214" s="6"/>
      <c r="GP1214" s="6"/>
      <c r="GQ1214" s="6"/>
      <c r="GR1214" s="6"/>
      <c r="GS1214" s="6"/>
      <c r="GT1214" s="6"/>
      <c r="GU1214" s="6"/>
      <c r="GV1214" s="6"/>
      <c r="GW1214" s="6"/>
      <c r="GX1214" s="6"/>
      <c r="GY1214" s="6"/>
      <c r="GZ1214" s="6"/>
      <c r="HA1214" s="6"/>
      <c r="HB1214" s="6"/>
      <c r="HC1214" s="6"/>
      <c r="HD1214" s="6"/>
      <c r="HE1214" s="6"/>
      <c r="HF1214" s="6"/>
      <c r="HG1214" s="6"/>
      <c r="HH1214" s="6"/>
    </row>
    <row r="1215" spans="1:216" x14ac:dyDescent="0.3">
      <c r="A1215" s="8"/>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6"/>
      <c r="AR1215" s="6"/>
      <c r="AS1215" s="6"/>
      <c r="AT1215" s="6"/>
      <c r="AU1215" s="6"/>
      <c r="AV1215" s="6"/>
      <c r="AW1215" s="6"/>
      <c r="AX1215" s="6"/>
      <c r="AY1215" s="6"/>
      <c r="AZ1215" s="6"/>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c r="DX1215" s="6"/>
      <c r="DY1215" s="6"/>
      <c r="DZ1215" s="6"/>
      <c r="EA1215" s="6"/>
      <c r="EB1215" s="6"/>
      <c r="EC1215" s="6"/>
      <c r="ED1215" s="6"/>
      <c r="EE1215" s="6"/>
      <c r="EF1215" s="6"/>
      <c r="EG1215" s="6"/>
      <c r="EH1215" s="6"/>
      <c r="EI1215" s="6"/>
      <c r="EJ1215" s="6"/>
      <c r="EK1215" s="6"/>
      <c r="EL1215" s="6"/>
      <c r="EM1215" s="6"/>
      <c r="EN1215" s="6"/>
      <c r="EO1215" s="6"/>
      <c r="EP1215" s="6"/>
      <c r="EQ1215" s="6"/>
      <c r="ER1215" s="6"/>
      <c r="ES1215" s="6"/>
      <c r="ET1215" s="6"/>
      <c r="EU1215" s="6"/>
      <c r="EV1215" s="6"/>
      <c r="EW1215" s="6"/>
      <c r="EX1215" s="6"/>
      <c r="EY1215" s="6"/>
      <c r="EZ1215" s="6"/>
      <c r="FA1215" s="6"/>
      <c r="FB1215" s="6"/>
      <c r="FC1215" s="6"/>
      <c r="FD1215" s="6"/>
      <c r="FE1215" s="6"/>
      <c r="FF1215" s="6"/>
      <c r="FG1215" s="6"/>
      <c r="FH1215" s="6"/>
      <c r="FI1215" s="6"/>
      <c r="FJ1215" s="6"/>
      <c r="FK1215" s="6"/>
      <c r="FL1215" s="6"/>
      <c r="FM1215" s="6"/>
      <c r="FN1215" s="6"/>
      <c r="FO1215" s="6"/>
      <c r="FP1215" s="6"/>
      <c r="FQ1215" s="6"/>
      <c r="FR1215" s="6"/>
      <c r="FS1215" s="6"/>
      <c r="FT1215" s="6"/>
      <c r="FU1215" s="6"/>
      <c r="FV1215" s="6"/>
      <c r="FW1215" s="6"/>
      <c r="FX1215" s="6"/>
      <c r="FY1215" s="6"/>
      <c r="FZ1215" s="6"/>
      <c r="GA1215" s="6"/>
      <c r="GB1215" s="6"/>
      <c r="GC1215" s="6"/>
      <c r="GD1215" s="6"/>
      <c r="GE1215" s="6"/>
      <c r="GF1215" s="6"/>
      <c r="GG1215" s="6"/>
      <c r="GH1215" s="6"/>
      <c r="GI1215" s="6"/>
      <c r="GJ1215" s="6"/>
      <c r="GK1215" s="6"/>
      <c r="GL1215" s="6"/>
      <c r="GM1215" s="6"/>
      <c r="GN1215" s="6"/>
      <c r="GO1215" s="6"/>
      <c r="GP1215" s="6"/>
      <c r="GQ1215" s="6"/>
      <c r="GR1215" s="6"/>
      <c r="GS1215" s="6"/>
      <c r="GT1215" s="6"/>
      <c r="GU1215" s="6"/>
      <c r="GV1215" s="6"/>
      <c r="GW1215" s="6"/>
      <c r="GX1215" s="6"/>
      <c r="GY1215" s="6"/>
      <c r="GZ1215" s="6"/>
      <c r="HA1215" s="6"/>
      <c r="HB1215" s="6"/>
      <c r="HC1215" s="6"/>
      <c r="HD1215" s="6"/>
      <c r="HE1215" s="6"/>
      <c r="HF1215" s="6"/>
      <c r="HG1215" s="6"/>
      <c r="HH1215" s="6"/>
    </row>
    <row r="1216" spans="1:216" x14ac:dyDescent="0.3">
      <c r="A1216" s="8"/>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6"/>
      <c r="AR1216" s="6"/>
      <c r="AS1216" s="6"/>
      <c r="AT1216" s="6"/>
      <c r="AU1216" s="6"/>
      <c r="AV1216" s="6"/>
      <c r="AW1216" s="6"/>
      <c r="AX1216" s="6"/>
      <c r="AY1216" s="6"/>
      <c r="AZ1216" s="6"/>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c r="DX1216" s="6"/>
      <c r="DY1216" s="6"/>
      <c r="DZ1216" s="6"/>
      <c r="EA1216" s="6"/>
      <c r="EB1216" s="6"/>
      <c r="EC1216" s="6"/>
      <c r="ED1216" s="6"/>
      <c r="EE1216" s="6"/>
      <c r="EF1216" s="6"/>
      <c r="EG1216" s="6"/>
      <c r="EH1216" s="6"/>
      <c r="EI1216" s="6"/>
      <c r="EJ1216" s="6"/>
      <c r="EK1216" s="6"/>
      <c r="EL1216" s="6"/>
      <c r="EM1216" s="6"/>
      <c r="EN1216" s="6"/>
      <c r="EO1216" s="6"/>
      <c r="EP1216" s="6"/>
      <c r="EQ1216" s="6"/>
      <c r="ER1216" s="6"/>
      <c r="ES1216" s="6"/>
      <c r="ET1216" s="6"/>
      <c r="EU1216" s="6"/>
      <c r="EV1216" s="6"/>
      <c r="EW1216" s="6"/>
      <c r="EX1216" s="6"/>
      <c r="EY1216" s="6"/>
      <c r="EZ1216" s="6"/>
      <c r="FA1216" s="6"/>
      <c r="FB1216" s="6"/>
      <c r="FC1216" s="6"/>
      <c r="FD1216" s="6"/>
      <c r="FE1216" s="6"/>
      <c r="FF1216" s="6"/>
      <c r="FG1216" s="6"/>
      <c r="FH1216" s="6"/>
      <c r="FI1216" s="6"/>
      <c r="FJ1216" s="6"/>
      <c r="FK1216" s="6"/>
      <c r="FL1216" s="6"/>
      <c r="FM1216" s="6"/>
      <c r="FN1216" s="6"/>
      <c r="FO1216" s="6"/>
      <c r="FP1216" s="6"/>
      <c r="FQ1216" s="6"/>
      <c r="FR1216" s="6"/>
      <c r="FS1216" s="6"/>
      <c r="FT1216" s="6"/>
      <c r="FU1216" s="6"/>
      <c r="FV1216" s="6"/>
      <c r="FW1216" s="6"/>
      <c r="FX1216" s="6"/>
      <c r="FY1216" s="6"/>
      <c r="FZ1216" s="6"/>
      <c r="GA1216" s="6"/>
      <c r="GB1216" s="6"/>
      <c r="GC1216" s="6"/>
      <c r="GD1216" s="6"/>
      <c r="GE1216" s="6"/>
      <c r="GF1216" s="6"/>
      <c r="GG1216" s="6"/>
      <c r="GH1216" s="6"/>
      <c r="GI1216" s="6"/>
      <c r="GJ1216" s="6"/>
      <c r="GK1216" s="6"/>
      <c r="GL1216" s="6"/>
      <c r="GM1216" s="6"/>
      <c r="GN1216" s="6"/>
      <c r="GO1216" s="6"/>
      <c r="GP1216" s="6"/>
      <c r="GQ1216" s="6"/>
      <c r="GR1216" s="6"/>
      <c r="GS1216" s="6"/>
      <c r="GT1216" s="6"/>
      <c r="GU1216" s="6"/>
      <c r="GV1216" s="6"/>
      <c r="GW1216" s="6"/>
      <c r="GX1216" s="6"/>
      <c r="GY1216" s="6"/>
      <c r="GZ1216" s="6"/>
      <c r="HA1216" s="6"/>
      <c r="HB1216" s="6"/>
      <c r="HC1216" s="6"/>
      <c r="HD1216" s="6"/>
      <c r="HE1216" s="6"/>
      <c r="HF1216" s="6"/>
      <c r="HG1216" s="6"/>
      <c r="HH1216" s="6"/>
    </row>
    <row r="1217" spans="1:216" x14ac:dyDescent="0.3">
      <c r="A1217" s="8"/>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6"/>
      <c r="AR1217" s="6"/>
      <c r="AS1217" s="6"/>
      <c r="AT1217" s="6"/>
      <c r="AU1217" s="6"/>
      <c r="AV1217" s="6"/>
      <c r="AW1217" s="6"/>
      <c r="AX1217" s="6"/>
      <c r="AY1217" s="6"/>
      <c r="AZ1217" s="6"/>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c r="DX1217" s="6"/>
      <c r="DY1217" s="6"/>
      <c r="DZ1217" s="6"/>
      <c r="EA1217" s="6"/>
      <c r="EB1217" s="6"/>
      <c r="EC1217" s="6"/>
      <c r="ED1217" s="6"/>
      <c r="EE1217" s="6"/>
      <c r="EF1217" s="6"/>
      <c r="EG1217" s="6"/>
      <c r="EH1217" s="6"/>
      <c r="EI1217" s="6"/>
      <c r="EJ1217" s="6"/>
      <c r="EK1217" s="6"/>
      <c r="EL1217" s="6"/>
      <c r="EM1217" s="6"/>
      <c r="EN1217" s="6"/>
      <c r="EO1217" s="6"/>
      <c r="EP1217" s="6"/>
      <c r="EQ1217" s="6"/>
      <c r="ER1217" s="6"/>
      <c r="ES1217" s="6"/>
      <c r="ET1217" s="6"/>
      <c r="EU1217" s="6"/>
      <c r="EV1217" s="6"/>
      <c r="EW1217" s="6"/>
      <c r="EX1217" s="6"/>
      <c r="EY1217" s="6"/>
      <c r="EZ1217" s="6"/>
      <c r="FA1217" s="6"/>
      <c r="FB1217" s="6"/>
      <c r="FC1217" s="6"/>
      <c r="FD1217" s="6"/>
      <c r="FE1217" s="6"/>
      <c r="FF1217" s="6"/>
      <c r="FG1217" s="6"/>
      <c r="FH1217" s="6"/>
      <c r="FI1217" s="6"/>
      <c r="FJ1217" s="6"/>
      <c r="FK1217" s="6"/>
      <c r="FL1217" s="6"/>
      <c r="FM1217" s="6"/>
      <c r="FN1217" s="6"/>
      <c r="FO1217" s="6"/>
      <c r="FP1217" s="6"/>
      <c r="FQ1217" s="6"/>
      <c r="FR1217" s="6"/>
      <c r="FS1217" s="6"/>
      <c r="FT1217" s="6"/>
      <c r="FU1217" s="6"/>
      <c r="FV1217" s="6"/>
      <c r="FW1217" s="6"/>
      <c r="FX1217" s="6"/>
      <c r="FY1217" s="6"/>
      <c r="FZ1217" s="6"/>
      <c r="GA1217" s="6"/>
      <c r="GB1217" s="6"/>
      <c r="GC1217" s="6"/>
      <c r="GD1217" s="6"/>
      <c r="GE1217" s="6"/>
      <c r="GF1217" s="6"/>
      <c r="GG1217" s="6"/>
      <c r="GH1217" s="6"/>
      <c r="GI1217" s="6"/>
      <c r="GJ1217" s="6"/>
      <c r="GK1217" s="6"/>
      <c r="GL1217" s="6"/>
      <c r="GM1217" s="6"/>
      <c r="GN1217" s="6"/>
      <c r="GO1217" s="6"/>
      <c r="GP1217" s="6"/>
      <c r="GQ1217" s="6"/>
      <c r="GR1217" s="6"/>
      <c r="GS1217" s="6"/>
      <c r="GT1217" s="6"/>
      <c r="GU1217" s="6"/>
      <c r="GV1217" s="6"/>
      <c r="GW1217" s="6"/>
      <c r="GX1217" s="6"/>
      <c r="GY1217" s="6"/>
      <c r="GZ1217" s="6"/>
      <c r="HA1217" s="6"/>
      <c r="HB1217" s="6"/>
      <c r="HC1217" s="6"/>
      <c r="HD1217" s="6"/>
      <c r="HE1217" s="6"/>
      <c r="HF1217" s="6"/>
      <c r="HG1217" s="6"/>
      <c r="HH1217" s="6"/>
    </row>
    <row r="1218" spans="1:216" x14ac:dyDescent="0.3">
      <c r="A1218" s="8"/>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6"/>
      <c r="AR1218" s="6"/>
      <c r="AS1218" s="6"/>
      <c r="AT1218" s="6"/>
      <c r="AU1218" s="6"/>
      <c r="AV1218" s="6"/>
      <c r="AW1218" s="6"/>
      <c r="AX1218" s="6"/>
      <c r="AY1218" s="6"/>
      <c r="AZ1218" s="6"/>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c r="DX1218" s="6"/>
      <c r="DY1218" s="6"/>
      <c r="DZ1218" s="6"/>
      <c r="EA1218" s="6"/>
      <c r="EB1218" s="6"/>
      <c r="EC1218" s="6"/>
      <c r="ED1218" s="6"/>
      <c r="EE1218" s="6"/>
      <c r="EF1218" s="6"/>
      <c r="EG1218" s="6"/>
      <c r="EH1218" s="6"/>
      <c r="EI1218" s="6"/>
      <c r="EJ1218" s="6"/>
      <c r="EK1218" s="6"/>
      <c r="EL1218" s="6"/>
      <c r="EM1218" s="6"/>
      <c r="EN1218" s="6"/>
      <c r="EO1218" s="6"/>
      <c r="EP1218" s="6"/>
      <c r="EQ1218" s="6"/>
      <c r="ER1218" s="6"/>
      <c r="ES1218" s="6"/>
      <c r="ET1218" s="6"/>
      <c r="EU1218" s="6"/>
      <c r="EV1218" s="6"/>
      <c r="EW1218" s="6"/>
      <c r="EX1218" s="6"/>
      <c r="EY1218" s="6"/>
      <c r="EZ1218" s="6"/>
      <c r="FA1218" s="6"/>
      <c r="FB1218" s="6"/>
      <c r="FC1218" s="6"/>
      <c r="FD1218" s="6"/>
      <c r="FE1218" s="6"/>
      <c r="FF1218" s="6"/>
      <c r="FG1218" s="6"/>
      <c r="FH1218" s="6"/>
      <c r="FI1218" s="6"/>
      <c r="FJ1218" s="6"/>
      <c r="FK1218" s="6"/>
      <c r="FL1218" s="6"/>
      <c r="FM1218" s="6"/>
      <c r="FN1218" s="6"/>
      <c r="FO1218" s="6"/>
      <c r="FP1218" s="6"/>
      <c r="FQ1218" s="6"/>
      <c r="FR1218" s="6"/>
      <c r="FS1218" s="6"/>
      <c r="FT1218" s="6"/>
      <c r="FU1218" s="6"/>
      <c r="FV1218" s="6"/>
      <c r="FW1218" s="6"/>
      <c r="FX1218" s="6"/>
      <c r="FY1218" s="6"/>
      <c r="FZ1218" s="6"/>
      <c r="GA1218" s="6"/>
      <c r="GB1218" s="6"/>
      <c r="GC1218" s="6"/>
      <c r="GD1218" s="6"/>
      <c r="GE1218" s="6"/>
      <c r="GF1218" s="6"/>
      <c r="GG1218" s="6"/>
      <c r="GH1218" s="6"/>
      <c r="GI1218" s="6"/>
      <c r="GJ1218" s="6"/>
      <c r="GK1218" s="6"/>
      <c r="GL1218" s="6"/>
      <c r="GM1218" s="6"/>
      <c r="GN1218" s="6"/>
      <c r="GO1218" s="6"/>
      <c r="GP1218" s="6"/>
      <c r="GQ1218" s="6"/>
      <c r="GR1218" s="6"/>
      <c r="GS1218" s="6"/>
      <c r="GT1218" s="6"/>
      <c r="GU1218" s="6"/>
      <c r="GV1218" s="6"/>
      <c r="GW1218" s="6"/>
      <c r="GX1218" s="6"/>
      <c r="GY1218" s="6"/>
      <c r="GZ1218" s="6"/>
      <c r="HA1218" s="6"/>
      <c r="HB1218" s="6"/>
      <c r="HC1218" s="6"/>
      <c r="HD1218" s="6"/>
      <c r="HE1218" s="6"/>
      <c r="HF1218" s="6"/>
      <c r="HG1218" s="6"/>
      <c r="HH1218" s="6"/>
    </row>
    <row r="1219" spans="1:216" x14ac:dyDescent="0.3">
      <c r="A1219" s="8"/>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6"/>
      <c r="AR1219" s="6"/>
      <c r="AS1219" s="6"/>
      <c r="AT1219" s="6"/>
      <c r="AU1219" s="6"/>
      <c r="AV1219" s="6"/>
      <c r="AW1219" s="6"/>
      <c r="AX1219" s="6"/>
      <c r="AY1219" s="6"/>
      <c r="AZ1219" s="6"/>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c r="DX1219" s="6"/>
      <c r="DY1219" s="6"/>
      <c r="DZ1219" s="6"/>
      <c r="EA1219" s="6"/>
      <c r="EB1219" s="6"/>
      <c r="EC1219" s="6"/>
      <c r="ED1219" s="6"/>
      <c r="EE1219" s="6"/>
      <c r="EF1219" s="6"/>
      <c r="EG1219" s="6"/>
      <c r="EH1219" s="6"/>
      <c r="EI1219" s="6"/>
      <c r="EJ1219" s="6"/>
      <c r="EK1219" s="6"/>
      <c r="EL1219" s="6"/>
      <c r="EM1219" s="6"/>
      <c r="EN1219" s="6"/>
      <c r="EO1219" s="6"/>
      <c r="EP1219" s="6"/>
      <c r="EQ1219" s="6"/>
      <c r="ER1219" s="6"/>
      <c r="ES1219" s="6"/>
      <c r="ET1219" s="6"/>
      <c r="EU1219" s="6"/>
      <c r="EV1219" s="6"/>
      <c r="EW1219" s="6"/>
      <c r="EX1219" s="6"/>
      <c r="EY1219" s="6"/>
      <c r="EZ1219" s="6"/>
      <c r="FA1219" s="6"/>
      <c r="FB1219" s="6"/>
      <c r="FC1219" s="6"/>
      <c r="FD1219" s="6"/>
      <c r="FE1219" s="6"/>
      <c r="FF1219" s="6"/>
      <c r="FG1219" s="6"/>
      <c r="FH1219" s="6"/>
      <c r="FI1219" s="6"/>
      <c r="FJ1219" s="6"/>
      <c r="FK1219" s="6"/>
      <c r="FL1219" s="6"/>
      <c r="FM1219" s="6"/>
      <c r="FN1219" s="6"/>
      <c r="FO1219" s="6"/>
      <c r="FP1219" s="6"/>
      <c r="FQ1219" s="6"/>
      <c r="FR1219" s="6"/>
      <c r="FS1219" s="6"/>
      <c r="FT1219" s="6"/>
      <c r="FU1219" s="6"/>
      <c r="FV1219" s="6"/>
      <c r="FW1219" s="6"/>
      <c r="FX1219" s="6"/>
      <c r="FY1219" s="6"/>
      <c r="FZ1219" s="6"/>
      <c r="GA1219" s="6"/>
      <c r="GB1219" s="6"/>
      <c r="GC1219" s="6"/>
      <c r="GD1219" s="6"/>
      <c r="GE1219" s="6"/>
      <c r="GF1219" s="6"/>
      <c r="GG1219" s="6"/>
      <c r="GH1219" s="6"/>
      <c r="GI1219" s="6"/>
      <c r="GJ1219" s="6"/>
      <c r="GK1219" s="6"/>
      <c r="GL1219" s="6"/>
      <c r="GM1219" s="6"/>
      <c r="GN1219" s="6"/>
      <c r="GO1219" s="6"/>
      <c r="GP1219" s="6"/>
      <c r="GQ1219" s="6"/>
      <c r="GR1219" s="6"/>
      <c r="GS1219" s="6"/>
      <c r="GT1219" s="6"/>
      <c r="GU1219" s="6"/>
      <c r="GV1219" s="6"/>
      <c r="GW1219" s="6"/>
      <c r="GX1219" s="6"/>
      <c r="GY1219" s="6"/>
      <c r="GZ1219" s="6"/>
      <c r="HA1219" s="6"/>
      <c r="HB1219" s="6"/>
      <c r="HC1219" s="6"/>
      <c r="HD1219" s="6"/>
      <c r="HE1219" s="6"/>
      <c r="HF1219" s="6"/>
      <c r="HG1219" s="6"/>
      <c r="HH1219" s="6"/>
    </row>
    <row r="1220" spans="1:216" x14ac:dyDescent="0.3">
      <c r="A1220" s="8"/>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6"/>
      <c r="AR1220" s="6"/>
      <c r="AS1220" s="6"/>
      <c r="AT1220" s="6"/>
      <c r="AU1220" s="6"/>
      <c r="AV1220" s="6"/>
      <c r="AW1220" s="6"/>
      <c r="AX1220" s="6"/>
      <c r="AY1220" s="6"/>
      <c r="AZ1220" s="6"/>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c r="DX1220" s="6"/>
      <c r="DY1220" s="6"/>
      <c r="DZ1220" s="6"/>
      <c r="EA1220" s="6"/>
      <c r="EB1220" s="6"/>
      <c r="EC1220" s="6"/>
      <c r="ED1220" s="6"/>
      <c r="EE1220" s="6"/>
      <c r="EF1220" s="6"/>
      <c r="EG1220" s="6"/>
      <c r="EH1220" s="6"/>
      <c r="EI1220" s="6"/>
      <c r="EJ1220" s="6"/>
      <c r="EK1220" s="6"/>
      <c r="EL1220" s="6"/>
      <c r="EM1220" s="6"/>
      <c r="EN1220" s="6"/>
      <c r="EO1220" s="6"/>
      <c r="EP1220" s="6"/>
      <c r="EQ1220" s="6"/>
      <c r="ER1220" s="6"/>
      <c r="ES1220" s="6"/>
      <c r="ET1220" s="6"/>
      <c r="EU1220" s="6"/>
      <c r="EV1220" s="6"/>
      <c r="EW1220" s="6"/>
      <c r="EX1220" s="6"/>
      <c r="EY1220" s="6"/>
      <c r="EZ1220" s="6"/>
      <c r="FA1220" s="6"/>
      <c r="FB1220" s="6"/>
      <c r="FC1220" s="6"/>
      <c r="FD1220" s="6"/>
      <c r="FE1220" s="6"/>
      <c r="FF1220" s="6"/>
      <c r="FG1220" s="6"/>
      <c r="FH1220" s="6"/>
      <c r="FI1220" s="6"/>
      <c r="FJ1220" s="6"/>
      <c r="FK1220" s="6"/>
      <c r="FL1220" s="6"/>
      <c r="FM1220" s="6"/>
      <c r="FN1220" s="6"/>
      <c r="FO1220" s="6"/>
      <c r="FP1220" s="6"/>
      <c r="FQ1220" s="6"/>
      <c r="FR1220" s="6"/>
      <c r="FS1220" s="6"/>
      <c r="FT1220" s="6"/>
      <c r="FU1220" s="6"/>
      <c r="FV1220" s="6"/>
      <c r="FW1220" s="6"/>
      <c r="FX1220" s="6"/>
      <c r="FY1220" s="6"/>
      <c r="FZ1220" s="6"/>
      <c r="GA1220" s="6"/>
      <c r="GB1220" s="6"/>
      <c r="GC1220" s="6"/>
      <c r="GD1220" s="6"/>
      <c r="GE1220" s="6"/>
      <c r="GF1220" s="6"/>
      <c r="GG1220" s="6"/>
      <c r="GH1220" s="6"/>
      <c r="GI1220" s="6"/>
      <c r="GJ1220" s="6"/>
      <c r="GK1220" s="6"/>
      <c r="GL1220" s="6"/>
      <c r="GM1220" s="6"/>
      <c r="GN1220" s="6"/>
      <c r="GO1220" s="6"/>
      <c r="GP1220" s="6"/>
      <c r="GQ1220" s="6"/>
      <c r="GR1220" s="6"/>
      <c r="GS1220" s="6"/>
      <c r="GT1220" s="6"/>
      <c r="GU1220" s="6"/>
      <c r="GV1220" s="6"/>
      <c r="GW1220" s="6"/>
      <c r="GX1220" s="6"/>
      <c r="GY1220" s="6"/>
      <c r="GZ1220" s="6"/>
      <c r="HA1220" s="6"/>
      <c r="HB1220" s="6"/>
      <c r="HC1220" s="6"/>
      <c r="HD1220" s="6"/>
      <c r="HE1220" s="6"/>
      <c r="HF1220" s="6"/>
      <c r="HG1220" s="6"/>
      <c r="HH1220" s="6"/>
    </row>
    <row r="1221" spans="1:216" x14ac:dyDescent="0.3">
      <c r="A1221" s="8"/>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6"/>
      <c r="AR1221" s="6"/>
      <c r="AS1221" s="6"/>
      <c r="AT1221" s="6"/>
      <c r="AU1221" s="6"/>
      <c r="AV1221" s="6"/>
      <c r="AW1221" s="6"/>
      <c r="AX1221" s="6"/>
      <c r="AY1221" s="6"/>
      <c r="AZ1221" s="6"/>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c r="DX1221" s="6"/>
      <c r="DY1221" s="6"/>
      <c r="DZ1221" s="6"/>
      <c r="EA1221" s="6"/>
      <c r="EB1221" s="6"/>
      <c r="EC1221" s="6"/>
      <c r="ED1221" s="6"/>
      <c r="EE1221" s="6"/>
      <c r="EF1221" s="6"/>
      <c r="EG1221" s="6"/>
      <c r="EH1221" s="6"/>
      <c r="EI1221" s="6"/>
      <c r="EJ1221" s="6"/>
      <c r="EK1221" s="6"/>
      <c r="EL1221" s="6"/>
      <c r="EM1221" s="6"/>
      <c r="EN1221" s="6"/>
      <c r="EO1221" s="6"/>
      <c r="EP1221" s="6"/>
      <c r="EQ1221" s="6"/>
      <c r="ER1221" s="6"/>
      <c r="ES1221" s="6"/>
      <c r="ET1221" s="6"/>
      <c r="EU1221" s="6"/>
      <c r="EV1221" s="6"/>
      <c r="EW1221" s="6"/>
      <c r="EX1221" s="6"/>
      <c r="EY1221" s="6"/>
      <c r="EZ1221" s="6"/>
      <c r="FA1221" s="6"/>
      <c r="FB1221" s="6"/>
      <c r="FC1221" s="6"/>
      <c r="FD1221" s="6"/>
      <c r="FE1221" s="6"/>
      <c r="FF1221" s="6"/>
      <c r="FG1221" s="6"/>
      <c r="FH1221" s="6"/>
      <c r="FI1221" s="6"/>
      <c r="FJ1221" s="6"/>
      <c r="FK1221" s="6"/>
      <c r="FL1221" s="6"/>
      <c r="FM1221" s="6"/>
      <c r="FN1221" s="6"/>
      <c r="FO1221" s="6"/>
      <c r="FP1221" s="6"/>
      <c r="FQ1221" s="6"/>
      <c r="FR1221" s="6"/>
      <c r="FS1221" s="6"/>
      <c r="FT1221" s="6"/>
      <c r="FU1221" s="6"/>
      <c r="FV1221" s="6"/>
      <c r="FW1221" s="6"/>
      <c r="FX1221" s="6"/>
      <c r="FY1221" s="6"/>
      <c r="FZ1221" s="6"/>
      <c r="GA1221" s="6"/>
      <c r="GB1221" s="6"/>
      <c r="GC1221" s="6"/>
      <c r="GD1221" s="6"/>
      <c r="GE1221" s="6"/>
      <c r="GF1221" s="6"/>
      <c r="GG1221" s="6"/>
      <c r="GH1221" s="6"/>
      <c r="GI1221" s="6"/>
      <c r="GJ1221" s="6"/>
      <c r="GK1221" s="6"/>
      <c r="GL1221" s="6"/>
      <c r="GM1221" s="6"/>
      <c r="GN1221" s="6"/>
      <c r="GO1221" s="6"/>
      <c r="GP1221" s="6"/>
      <c r="GQ1221" s="6"/>
      <c r="GR1221" s="6"/>
      <c r="GS1221" s="6"/>
      <c r="GT1221" s="6"/>
      <c r="GU1221" s="6"/>
      <c r="GV1221" s="6"/>
      <c r="GW1221" s="6"/>
      <c r="GX1221" s="6"/>
      <c r="GY1221" s="6"/>
      <c r="GZ1221" s="6"/>
      <c r="HA1221" s="6"/>
      <c r="HB1221" s="6"/>
      <c r="HC1221" s="6"/>
      <c r="HD1221" s="6"/>
      <c r="HE1221" s="6"/>
      <c r="HF1221" s="6"/>
      <c r="HG1221" s="6"/>
      <c r="HH1221" s="6"/>
    </row>
    <row r="1222" spans="1:216" x14ac:dyDescent="0.3">
      <c r="A1222" s="8"/>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6"/>
      <c r="AR1222" s="6"/>
      <c r="AS1222" s="6"/>
      <c r="AT1222" s="6"/>
      <c r="AU1222" s="6"/>
      <c r="AV1222" s="6"/>
      <c r="AW1222" s="6"/>
      <c r="AX1222" s="6"/>
      <c r="AY1222" s="6"/>
      <c r="AZ1222" s="6"/>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c r="DX1222" s="6"/>
      <c r="DY1222" s="6"/>
      <c r="DZ1222" s="6"/>
      <c r="EA1222" s="6"/>
      <c r="EB1222" s="6"/>
      <c r="EC1222" s="6"/>
      <c r="ED1222" s="6"/>
      <c r="EE1222" s="6"/>
      <c r="EF1222" s="6"/>
      <c r="EG1222" s="6"/>
      <c r="EH1222" s="6"/>
      <c r="EI1222" s="6"/>
      <c r="EJ1222" s="6"/>
      <c r="EK1222" s="6"/>
      <c r="EL1222" s="6"/>
      <c r="EM1222" s="6"/>
      <c r="EN1222" s="6"/>
      <c r="EO1222" s="6"/>
      <c r="EP1222" s="6"/>
      <c r="EQ1222" s="6"/>
      <c r="ER1222" s="6"/>
      <c r="ES1222" s="6"/>
      <c r="ET1222" s="6"/>
      <c r="EU1222" s="6"/>
      <c r="EV1222" s="6"/>
      <c r="EW1222" s="6"/>
      <c r="EX1222" s="6"/>
      <c r="EY1222" s="6"/>
      <c r="EZ1222" s="6"/>
      <c r="FA1222" s="6"/>
      <c r="FB1222" s="6"/>
      <c r="FC1222" s="6"/>
      <c r="FD1222" s="6"/>
      <c r="FE1222" s="6"/>
      <c r="FF1222" s="6"/>
      <c r="FG1222" s="6"/>
      <c r="FH1222" s="6"/>
      <c r="FI1222" s="6"/>
      <c r="FJ1222" s="6"/>
      <c r="FK1222" s="6"/>
      <c r="FL1222" s="6"/>
      <c r="FM1222" s="6"/>
      <c r="FN1222" s="6"/>
      <c r="FO1222" s="6"/>
      <c r="FP1222" s="6"/>
      <c r="FQ1222" s="6"/>
      <c r="FR1222" s="6"/>
      <c r="FS1222" s="6"/>
      <c r="FT1222" s="6"/>
      <c r="FU1222" s="6"/>
      <c r="FV1222" s="6"/>
      <c r="FW1222" s="6"/>
      <c r="FX1222" s="6"/>
      <c r="FY1222" s="6"/>
      <c r="FZ1222" s="6"/>
      <c r="GA1222" s="6"/>
      <c r="GB1222" s="6"/>
      <c r="GC1222" s="6"/>
      <c r="GD1222" s="6"/>
      <c r="GE1222" s="6"/>
      <c r="GF1222" s="6"/>
      <c r="GG1222" s="6"/>
      <c r="GH1222" s="6"/>
      <c r="GI1222" s="6"/>
      <c r="GJ1222" s="6"/>
      <c r="GK1222" s="6"/>
      <c r="GL1222" s="6"/>
      <c r="GM1222" s="6"/>
      <c r="GN1222" s="6"/>
      <c r="GO1222" s="6"/>
      <c r="GP1222" s="6"/>
      <c r="GQ1222" s="6"/>
      <c r="GR1222" s="6"/>
      <c r="GS1222" s="6"/>
      <c r="GT1222" s="6"/>
      <c r="GU1222" s="6"/>
      <c r="GV1222" s="6"/>
      <c r="GW1222" s="6"/>
      <c r="GX1222" s="6"/>
      <c r="GY1222" s="6"/>
      <c r="GZ1222" s="6"/>
      <c r="HA1222" s="6"/>
      <c r="HB1222" s="6"/>
      <c r="HC1222" s="6"/>
      <c r="HD1222" s="6"/>
      <c r="HE1222" s="6"/>
      <c r="HF1222" s="6"/>
      <c r="HG1222" s="6"/>
      <c r="HH1222" s="6"/>
    </row>
    <row r="1223" spans="1:216" x14ac:dyDescent="0.3">
      <c r="A1223" s="8"/>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6"/>
      <c r="AR1223" s="6"/>
      <c r="AS1223" s="6"/>
      <c r="AT1223" s="6"/>
      <c r="AU1223" s="6"/>
      <c r="AV1223" s="6"/>
      <c r="AW1223" s="6"/>
      <c r="AX1223" s="6"/>
      <c r="AY1223" s="6"/>
      <c r="AZ1223" s="6"/>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c r="DX1223" s="6"/>
      <c r="DY1223" s="6"/>
      <c r="DZ1223" s="6"/>
      <c r="EA1223" s="6"/>
      <c r="EB1223" s="6"/>
      <c r="EC1223" s="6"/>
      <c r="ED1223" s="6"/>
      <c r="EE1223" s="6"/>
      <c r="EF1223" s="6"/>
      <c r="EG1223" s="6"/>
      <c r="EH1223" s="6"/>
      <c r="EI1223" s="6"/>
      <c r="EJ1223" s="6"/>
      <c r="EK1223" s="6"/>
      <c r="EL1223" s="6"/>
      <c r="EM1223" s="6"/>
      <c r="EN1223" s="6"/>
      <c r="EO1223" s="6"/>
      <c r="EP1223" s="6"/>
      <c r="EQ1223" s="6"/>
      <c r="ER1223" s="6"/>
      <c r="ES1223" s="6"/>
      <c r="ET1223" s="6"/>
      <c r="EU1223" s="6"/>
      <c r="EV1223" s="6"/>
      <c r="EW1223" s="6"/>
      <c r="EX1223" s="6"/>
      <c r="EY1223" s="6"/>
      <c r="EZ1223" s="6"/>
      <c r="FA1223" s="6"/>
      <c r="FB1223" s="6"/>
      <c r="FC1223" s="6"/>
      <c r="FD1223" s="6"/>
      <c r="FE1223" s="6"/>
      <c r="FF1223" s="6"/>
      <c r="FG1223" s="6"/>
      <c r="FH1223" s="6"/>
      <c r="FI1223" s="6"/>
      <c r="FJ1223" s="6"/>
      <c r="FK1223" s="6"/>
      <c r="FL1223" s="6"/>
      <c r="FM1223" s="6"/>
      <c r="FN1223" s="6"/>
      <c r="FO1223" s="6"/>
      <c r="FP1223" s="6"/>
      <c r="FQ1223" s="6"/>
      <c r="FR1223" s="6"/>
      <c r="FS1223" s="6"/>
      <c r="FT1223" s="6"/>
      <c r="FU1223" s="6"/>
      <c r="FV1223" s="6"/>
      <c r="FW1223" s="6"/>
      <c r="FX1223" s="6"/>
      <c r="FY1223" s="6"/>
      <c r="FZ1223" s="6"/>
      <c r="GA1223" s="6"/>
      <c r="GB1223" s="6"/>
      <c r="GC1223" s="6"/>
      <c r="GD1223" s="6"/>
      <c r="GE1223" s="6"/>
      <c r="GF1223" s="6"/>
      <c r="GG1223" s="6"/>
      <c r="GH1223" s="6"/>
      <c r="GI1223" s="6"/>
      <c r="GJ1223" s="6"/>
      <c r="GK1223" s="6"/>
      <c r="GL1223" s="6"/>
      <c r="GM1223" s="6"/>
      <c r="GN1223" s="6"/>
      <c r="GO1223" s="6"/>
      <c r="GP1223" s="6"/>
      <c r="GQ1223" s="6"/>
      <c r="GR1223" s="6"/>
      <c r="GS1223" s="6"/>
      <c r="GT1223" s="6"/>
      <c r="GU1223" s="6"/>
      <c r="GV1223" s="6"/>
      <c r="GW1223" s="6"/>
      <c r="GX1223" s="6"/>
      <c r="GY1223" s="6"/>
      <c r="GZ1223" s="6"/>
      <c r="HA1223" s="6"/>
      <c r="HB1223" s="6"/>
      <c r="HC1223" s="6"/>
      <c r="HD1223" s="6"/>
      <c r="HE1223" s="6"/>
      <c r="HF1223" s="6"/>
      <c r="HG1223" s="6"/>
      <c r="HH1223" s="6"/>
    </row>
    <row r="1224" spans="1:216" x14ac:dyDescent="0.3">
      <c r="A1224" s="8"/>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6"/>
      <c r="AR1224" s="6"/>
      <c r="AS1224" s="6"/>
      <c r="AT1224" s="6"/>
      <c r="AU1224" s="6"/>
      <c r="AV1224" s="6"/>
      <c r="AW1224" s="6"/>
      <c r="AX1224" s="6"/>
      <c r="AY1224" s="6"/>
      <c r="AZ1224" s="6"/>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c r="DX1224" s="6"/>
      <c r="DY1224" s="6"/>
      <c r="DZ1224" s="6"/>
      <c r="EA1224" s="6"/>
      <c r="EB1224" s="6"/>
      <c r="EC1224" s="6"/>
      <c r="ED1224" s="6"/>
      <c r="EE1224" s="6"/>
      <c r="EF1224" s="6"/>
      <c r="EG1224" s="6"/>
      <c r="EH1224" s="6"/>
      <c r="EI1224" s="6"/>
      <c r="EJ1224" s="6"/>
      <c r="EK1224" s="6"/>
      <c r="EL1224" s="6"/>
      <c r="EM1224" s="6"/>
      <c r="EN1224" s="6"/>
      <c r="EO1224" s="6"/>
      <c r="EP1224" s="6"/>
      <c r="EQ1224" s="6"/>
      <c r="ER1224" s="6"/>
      <c r="ES1224" s="6"/>
      <c r="ET1224" s="6"/>
      <c r="EU1224" s="6"/>
      <c r="EV1224" s="6"/>
      <c r="EW1224" s="6"/>
      <c r="EX1224" s="6"/>
      <c r="EY1224" s="6"/>
      <c r="EZ1224" s="6"/>
      <c r="FA1224" s="6"/>
      <c r="FB1224" s="6"/>
      <c r="FC1224" s="6"/>
      <c r="FD1224" s="6"/>
      <c r="FE1224" s="6"/>
      <c r="FF1224" s="6"/>
      <c r="FG1224" s="6"/>
      <c r="FH1224" s="6"/>
      <c r="FI1224" s="6"/>
      <c r="FJ1224" s="6"/>
      <c r="FK1224" s="6"/>
      <c r="FL1224" s="6"/>
      <c r="FM1224" s="6"/>
      <c r="FN1224" s="6"/>
      <c r="FO1224" s="6"/>
      <c r="FP1224" s="6"/>
      <c r="FQ1224" s="6"/>
      <c r="FR1224" s="6"/>
      <c r="FS1224" s="6"/>
      <c r="FT1224" s="6"/>
      <c r="FU1224" s="6"/>
      <c r="FV1224" s="6"/>
      <c r="FW1224" s="6"/>
      <c r="FX1224" s="6"/>
      <c r="FY1224" s="6"/>
      <c r="FZ1224" s="6"/>
      <c r="GA1224" s="6"/>
      <c r="GB1224" s="6"/>
      <c r="GC1224" s="6"/>
      <c r="GD1224" s="6"/>
      <c r="GE1224" s="6"/>
      <c r="GF1224" s="6"/>
      <c r="GG1224" s="6"/>
      <c r="GH1224" s="6"/>
      <c r="GI1224" s="6"/>
      <c r="GJ1224" s="6"/>
      <c r="GK1224" s="6"/>
      <c r="GL1224" s="6"/>
      <c r="GM1224" s="6"/>
      <c r="GN1224" s="6"/>
      <c r="GO1224" s="6"/>
      <c r="GP1224" s="6"/>
      <c r="GQ1224" s="6"/>
      <c r="GR1224" s="6"/>
      <c r="GS1224" s="6"/>
      <c r="GT1224" s="6"/>
      <c r="GU1224" s="6"/>
      <c r="GV1224" s="6"/>
      <c r="GW1224" s="6"/>
      <c r="GX1224" s="6"/>
      <c r="GY1224" s="6"/>
      <c r="GZ1224" s="6"/>
      <c r="HA1224" s="6"/>
      <c r="HB1224" s="6"/>
      <c r="HC1224" s="6"/>
      <c r="HD1224" s="6"/>
      <c r="HE1224" s="6"/>
      <c r="HF1224" s="6"/>
      <c r="HG1224" s="6"/>
      <c r="HH1224" s="6"/>
    </row>
    <row r="1225" spans="1:216" x14ac:dyDescent="0.3">
      <c r="A1225" s="8"/>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6"/>
      <c r="AR1225" s="6"/>
      <c r="AS1225" s="6"/>
      <c r="AT1225" s="6"/>
      <c r="AU1225" s="6"/>
      <c r="AV1225" s="6"/>
      <c r="AW1225" s="6"/>
      <c r="AX1225" s="6"/>
      <c r="AY1225" s="6"/>
      <c r="AZ1225" s="6"/>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c r="DX1225" s="6"/>
      <c r="DY1225" s="6"/>
      <c r="DZ1225" s="6"/>
      <c r="EA1225" s="6"/>
      <c r="EB1225" s="6"/>
      <c r="EC1225" s="6"/>
      <c r="ED1225" s="6"/>
      <c r="EE1225" s="6"/>
      <c r="EF1225" s="6"/>
      <c r="EG1225" s="6"/>
      <c r="EH1225" s="6"/>
      <c r="EI1225" s="6"/>
      <c r="EJ1225" s="6"/>
      <c r="EK1225" s="6"/>
      <c r="EL1225" s="6"/>
      <c r="EM1225" s="6"/>
      <c r="EN1225" s="6"/>
      <c r="EO1225" s="6"/>
      <c r="EP1225" s="6"/>
      <c r="EQ1225" s="6"/>
      <c r="ER1225" s="6"/>
      <c r="ES1225" s="6"/>
      <c r="ET1225" s="6"/>
      <c r="EU1225" s="6"/>
      <c r="EV1225" s="6"/>
      <c r="EW1225" s="6"/>
      <c r="EX1225" s="6"/>
      <c r="EY1225" s="6"/>
      <c r="EZ1225" s="6"/>
      <c r="FA1225" s="6"/>
      <c r="FB1225" s="6"/>
      <c r="FC1225" s="6"/>
      <c r="FD1225" s="6"/>
      <c r="FE1225" s="6"/>
      <c r="FF1225" s="6"/>
      <c r="FG1225" s="6"/>
      <c r="FH1225" s="6"/>
      <c r="FI1225" s="6"/>
      <c r="FJ1225" s="6"/>
      <c r="FK1225" s="6"/>
      <c r="FL1225" s="6"/>
      <c r="FM1225" s="6"/>
      <c r="FN1225" s="6"/>
      <c r="FO1225" s="6"/>
      <c r="FP1225" s="6"/>
      <c r="FQ1225" s="6"/>
      <c r="FR1225" s="6"/>
      <c r="FS1225" s="6"/>
      <c r="FT1225" s="6"/>
      <c r="FU1225" s="6"/>
      <c r="FV1225" s="6"/>
      <c r="FW1225" s="6"/>
      <c r="FX1225" s="6"/>
      <c r="FY1225" s="6"/>
      <c r="FZ1225" s="6"/>
      <c r="GA1225" s="6"/>
      <c r="GB1225" s="6"/>
      <c r="GC1225" s="6"/>
      <c r="GD1225" s="6"/>
      <c r="GE1225" s="6"/>
      <c r="GF1225" s="6"/>
      <c r="GG1225" s="6"/>
      <c r="GH1225" s="6"/>
      <c r="GI1225" s="6"/>
      <c r="GJ1225" s="6"/>
      <c r="GK1225" s="6"/>
      <c r="GL1225" s="6"/>
      <c r="GM1225" s="6"/>
      <c r="GN1225" s="6"/>
      <c r="GO1225" s="6"/>
      <c r="GP1225" s="6"/>
      <c r="GQ1225" s="6"/>
      <c r="GR1225" s="6"/>
      <c r="GS1225" s="6"/>
      <c r="GT1225" s="6"/>
      <c r="GU1225" s="6"/>
      <c r="GV1225" s="6"/>
      <c r="GW1225" s="6"/>
      <c r="GX1225" s="6"/>
      <c r="GY1225" s="6"/>
      <c r="GZ1225" s="6"/>
      <c r="HA1225" s="6"/>
      <c r="HB1225" s="6"/>
      <c r="HC1225" s="6"/>
      <c r="HD1225" s="6"/>
      <c r="HE1225" s="6"/>
      <c r="HF1225" s="6"/>
      <c r="HG1225" s="6"/>
      <c r="HH1225" s="6"/>
    </row>
    <row r="1226" spans="1:216" x14ac:dyDescent="0.3">
      <c r="A1226" s="8"/>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6"/>
      <c r="AR1226" s="6"/>
      <c r="AS1226" s="6"/>
      <c r="AT1226" s="6"/>
      <c r="AU1226" s="6"/>
      <c r="AV1226" s="6"/>
      <c r="AW1226" s="6"/>
      <c r="AX1226" s="6"/>
      <c r="AY1226" s="6"/>
      <c r="AZ1226" s="6"/>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c r="DX1226" s="6"/>
      <c r="DY1226" s="6"/>
      <c r="DZ1226" s="6"/>
      <c r="EA1226" s="6"/>
      <c r="EB1226" s="6"/>
      <c r="EC1226" s="6"/>
      <c r="ED1226" s="6"/>
      <c r="EE1226" s="6"/>
      <c r="EF1226" s="6"/>
      <c r="EG1226" s="6"/>
      <c r="EH1226" s="6"/>
      <c r="EI1226" s="6"/>
      <c r="EJ1226" s="6"/>
      <c r="EK1226" s="6"/>
      <c r="EL1226" s="6"/>
      <c r="EM1226" s="6"/>
      <c r="EN1226" s="6"/>
      <c r="EO1226" s="6"/>
      <c r="EP1226" s="6"/>
      <c r="EQ1226" s="6"/>
      <c r="ER1226" s="6"/>
      <c r="ES1226" s="6"/>
      <c r="ET1226" s="6"/>
      <c r="EU1226" s="6"/>
      <c r="EV1226" s="6"/>
      <c r="EW1226" s="6"/>
      <c r="EX1226" s="6"/>
      <c r="EY1226" s="6"/>
      <c r="EZ1226" s="6"/>
      <c r="FA1226" s="6"/>
      <c r="FB1226" s="6"/>
      <c r="FC1226" s="6"/>
      <c r="FD1226" s="6"/>
      <c r="FE1226" s="6"/>
      <c r="FF1226" s="6"/>
      <c r="FG1226" s="6"/>
      <c r="FH1226" s="6"/>
      <c r="FI1226" s="6"/>
      <c r="FJ1226" s="6"/>
      <c r="FK1226" s="6"/>
      <c r="FL1226" s="6"/>
      <c r="FM1226" s="6"/>
      <c r="FN1226" s="6"/>
      <c r="FO1226" s="6"/>
      <c r="FP1226" s="6"/>
      <c r="FQ1226" s="6"/>
      <c r="FR1226" s="6"/>
      <c r="FS1226" s="6"/>
      <c r="FT1226" s="6"/>
      <c r="FU1226" s="6"/>
      <c r="FV1226" s="6"/>
      <c r="FW1226" s="6"/>
      <c r="FX1226" s="6"/>
      <c r="FY1226" s="6"/>
      <c r="FZ1226" s="6"/>
      <c r="GA1226" s="6"/>
      <c r="GB1226" s="6"/>
      <c r="GC1226" s="6"/>
      <c r="GD1226" s="6"/>
      <c r="GE1226" s="6"/>
      <c r="GF1226" s="6"/>
      <c r="GG1226" s="6"/>
      <c r="GH1226" s="6"/>
      <c r="GI1226" s="6"/>
      <c r="GJ1226" s="6"/>
      <c r="GK1226" s="6"/>
      <c r="GL1226" s="6"/>
      <c r="GM1226" s="6"/>
      <c r="GN1226" s="6"/>
      <c r="GO1226" s="6"/>
      <c r="GP1226" s="6"/>
      <c r="GQ1226" s="6"/>
      <c r="GR1226" s="6"/>
      <c r="GS1226" s="6"/>
      <c r="GT1226" s="6"/>
      <c r="GU1226" s="6"/>
      <c r="GV1226" s="6"/>
      <c r="GW1226" s="6"/>
      <c r="GX1226" s="6"/>
      <c r="GY1226" s="6"/>
      <c r="GZ1226" s="6"/>
      <c r="HA1226" s="6"/>
      <c r="HB1226" s="6"/>
      <c r="HC1226" s="6"/>
      <c r="HD1226" s="6"/>
      <c r="HE1226" s="6"/>
      <c r="HF1226" s="6"/>
      <c r="HG1226" s="6"/>
      <c r="HH1226" s="6"/>
    </row>
    <row r="1227" spans="1:216" x14ac:dyDescent="0.3">
      <c r="A1227" s="8"/>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6"/>
      <c r="AR1227" s="6"/>
      <c r="AS1227" s="6"/>
      <c r="AT1227" s="6"/>
      <c r="AU1227" s="6"/>
      <c r="AV1227" s="6"/>
      <c r="AW1227" s="6"/>
      <c r="AX1227" s="6"/>
      <c r="AY1227" s="6"/>
      <c r="AZ1227" s="6"/>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c r="DX1227" s="6"/>
      <c r="DY1227" s="6"/>
      <c r="DZ1227" s="6"/>
      <c r="EA1227" s="6"/>
      <c r="EB1227" s="6"/>
      <c r="EC1227" s="6"/>
      <c r="ED1227" s="6"/>
      <c r="EE1227" s="6"/>
      <c r="EF1227" s="6"/>
      <c r="EG1227" s="6"/>
      <c r="EH1227" s="6"/>
      <c r="EI1227" s="6"/>
      <c r="EJ1227" s="6"/>
      <c r="EK1227" s="6"/>
      <c r="EL1227" s="6"/>
      <c r="EM1227" s="6"/>
      <c r="EN1227" s="6"/>
      <c r="EO1227" s="6"/>
      <c r="EP1227" s="6"/>
      <c r="EQ1227" s="6"/>
      <c r="ER1227" s="6"/>
      <c r="ES1227" s="6"/>
      <c r="ET1227" s="6"/>
      <c r="EU1227" s="6"/>
      <c r="EV1227" s="6"/>
      <c r="EW1227" s="6"/>
      <c r="EX1227" s="6"/>
      <c r="EY1227" s="6"/>
      <c r="EZ1227" s="6"/>
      <c r="FA1227" s="6"/>
      <c r="FB1227" s="6"/>
      <c r="FC1227" s="6"/>
      <c r="FD1227" s="6"/>
      <c r="FE1227" s="6"/>
      <c r="FF1227" s="6"/>
      <c r="FG1227" s="6"/>
      <c r="FH1227" s="6"/>
      <c r="FI1227" s="6"/>
      <c r="FJ1227" s="6"/>
      <c r="FK1227" s="6"/>
      <c r="FL1227" s="6"/>
      <c r="FM1227" s="6"/>
      <c r="FN1227" s="6"/>
      <c r="FO1227" s="6"/>
      <c r="FP1227" s="6"/>
      <c r="FQ1227" s="6"/>
      <c r="FR1227" s="6"/>
      <c r="FS1227" s="6"/>
      <c r="FT1227" s="6"/>
      <c r="FU1227" s="6"/>
      <c r="FV1227" s="6"/>
      <c r="FW1227" s="6"/>
      <c r="FX1227" s="6"/>
      <c r="FY1227" s="6"/>
      <c r="FZ1227" s="6"/>
      <c r="GA1227" s="6"/>
      <c r="GB1227" s="6"/>
      <c r="GC1227" s="6"/>
      <c r="GD1227" s="6"/>
      <c r="GE1227" s="6"/>
      <c r="GF1227" s="6"/>
      <c r="GG1227" s="6"/>
      <c r="GH1227" s="6"/>
      <c r="GI1227" s="6"/>
      <c r="GJ1227" s="6"/>
      <c r="GK1227" s="6"/>
      <c r="GL1227" s="6"/>
      <c r="GM1227" s="6"/>
      <c r="GN1227" s="6"/>
      <c r="GO1227" s="6"/>
      <c r="GP1227" s="6"/>
      <c r="GQ1227" s="6"/>
      <c r="GR1227" s="6"/>
      <c r="GS1227" s="6"/>
      <c r="GT1227" s="6"/>
      <c r="GU1227" s="6"/>
      <c r="GV1227" s="6"/>
      <c r="GW1227" s="6"/>
      <c r="GX1227" s="6"/>
      <c r="GY1227" s="6"/>
      <c r="GZ1227" s="6"/>
      <c r="HA1227" s="6"/>
      <c r="HB1227" s="6"/>
      <c r="HC1227" s="6"/>
      <c r="HD1227" s="6"/>
      <c r="HE1227" s="6"/>
      <c r="HF1227" s="6"/>
      <c r="HG1227" s="6"/>
      <c r="HH1227" s="6"/>
    </row>
    <row r="1228" spans="1:216" x14ac:dyDescent="0.3">
      <c r="A1228" s="8"/>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6"/>
      <c r="AR1228" s="6"/>
      <c r="AS1228" s="6"/>
      <c r="AT1228" s="6"/>
      <c r="AU1228" s="6"/>
      <c r="AV1228" s="6"/>
      <c r="AW1228" s="6"/>
      <c r="AX1228" s="6"/>
      <c r="AY1228" s="6"/>
      <c r="AZ1228" s="6"/>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c r="DX1228" s="6"/>
      <c r="DY1228" s="6"/>
      <c r="DZ1228" s="6"/>
      <c r="EA1228" s="6"/>
      <c r="EB1228" s="6"/>
      <c r="EC1228" s="6"/>
      <c r="ED1228" s="6"/>
      <c r="EE1228" s="6"/>
      <c r="EF1228" s="6"/>
      <c r="EG1228" s="6"/>
      <c r="EH1228" s="6"/>
      <c r="EI1228" s="6"/>
      <c r="EJ1228" s="6"/>
      <c r="EK1228" s="6"/>
      <c r="EL1228" s="6"/>
      <c r="EM1228" s="6"/>
      <c r="EN1228" s="6"/>
      <c r="EO1228" s="6"/>
      <c r="EP1228" s="6"/>
      <c r="EQ1228" s="6"/>
      <c r="ER1228" s="6"/>
      <c r="ES1228" s="6"/>
      <c r="ET1228" s="6"/>
      <c r="EU1228" s="6"/>
      <c r="EV1228" s="6"/>
      <c r="EW1228" s="6"/>
      <c r="EX1228" s="6"/>
      <c r="EY1228" s="6"/>
      <c r="EZ1228" s="6"/>
      <c r="FA1228" s="6"/>
      <c r="FB1228" s="6"/>
      <c r="FC1228" s="6"/>
      <c r="FD1228" s="6"/>
      <c r="FE1228" s="6"/>
      <c r="FF1228" s="6"/>
      <c r="FG1228" s="6"/>
      <c r="FH1228" s="6"/>
      <c r="FI1228" s="6"/>
      <c r="FJ1228" s="6"/>
      <c r="FK1228" s="6"/>
      <c r="FL1228" s="6"/>
      <c r="FM1228" s="6"/>
      <c r="FN1228" s="6"/>
      <c r="FO1228" s="6"/>
      <c r="FP1228" s="6"/>
      <c r="FQ1228" s="6"/>
      <c r="FR1228" s="6"/>
      <c r="FS1228" s="6"/>
      <c r="FT1228" s="6"/>
      <c r="FU1228" s="6"/>
      <c r="FV1228" s="6"/>
      <c r="FW1228" s="6"/>
      <c r="FX1228" s="6"/>
      <c r="FY1228" s="6"/>
      <c r="FZ1228" s="6"/>
      <c r="GA1228" s="6"/>
      <c r="GB1228" s="6"/>
      <c r="GC1228" s="6"/>
      <c r="GD1228" s="6"/>
      <c r="GE1228" s="6"/>
      <c r="GF1228" s="6"/>
      <c r="GG1228" s="6"/>
      <c r="GH1228" s="6"/>
      <c r="GI1228" s="6"/>
      <c r="GJ1228" s="6"/>
      <c r="GK1228" s="6"/>
      <c r="GL1228" s="6"/>
      <c r="GM1228" s="6"/>
      <c r="GN1228" s="6"/>
      <c r="GO1228" s="6"/>
      <c r="GP1228" s="6"/>
      <c r="GQ1228" s="6"/>
      <c r="GR1228" s="6"/>
      <c r="GS1228" s="6"/>
      <c r="GT1228" s="6"/>
      <c r="GU1228" s="6"/>
      <c r="GV1228" s="6"/>
      <c r="GW1228" s="6"/>
      <c r="GX1228" s="6"/>
      <c r="GY1228" s="6"/>
      <c r="GZ1228" s="6"/>
      <c r="HA1228" s="6"/>
      <c r="HB1228" s="6"/>
      <c r="HC1228" s="6"/>
      <c r="HD1228" s="6"/>
      <c r="HE1228" s="6"/>
      <c r="HF1228" s="6"/>
      <c r="HG1228" s="6"/>
      <c r="HH1228" s="6"/>
    </row>
    <row r="1229" spans="1:216" x14ac:dyDescent="0.3">
      <c r="A1229" s="8"/>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6"/>
      <c r="AR1229" s="6"/>
      <c r="AS1229" s="6"/>
      <c r="AT1229" s="6"/>
      <c r="AU1229" s="6"/>
      <c r="AV1229" s="6"/>
      <c r="AW1229" s="6"/>
      <c r="AX1229" s="6"/>
      <c r="AY1229" s="6"/>
      <c r="AZ1229" s="6"/>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c r="DX1229" s="6"/>
      <c r="DY1229" s="6"/>
      <c r="DZ1229" s="6"/>
      <c r="EA1229" s="6"/>
      <c r="EB1229" s="6"/>
      <c r="EC1229" s="6"/>
      <c r="ED1229" s="6"/>
      <c r="EE1229" s="6"/>
      <c r="EF1229" s="6"/>
      <c r="EG1229" s="6"/>
      <c r="EH1229" s="6"/>
      <c r="EI1229" s="6"/>
      <c r="EJ1229" s="6"/>
      <c r="EK1229" s="6"/>
      <c r="EL1229" s="6"/>
      <c r="EM1229" s="6"/>
      <c r="EN1229" s="6"/>
      <c r="EO1229" s="6"/>
      <c r="EP1229" s="6"/>
      <c r="EQ1229" s="6"/>
      <c r="ER1229" s="6"/>
      <c r="ES1229" s="6"/>
      <c r="ET1229" s="6"/>
      <c r="EU1229" s="6"/>
      <c r="EV1229" s="6"/>
      <c r="EW1229" s="6"/>
      <c r="EX1229" s="6"/>
      <c r="EY1229" s="6"/>
      <c r="EZ1229" s="6"/>
      <c r="FA1229" s="6"/>
      <c r="FB1229" s="6"/>
      <c r="FC1229" s="6"/>
      <c r="FD1229" s="6"/>
      <c r="FE1229" s="6"/>
      <c r="FF1229" s="6"/>
      <c r="FG1229" s="6"/>
      <c r="FH1229" s="6"/>
      <c r="FI1229" s="6"/>
      <c r="FJ1229" s="6"/>
      <c r="FK1229" s="6"/>
      <c r="FL1229" s="6"/>
      <c r="FM1229" s="6"/>
      <c r="FN1229" s="6"/>
      <c r="FO1229" s="6"/>
      <c r="FP1229" s="6"/>
      <c r="FQ1229" s="6"/>
      <c r="FR1229" s="6"/>
      <c r="FS1229" s="6"/>
      <c r="FT1229" s="6"/>
      <c r="FU1229" s="6"/>
      <c r="FV1229" s="6"/>
      <c r="FW1229" s="6"/>
      <c r="FX1229" s="6"/>
      <c r="FY1229" s="6"/>
      <c r="FZ1229" s="6"/>
      <c r="GA1229" s="6"/>
      <c r="GB1229" s="6"/>
      <c r="GC1229" s="6"/>
      <c r="GD1229" s="6"/>
      <c r="GE1229" s="6"/>
      <c r="GF1229" s="6"/>
      <c r="GG1229" s="6"/>
      <c r="GH1229" s="6"/>
      <c r="GI1229" s="6"/>
      <c r="GJ1229" s="6"/>
      <c r="GK1229" s="6"/>
      <c r="GL1229" s="6"/>
      <c r="GM1229" s="6"/>
      <c r="GN1229" s="6"/>
      <c r="GO1229" s="6"/>
      <c r="GP1229" s="6"/>
      <c r="GQ1229" s="6"/>
      <c r="GR1229" s="6"/>
      <c r="GS1229" s="6"/>
      <c r="GT1229" s="6"/>
      <c r="GU1229" s="6"/>
      <c r="GV1229" s="6"/>
      <c r="GW1229" s="6"/>
      <c r="GX1229" s="6"/>
      <c r="GY1229" s="6"/>
      <c r="GZ1229" s="6"/>
      <c r="HA1229" s="6"/>
      <c r="HB1229" s="6"/>
      <c r="HC1229" s="6"/>
      <c r="HD1229" s="6"/>
      <c r="HE1229" s="6"/>
      <c r="HF1229" s="6"/>
      <c r="HG1229" s="6"/>
      <c r="HH1229" s="6"/>
    </row>
    <row r="1230" spans="1:216" x14ac:dyDescent="0.3">
      <c r="A1230" s="8"/>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6"/>
      <c r="AR1230" s="6"/>
      <c r="AS1230" s="6"/>
      <c r="AT1230" s="6"/>
      <c r="AU1230" s="6"/>
      <c r="AV1230" s="6"/>
      <c r="AW1230" s="6"/>
      <c r="AX1230" s="6"/>
      <c r="AY1230" s="6"/>
      <c r="AZ1230" s="6"/>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c r="DX1230" s="6"/>
      <c r="DY1230" s="6"/>
      <c r="DZ1230" s="6"/>
      <c r="EA1230" s="6"/>
      <c r="EB1230" s="6"/>
      <c r="EC1230" s="6"/>
      <c r="ED1230" s="6"/>
      <c r="EE1230" s="6"/>
      <c r="EF1230" s="6"/>
      <c r="EG1230" s="6"/>
      <c r="EH1230" s="6"/>
      <c r="EI1230" s="6"/>
      <c r="EJ1230" s="6"/>
      <c r="EK1230" s="6"/>
      <c r="EL1230" s="6"/>
      <c r="EM1230" s="6"/>
      <c r="EN1230" s="6"/>
      <c r="EO1230" s="6"/>
      <c r="EP1230" s="6"/>
      <c r="EQ1230" s="6"/>
      <c r="ER1230" s="6"/>
      <c r="ES1230" s="6"/>
      <c r="ET1230" s="6"/>
      <c r="EU1230" s="6"/>
      <c r="EV1230" s="6"/>
      <c r="EW1230" s="6"/>
      <c r="EX1230" s="6"/>
      <c r="EY1230" s="6"/>
      <c r="EZ1230" s="6"/>
      <c r="FA1230" s="6"/>
      <c r="FB1230" s="6"/>
      <c r="FC1230" s="6"/>
      <c r="FD1230" s="6"/>
      <c r="FE1230" s="6"/>
      <c r="FF1230" s="6"/>
      <c r="FG1230" s="6"/>
      <c r="FH1230" s="6"/>
      <c r="FI1230" s="6"/>
      <c r="FJ1230" s="6"/>
      <c r="FK1230" s="6"/>
      <c r="FL1230" s="6"/>
      <c r="FM1230" s="6"/>
      <c r="FN1230" s="6"/>
      <c r="FO1230" s="6"/>
      <c r="FP1230" s="6"/>
      <c r="FQ1230" s="6"/>
      <c r="FR1230" s="6"/>
      <c r="FS1230" s="6"/>
      <c r="FT1230" s="6"/>
      <c r="FU1230" s="6"/>
      <c r="FV1230" s="6"/>
      <c r="FW1230" s="6"/>
      <c r="FX1230" s="6"/>
      <c r="FY1230" s="6"/>
      <c r="FZ1230" s="6"/>
      <c r="GA1230" s="6"/>
      <c r="GB1230" s="6"/>
      <c r="GC1230" s="6"/>
      <c r="GD1230" s="6"/>
      <c r="GE1230" s="6"/>
      <c r="GF1230" s="6"/>
      <c r="GG1230" s="6"/>
      <c r="GH1230" s="6"/>
      <c r="GI1230" s="6"/>
      <c r="GJ1230" s="6"/>
      <c r="GK1230" s="6"/>
      <c r="GL1230" s="6"/>
      <c r="GM1230" s="6"/>
      <c r="GN1230" s="6"/>
      <c r="GO1230" s="6"/>
      <c r="GP1230" s="6"/>
      <c r="GQ1230" s="6"/>
      <c r="GR1230" s="6"/>
      <c r="GS1230" s="6"/>
      <c r="GT1230" s="6"/>
      <c r="GU1230" s="6"/>
      <c r="GV1230" s="6"/>
      <c r="GW1230" s="6"/>
      <c r="GX1230" s="6"/>
      <c r="GY1230" s="6"/>
      <c r="GZ1230" s="6"/>
      <c r="HA1230" s="6"/>
      <c r="HB1230" s="6"/>
      <c r="HC1230" s="6"/>
      <c r="HD1230" s="6"/>
      <c r="HE1230" s="6"/>
      <c r="HF1230" s="6"/>
      <c r="HG1230" s="6"/>
      <c r="HH1230" s="6"/>
    </row>
    <row r="1231" spans="1:216" x14ac:dyDescent="0.3">
      <c r="A1231" s="8"/>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6"/>
      <c r="AR1231" s="6"/>
      <c r="AS1231" s="6"/>
      <c r="AT1231" s="6"/>
      <c r="AU1231" s="6"/>
      <c r="AV1231" s="6"/>
      <c r="AW1231" s="6"/>
      <c r="AX1231" s="6"/>
      <c r="AY1231" s="6"/>
      <c r="AZ1231" s="6"/>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c r="DX1231" s="6"/>
      <c r="DY1231" s="6"/>
      <c r="DZ1231" s="6"/>
      <c r="EA1231" s="6"/>
      <c r="EB1231" s="6"/>
      <c r="EC1231" s="6"/>
      <c r="ED1231" s="6"/>
      <c r="EE1231" s="6"/>
      <c r="EF1231" s="6"/>
      <c r="EG1231" s="6"/>
      <c r="EH1231" s="6"/>
      <c r="EI1231" s="6"/>
      <c r="EJ1231" s="6"/>
      <c r="EK1231" s="6"/>
      <c r="EL1231" s="6"/>
      <c r="EM1231" s="6"/>
      <c r="EN1231" s="6"/>
      <c r="EO1231" s="6"/>
      <c r="EP1231" s="6"/>
      <c r="EQ1231" s="6"/>
      <c r="ER1231" s="6"/>
      <c r="ES1231" s="6"/>
      <c r="ET1231" s="6"/>
      <c r="EU1231" s="6"/>
      <c r="EV1231" s="6"/>
      <c r="EW1231" s="6"/>
      <c r="EX1231" s="6"/>
      <c r="EY1231" s="6"/>
      <c r="EZ1231" s="6"/>
      <c r="FA1231" s="6"/>
      <c r="FB1231" s="6"/>
      <c r="FC1231" s="6"/>
      <c r="FD1231" s="6"/>
      <c r="FE1231" s="6"/>
      <c r="FF1231" s="6"/>
      <c r="FG1231" s="6"/>
      <c r="FH1231" s="6"/>
      <c r="FI1231" s="6"/>
      <c r="FJ1231" s="6"/>
      <c r="FK1231" s="6"/>
      <c r="FL1231" s="6"/>
      <c r="FM1231" s="6"/>
      <c r="FN1231" s="6"/>
      <c r="FO1231" s="6"/>
      <c r="FP1231" s="6"/>
      <c r="FQ1231" s="6"/>
      <c r="FR1231" s="6"/>
      <c r="FS1231" s="6"/>
      <c r="FT1231" s="6"/>
      <c r="FU1231" s="6"/>
      <c r="FV1231" s="6"/>
      <c r="FW1231" s="6"/>
      <c r="FX1231" s="6"/>
      <c r="FY1231" s="6"/>
      <c r="FZ1231" s="6"/>
      <c r="GA1231" s="6"/>
      <c r="GB1231" s="6"/>
      <c r="GC1231" s="6"/>
      <c r="GD1231" s="6"/>
      <c r="GE1231" s="6"/>
      <c r="GF1231" s="6"/>
      <c r="GG1231" s="6"/>
      <c r="GH1231" s="6"/>
      <c r="GI1231" s="6"/>
      <c r="GJ1231" s="6"/>
      <c r="GK1231" s="6"/>
      <c r="GL1231" s="6"/>
      <c r="GM1231" s="6"/>
      <c r="GN1231" s="6"/>
      <c r="GO1231" s="6"/>
      <c r="GP1231" s="6"/>
      <c r="GQ1231" s="6"/>
      <c r="GR1231" s="6"/>
      <c r="GS1231" s="6"/>
      <c r="GT1231" s="6"/>
      <c r="GU1231" s="6"/>
      <c r="GV1231" s="6"/>
      <c r="GW1231" s="6"/>
      <c r="GX1231" s="6"/>
      <c r="GY1231" s="6"/>
      <c r="GZ1231" s="6"/>
      <c r="HA1231" s="6"/>
      <c r="HB1231" s="6"/>
      <c r="HC1231" s="6"/>
      <c r="HD1231" s="6"/>
      <c r="HE1231" s="6"/>
      <c r="HF1231" s="6"/>
      <c r="HG1231" s="6"/>
      <c r="HH1231" s="6"/>
    </row>
    <row r="1232" spans="1:216" x14ac:dyDescent="0.3">
      <c r="A1232" s="8"/>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6"/>
      <c r="AR1232" s="6"/>
      <c r="AS1232" s="6"/>
      <c r="AT1232" s="6"/>
      <c r="AU1232" s="6"/>
      <c r="AV1232" s="6"/>
      <c r="AW1232" s="6"/>
      <c r="AX1232" s="6"/>
      <c r="AY1232" s="6"/>
      <c r="AZ1232" s="6"/>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c r="DX1232" s="6"/>
      <c r="DY1232" s="6"/>
      <c r="DZ1232" s="6"/>
      <c r="EA1232" s="6"/>
      <c r="EB1232" s="6"/>
      <c r="EC1232" s="6"/>
      <c r="ED1232" s="6"/>
      <c r="EE1232" s="6"/>
      <c r="EF1232" s="6"/>
      <c r="EG1232" s="6"/>
      <c r="EH1232" s="6"/>
      <c r="EI1232" s="6"/>
      <c r="EJ1232" s="6"/>
      <c r="EK1232" s="6"/>
      <c r="EL1232" s="6"/>
      <c r="EM1232" s="6"/>
      <c r="EN1232" s="6"/>
      <c r="EO1232" s="6"/>
      <c r="EP1232" s="6"/>
      <c r="EQ1232" s="6"/>
      <c r="ER1232" s="6"/>
      <c r="ES1232" s="6"/>
      <c r="ET1232" s="6"/>
      <c r="EU1232" s="6"/>
      <c r="EV1232" s="6"/>
      <c r="EW1232" s="6"/>
      <c r="EX1232" s="6"/>
      <c r="EY1232" s="6"/>
      <c r="EZ1232" s="6"/>
      <c r="FA1232" s="6"/>
      <c r="FB1232" s="6"/>
      <c r="FC1232" s="6"/>
      <c r="FD1232" s="6"/>
      <c r="FE1232" s="6"/>
      <c r="FF1232" s="6"/>
      <c r="FG1232" s="6"/>
      <c r="FH1232" s="6"/>
      <c r="FI1232" s="6"/>
      <c r="FJ1232" s="6"/>
      <c r="FK1232" s="6"/>
      <c r="FL1232" s="6"/>
      <c r="FM1232" s="6"/>
      <c r="FN1232" s="6"/>
      <c r="FO1232" s="6"/>
      <c r="FP1232" s="6"/>
      <c r="FQ1232" s="6"/>
      <c r="FR1232" s="6"/>
      <c r="FS1232" s="6"/>
      <c r="FT1232" s="6"/>
      <c r="FU1232" s="6"/>
      <c r="FV1232" s="6"/>
      <c r="FW1232" s="6"/>
      <c r="FX1232" s="6"/>
      <c r="FY1232" s="6"/>
      <c r="FZ1232" s="6"/>
      <c r="GA1232" s="6"/>
      <c r="GB1232" s="6"/>
      <c r="GC1232" s="6"/>
      <c r="GD1232" s="6"/>
      <c r="GE1232" s="6"/>
      <c r="GF1232" s="6"/>
      <c r="GG1232" s="6"/>
      <c r="GH1232" s="6"/>
      <c r="GI1232" s="6"/>
      <c r="GJ1232" s="6"/>
      <c r="GK1232" s="6"/>
      <c r="GL1232" s="6"/>
      <c r="GM1232" s="6"/>
      <c r="GN1232" s="6"/>
      <c r="GO1232" s="6"/>
      <c r="GP1232" s="6"/>
      <c r="GQ1232" s="6"/>
      <c r="GR1232" s="6"/>
      <c r="GS1232" s="6"/>
      <c r="GT1232" s="6"/>
      <c r="GU1232" s="6"/>
      <c r="GV1232" s="6"/>
      <c r="GW1232" s="6"/>
      <c r="GX1232" s="6"/>
      <c r="GY1232" s="6"/>
      <c r="GZ1232" s="6"/>
      <c r="HA1232" s="6"/>
      <c r="HB1232" s="6"/>
      <c r="HC1232" s="6"/>
      <c r="HD1232" s="6"/>
      <c r="HE1232" s="6"/>
      <c r="HF1232" s="6"/>
      <c r="HG1232" s="6"/>
      <c r="HH1232" s="6"/>
    </row>
    <row r="1233" spans="1:216" x14ac:dyDescent="0.3">
      <c r="A1233" s="8"/>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6"/>
      <c r="AR1233" s="6"/>
      <c r="AS1233" s="6"/>
      <c r="AT1233" s="6"/>
      <c r="AU1233" s="6"/>
      <c r="AV1233" s="6"/>
      <c r="AW1233" s="6"/>
      <c r="AX1233" s="6"/>
      <c r="AY1233" s="6"/>
      <c r="AZ1233" s="6"/>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c r="DX1233" s="6"/>
      <c r="DY1233" s="6"/>
      <c r="DZ1233" s="6"/>
      <c r="EA1233" s="6"/>
      <c r="EB1233" s="6"/>
      <c r="EC1233" s="6"/>
      <c r="ED1233" s="6"/>
      <c r="EE1233" s="6"/>
      <c r="EF1233" s="6"/>
      <c r="EG1233" s="6"/>
      <c r="EH1233" s="6"/>
      <c r="EI1233" s="6"/>
      <c r="EJ1233" s="6"/>
      <c r="EK1233" s="6"/>
      <c r="EL1233" s="6"/>
      <c r="EM1233" s="6"/>
      <c r="EN1233" s="6"/>
      <c r="EO1233" s="6"/>
      <c r="EP1233" s="6"/>
      <c r="EQ1233" s="6"/>
      <c r="ER1233" s="6"/>
      <c r="ES1233" s="6"/>
      <c r="ET1233" s="6"/>
      <c r="EU1233" s="6"/>
      <c r="EV1233" s="6"/>
      <c r="EW1233" s="6"/>
      <c r="EX1233" s="6"/>
      <c r="EY1233" s="6"/>
      <c r="EZ1233" s="6"/>
      <c r="FA1233" s="6"/>
      <c r="FB1233" s="6"/>
      <c r="FC1233" s="6"/>
      <c r="FD1233" s="6"/>
      <c r="FE1233" s="6"/>
      <c r="FF1233" s="6"/>
      <c r="FG1233" s="6"/>
      <c r="FH1233" s="6"/>
      <c r="FI1233" s="6"/>
      <c r="FJ1233" s="6"/>
      <c r="FK1233" s="6"/>
      <c r="FL1233" s="6"/>
      <c r="FM1233" s="6"/>
      <c r="FN1233" s="6"/>
      <c r="FO1233" s="6"/>
      <c r="FP1233" s="6"/>
      <c r="FQ1233" s="6"/>
      <c r="FR1233" s="6"/>
      <c r="FS1233" s="6"/>
      <c r="FT1233" s="6"/>
      <c r="FU1233" s="6"/>
      <c r="FV1233" s="6"/>
      <c r="FW1233" s="6"/>
      <c r="FX1233" s="6"/>
      <c r="FY1233" s="6"/>
      <c r="FZ1233" s="6"/>
      <c r="GA1233" s="6"/>
      <c r="GB1233" s="6"/>
      <c r="GC1233" s="6"/>
      <c r="GD1233" s="6"/>
      <c r="GE1233" s="6"/>
      <c r="GF1233" s="6"/>
      <c r="GG1233" s="6"/>
      <c r="GH1233" s="6"/>
      <c r="GI1233" s="6"/>
      <c r="GJ1233" s="6"/>
      <c r="GK1233" s="6"/>
      <c r="GL1233" s="6"/>
      <c r="GM1233" s="6"/>
      <c r="GN1233" s="6"/>
      <c r="GO1233" s="6"/>
      <c r="GP1233" s="6"/>
      <c r="GQ1233" s="6"/>
      <c r="GR1233" s="6"/>
      <c r="GS1233" s="6"/>
      <c r="GT1233" s="6"/>
      <c r="GU1233" s="6"/>
      <c r="GV1233" s="6"/>
      <c r="GW1233" s="6"/>
      <c r="GX1233" s="6"/>
      <c r="GY1233" s="6"/>
      <c r="GZ1233" s="6"/>
      <c r="HA1233" s="6"/>
      <c r="HB1233" s="6"/>
      <c r="HC1233" s="6"/>
      <c r="HD1233" s="6"/>
      <c r="HE1233" s="6"/>
      <c r="HF1233" s="6"/>
      <c r="HG1233" s="6"/>
      <c r="HH1233" s="6"/>
    </row>
    <row r="1234" spans="1:216" x14ac:dyDescent="0.3">
      <c r="A1234" s="8"/>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6"/>
      <c r="AR1234" s="6"/>
      <c r="AS1234" s="6"/>
      <c r="AT1234" s="6"/>
      <c r="AU1234" s="6"/>
      <c r="AV1234" s="6"/>
      <c r="AW1234" s="6"/>
      <c r="AX1234" s="6"/>
      <c r="AY1234" s="6"/>
      <c r="AZ1234" s="6"/>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c r="DX1234" s="6"/>
      <c r="DY1234" s="6"/>
      <c r="DZ1234" s="6"/>
      <c r="EA1234" s="6"/>
      <c r="EB1234" s="6"/>
      <c r="EC1234" s="6"/>
      <c r="ED1234" s="6"/>
      <c r="EE1234" s="6"/>
      <c r="EF1234" s="6"/>
      <c r="EG1234" s="6"/>
      <c r="EH1234" s="6"/>
      <c r="EI1234" s="6"/>
      <c r="EJ1234" s="6"/>
      <c r="EK1234" s="6"/>
      <c r="EL1234" s="6"/>
      <c r="EM1234" s="6"/>
      <c r="EN1234" s="6"/>
      <c r="EO1234" s="6"/>
      <c r="EP1234" s="6"/>
      <c r="EQ1234" s="6"/>
      <c r="ER1234" s="6"/>
      <c r="ES1234" s="6"/>
      <c r="ET1234" s="6"/>
      <c r="EU1234" s="6"/>
      <c r="EV1234" s="6"/>
      <c r="EW1234" s="6"/>
      <c r="EX1234" s="6"/>
      <c r="EY1234" s="6"/>
      <c r="EZ1234" s="6"/>
      <c r="FA1234" s="6"/>
      <c r="FB1234" s="6"/>
      <c r="FC1234" s="6"/>
      <c r="FD1234" s="6"/>
      <c r="FE1234" s="6"/>
      <c r="FF1234" s="6"/>
      <c r="FG1234" s="6"/>
      <c r="FH1234" s="6"/>
      <c r="FI1234" s="6"/>
      <c r="FJ1234" s="6"/>
      <c r="FK1234" s="6"/>
      <c r="FL1234" s="6"/>
      <c r="FM1234" s="6"/>
      <c r="FN1234" s="6"/>
      <c r="FO1234" s="6"/>
      <c r="FP1234" s="6"/>
      <c r="FQ1234" s="6"/>
      <c r="FR1234" s="6"/>
      <c r="FS1234" s="6"/>
      <c r="FT1234" s="6"/>
      <c r="FU1234" s="6"/>
      <c r="FV1234" s="6"/>
      <c r="FW1234" s="6"/>
      <c r="FX1234" s="6"/>
      <c r="FY1234" s="6"/>
      <c r="FZ1234" s="6"/>
      <c r="GA1234" s="6"/>
      <c r="GB1234" s="6"/>
      <c r="GC1234" s="6"/>
      <c r="GD1234" s="6"/>
      <c r="GE1234" s="6"/>
      <c r="GF1234" s="6"/>
      <c r="GG1234" s="6"/>
      <c r="GH1234" s="6"/>
      <c r="GI1234" s="6"/>
      <c r="GJ1234" s="6"/>
      <c r="GK1234" s="6"/>
      <c r="GL1234" s="6"/>
      <c r="GM1234" s="6"/>
      <c r="GN1234" s="6"/>
      <c r="GO1234" s="6"/>
      <c r="GP1234" s="6"/>
      <c r="GQ1234" s="6"/>
      <c r="GR1234" s="6"/>
      <c r="GS1234" s="6"/>
      <c r="GT1234" s="6"/>
      <c r="GU1234" s="6"/>
      <c r="GV1234" s="6"/>
      <c r="GW1234" s="6"/>
      <c r="GX1234" s="6"/>
      <c r="GY1234" s="6"/>
      <c r="GZ1234" s="6"/>
      <c r="HA1234" s="6"/>
      <c r="HB1234" s="6"/>
      <c r="HC1234" s="6"/>
      <c r="HD1234" s="6"/>
      <c r="HE1234" s="6"/>
      <c r="HF1234" s="6"/>
      <c r="HG1234" s="6"/>
      <c r="HH1234" s="6"/>
    </row>
    <row r="1235" spans="1:216" x14ac:dyDescent="0.3">
      <c r="A1235" s="8"/>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6"/>
      <c r="AR1235" s="6"/>
      <c r="AS1235" s="6"/>
      <c r="AT1235" s="6"/>
      <c r="AU1235" s="6"/>
      <c r="AV1235" s="6"/>
      <c r="AW1235" s="6"/>
      <c r="AX1235" s="6"/>
      <c r="AY1235" s="6"/>
      <c r="AZ1235" s="6"/>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c r="DX1235" s="6"/>
      <c r="DY1235" s="6"/>
      <c r="DZ1235" s="6"/>
      <c r="EA1235" s="6"/>
      <c r="EB1235" s="6"/>
      <c r="EC1235" s="6"/>
      <c r="ED1235" s="6"/>
      <c r="EE1235" s="6"/>
      <c r="EF1235" s="6"/>
      <c r="EG1235" s="6"/>
      <c r="EH1235" s="6"/>
      <c r="EI1235" s="6"/>
      <c r="EJ1235" s="6"/>
      <c r="EK1235" s="6"/>
      <c r="EL1235" s="6"/>
      <c r="EM1235" s="6"/>
      <c r="EN1235" s="6"/>
      <c r="EO1235" s="6"/>
      <c r="EP1235" s="6"/>
      <c r="EQ1235" s="6"/>
      <c r="ER1235" s="6"/>
      <c r="ES1235" s="6"/>
      <c r="ET1235" s="6"/>
      <c r="EU1235" s="6"/>
      <c r="EV1235" s="6"/>
      <c r="EW1235" s="6"/>
      <c r="EX1235" s="6"/>
      <c r="EY1235" s="6"/>
      <c r="EZ1235" s="6"/>
      <c r="FA1235" s="6"/>
      <c r="FB1235" s="6"/>
      <c r="FC1235" s="6"/>
      <c r="FD1235" s="6"/>
      <c r="FE1235" s="6"/>
      <c r="FF1235" s="6"/>
      <c r="FG1235" s="6"/>
      <c r="FH1235" s="6"/>
      <c r="FI1235" s="6"/>
      <c r="FJ1235" s="6"/>
      <c r="FK1235" s="6"/>
      <c r="FL1235" s="6"/>
      <c r="FM1235" s="6"/>
      <c r="FN1235" s="6"/>
      <c r="FO1235" s="6"/>
      <c r="FP1235" s="6"/>
      <c r="FQ1235" s="6"/>
      <c r="FR1235" s="6"/>
      <c r="FS1235" s="6"/>
      <c r="FT1235" s="6"/>
      <c r="FU1235" s="6"/>
      <c r="FV1235" s="6"/>
      <c r="FW1235" s="6"/>
      <c r="FX1235" s="6"/>
      <c r="FY1235" s="6"/>
      <c r="FZ1235" s="6"/>
      <c r="GA1235" s="6"/>
      <c r="GB1235" s="6"/>
      <c r="GC1235" s="6"/>
      <c r="GD1235" s="6"/>
      <c r="GE1235" s="6"/>
      <c r="GF1235" s="6"/>
      <c r="GG1235" s="6"/>
      <c r="GH1235" s="6"/>
      <c r="GI1235" s="6"/>
      <c r="GJ1235" s="6"/>
      <c r="GK1235" s="6"/>
      <c r="GL1235" s="6"/>
      <c r="GM1235" s="6"/>
      <c r="GN1235" s="6"/>
      <c r="GO1235" s="6"/>
      <c r="GP1235" s="6"/>
      <c r="GQ1235" s="6"/>
      <c r="GR1235" s="6"/>
      <c r="GS1235" s="6"/>
      <c r="GT1235" s="6"/>
      <c r="GU1235" s="6"/>
      <c r="GV1235" s="6"/>
      <c r="GW1235" s="6"/>
      <c r="GX1235" s="6"/>
      <c r="GY1235" s="6"/>
      <c r="GZ1235" s="6"/>
      <c r="HA1235" s="6"/>
      <c r="HB1235" s="6"/>
      <c r="HC1235" s="6"/>
      <c r="HD1235" s="6"/>
      <c r="HE1235" s="6"/>
      <c r="HF1235" s="6"/>
      <c r="HG1235" s="6"/>
      <c r="HH1235" s="6"/>
    </row>
    <row r="1236" spans="1:216" x14ac:dyDescent="0.3">
      <c r="A1236" s="8"/>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6"/>
      <c r="AR1236" s="6"/>
      <c r="AS1236" s="6"/>
      <c r="AT1236" s="6"/>
      <c r="AU1236" s="6"/>
      <c r="AV1236" s="6"/>
      <c r="AW1236" s="6"/>
      <c r="AX1236" s="6"/>
      <c r="AY1236" s="6"/>
      <c r="AZ1236" s="6"/>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c r="DX1236" s="6"/>
      <c r="DY1236" s="6"/>
      <c r="DZ1236" s="6"/>
      <c r="EA1236" s="6"/>
      <c r="EB1236" s="6"/>
      <c r="EC1236" s="6"/>
      <c r="ED1236" s="6"/>
      <c r="EE1236" s="6"/>
      <c r="EF1236" s="6"/>
      <c r="EG1236" s="6"/>
      <c r="EH1236" s="6"/>
      <c r="EI1236" s="6"/>
      <c r="EJ1236" s="6"/>
      <c r="EK1236" s="6"/>
      <c r="EL1236" s="6"/>
      <c r="EM1236" s="6"/>
      <c r="EN1236" s="6"/>
      <c r="EO1236" s="6"/>
      <c r="EP1236" s="6"/>
      <c r="EQ1236" s="6"/>
      <c r="ER1236" s="6"/>
      <c r="ES1236" s="6"/>
      <c r="ET1236" s="6"/>
      <c r="EU1236" s="6"/>
      <c r="EV1236" s="6"/>
      <c r="EW1236" s="6"/>
      <c r="EX1236" s="6"/>
      <c r="EY1236" s="6"/>
      <c r="EZ1236" s="6"/>
      <c r="FA1236" s="6"/>
      <c r="FB1236" s="6"/>
      <c r="FC1236" s="6"/>
      <c r="FD1236" s="6"/>
      <c r="FE1236" s="6"/>
      <c r="FF1236" s="6"/>
      <c r="FG1236" s="6"/>
      <c r="FH1236" s="6"/>
      <c r="FI1236" s="6"/>
      <c r="FJ1236" s="6"/>
      <c r="FK1236" s="6"/>
      <c r="FL1236" s="6"/>
      <c r="FM1236" s="6"/>
      <c r="FN1236" s="6"/>
      <c r="FO1236" s="6"/>
      <c r="FP1236" s="6"/>
      <c r="FQ1236" s="6"/>
      <c r="FR1236" s="6"/>
      <c r="FS1236" s="6"/>
      <c r="FT1236" s="6"/>
      <c r="FU1236" s="6"/>
      <c r="FV1236" s="6"/>
      <c r="FW1236" s="6"/>
      <c r="FX1236" s="6"/>
      <c r="FY1236" s="6"/>
      <c r="FZ1236" s="6"/>
      <c r="GA1236" s="6"/>
      <c r="GB1236" s="6"/>
      <c r="GC1236" s="6"/>
      <c r="GD1236" s="6"/>
      <c r="GE1236" s="6"/>
      <c r="GF1236" s="6"/>
      <c r="GG1236" s="6"/>
      <c r="GH1236" s="6"/>
      <c r="GI1236" s="6"/>
      <c r="GJ1236" s="6"/>
      <c r="GK1236" s="6"/>
      <c r="GL1236" s="6"/>
      <c r="GM1236" s="6"/>
      <c r="GN1236" s="6"/>
      <c r="GO1236" s="6"/>
      <c r="GP1236" s="6"/>
      <c r="GQ1236" s="6"/>
      <c r="GR1236" s="6"/>
      <c r="GS1236" s="6"/>
      <c r="GT1236" s="6"/>
      <c r="GU1236" s="6"/>
      <c r="GV1236" s="6"/>
      <c r="GW1236" s="6"/>
      <c r="GX1236" s="6"/>
      <c r="GY1236" s="6"/>
      <c r="GZ1236" s="6"/>
      <c r="HA1236" s="6"/>
      <c r="HB1236" s="6"/>
      <c r="HC1236" s="6"/>
      <c r="HD1236" s="6"/>
      <c r="HE1236" s="6"/>
      <c r="HF1236" s="6"/>
      <c r="HG1236" s="6"/>
      <c r="HH1236" s="6"/>
    </row>
    <row r="1237" spans="1:216" x14ac:dyDescent="0.3">
      <c r="A1237" s="8"/>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6"/>
      <c r="AR1237" s="6"/>
      <c r="AS1237" s="6"/>
      <c r="AT1237" s="6"/>
      <c r="AU1237" s="6"/>
      <c r="AV1237" s="6"/>
      <c r="AW1237" s="6"/>
      <c r="AX1237" s="6"/>
      <c r="AY1237" s="6"/>
      <c r="AZ1237" s="6"/>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c r="DX1237" s="6"/>
      <c r="DY1237" s="6"/>
      <c r="DZ1237" s="6"/>
      <c r="EA1237" s="6"/>
      <c r="EB1237" s="6"/>
      <c r="EC1237" s="6"/>
      <c r="ED1237" s="6"/>
      <c r="EE1237" s="6"/>
      <c r="EF1237" s="6"/>
      <c r="EG1237" s="6"/>
      <c r="EH1237" s="6"/>
      <c r="EI1237" s="6"/>
      <c r="EJ1237" s="6"/>
      <c r="EK1237" s="6"/>
      <c r="EL1237" s="6"/>
      <c r="EM1237" s="6"/>
      <c r="EN1237" s="6"/>
      <c r="EO1237" s="6"/>
      <c r="EP1237" s="6"/>
      <c r="EQ1237" s="6"/>
      <c r="ER1237" s="6"/>
      <c r="ES1237" s="6"/>
      <c r="ET1237" s="6"/>
      <c r="EU1237" s="6"/>
      <c r="EV1237" s="6"/>
      <c r="EW1237" s="6"/>
      <c r="EX1237" s="6"/>
      <c r="EY1237" s="6"/>
      <c r="EZ1237" s="6"/>
      <c r="FA1237" s="6"/>
      <c r="FB1237" s="6"/>
      <c r="FC1237" s="6"/>
      <c r="FD1237" s="6"/>
      <c r="FE1237" s="6"/>
      <c r="FF1237" s="6"/>
      <c r="FG1237" s="6"/>
      <c r="FH1237" s="6"/>
      <c r="FI1237" s="6"/>
      <c r="FJ1237" s="6"/>
      <c r="FK1237" s="6"/>
      <c r="FL1237" s="6"/>
      <c r="FM1237" s="6"/>
      <c r="FN1237" s="6"/>
      <c r="FO1237" s="6"/>
      <c r="FP1237" s="6"/>
      <c r="FQ1237" s="6"/>
      <c r="FR1237" s="6"/>
      <c r="FS1237" s="6"/>
      <c r="FT1237" s="6"/>
      <c r="FU1237" s="6"/>
      <c r="FV1237" s="6"/>
      <c r="FW1237" s="6"/>
      <c r="FX1237" s="6"/>
      <c r="FY1237" s="6"/>
      <c r="FZ1237" s="6"/>
      <c r="GA1237" s="6"/>
      <c r="GB1237" s="6"/>
      <c r="GC1237" s="6"/>
      <c r="GD1237" s="6"/>
      <c r="GE1237" s="6"/>
      <c r="GF1237" s="6"/>
      <c r="GG1237" s="6"/>
      <c r="GH1237" s="6"/>
      <c r="GI1237" s="6"/>
      <c r="GJ1237" s="6"/>
      <c r="GK1237" s="6"/>
      <c r="GL1237" s="6"/>
      <c r="GM1237" s="6"/>
      <c r="GN1237" s="6"/>
      <c r="GO1237" s="6"/>
      <c r="GP1237" s="6"/>
      <c r="GQ1237" s="6"/>
      <c r="GR1237" s="6"/>
      <c r="GS1237" s="6"/>
      <c r="GT1237" s="6"/>
      <c r="GU1237" s="6"/>
      <c r="GV1237" s="6"/>
      <c r="GW1237" s="6"/>
      <c r="GX1237" s="6"/>
      <c r="GY1237" s="6"/>
      <c r="GZ1237" s="6"/>
      <c r="HA1237" s="6"/>
      <c r="HB1237" s="6"/>
      <c r="HC1237" s="6"/>
      <c r="HD1237" s="6"/>
      <c r="HE1237" s="6"/>
      <c r="HF1237" s="6"/>
      <c r="HG1237" s="6"/>
      <c r="HH1237" s="6"/>
    </row>
    <row r="1238" spans="1:216" x14ac:dyDescent="0.3">
      <c r="A1238" s="8"/>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6"/>
      <c r="AR1238" s="6"/>
      <c r="AS1238" s="6"/>
      <c r="AT1238" s="6"/>
      <c r="AU1238" s="6"/>
      <c r="AV1238" s="6"/>
      <c r="AW1238" s="6"/>
      <c r="AX1238" s="6"/>
      <c r="AY1238" s="6"/>
      <c r="AZ1238" s="6"/>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c r="DX1238" s="6"/>
      <c r="DY1238" s="6"/>
      <c r="DZ1238" s="6"/>
      <c r="EA1238" s="6"/>
      <c r="EB1238" s="6"/>
      <c r="EC1238" s="6"/>
      <c r="ED1238" s="6"/>
      <c r="EE1238" s="6"/>
      <c r="EF1238" s="6"/>
      <c r="EG1238" s="6"/>
      <c r="EH1238" s="6"/>
      <c r="EI1238" s="6"/>
      <c r="EJ1238" s="6"/>
      <c r="EK1238" s="6"/>
      <c r="EL1238" s="6"/>
      <c r="EM1238" s="6"/>
      <c r="EN1238" s="6"/>
      <c r="EO1238" s="6"/>
      <c r="EP1238" s="6"/>
      <c r="EQ1238" s="6"/>
      <c r="ER1238" s="6"/>
      <c r="ES1238" s="6"/>
      <c r="ET1238" s="6"/>
      <c r="EU1238" s="6"/>
      <c r="EV1238" s="6"/>
      <c r="EW1238" s="6"/>
      <c r="EX1238" s="6"/>
      <c r="EY1238" s="6"/>
      <c r="EZ1238" s="6"/>
      <c r="FA1238" s="6"/>
      <c r="FB1238" s="6"/>
      <c r="FC1238" s="6"/>
      <c r="FD1238" s="6"/>
      <c r="FE1238" s="6"/>
      <c r="FF1238" s="6"/>
      <c r="FG1238" s="6"/>
      <c r="FH1238" s="6"/>
      <c r="FI1238" s="6"/>
      <c r="FJ1238" s="6"/>
      <c r="FK1238" s="6"/>
      <c r="FL1238" s="6"/>
      <c r="FM1238" s="6"/>
      <c r="FN1238" s="6"/>
      <c r="FO1238" s="6"/>
      <c r="FP1238" s="6"/>
      <c r="FQ1238" s="6"/>
      <c r="FR1238" s="6"/>
      <c r="FS1238" s="6"/>
      <c r="FT1238" s="6"/>
      <c r="FU1238" s="6"/>
      <c r="FV1238" s="6"/>
      <c r="FW1238" s="6"/>
      <c r="FX1238" s="6"/>
      <c r="FY1238" s="6"/>
      <c r="FZ1238" s="6"/>
      <c r="GA1238" s="6"/>
      <c r="GB1238" s="6"/>
      <c r="GC1238" s="6"/>
      <c r="GD1238" s="6"/>
      <c r="GE1238" s="6"/>
      <c r="GF1238" s="6"/>
      <c r="GG1238" s="6"/>
      <c r="GH1238" s="6"/>
      <c r="GI1238" s="6"/>
      <c r="GJ1238" s="6"/>
      <c r="GK1238" s="6"/>
      <c r="GL1238" s="6"/>
      <c r="GM1238" s="6"/>
      <c r="GN1238" s="6"/>
      <c r="GO1238" s="6"/>
      <c r="GP1238" s="6"/>
      <c r="GQ1238" s="6"/>
      <c r="GR1238" s="6"/>
      <c r="GS1238" s="6"/>
      <c r="GT1238" s="6"/>
      <c r="GU1238" s="6"/>
      <c r="GV1238" s="6"/>
      <c r="GW1238" s="6"/>
      <c r="GX1238" s="6"/>
      <c r="GY1238" s="6"/>
      <c r="GZ1238" s="6"/>
      <c r="HA1238" s="6"/>
      <c r="HB1238" s="6"/>
      <c r="HC1238" s="6"/>
      <c r="HD1238" s="6"/>
      <c r="HE1238" s="6"/>
      <c r="HF1238" s="6"/>
      <c r="HG1238" s="6"/>
      <c r="HH1238" s="6"/>
    </row>
    <row r="1239" spans="1:216" x14ac:dyDescent="0.3">
      <c r="A1239" s="8"/>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6"/>
      <c r="AR1239" s="6"/>
      <c r="AS1239" s="6"/>
      <c r="AT1239" s="6"/>
      <c r="AU1239" s="6"/>
      <c r="AV1239" s="6"/>
      <c r="AW1239" s="6"/>
      <c r="AX1239" s="6"/>
      <c r="AY1239" s="6"/>
      <c r="AZ1239" s="6"/>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c r="DX1239" s="6"/>
      <c r="DY1239" s="6"/>
      <c r="DZ1239" s="6"/>
      <c r="EA1239" s="6"/>
      <c r="EB1239" s="6"/>
      <c r="EC1239" s="6"/>
      <c r="ED1239" s="6"/>
      <c r="EE1239" s="6"/>
      <c r="EF1239" s="6"/>
      <c r="EG1239" s="6"/>
      <c r="EH1239" s="6"/>
      <c r="EI1239" s="6"/>
      <c r="EJ1239" s="6"/>
      <c r="EK1239" s="6"/>
      <c r="EL1239" s="6"/>
      <c r="EM1239" s="6"/>
      <c r="EN1239" s="6"/>
      <c r="EO1239" s="6"/>
      <c r="EP1239" s="6"/>
      <c r="EQ1239" s="6"/>
      <c r="ER1239" s="6"/>
      <c r="ES1239" s="6"/>
      <c r="ET1239" s="6"/>
      <c r="EU1239" s="6"/>
      <c r="EV1239" s="6"/>
      <c r="EW1239" s="6"/>
      <c r="EX1239" s="6"/>
      <c r="EY1239" s="6"/>
      <c r="EZ1239" s="6"/>
      <c r="FA1239" s="6"/>
      <c r="FB1239" s="6"/>
      <c r="FC1239" s="6"/>
      <c r="FD1239" s="6"/>
      <c r="FE1239" s="6"/>
      <c r="FF1239" s="6"/>
      <c r="FG1239" s="6"/>
      <c r="FH1239" s="6"/>
      <c r="FI1239" s="6"/>
      <c r="FJ1239" s="6"/>
      <c r="FK1239" s="6"/>
      <c r="FL1239" s="6"/>
      <c r="FM1239" s="6"/>
      <c r="FN1239" s="6"/>
      <c r="FO1239" s="6"/>
      <c r="FP1239" s="6"/>
      <c r="FQ1239" s="6"/>
      <c r="FR1239" s="6"/>
      <c r="FS1239" s="6"/>
      <c r="FT1239" s="6"/>
      <c r="FU1239" s="6"/>
      <c r="FV1239" s="6"/>
      <c r="FW1239" s="6"/>
      <c r="FX1239" s="6"/>
      <c r="FY1239" s="6"/>
      <c r="FZ1239" s="6"/>
      <c r="GA1239" s="6"/>
      <c r="GB1239" s="6"/>
      <c r="GC1239" s="6"/>
      <c r="GD1239" s="6"/>
      <c r="GE1239" s="6"/>
      <c r="GF1239" s="6"/>
      <c r="GG1239" s="6"/>
      <c r="GH1239" s="6"/>
      <c r="GI1239" s="6"/>
      <c r="GJ1239" s="6"/>
      <c r="GK1239" s="6"/>
      <c r="GL1239" s="6"/>
      <c r="GM1239" s="6"/>
      <c r="GN1239" s="6"/>
      <c r="GO1239" s="6"/>
      <c r="GP1239" s="6"/>
      <c r="GQ1239" s="6"/>
      <c r="GR1239" s="6"/>
      <c r="GS1239" s="6"/>
      <c r="GT1239" s="6"/>
      <c r="GU1239" s="6"/>
      <c r="GV1239" s="6"/>
      <c r="GW1239" s="6"/>
      <c r="GX1239" s="6"/>
      <c r="GY1239" s="6"/>
      <c r="GZ1239" s="6"/>
      <c r="HA1239" s="6"/>
      <c r="HB1239" s="6"/>
      <c r="HC1239" s="6"/>
      <c r="HD1239" s="6"/>
      <c r="HE1239" s="6"/>
      <c r="HF1239" s="6"/>
      <c r="HG1239" s="6"/>
      <c r="HH1239" s="6"/>
    </row>
    <row r="1240" spans="1:216" x14ac:dyDescent="0.3">
      <c r="A1240" s="8"/>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6"/>
      <c r="AR1240" s="6"/>
      <c r="AS1240" s="6"/>
      <c r="AT1240" s="6"/>
      <c r="AU1240" s="6"/>
      <c r="AV1240" s="6"/>
      <c r="AW1240" s="6"/>
      <c r="AX1240" s="6"/>
      <c r="AY1240" s="6"/>
      <c r="AZ1240" s="6"/>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c r="DX1240" s="6"/>
      <c r="DY1240" s="6"/>
      <c r="DZ1240" s="6"/>
      <c r="EA1240" s="6"/>
      <c r="EB1240" s="6"/>
      <c r="EC1240" s="6"/>
      <c r="ED1240" s="6"/>
      <c r="EE1240" s="6"/>
      <c r="EF1240" s="6"/>
      <c r="EG1240" s="6"/>
      <c r="EH1240" s="6"/>
      <c r="EI1240" s="6"/>
      <c r="EJ1240" s="6"/>
      <c r="EK1240" s="6"/>
      <c r="EL1240" s="6"/>
      <c r="EM1240" s="6"/>
      <c r="EN1240" s="6"/>
      <c r="EO1240" s="6"/>
      <c r="EP1240" s="6"/>
      <c r="EQ1240" s="6"/>
      <c r="ER1240" s="6"/>
      <c r="ES1240" s="6"/>
      <c r="ET1240" s="6"/>
      <c r="EU1240" s="6"/>
      <c r="EV1240" s="6"/>
      <c r="EW1240" s="6"/>
      <c r="EX1240" s="6"/>
      <c r="EY1240" s="6"/>
      <c r="EZ1240" s="6"/>
      <c r="FA1240" s="6"/>
      <c r="FB1240" s="6"/>
      <c r="FC1240" s="6"/>
      <c r="FD1240" s="6"/>
      <c r="FE1240" s="6"/>
      <c r="FF1240" s="6"/>
      <c r="FG1240" s="6"/>
      <c r="FH1240" s="6"/>
      <c r="FI1240" s="6"/>
      <c r="FJ1240" s="6"/>
      <c r="FK1240" s="6"/>
      <c r="FL1240" s="6"/>
      <c r="FM1240" s="6"/>
      <c r="FN1240" s="6"/>
      <c r="FO1240" s="6"/>
      <c r="FP1240" s="6"/>
      <c r="FQ1240" s="6"/>
      <c r="FR1240" s="6"/>
      <c r="FS1240" s="6"/>
      <c r="FT1240" s="6"/>
      <c r="FU1240" s="6"/>
      <c r="FV1240" s="6"/>
      <c r="FW1240" s="6"/>
      <c r="FX1240" s="6"/>
      <c r="FY1240" s="6"/>
      <c r="FZ1240" s="6"/>
      <c r="GA1240" s="6"/>
      <c r="GB1240" s="6"/>
      <c r="GC1240" s="6"/>
      <c r="GD1240" s="6"/>
      <c r="GE1240" s="6"/>
      <c r="GF1240" s="6"/>
      <c r="GG1240" s="6"/>
      <c r="GH1240" s="6"/>
      <c r="GI1240" s="6"/>
      <c r="GJ1240" s="6"/>
      <c r="GK1240" s="6"/>
      <c r="GL1240" s="6"/>
      <c r="GM1240" s="6"/>
      <c r="GN1240" s="6"/>
      <c r="GO1240" s="6"/>
      <c r="GP1240" s="6"/>
      <c r="GQ1240" s="6"/>
      <c r="GR1240" s="6"/>
      <c r="GS1240" s="6"/>
      <c r="GT1240" s="6"/>
      <c r="GU1240" s="6"/>
      <c r="GV1240" s="6"/>
      <c r="GW1240" s="6"/>
      <c r="GX1240" s="6"/>
      <c r="GY1240" s="6"/>
      <c r="GZ1240" s="6"/>
      <c r="HA1240" s="6"/>
      <c r="HB1240" s="6"/>
      <c r="HC1240" s="6"/>
      <c r="HD1240" s="6"/>
      <c r="HE1240" s="6"/>
      <c r="HF1240" s="6"/>
      <c r="HG1240" s="6"/>
      <c r="HH1240" s="6"/>
    </row>
    <row r="1241" spans="1:216" x14ac:dyDescent="0.3">
      <c r="A1241" s="8"/>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6"/>
      <c r="AR1241" s="6"/>
      <c r="AS1241" s="6"/>
      <c r="AT1241" s="6"/>
      <c r="AU1241" s="6"/>
      <c r="AV1241" s="6"/>
      <c r="AW1241" s="6"/>
      <c r="AX1241" s="6"/>
      <c r="AY1241" s="6"/>
      <c r="AZ1241" s="6"/>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c r="DX1241" s="6"/>
      <c r="DY1241" s="6"/>
      <c r="DZ1241" s="6"/>
      <c r="EA1241" s="6"/>
      <c r="EB1241" s="6"/>
      <c r="EC1241" s="6"/>
      <c r="ED1241" s="6"/>
      <c r="EE1241" s="6"/>
      <c r="EF1241" s="6"/>
      <c r="EG1241" s="6"/>
      <c r="EH1241" s="6"/>
      <c r="EI1241" s="6"/>
      <c r="EJ1241" s="6"/>
      <c r="EK1241" s="6"/>
      <c r="EL1241" s="6"/>
      <c r="EM1241" s="6"/>
      <c r="EN1241" s="6"/>
      <c r="EO1241" s="6"/>
      <c r="EP1241" s="6"/>
      <c r="EQ1241" s="6"/>
      <c r="ER1241" s="6"/>
      <c r="ES1241" s="6"/>
      <c r="ET1241" s="6"/>
      <c r="EU1241" s="6"/>
      <c r="EV1241" s="6"/>
      <c r="EW1241" s="6"/>
      <c r="EX1241" s="6"/>
      <c r="EY1241" s="6"/>
      <c r="EZ1241" s="6"/>
      <c r="FA1241" s="6"/>
      <c r="FB1241" s="6"/>
      <c r="FC1241" s="6"/>
      <c r="FD1241" s="6"/>
      <c r="FE1241" s="6"/>
      <c r="FF1241" s="6"/>
      <c r="FG1241" s="6"/>
      <c r="FH1241" s="6"/>
      <c r="FI1241" s="6"/>
      <c r="FJ1241" s="6"/>
      <c r="FK1241" s="6"/>
      <c r="FL1241" s="6"/>
      <c r="FM1241" s="6"/>
      <c r="FN1241" s="6"/>
      <c r="FO1241" s="6"/>
      <c r="FP1241" s="6"/>
      <c r="FQ1241" s="6"/>
      <c r="FR1241" s="6"/>
      <c r="FS1241" s="6"/>
      <c r="FT1241" s="6"/>
      <c r="FU1241" s="6"/>
      <c r="FV1241" s="6"/>
      <c r="FW1241" s="6"/>
      <c r="FX1241" s="6"/>
      <c r="FY1241" s="6"/>
      <c r="FZ1241" s="6"/>
      <c r="GA1241" s="6"/>
      <c r="GB1241" s="6"/>
      <c r="GC1241" s="6"/>
      <c r="GD1241" s="6"/>
      <c r="GE1241" s="6"/>
      <c r="GF1241" s="6"/>
      <c r="GG1241" s="6"/>
      <c r="GH1241" s="6"/>
      <c r="GI1241" s="6"/>
      <c r="GJ1241" s="6"/>
      <c r="GK1241" s="6"/>
      <c r="GL1241" s="6"/>
      <c r="GM1241" s="6"/>
      <c r="GN1241" s="6"/>
      <c r="GO1241" s="6"/>
      <c r="GP1241" s="6"/>
      <c r="GQ1241" s="6"/>
      <c r="GR1241" s="6"/>
      <c r="GS1241" s="6"/>
      <c r="GT1241" s="6"/>
      <c r="GU1241" s="6"/>
      <c r="GV1241" s="6"/>
      <c r="GW1241" s="6"/>
      <c r="GX1241" s="6"/>
      <c r="GY1241" s="6"/>
      <c r="GZ1241" s="6"/>
      <c r="HA1241" s="6"/>
      <c r="HB1241" s="6"/>
      <c r="HC1241" s="6"/>
      <c r="HD1241" s="6"/>
      <c r="HE1241" s="6"/>
      <c r="HF1241" s="6"/>
      <c r="HG1241" s="6"/>
      <c r="HH1241" s="6"/>
    </row>
    <row r="1242" spans="1:216" x14ac:dyDescent="0.3">
      <c r="A1242" s="8"/>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6"/>
      <c r="AR1242" s="6"/>
      <c r="AS1242" s="6"/>
      <c r="AT1242" s="6"/>
      <c r="AU1242" s="6"/>
      <c r="AV1242" s="6"/>
      <c r="AW1242" s="6"/>
      <c r="AX1242" s="6"/>
      <c r="AY1242" s="6"/>
      <c r="AZ1242" s="6"/>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c r="DX1242" s="6"/>
      <c r="DY1242" s="6"/>
      <c r="DZ1242" s="6"/>
      <c r="EA1242" s="6"/>
      <c r="EB1242" s="6"/>
      <c r="EC1242" s="6"/>
      <c r="ED1242" s="6"/>
      <c r="EE1242" s="6"/>
      <c r="EF1242" s="6"/>
      <c r="EG1242" s="6"/>
      <c r="EH1242" s="6"/>
      <c r="EI1242" s="6"/>
      <c r="EJ1242" s="6"/>
      <c r="EK1242" s="6"/>
      <c r="EL1242" s="6"/>
      <c r="EM1242" s="6"/>
      <c r="EN1242" s="6"/>
      <c r="EO1242" s="6"/>
      <c r="EP1242" s="6"/>
      <c r="EQ1242" s="6"/>
      <c r="ER1242" s="6"/>
      <c r="ES1242" s="6"/>
      <c r="ET1242" s="6"/>
      <c r="EU1242" s="6"/>
      <c r="EV1242" s="6"/>
      <c r="EW1242" s="6"/>
      <c r="EX1242" s="6"/>
      <c r="EY1242" s="6"/>
      <c r="EZ1242" s="6"/>
      <c r="FA1242" s="6"/>
      <c r="FB1242" s="6"/>
      <c r="FC1242" s="6"/>
      <c r="FD1242" s="6"/>
      <c r="FE1242" s="6"/>
      <c r="FF1242" s="6"/>
      <c r="FG1242" s="6"/>
      <c r="FH1242" s="6"/>
      <c r="FI1242" s="6"/>
      <c r="FJ1242" s="6"/>
      <c r="FK1242" s="6"/>
      <c r="FL1242" s="6"/>
      <c r="FM1242" s="6"/>
      <c r="FN1242" s="6"/>
      <c r="FO1242" s="6"/>
      <c r="FP1242" s="6"/>
      <c r="FQ1242" s="6"/>
      <c r="FR1242" s="6"/>
      <c r="FS1242" s="6"/>
      <c r="FT1242" s="6"/>
      <c r="FU1242" s="6"/>
      <c r="FV1242" s="6"/>
      <c r="FW1242" s="6"/>
      <c r="FX1242" s="6"/>
      <c r="FY1242" s="6"/>
      <c r="FZ1242" s="6"/>
      <c r="GA1242" s="6"/>
      <c r="GB1242" s="6"/>
      <c r="GC1242" s="6"/>
      <c r="GD1242" s="6"/>
      <c r="GE1242" s="6"/>
      <c r="GF1242" s="6"/>
      <c r="GG1242" s="6"/>
      <c r="GH1242" s="6"/>
      <c r="GI1242" s="6"/>
      <c r="GJ1242" s="6"/>
      <c r="GK1242" s="6"/>
      <c r="GL1242" s="6"/>
      <c r="GM1242" s="6"/>
      <c r="GN1242" s="6"/>
      <c r="GO1242" s="6"/>
      <c r="GP1242" s="6"/>
      <c r="GQ1242" s="6"/>
      <c r="GR1242" s="6"/>
      <c r="GS1242" s="6"/>
      <c r="GT1242" s="6"/>
      <c r="GU1242" s="6"/>
      <c r="GV1242" s="6"/>
      <c r="GW1242" s="6"/>
      <c r="GX1242" s="6"/>
      <c r="GY1242" s="6"/>
      <c r="GZ1242" s="6"/>
      <c r="HA1242" s="6"/>
      <c r="HB1242" s="6"/>
      <c r="HC1242" s="6"/>
      <c r="HD1242" s="6"/>
      <c r="HE1242" s="6"/>
      <c r="HF1242" s="6"/>
      <c r="HG1242" s="6"/>
      <c r="HH1242" s="6"/>
    </row>
    <row r="1243" spans="1:216" x14ac:dyDescent="0.3">
      <c r="A1243" s="8"/>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6"/>
      <c r="AR1243" s="6"/>
      <c r="AS1243" s="6"/>
      <c r="AT1243" s="6"/>
      <c r="AU1243" s="6"/>
      <c r="AV1243" s="6"/>
      <c r="AW1243" s="6"/>
      <c r="AX1243" s="6"/>
      <c r="AY1243" s="6"/>
      <c r="AZ1243" s="6"/>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c r="DX1243" s="6"/>
      <c r="DY1243" s="6"/>
      <c r="DZ1243" s="6"/>
      <c r="EA1243" s="6"/>
      <c r="EB1243" s="6"/>
      <c r="EC1243" s="6"/>
      <c r="ED1243" s="6"/>
      <c r="EE1243" s="6"/>
      <c r="EF1243" s="6"/>
      <c r="EG1243" s="6"/>
      <c r="EH1243" s="6"/>
      <c r="EI1243" s="6"/>
      <c r="EJ1243" s="6"/>
      <c r="EK1243" s="6"/>
      <c r="EL1243" s="6"/>
      <c r="EM1243" s="6"/>
      <c r="EN1243" s="6"/>
      <c r="EO1243" s="6"/>
      <c r="EP1243" s="6"/>
      <c r="EQ1243" s="6"/>
      <c r="ER1243" s="6"/>
      <c r="ES1243" s="6"/>
      <c r="ET1243" s="6"/>
      <c r="EU1243" s="6"/>
      <c r="EV1243" s="6"/>
      <c r="EW1243" s="6"/>
      <c r="EX1243" s="6"/>
      <c r="EY1243" s="6"/>
      <c r="EZ1243" s="6"/>
      <c r="FA1243" s="6"/>
      <c r="FB1243" s="6"/>
      <c r="FC1243" s="6"/>
      <c r="FD1243" s="6"/>
      <c r="FE1243" s="6"/>
      <c r="FF1243" s="6"/>
      <c r="FG1243" s="6"/>
      <c r="FH1243" s="6"/>
      <c r="FI1243" s="6"/>
      <c r="FJ1243" s="6"/>
      <c r="FK1243" s="6"/>
      <c r="FL1243" s="6"/>
      <c r="FM1243" s="6"/>
      <c r="FN1243" s="6"/>
      <c r="FO1243" s="6"/>
      <c r="FP1243" s="6"/>
      <c r="FQ1243" s="6"/>
      <c r="FR1243" s="6"/>
      <c r="FS1243" s="6"/>
      <c r="FT1243" s="6"/>
      <c r="FU1243" s="6"/>
      <c r="FV1243" s="6"/>
      <c r="FW1243" s="6"/>
      <c r="FX1243" s="6"/>
      <c r="FY1243" s="6"/>
      <c r="FZ1243" s="6"/>
      <c r="GA1243" s="6"/>
      <c r="GB1243" s="6"/>
      <c r="GC1243" s="6"/>
      <c r="GD1243" s="6"/>
      <c r="GE1243" s="6"/>
      <c r="GF1243" s="6"/>
      <c r="GG1243" s="6"/>
      <c r="GH1243" s="6"/>
      <c r="GI1243" s="6"/>
      <c r="GJ1243" s="6"/>
      <c r="GK1243" s="6"/>
      <c r="GL1243" s="6"/>
      <c r="GM1243" s="6"/>
      <c r="GN1243" s="6"/>
      <c r="GO1243" s="6"/>
      <c r="GP1243" s="6"/>
      <c r="GQ1243" s="6"/>
      <c r="GR1243" s="6"/>
      <c r="GS1243" s="6"/>
      <c r="GT1243" s="6"/>
      <c r="GU1243" s="6"/>
      <c r="GV1243" s="6"/>
      <c r="GW1243" s="6"/>
      <c r="GX1243" s="6"/>
      <c r="GY1243" s="6"/>
      <c r="GZ1243" s="6"/>
      <c r="HA1243" s="6"/>
      <c r="HB1243" s="6"/>
      <c r="HC1243" s="6"/>
      <c r="HD1243" s="6"/>
      <c r="HE1243" s="6"/>
      <c r="HF1243" s="6"/>
      <c r="HG1243" s="6"/>
      <c r="HH1243" s="6"/>
    </row>
    <row r="1244" spans="1:216" x14ac:dyDescent="0.3">
      <c r="A1244" s="8"/>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6"/>
      <c r="AR1244" s="6"/>
      <c r="AS1244" s="6"/>
      <c r="AT1244" s="6"/>
      <c r="AU1244" s="6"/>
      <c r="AV1244" s="6"/>
      <c r="AW1244" s="6"/>
      <c r="AX1244" s="6"/>
      <c r="AY1244" s="6"/>
      <c r="AZ1244" s="6"/>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c r="DX1244" s="6"/>
      <c r="DY1244" s="6"/>
      <c r="DZ1244" s="6"/>
      <c r="EA1244" s="6"/>
      <c r="EB1244" s="6"/>
      <c r="EC1244" s="6"/>
      <c r="ED1244" s="6"/>
      <c r="EE1244" s="6"/>
      <c r="EF1244" s="6"/>
      <c r="EG1244" s="6"/>
      <c r="EH1244" s="6"/>
      <c r="EI1244" s="6"/>
      <c r="EJ1244" s="6"/>
      <c r="EK1244" s="6"/>
      <c r="EL1244" s="6"/>
      <c r="EM1244" s="6"/>
      <c r="EN1244" s="6"/>
      <c r="EO1244" s="6"/>
      <c r="EP1244" s="6"/>
      <c r="EQ1244" s="6"/>
      <c r="ER1244" s="6"/>
      <c r="ES1244" s="6"/>
      <c r="ET1244" s="6"/>
      <c r="EU1244" s="6"/>
      <c r="EV1244" s="6"/>
      <c r="EW1244" s="6"/>
      <c r="EX1244" s="6"/>
      <c r="EY1244" s="6"/>
      <c r="EZ1244" s="6"/>
      <c r="FA1244" s="6"/>
      <c r="FB1244" s="6"/>
      <c r="FC1244" s="6"/>
      <c r="FD1244" s="6"/>
      <c r="FE1244" s="6"/>
      <c r="FF1244" s="6"/>
      <c r="FG1244" s="6"/>
      <c r="FH1244" s="6"/>
      <c r="FI1244" s="6"/>
      <c r="FJ1244" s="6"/>
      <c r="FK1244" s="6"/>
      <c r="FL1244" s="6"/>
      <c r="FM1244" s="6"/>
      <c r="FN1244" s="6"/>
      <c r="FO1244" s="6"/>
      <c r="FP1244" s="6"/>
      <c r="FQ1244" s="6"/>
      <c r="FR1244" s="6"/>
      <c r="FS1244" s="6"/>
      <c r="FT1244" s="6"/>
      <c r="FU1244" s="6"/>
      <c r="FV1244" s="6"/>
      <c r="FW1244" s="6"/>
      <c r="FX1244" s="6"/>
      <c r="FY1244" s="6"/>
      <c r="FZ1244" s="6"/>
      <c r="GA1244" s="6"/>
      <c r="GB1244" s="6"/>
      <c r="GC1244" s="6"/>
      <c r="GD1244" s="6"/>
      <c r="GE1244" s="6"/>
      <c r="GF1244" s="6"/>
      <c r="GG1244" s="6"/>
      <c r="GH1244" s="6"/>
      <c r="GI1244" s="6"/>
      <c r="GJ1244" s="6"/>
      <c r="GK1244" s="6"/>
      <c r="GL1244" s="6"/>
      <c r="GM1244" s="6"/>
      <c r="GN1244" s="6"/>
      <c r="GO1244" s="6"/>
      <c r="GP1244" s="6"/>
      <c r="GQ1244" s="6"/>
      <c r="GR1244" s="6"/>
      <c r="GS1244" s="6"/>
      <c r="GT1244" s="6"/>
      <c r="GU1244" s="6"/>
      <c r="GV1244" s="6"/>
      <c r="GW1244" s="6"/>
      <c r="GX1244" s="6"/>
      <c r="GY1244" s="6"/>
      <c r="GZ1244" s="6"/>
      <c r="HA1244" s="6"/>
      <c r="HB1244" s="6"/>
      <c r="HC1244" s="6"/>
      <c r="HD1244" s="6"/>
      <c r="HE1244" s="6"/>
      <c r="HF1244" s="6"/>
      <c r="HG1244" s="6"/>
      <c r="HH1244" s="6"/>
    </row>
    <row r="1245" spans="1:216" x14ac:dyDescent="0.3">
      <c r="A1245" s="8"/>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6"/>
      <c r="AR1245" s="6"/>
      <c r="AS1245" s="6"/>
      <c r="AT1245" s="6"/>
      <c r="AU1245" s="6"/>
      <c r="AV1245" s="6"/>
      <c r="AW1245" s="6"/>
      <c r="AX1245" s="6"/>
      <c r="AY1245" s="6"/>
      <c r="AZ1245" s="6"/>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c r="DX1245" s="6"/>
      <c r="DY1245" s="6"/>
      <c r="DZ1245" s="6"/>
      <c r="EA1245" s="6"/>
      <c r="EB1245" s="6"/>
      <c r="EC1245" s="6"/>
      <c r="ED1245" s="6"/>
      <c r="EE1245" s="6"/>
      <c r="EF1245" s="6"/>
      <c r="EG1245" s="6"/>
      <c r="EH1245" s="6"/>
      <c r="EI1245" s="6"/>
      <c r="EJ1245" s="6"/>
      <c r="EK1245" s="6"/>
      <c r="EL1245" s="6"/>
      <c r="EM1245" s="6"/>
      <c r="EN1245" s="6"/>
      <c r="EO1245" s="6"/>
      <c r="EP1245" s="6"/>
      <c r="EQ1245" s="6"/>
      <c r="ER1245" s="6"/>
      <c r="ES1245" s="6"/>
      <c r="ET1245" s="6"/>
      <c r="EU1245" s="6"/>
      <c r="EV1245" s="6"/>
      <c r="EW1245" s="6"/>
      <c r="EX1245" s="6"/>
      <c r="EY1245" s="6"/>
      <c r="EZ1245" s="6"/>
      <c r="FA1245" s="6"/>
      <c r="FB1245" s="6"/>
      <c r="FC1245" s="6"/>
      <c r="FD1245" s="6"/>
      <c r="FE1245" s="6"/>
      <c r="FF1245" s="6"/>
      <c r="FG1245" s="6"/>
      <c r="FH1245" s="6"/>
      <c r="FI1245" s="6"/>
      <c r="FJ1245" s="6"/>
      <c r="FK1245" s="6"/>
      <c r="FL1245" s="6"/>
      <c r="FM1245" s="6"/>
      <c r="FN1245" s="6"/>
      <c r="FO1245" s="6"/>
      <c r="FP1245" s="6"/>
      <c r="FQ1245" s="6"/>
      <c r="FR1245" s="6"/>
      <c r="FS1245" s="6"/>
      <c r="FT1245" s="6"/>
      <c r="FU1245" s="6"/>
      <c r="FV1245" s="6"/>
      <c r="FW1245" s="6"/>
      <c r="FX1245" s="6"/>
      <c r="FY1245" s="6"/>
      <c r="FZ1245" s="6"/>
      <c r="GA1245" s="6"/>
      <c r="GB1245" s="6"/>
      <c r="GC1245" s="6"/>
      <c r="GD1245" s="6"/>
      <c r="GE1245" s="6"/>
      <c r="GF1245" s="6"/>
      <c r="GG1245" s="6"/>
      <c r="GH1245" s="6"/>
      <c r="GI1245" s="6"/>
      <c r="GJ1245" s="6"/>
      <c r="GK1245" s="6"/>
      <c r="GL1245" s="6"/>
      <c r="GM1245" s="6"/>
      <c r="GN1245" s="6"/>
      <c r="GO1245" s="6"/>
      <c r="GP1245" s="6"/>
      <c r="GQ1245" s="6"/>
      <c r="GR1245" s="6"/>
      <c r="GS1245" s="6"/>
      <c r="GT1245" s="6"/>
      <c r="GU1245" s="6"/>
      <c r="GV1245" s="6"/>
      <c r="GW1245" s="6"/>
      <c r="GX1245" s="6"/>
      <c r="GY1245" s="6"/>
      <c r="GZ1245" s="6"/>
      <c r="HA1245" s="6"/>
      <c r="HB1245" s="6"/>
      <c r="HC1245" s="6"/>
      <c r="HD1245" s="6"/>
      <c r="HE1245" s="6"/>
      <c r="HF1245" s="6"/>
      <c r="HG1245" s="6"/>
      <c r="HH1245" s="6"/>
    </row>
    <row r="1246" spans="1:216" x14ac:dyDescent="0.3">
      <c r="A1246" s="8"/>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6"/>
      <c r="AR1246" s="6"/>
      <c r="AS1246" s="6"/>
      <c r="AT1246" s="6"/>
      <c r="AU1246" s="6"/>
      <c r="AV1246" s="6"/>
      <c r="AW1246" s="6"/>
      <c r="AX1246" s="6"/>
      <c r="AY1246" s="6"/>
      <c r="AZ1246" s="6"/>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c r="DX1246" s="6"/>
      <c r="DY1246" s="6"/>
      <c r="DZ1246" s="6"/>
      <c r="EA1246" s="6"/>
      <c r="EB1246" s="6"/>
      <c r="EC1246" s="6"/>
      <c r="ED1246" s="6"/>
      <c r="EE1246" s="6"/>
      <c r="EF1246" s="6"/>
      <c r="EG1246" s="6"/>
      <c r="EH1246" s="6"/>
      <c r="EI1246" s="6"/>
      <c r="EJ1246" s="6"/>
      <c r="EK1246" s="6"/>
      <c r="EL1246" s="6"/>
      <c r="EM1246" s="6"/>
      <c r="EN1246" s="6"/>
      <c r="EO1246" s="6"/>
      <c r="EP1246" s="6"/>
      <c r="EQ1246" s="6"/>
      <c r="ER1246" s="6"/>
      <c r="ES1246" s="6"/>
      <c r="ET1246" s="6"/>
      <c r="EU1246" s="6"/>
      <c r="EV1246" s="6"/>
      <c r="EW1246" s="6"/>
      <c r="EX1246" s="6"/>
      <c r="EY1246" s="6"/>
      <c r="EZ1246" s="6"/>
      <c r="FA1246" s="6"/>
      <c r="FB1246" s="6"/>
      <c r="FC1246" s="6"/>
      <c r="FD1246" s="6"/>
      <c r="FE1246" s="6"/>
      <c r="FF1246" s="6"/>
      <c r="FG1246" s="6"/>
      <c r="FH1246" s="6"/>
      <c r="FI1246" s="6"/>
      <c r="FJ1246" s="6"/>
      <c r="FK1246" s="6"/>
      <c r="FL1246" s="6"/>
      <c r="FM1246" s="6"/>
      <c r="FN1246" s="6"/>
      <c r="FO1246" s="6"/>
      <c r="FP1246" s="6"/>
      <c r="FQ1246" s="6"/>
      <c r="FR1246" s="6"/>
      <c r="FS1246" s="6"/>
      <c r="FT1246" s="6"/>
      <c r="FU1246" s="6"/>
      <c r="FV1246" s="6"/>
      <c r="FW1246" s="6"/>
      <c r="FX1246" s="6"/>
      <c r="FY1246" s="6"/>
      <c r="FZ1246" s="6"/>
      <c r="GA1246" s="6"/>
      <c r="GB1246" s="6"/>
      <c r="GC1246" s="6"/>
      <c r="GD1246" s="6"/>
      <c r="GE1246" s="6"/>
      <c r="GF1246" s="6"/>
      <c r="GG1246" s="6"/>
      <c r="GH1246" s="6"/>
      <c r="GI1246" s="6"/>
      <c r="GJ1246" s="6"/>
      <c r="GK1246" s="6"/>
      <c r="GL1246" s="6"/>
      <c r="GM1246" s="6"/>
      <c r="GN1246" s="6"/>
      <c r="GO1246" s="6"/>
      <c r="GP1246" s="6"/>
      <c r="GQ1246" s="6"/>
      <c r="GR1246" s="6"/>
      <c r="GS1246" s="6"/>
      <c r="GT1246" s="6"/>
      <c r="GU1246" s="6"/>
      <c r="GV1246" s="6"/>
      <c r="GW1246" s="6"/>
      <c r="GX1246" s="6"/>
      <c r="GY1246" s="6"/>
      <c r="GZ1246" s="6"/>
      <c r="HA1246" s="6"/>
      <c r="HB1246" s="6"/>
      <c r="HC1246" s="6"/>
      <c r="HD1246" s="6"/>
      <c r="HE1246" s="6"/>
      <c r="HF1246" s="6"/>
      <c r="HG1246" s="6"/>
      <c r="HH1246" s="6"/>
    </row>
    <row r="1247" spans="1:216" x14ac:dyDescent="0.3">
      <c r="A1247" s="8"/>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6"/>
      <c r="AR1247" s="6"/>
      <c r="AS1247" s="6"/>
      <c r="AT1247" s="6"/>
      <c r="AU1247" s="6"/>
      <c r="AV1247" s="6"/>
      <c r="AW1247" s="6"/>
      <c r="AX1247" s="6"/>
      <c r="AY1247" s="6"/>
      <c r="AZ1247" s="6"/>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c r="DX1247" s="6"/>
      <c r="DY1247" s="6"/>
      <c r="DZ1247" s="6"/>
      <c r="EA1247" s="6"/>
      <c r="EB1247" s="6"/>
      <c r="EC1247" s="6"/>
      <c r="ED1247" s="6"/>
      <c r="EE1247" s="6"/>
      <c r="EF1247" s="6"/>
      <c r="EG1247" s="6"/>
      <c r="EH1247" s="6"/>
      <c r="EI1247" s="6"/>
      <c r="EJ1247" s="6"/>
      <c r="EK1247" s="6"/>
      <c r="EL1247" s="6"/>
      <c r="EM1247" s="6"/>
      <c r="EN1247" s="6"/>
      <c r="EO1247" s="6"/>
      <c r="EP1247" s="6"/>
      <c r="EQ1247" s="6"/>
      <c r="ER1247" s="6"/>
      <c r="ES1247" s="6"/>
      <c r="ET1247" s="6"/>
      <c r="EU1247" s="6"/>
      <c r="EV1247" s="6"/>
      <c r="EW1247" s="6"/>
      <c r="EX1247" s="6"/>
      <c r="EY1247" s="6"/>
      <c r="EZ1247" s="6"/>
      <c r="FA1247" s="6"/>
      <c r="FB1247" s="6"/>
      <c r="FC1247" s="6"/>
      <c r="FD1247" s="6"/>
      <c r="FE1247" s="6"/>
      <c r="FF1247" s="6"/>
      <c r="FG1247" s="6"/>
      <c r="FH1247" s="6"/>
      <c r="FI1247" s="6"/>
      <c r="FJ1247" s="6"/>
      <c r="FK1247" s="6"/>
      <c r="FL1247" s="6"/>
      <c r="FM1247" s="6"/>
      <c r="FN1247" s="6"/>
      <c r="FO1247" s="6"/>
      <c r="FP1247" s="6"/>
      <c r="FQ1247" s="6"/>
      <c r="FR1247" s="6"/>
      <c r="FS1247" s="6"/>
      <c r="FT1247" s="6"/>
      <c r="FU1247" s="6"/>
      <c r="FV1247" s="6"/>
      <c r="FW1247" s="6"/>
      <c r="FX1247" s="6"/>
      <c r="FY1247" s="6"/>
      <c r="FZ1247" s="6"/>
      <c r="GA1247" s="6"/>
      <c r="GB1247" s="6"/>
      <c r="GC1247" s="6"/>
      <c r="GD1247" s="6"/>
      <c r="GE1247" s="6"/>
      <c r="GF1247" s="6"/>
      <c r="GG1247" s="6"/>
      <c r="GH1247" s="6"/>
      <c r="GI1247" s="6"/>
      <c r="GJ1247" s="6"/>
      <c r="GK1247" s="6"/>
      <c r="GL1247" s="6"/>
      <c r="GM1247" s="6"/>
      <c r="GN1247" s="6"/>
      <c r="GO1247" s="6"/>
      <c r="GP1247" s="6"/>
      <c r="GQ1247" s="6"/>
      <c r="GR1247" s="6"/>
      <c r="GS1247" s="6"/>
      <c r="GT1247" s="6"/>
      <c r="GU1247" s="6"/>
      <c r="GV1247" s="6"/>
      <c r="GW1247" s="6"/>
      <c r="GX1247" s="6"/>
      <c r="GY1247" s="6"/>
      <c r="GZ1247" s="6"/>
      <c r="HA1247" s="6"/>
      <c r="HB1247" s="6"/>
      <c r="HC1247" s="6"/>
      <c r="HD1247" s="6"/>
      <c r="HE1247" s="6"/>
      <c r="HF1247" s="6"/>
      <c r="HG1247" s="6"/>
      <c r="HH1247" s="6"/>
    </row>
    <row r="1248" spans="1:216" x14ac:dyDescent="0.3">
      <c r="A1248" s="8"/>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6"/>
      <c r="AR1248" s="6"/>
      <c r="AS1248" s="6"/>
      <c r="AT1248" s="6"/>
      <c r="AU1248" s="6"/>
      <c r="AV1248" s="6"/>
      <c r="AW1248" s="6"/>
      <c r="AX1248" s="6"/>
      <c r="AY1248" s="6"/>
      <c r="AZ1248" s="6"/>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c r="DX1248" s="6"/>
      <c r="DY1248" s="6"/>
      <c r="DZ1248" s="6"/>
      <c r="EA1248" s="6"/>
      <c r="EB1248" s="6"/>
      <c r="EC1248" s="6"/>
      <c r="ED1248" s="6"/>
      <c r="EE1248" s="6"/>
      <c r="EF1248" s="6"/>
      <c r="EG1248" s="6"/>
      <c r="EH1248" s="6"/>
      <c r="EI1248" s="6"/>
      <c r="EJ1248" s="6"/>
      <c r="EK1248" s="6"/>
      <c r="EL1248" s="6"/>
      <c r="EM1248" s="6"/>
      <c r="EN1248" s="6"/>
      <c r="EO1248" s="6"/>
      <c r="EP1248" s="6"/>
      <c r="EQ1248" s="6"/>
      <c r="ER1248" s="6"/>
      <c r="ES1248" s="6"/>
      <c r="ET1248" s="6"/>
      <c r="EU1248" s="6"/>
      <c r="EV1248" s="6"/>
      <c r="EW1248" s="6"/>
      <c r="EX1248" s="6"/>
      <c r="EY1248" s="6"/>
      <c r="EZ1248" s="6"/>
      <c r="FA1248" s="6"/>
      <c r="FB1248" s="6"/>
      <c r="FC1248" s="6"/>
      <c r="FD1248" s="6"/>
      <c r="FE1248" s="6"/>
      <c r="FF1248" s="6"/>
      <c r="FG1248" s="6"/>
      <c r="FH1248" s="6"/>
      <c r="FI1248" s="6"/>
      <c r="FJ1248" s="6"/>
      <c r="FK1248" s="6"/>
      <c r="FL1248" s="6"/>
      <c r="FM1248" s="6"/>
      <c r="FN1248" s="6"/>
      <c r="FO1248" s="6"/>
      <c r="FP1248" s="6"/>
      <c r="FQ1248" s="6"/>
      <c r="FR1248" s="6"/>
      <c r="FS1248" s="6"/>
      <c r="FT1248" s="6"/>
      <c r="FU1248" s="6"/>
      <c r="FV1248" s="6"/>
      <c r="FW1248" s="6"/>
      <c r="FX1248" s="6"/>
      <c r="FY1248" s="6"/>
      <c r="FZ1248" s="6"/>
      <c r="GA1248" s="6"/>
      <c r="GB1248" s="6"/>
      <c r="GC1248" s="6"/>
      <c r="GD1248" s="6"/>
      <c r="GE1248" s="6"/>
      <c r="GF1248" s="6"/>
      <c r="GG1248" s="6"/>
      <c r="GH1248" s="6"/>
      <c r="GI1248" s="6"/>
      <c r="GJ1248" s="6"/>
      <c r="GK1248" s="6"/>
      <c r="GL1248" s="6"/>
      <c r="GM1248" s="6"/>
      <c r="GN1248" s="6"/>
      <c r="GO1248" s="6"/>
      <c r="GP1248" s="6"/>
      <c r="GQ1248" s="6"/>
      <c r="GR1248" s="6"/>
      <c r="GS1248" s="6"/>
      <c r="GT1248" s="6"/>
      <c r="GU1248" s="6"/>
      <c r="GV1248" s="6"/>
      <c r="GW1248" s="6"/>
      <c r="GX1248" s="6"/>
      <c r="GY1248" s="6"/>
      <c r="GZ1248" s="6"/>
      <c r="HA1248" s="6"/>
      <c r="HB1248" s="6"/>
      <c r="HC1248" s="6"/>
      <c r="HD1248" s="6"/>
      <c r="HE1248" s="6"/>
      <c r="HF1248" s="6"/>
      <c r="HG1248" s="6"/>
      <c r="HH1248" s="6"/>
    </row>
    <row r="1249" spans="1:216" x14ac:dyDescent="0.3">
      <c r="A1249" s="8"/>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6"/>
      <c r="AR1249" s="6"/>
      <c r="AS1249" s="6"/>
      <c r="AT1249" s="6"/>
      <c r="AU1249" s="6"/>
      <c r="AV1249" s="6"/>
      <c r="AW1249" s="6"/>
      <c r="AX1249" s="6"/>
      <c r="AY1249" s="6"/>
      <c r="AZ1249" s="6"/>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c r="DX1249" s="6"/>
      <c r="DY1249" s="6"/>
      <c r="DZ1249" s="6"/>
      <c r="EA1249" s="6"/>
      <c r="EB1249" s="6"/>
      <c r="EC1249" s="6"/>
      <c r="ED1249" s="6"/>
      <c r="EE1249" s="6"/>
      <c r="EF1249" s="6"/>
      <c r="EG1249" s="6"/>
      <c r="EH1249" s="6"/>
      <c r="EI1249" s="6"/>
      <c r="EJ1249" s="6"/>
      <c r="EK1249" s="6"/>
      <c r="EL1249" s="6"/>
      <c r="EM1249" s="6"/>
      <c r="EN1249" s="6"/>
      <c r="EO1249" s="6"/>
      <c r="EP1249" s="6"/>
      <c r="EQ1249" s="6"/>
      <c r="ER1249" s="6"/>
      <c r="ES1249" s="6"/>
      <c r="ET1249" s="6"/>
      <c r="EU1249" s="6"/>
      <c r="EV1249" s="6"/>
      <c r="EW1249" s="6"/>
      <c r="EX1249" s="6"/>
      <c r="EY1249" s="6"/>
      <c r="EZ1249" s="6"/>
      <c r="FA1249" s="6"/>
      <c r="FB1249" s="6"/>
      <c r="FC1249" s="6"/>
      <c r="FD1249" s="6"/>
      <c r="FE1249" s="6"/>
      <c r="FF1249" s="6"/>
      <c r="FG1249" s="6"/>
      <c r="FH1249" s="6"/>
      <c r="FI1249" s="6"/>
      <c r="FJ1249" s="6"/>
      <c r="FK1249" s="6"/>
      <c r="FL1249" s="6"/>
      <c r="FM1249" s="6"/>
      <c r="FN1249" s="6"/>
      <c r="FO1249" s="6"/>
      <c r="FP1249" s="6"/>
      <c r="FQ1249" s="6"/>
      <c r="FR1249" s="6"/>
      <c r="FS1249" s="6"/>
      <c r="FT1249" s="6"/>
      <c r="FU1249" s="6"/>
      <c r="FV1249" s="6"/>
      <c r="FW1249" s="6"/>
      <c r="FX1249" s="6"/>
      <c r="FY1249" s="6"/>
      <c r="FZ1249" s="6"/>
      <c r="GA1249" s="6"/>
      <c r="GB1249" s="6"/>
      <c r="GC1249" s="6"/>
      <c r="GD1249" s="6"/>
      <c r="GE1249" s="6"/>
      <c r="GF1249" s="6"/>
      <c r="GG1249" s="6"/>
      <c r="GH1249" s="6"/>
      <c r="GI1249" s="6"/>
      <c r="GJ1249" s="6"/>
      <c r="GK1249" s="6"/>
      <c r="GL1249" s="6"/>
      <c r="GM1249" s="6"/>
      <c r="GN1249" s="6"/>
      <c r="GO1249" s="6"/>
      <c r="GP1249" s="6"/>
      <c r="GQ1249" s="6"/>
      <c r="GR1249" s="6"/>
      <c r="GS1249" s="6"/>
      <c r="GT1249" s="6"/>
      <c r="GU1249" s="6"/>
      <c r="GV1249" s="6"/>
      <c r="GW1249" s="6"/>
      <c r="GX1249" s="6"/>
      <c r="GY1249" s="6"/>
      <c r="GZ1249" s="6"/>
      <c r="HA1249" s="6"/>
      <c r="HB1249" s="6"/>
      <c r="HC1249" s="6"/>
      <c r="HD1249" s="6"/>
      <c r="HE1249" s="6"/>
      <c r="HF1249" s="6"/>
      <c r="HG1249" s="6"/>
      <c r="HH1249" s="6"/>
    </row>
    <row r="1250" spans="1:216" x14ac:dyDescent="0.3">
      <c r="A1250" s="8"/>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6"/>
      <c r="AR1250" s="6"/>
      <c r="AS1250" s="6"/>
      <c r="AT1250" s="6"/>
      <c r="AU1250" s="6"/>
      <c r="AV1250" s="6"/>
      <c r="AW1250" s="6"/>
      <c r="AX1250" s="6"/>
      <c r="AY1250" s="6"/>
      <c r="AZ1250" s="6"/>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c r="DX1250" s="6"/>
      <c r="DY1250" s="6"/>
      <c r="DZ1250" s="6"/>
      <c r="EA1250" s="6"/>
      <c r="EB1250" s="6"/>
      <c r="EC1250" s="6"/>
      <c r="ED1250" s="6"/>
      <c r="EE1250" s="6"/>
      <c r="EF1250" s="6"/>
      <c r="EG1250" s="6"/>
      <c r="EH1250" s="6"/>
      <c r="EI1250" s="6"/>
      <c r="EJ1250" s="6"/>
      <c r="EK1250" s="6"/>
      <c r="EL1250" s="6"/>
      <c r="EM1250" s="6"/>
      <c r="EN1250" s="6"/>
      <c r="EO1250" s="6"/>
      <c r="EP1250" s="6"/>
      <c r="EQ1250" s="6"/>
      <c r="ER1250" s="6"/>
      <c r="ES1250" s="6"/>
      <c r="ET1250" s="6"/>
      <c r="EU1250" s="6"/>
      <c r="EV1250" s="6"/>
      <c r="EW1250" s="6"/>
      <c r="EX1250" s="6"/>
      <c r="EY1250" s="6"/>
      <c r="EZ1250" s="6"/>
      <c r="FA1250" s="6"/>
      <c r="FB1250" s="6"/>
      <c r="FC1250" s="6"/>
      <c r="FD1250" s="6"/>
      <c r="FE1250" s="6"/>
      <c r="FF1250" s="6"/>
      <c r="FG1250" s="6"/>
      <c r="FH1250" s="6"/>
      <c r="FI1250" s="6"/>
      <c r="FJ1250" s="6"/>
      <c r="FK1250" s="6"/>
      <c r="FL1250" s="6"/>
      <c r="FM1250" s="6"/>
      <c r="FN1250" s="6"/>
      <c r="FO1250" s="6"/>
      <c r="FP1250" s="6"/>
      <c r="FQ1250" s="6"/>
      <c r="FR1250" s="6"/>
      <c r="FS1250" s="6"/>
      <c r="FT1250" s="6"/>
      <c r="FU1250" s="6"/>
      <c r="FV1250" s="6"/>
      <c r="FW1250" s="6"/>
      <c r="FX1250" s="6"/>
      <c r="FY1250" s="6"/>
      <c r="FZ1250" s="6"/>
      <c r="GA1250" s="6"/>
      <c r="GB1250" s="6"/>
      <c r="GC1250" s="6"/>
      <c r="GD1250" s="6"/>
      <c r="GE1250" s="6"/>
      <c r="GF1250" s="6"/>
      <c r="GG1250" s="6"/>
      <c r="GH1250" s="6"/>
      <c r="GI1250" s="6"/>
      <c r="GJ1250" s="6"/>
      <c r="GK1250" s="6"/>
      <c r="GL1250" s="6"/>
      <c r="GM1250" s="6"/>
      <c r="GN1250" s="6"/>
      <c r="GO1250" s="6"/>
      <c r="GP1250" s="6"/>
      <c r="GQ1250" s="6"/>
      <c r="GR1250" s="6"/>
      <c r="GS1250" s="6"/>
      <c r="GT1250" s="6"/>
      <c r="GU1250" s="6"/>
      <c r="GV1250" s="6"/>
      <c r="GW1250" s="6"/>
      <c r="GX1250" s="6"/>
      <c r="GY1250" s="6"/>
      <c r="GZ1250" s="6"/>
      <c r="HA1250" s="6"/>
      <c r="HB1250" s="6"/>
      <c r="HC1250" s="6"/>
      <c r="HD1250" s="6"/>
      <c r="HE1250" s="6"/>
      <c r="HF1250" s="6"/>
      <c r="HG1250" s="6"/>
      <c r="HH1250" s="6"/>
    </row>
    <row r="1251" spans="1:216" x14ac:dyDescent="0.3">
      <c r="A1251" s="8"/>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6"/>
      <c r="AR1251" s="6"/>
      <c r="AS1251" s="6"/>
      <c r="AT1251" s="6"/>
      <c r="AU1251" s="6"/>
      <c r="AV1251" s="6"/>
      <c r="AW1251" s="6"/>
      <c r="AX1251" s="6"/>
      <c r="AY1251" s="6"/>
      <c r="AZ1251" s="6"/>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c r="DX1251" s="6"/>
      <c r="DY1251" s="6"/>
      <c r="DZ1251" s="6"/>
      <c r="EA1251" s="6"/>
      <c r="EB1251" s="6"/>
      <c r="EC1251" s="6"/>
      <c r="ED1251" s="6"/>
      <c r="EE1251" s="6"/>
      <c r="EF1251" s="6"/>
      <c r="EG1251" s="6"/>
      <c r="EH1251" s="6"/>
      <c r="EI1251" s="6"/>
      <c r="EJ1251" s="6"/>
      <c r="EK1251" s="6"/>
      <c r="EL1251" s="6"/>
      <c r="EM1251" s="6"/>
      <c r="EN1251" s="6"/>
      <c r="EO1251" s="6"/>
      <c r="EP1251" s="6"/>
      <c r="EQ1251" s="6"/>
      <c r="ER1251" s="6"/>
      <c r="ES1251" s="6"/>
      <c r="ET1251" s="6"/>
      <c r="EU1251" s="6"/>
      <c r="EV1251" s="6"/>
      <c r="EW1251" s="6"/>
      <c r="EX1251" s="6"/>
      <c r="EY1251" s="6"/>
      <c r="EZ1251" s="6"/>
      <c r="FA1251" s="6"/>
      <c r="FB1251" s="6"/>
      <c r="FC1251" s="6"/>
      <c r="FD1251" s="6"/>
      <c r="FE1251" s="6"/>
      <c r="FF1251" s="6"/>
      <c r="FG1251" s="6"/>
      <c r="FH1251" s="6"/>
      <c r="FI1251" s="6"/>
      <c r="FJ1251" s="6"/>
      <c r="FK1251" s="6"/>
      <c r="FL1251" s="6"/>
      <c r="FM1251" s="6"/>
      <c r="FN1251" s="6"/>
      <c r="FO1251" s="6"/>
      <c r="FP1251" s="6"/>
      <c r="FQ1251" s="6"/>
      <c r="FR1251" s="6"/>
      <c r="FS1251" s="6"/>
      <c r="FT1251" s="6"/>
      <c r="FU1251" s="6"/>
      <c r="FV1251" s="6"/>
      <c r="FW1251" s="6"/>
      <c r="FX1251" s="6"/>
      <c r="FY1251" s="6"/>
      <c r="FZ1251" s="6"/>
      <c r="GA1251" s="6"/>
      <c r="GB1251" s="6"/>
      <c r="GC1251" s="6"/>
      <c r="GD1251" s="6"/>
      <c r="GE1251" s="6"/>
      <c r="GF1251" s="6"/>
      <c r="GG1251" s="6"/>
      <c r="GH1251" s="6"/>
      <c r="GI1251" s="6"/>
      <c r="GJ1251" s="6"/>
      <c r="GK1251" s="6"/>
      <c r="GL1251" s="6"/>
      <c r="GM1251" s="6"/>
      <c r="GN1251" s="6"/>
      <c r="GO1251" s="6"/>
      <c r="GP1251" s="6"/>
      <c r="GQ1251" s="6"/>
      <c r="GR1251" s="6"/>
      <c r="GS1251" s="6"/>
      <c r="GT1251" s="6"/>
      <c r="GU1251" s="6"/>
      <c r="GV1251" s="6"/>
      <c r="GW1251" s="6"/>
      <c r="GX1251" s="6"/>
      <c r="GY1251" s="6"/>
      <c r="GZ1251" s="6"/>
      <c r="HA1251" s="6"/>
      <c r="HB1251" s="6"/>
      <c r="HC1251" s="6"/>
      <c r="HD1251" s="6"/>
      <c r="HE1251" s="6"/>
      <c r="HF1251" s="6"/>
      <c r="HG1251" s="6"/>
      <c r="HH1251" s="6"/>
    </row>
    <row r="1252" spans="1:216" x14ac:dyDescent="0.3">
      <c r="A1252" s="8"/>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6"/>
      <c r="AR1252" s="6"/>
      <c r="AS1252" s="6"/>
      <c r="AT1252" s="6"/>
      <c r="AU1252" s="6"/>
      <c r="AV1252" s="6"/>
      <c r="AW1252" s="6"/>
      <c r="AX1252" s="6"/>
      <c r="AY1252" s="6"/>
      <c r="AZ1252" s="6"/>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c r="DX1252" s="6"/>
      <c r="DY1252" s="6"/>
      <c r="DZ1252" s="6"/>
      <c r="EA1252" s="6"/>
      <c r="EB1252" s="6"/>
      <c r="EC1252" s="6"/>
      <c r="ED1252" s="6"/>
      <c r="EE1252" s="6"/>
      <c r="EF1252" s="6"/>
      <c r="EG1252" s="6"/>
      <c r="EH1252" s="6"/>
      <c r="EI1252" s="6"/>
      <c r="EJ1252" s="6"/>
      <c r="EK1252" s="6"/>
      <c r="EL1252" s="6"/>
      <c r="EM1252" s="6"/>
      <c r="EN1252" s="6"/>
      <c r="EO1252" s="6"/>
      <c r="EP1252" s="6"/>
      <c r="EQ1252" s="6"/>
      <c r="ER1252" s="6"/>
      <c r="ES1252" s="6"/>
      <c r="ET1252" s="6"/>
      <c r="EU1252" s="6"/>
      <c r="EV1252" s="6"/>
      <c r="EW1252" s="6"/>
      <c r="EX1252" s="6"/>
      <c r="EY1252" s="6"/>
      <c r="EZ1252" s="6"/>
      <c r="FA1252" s="6"/>
      <c r="FB1252" s="6"/>
      <c r="FC1252" s="6"/>
      <c r="FD1252" s="6"/>
      <c r="FE1252" s="6"/>
      <c r="FF1252" s="6"/>
      <c r="FG1252" s="6"/>
      <c r="FH1252" s="6"/>
      <c r="FI1252" s="6"/>
      <c r="FJ1252" s="6"/>
      <c r="FK1252" s="6"/>
      <c r="FL1252" s="6"/>
      <c r="FM1252" s="6"/>
      <c r="FN1252" s="6"/>
      <c r="FO1252" s="6"/>
      <c r="FP1252" s="6"/>
      <c r="FQ1252" s="6"/>
      <c r="FR1252" s="6"/>
      <c r="FS1252" s="6"/>
      <c r="FT1252" s="6"/>
      <c r="FU1252" s="6"/>
      <c r="FV1252" s="6"/>
      <c r="FW1252" s="6"/>
      <c r="FX1252" s="6"/>
      <c r="FY1252" s="6"/>
      <c r="FZ1252" s="6"/>
      <c r="GA1252" s="6"/>
      <c r="GB1252" s="6"/>
      <c r="GC1252" s="6"/>
      <c r="GD1252" s="6"/>
      <c r="GE1252" s="6"/>
      <c r="GF1252" s="6"/>
      <c r="GG1252" s="6"/>
      <c r="GH1252" s="6"/>
      <c r="GI1252" s="6"/>
      <c r="GJ1252" s="6"/>
      <c r="GK1252" s="6"/>
      <c r="GL1252" s="6"/>
      <c r="GM1252" s="6"/>
      <c r="GN1252" s="6"/>
      <c r="GO1252" s="6"/>
      <c r="GP1252" s="6"/>
      <c r="GQ1252" s="6"/>
      <c r="GR1252" s="6"/>
      <c r="GS1252" s="6"/>
      <c r="GT1252" s="6"/>
      <c r="GU1252" s="6"/>
      <c r="GV1252" s="6"/>
      <c r="GW1252" s="6"/>
      <c r="GX1252" s="6"/>
      <c r="GY1252" s="6"/>
      <c r="GZ1252" s="6"/>
      <c r="HA1252" s="6"/>
      <c r="HB1252" s="6"/>
      <c r="HC1252" s="6"/>
      <c r="HD1252" s="6"/>
      <c r="HE1252" s="6"/>
      <c r="HF1252" s="6"/>
      <c r="HG1252" s="6"/>
      <c r="HH1252" s="6"/>
    </row>
    <row r="1253" spans="1:216" x14ac:dyDescent="0.3">
      <c r="A1253" s="8"/>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6"/>
      <c r="AR1253" s="6"/>
      <c r="AS1253" s="6"/>
      <c r="AT1253" s="6"/>
      <c r="AU1253" s="6"/>
      <c r="AV1253" s="6"/>
      <c r="AW1253" s="6"/>
      <c r="AX1253" s="6"/>
      <c r="AY1253" s="6"/>
      <c r="AZ1253" s="6"/>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c r="DX1253" s="6"/>
      <c r="DY1253" s="6"/>
      <c r="DZ1253" s="6"/>
      <c r="EA1253" s="6"/>
      <c r="EB1253" s="6"/>
      <c r="EC1253" s="6"/>
      <c r="ED1253" s="6"/>
      <c r="EE1253" s="6"/>
      <c r="EF1253" s="6"/>
      <c r="EG1253" s="6"/>
      <c r="EH1253" s="6"/>
      <c r="EI1253" s="6"/>
      <c r="EJ1253" s="6"/>
      <c r="EK1253" s="6"/>
      <c r="EL1253" s="6"/>
      <c r="EM1253" s="6"/>
      <c r="EN1253" s="6"/>
      <c r="EO1253" s="6"/>
      <c r="EP1253" s="6"/>
      <c r="EQ1253" s="6"/>
      <c r="ER1253" s="6"/>
      <c r="ES1253" s="6"/>
      <c r="ET1253" s="6"/>
      <c r="EU1253" s="6"/>
      <c r="EV1253" s="6"/>
      <c r="EW1253" s="6"/>
      <c r="EX1253" s="6"/>
      <c r="EY1253" s="6"/>
      <c r="EZ1253" s="6"/>
      <c r="FA1253" s="6"/>
      <c r="FB1253" s="6"/>
      <c r="FC1253" s="6"/>
      <c r="FD1253" s="6"/>
      <c r="FE1253" s="6"/>
      <c r="FF1253" s="6"/>
      <c r="FG1253" s="6"/>
      <c r="FH1253" s="6"/>
      <c r="FI1253" s="6"/>
      <c r="FJ1253" s="6"/>
      <c r="FK1253" s="6"/>
      <c r="FL1253" s="6"/>
      <c r="FM1253" s="6"/>
      <c r="FN1253" s="6"/>
      <c r="FO1253" s="6"/>
      <c r="FP1253" s="6"/>
      <c r="FQ1253" s="6"/>
      <c r="FR1253" s="6"/>
      <c r="FS1253" s="6"/>
      <c r="FT1253" s="6"/>
      <c r="FU1253" s="6"/>
      <c r="FV1253" s="6"/>
      <c r="FW1253" s="6"/>
      <c r="FX1253" s="6"/>
      <c r="FY1253" s="6"/>
      <c r="FZ1253" s="6"/>
      <c r="GA1253" s="6"/>
      <c r="GB1253" s="6"/>
      <c r="GC1253" s="6"/>
      <c r="GD1253" s="6"/>
      <c r="GE1253" s="6"/>
      <c r="GF1253" s="6"/>
      <c r="GG1253" s="6"/>
      <c r="GH1253" s="6"/>
      <c r="GI1253" s="6"/>
      <c r="GJ1253" s="6"/>
      <c r="GK1253" s="6"/>
      <c r="GL1253" s="6"/>
      <c r="GM1253" s="6"/>
      <c r="GN1253" s="6"/>
      <c r="GO1253" s="6"/>
      <c r="GP1253" s="6"/>
      <c r="GQ1253" s="6"/>
      <c r="GR1253" s="6"/>
      <c r="GS1253" s="6"/>
      <c r="GT1253" s="6"/>
      <c r="GU1253" s="6"/>
      <c r="GV1253" s="6"/>
      <c r="GW1253" s="6"/>
      <c r="GX1253" s="6"/>
      <c r="GY1253" s="6"/>
      <c r="GZ1253" s="6"/>
      <c r="HA1253" s="6"/>
      <c r="HB1253" s="6"/>
      <c r="HC1253" s="6"/>
      <c r="HD1253" s="6"/>
      <c r="HE1253" s="6"/>
      <c r="HF1253" s="6"/>
      <c r="HG1253" s="6"/>
      <c r="HH1253" s="6"/>
    </row>
    <row r="1254" spans="1:216" x14ac:dyDescent="0.3">
      <c r="A1254" s="8"/>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6"/>
      <c r="AR1254" s="6"/>
      <c r="AS1254" s="6"/>
      <c r="AT1254" s="6"/>
      <c r="AU1254" s="6"/>
      <c r="AV1254" s="6"/>
      <c r="AW1254" s="6"/>
      <c r="AX1254" s="6"/>
      <c r="AY1254" s="6"/>
      <c r="AZ1254" s="6"/>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c r="DX1254" s="6"/>
      <c r="DY1254" s="6"/>
      <c r="DZ1254" s="6"/>
      <c r="EA1254" s="6"/>
      <c r="EB1254" s="6"/>
      <c r="EC1254" s="6"/>
      <c r="ED1254" s="6"/>
      <c r="EE1254" s="6"/>
      <c r="EF1254" s="6"/>
      <c r="EG1254" s="6"/>
      <c r="EH1254" s="6"/>
      <c r="EI1254" s="6"/>
      <c r="EJ1254" s="6"/>
      <c r="EK1254" s="6"/>
      <c r="EL1254" s="6"/>
      <c r="EM1254" s="6"/>
      <c r="EN1254" s="6"/>
      <c r="EO1254" s="6"/>
      <c r="EP1254" s="6"/>
      <c r="EQ1254" s="6"/>
      <c r="ER1254" s="6"/>
      <c r="ES1254" s="6"/>
      <c r="ET1254" s="6"/>
      <c r="EU1254" s="6"/>
      <c r="EV1254" s="6"/>
      <c r="EW1254" s="6"/>
      <c r="EX1254" s="6"/>
      <c r="EY1254" s="6"/>
      <c r="EZ1254" s="6"/>
      <c r="FA1254" s="6"/>
      <c r="FB1254" s="6"/>
      <c r="FC1254" s="6"/>
      <c r="FD1254" s="6"/>
      <c r="FE1254" s="6"/>
      <c r="FF1254" s="6"/>
      <c r="FG1254" s="6"/>
      <c r="FH1254" s="6"/>
      <c r="FI1254" s="6"/>
      <c r="FJ1254" s="6"/>
      <c r="FK1254" s="6"/>
      <c r="FL1254" s="6"/>
      <c r="FM1254" s="6"/>
      <c r="FN1254" s="6"/>
      <c r="FO1254" s="6"/>
      <c r="FP1254" s="6"/>
      <c r="FQ1254" s="6"/>
      <c r="FR1254" s="6"/>
      <c r="FS1254" s="6"/>
      <c r="FT1254" s="6"/>
      <c r="FU1254" s="6"/>
      <c r="FV1254" s="6"/>
      <c r="FW1254" s="6"/>
      <c r="FX1254" s="6"/>
      <c r="FY1254" s="6"/>
      <c r="FZ1254" s="6"/>
      <c r="GA1254" s="6"/>
      <c r="GB1254" s="6"/>
      <c r="GC1254" s="6"/>
      <c r="GD1254" s="6"/>
      <c r="GE1254" s="6"/>
      <c r="GF1254" s="6"/>
      <c r="GG1254" s="6"/>
      <c r="GH1254" s="6"/>
      <c r="GI1254" s="6"/>
      <c r="GJ1254" s="6"/>
      <c r="GK1254" s="6"/>
      <c r="GL1254" s="6"/>
      <c r="GM1254" s="6"/>
      <c r="GN1254" s="6"/>
      <c r="GO1254" s="6"/>
      <c r="GP1254" s="6"/>
      <c r="GQ1254" s="6"/>
      <c r="GR1254" s="6"/>
      <c r="GS1254" s="6"/>
      <c r="GT1254" s="6"/>
      <c r="GU1254" s="6"/>
      <c r="GV1254" s="6"/>
      <c r="GW1254" s="6"/>
      <c r="GX1254" s="6"/>
      <c r="GY1254" s="6"/>
      <c r="GZ1254" s="6"/>
      <c r="HA1254" s="6"/>
      <c r="HB1254" s="6"/>
      <c r="HC1254" s="6"/>
      <c r="HD1254" s="6"/>
      <c r="HE1254" s="6"/>
      <c r="HF1254" s="6"/>
      <c r="HG1254" s="6"/>
      <c r="HH1254" s="6"/>
    </row>
    <row r="1255" spans="1:216" x14ac:dyDescent="0.3">
      <c r="A1255" s="8"/>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6"/>
      <c r="AR1255" s="6"/>
      <c r="AS1255" s="6"/>
      <c r="AT1255" s="6"/>
      <c r="AU1255" s="6"/>
      <c r="AV1255" s="6"/>
      <c r="AW1255" s="6"/>
      <c r="AX1255" s="6"/>
      <c r="AY1255" s="6"/>
      <c r="AZ1255" s="6"/>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c r="DX1255" s="6"/>
      <c r="DY1255" s="6"/>
      <c r="DZ1255" s="6"/>
      <c r="EA1255" s="6"/>
      <c r="EB1255" s="6"/>
      <c r="EC1255" s="6"/>
      <c r="ED1255" s="6"/>
      <c r="EE1255" s="6"/>
      <c r="EF1255" s="6"/>
      <c r="EG1255" s="6"/>
      <c r="EH1255" s="6"/>
      <c r="EI1255" s="6"/>
      <c r="EJ1255" s="6"/>
      <c r="EK1255" s="6"/>
      <c r="EL1255" s="6"/>
      <c r="EM1255" s="6"/>
      <c r="EN1255" s="6"/>
      <c r="EO1255" s="6"/>
      <c r="EP1255" s="6"/>
      <c r="EQ1255" s="6"/>
      <c r="ER1255" s="6"/>
      <c r="ES1255" s="6"/>
      <c r="ET1255" s="6"/>
      <c r="EU1255" s="6"/>
      <c r="EV1255" s="6"/>
      <c r="EW1255" s="6"/>
      <c r="EX1255" s="6"/>
      <c r="EY1255" s="6"/>
      <c r="EZ1255" s="6"/>
      <c r="FA1255" s="6"/>
      <c r="FB1255" s="6"/>
      <c r="FC1255" s="6"/>
      <c r="FD1255" s="6"/>
      <c r="FE1255" s="6"/>
      <c r="FF1255" s="6"/>
      <c r="FG1255" s="6"/>
      <c r="FH1255" s="6"/>
      <c r="FI1255" s="6"/>
      <c r="FJ1255" s="6"/>
      <c r="FK1255" s="6"/>
      <c r="FL1255" s="6"/>
      <c r="FM1255" s="6"/>
      <c r="FN1255" s="6"/>
      <c r="FO1255" s="6"/>
      <c r="FP1255" s="6"/>
      <c r="FQ1255" s="6"/>
      <c r="FR1255" s="6"/>
      <c r="FS1255" s="6"/>
      <c r="FT1255" s="6"/>
      <c r="FU1255" s="6"/>
      <c r="FV1255" s="6"/>
      <c r="FW1255" s="6"/>
      <c r="FX1255" s="6"/>
      <c r="FY1255" s="6"/>
      <c r="FZ1255" s="6"/>
      <c r="GA1255" s="6"/>
      <c r="GB1255" s="6"/>
      <c r="GC1255" s="6"/>
      <c r="GD1255" s="6"/>
      <c r="GE1255" s="6"/>
      <c r="GF1255" s="6"/>
      <c r="GG1255" s="6"/>
      <c r="GH1255" s="6"/>
      <c r="GI1255" s="6"/>
      <c r="GJ1255" s="6"/>
      <c r="GK1255" s="6"/>
      <c r="GL1255" s="6"/>
      <c r="GM1255" s="6"/>
      <c r="GN1255" s="6"/>
      <c r="GO1255" s="6"/>
      <c r="GP1255" s="6"/>
      <c r="GQ1255" s="6"/>
      <c r="GR1255" s="6"/>
      <c r="GS1255" s="6"/>
      <c r="GT1255" s="6"/>
      <c r="GU1255" s="6"/>
      <c r="GV1255" s="6"/>
      <c r="GW1255" s="6"/>
      <c r="GX1255" s="6"/>
      <c r="GY1255" s="6"/>
      <c r="GZ1255" s="6"/>
      <c r="HA1255" s="6"/>
      <c r="HB1255" s="6"/>
      <c r="HC1255" s="6"/>
      <c r="HD1255" s="6"/>
      <c r="HE1255" s="6"/>
      <c r="HF1255" s="6"/>
      <c r="HG1255" s="6"/>
      <c r="HH1255" s="6"/>
    </row>
    <row r="1256" spans="1:216" x14ac:dyDescent="0.3">
      <c r="A1256" s="8"/>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6"/>
      <c r="AR1256" s="6"/>
      <c r="AS1256" s="6"/>
      <c r="AT1256" s="6"/>
      <c r="AU1256" s="6"/>
      <c r="AV1256" s="6"/>
      <c r="AW1256" s="6"/>
      <c r="AX1256" s="6"/>
      <c r="AY1256" s="6"/>
      <c r="AZ1256" s="6"/>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c r="DX1256" s="6"/>
      <c r="DY1256" s="6"/>
      <c r="DZ1256" s="6"/>
      <c r="EA1256" s="6"/>
      <c r="EB1256" s="6"/>
      <c r="EC1256" s="6"/>
      <c r="ED1256" s="6"/>
      <c r="EE1256" s="6"/>
      <c r="EF1256" s="6"/>
      <c r="EG1256" s="6"/>
      <c r="EH1256" s="6"/>
      <c r="EI1256" s="6"/>
      <c r="EJ1256" s="6"/>
      <c r="EK1256" s="6"/>
      <c r="EL1256" s="6"/>
      <c r="EM1256" s="6"/>
      <c r="EN1256" s="6"/>
      <c r="EO1256" s="6"/>
      <c r="EP1256" s="6"/>
      <c r="EQ1256" s="6"/>
      <c r="ER1256" s="6"/>
      <c r="ES1256" s="6"/>
      <c r="ET1256" s="6"/>
      <c r="EU1256" s="6"/>
      <c r="EV1256" s="6"/>
      <c r="EW1256" s="6"/>
      <c r="EX1256" s="6"/>
      <c r="EY1256" s="6"/>
      <c r="EZ1256" s="6"/>
      <c r="FA1256" s="6"/>
      <c r="FB1256" s="6"/>
      <c r="FC1256" s="6"/>
      <c r="FD1256" s="6"/>
      <c r="FE1256" s="6"/>
      <c r="FF1256" s="6"/>
      <c r="FG1256" s="6"/>
      <c r="FH1256" s="6"/>
      <c r="FI1256" s="6"/>
      <c r="FJ1256" s="6"/>
      <c r="FK1256" s="6"/>
      <c r="FL1256" s="6"/>
      <c r="FM1256" s="6"/>
      <c r="FN1256" s="6"/>
      <c r="FO1256" s="6"/>
      <c r="FP1256" s="6"/>
      <c r="FQ1256" s="6"/>
      <c r="FR1256" s="6"/>
      <c r="FS1256" s="6"/>
      <c r="FT1256" s="6"/>
      <c r="FU1256" s="6"/>
      <c r="FV1256" s="6"/>
      <c r="FW1256" s="6"/>
      <c r="FX1256" s="6"/>
      <c r="FY1256" s="6"/>
      <c r="FZ1256" s="6"/>
      <c r="GA1256" s="6"/>
      <c r="GB1256" s="6"/>
      <c r="GC1256" s="6"/>
      <c r="GD1256" s="6"/>
      <c r="GE1256" s="6"/>
      <c r="GF1256" s="6"/>
      <c r="GG1256" s="6"/>
      <c r="GH1256" s="6"/>
      <c r="GI1256" s="6"/>
      <c r="GJ1256" s="6"/>
      <c r="GK1256" s="6"/>
      <c r="GL1256" s="6"/>
      <c r="GM1256" s="6"/>
      <c r="GN1256" s="6"/>
      <c r="GO1256" s="6"/>
      <c r="GP1256" s="6"/>
      <c r="GQ1256" s="6"/>
      <c r="GR1256" s="6"/>
      <c r="GS1256" s="6"/>
      <c r="GT1256" s="6"/>
      <c r="GU1256" s="6"/>
      <c r="GV1256" s="6"/>
      <c r="GW1256" s="6"/>
      <c r="GX1256" s="6"/>
      <c r="GY1256" s="6"/>
      <c r="GZ1256" s="6"/>
      <c r="HA1256" s="6"/>
      <c r="HB1256" s="6"/>
      <c r="HC1256" s="6"/>
      <c r="HD1256" s="6"/>
      <c r="HE1256" s="6"/>
      <c r="HF1256" s="6"/>
      <c r="HG1256" s="6"/>
      <c r="HH1256" s="6"/>
    </row>
    <row r="1257" spans="1:216" x14ac:dyDescent="0.3">
      <c r="A1257" s="8"/>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6"/>
      <c r="AR1257" s="6"/>
      <c r="AS1257" s="6"/>
      <c r="AT1257" s="6"/>
      <c r="AU1257" s="6"/>
      <c r="AV1257" s="6"/>
      <c r="AW1257" s="6"/>
      <c r="AX1257" s="6"/>
      <c r="AY1257" s="6"/>
      <c r="AZ1257" s="6"/>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c r="DX1257" s="6"/>
      <c r="DY1257" s="6"/>
      <c r="DZ1257" s="6"/>
      <c r="EA1257" s="6"/>
      <c r="EB1257" s="6"/>
      <c r="EC1257" s="6"/>
      <c r="ED1257" s="6"/>
      <c r="EE1257" s="6"/>
      <c r="EF1257" s="6"/>
      <c r="EG1257" s="6"/>
      <c r="EH1257" s="6"/>
      <c r="EI1257" s="6"/>
      <c r="EJ1257" s="6"/>
      <c r="EK1257" s="6"/>
      <c r="EL1257" s="6"/>
      <c r="EM1257" s="6"/>
      <c r="EN1257" s="6"/>
      <c r="EO1257" s="6"/>
      <c r="EP1257" s="6"/>
      <c r="EQ1257" s="6"/>
      <c r="ER1257" s="6"/>
      <c r="ES1257" s="6"/>
      <c r="ET1257" s="6"/>
      <c r="EU1257" s="6"/>
      <c r="EV1257" s="6"/>
      <c r="EW1257" s="6"/>
      <c r="EX1257" s="6"/>
      <c r="EY1257" s="6"/>
      <c r="EZ1257" s="6"/>
      <c r="FA1257" s="6"/>
      <c r="FB1257" s="6"/>
      <c r="FC1257" s="6"/>
      <c r="FD1257" s="6"/>
      <c r="FE1257" s="6"/>
      <c r="FF1257" s="6"/>
      <c r="FG1257" s="6"/>
      <c r="FH1257" s="6"/>
      <c r="FI1257" s="6"/>
      <c r="FJ1257" s="6"/>
      <c r="FK1257" s="6"/>
      <c r="FL1257" s="6"/>
      <c r="FM1257" s="6"/>
      <c r="FN1257" s="6"/>
      <c r="FO1257" s="6"/>
      <c r="FP1257" s="6"/>
      <c r="FQ1257" s="6"/>
      <c r="FR1257" s="6"/>
      <c r="FS1257" s="6"/>
      <c r="FT1257" s="6"/>
      <c r="FU1257" s="6"/>
      <c r="FV1257" s="6"/>
      <c r="FW1257" s="6"/>
      <c r="FX1257" s="6"/>
      <c r="FY1257" s="6"/>
      <c r="FZ1257" s="6"/>
      <c r="GA1257" s="6"/>
      <c r="GB1257" s="6"/>
      <c r="GC1257" s="6"/>
      <c r="GD1257" s="6"/>
      <c r="GE1257" s="6"/>
      <c r="GF1257" s="6"/>
      <c r="GG1257" s="6"/>
      <c r="GH1257" s="6"/>
      <c r="GI1257" s="6"/>
      <c r="GJ1257" s="6"/>
      <c r="GK1257" s="6"/>
      <c r="GL1257" s="6"/>
      <c r="GM1257" s="6"/>
      <c r="GN1257" s="6"/>
      <c r="GO1257" s="6"/>
      <c r="GP1257" s="6"/>
      <c r="GQ1257" s="6"/>
      <c r="GR1257" s="6"/>
      <c r="GS1257" s="6"/>
      <c r="GT1257" s="6"/>
      <c r="GU1257" s="6"/>
      <c r="GV1257" s="6"/>
      <c r="GW1257" s="6"/>
      <c r="GX1257" s="6"/>
      <c r="GY1257" s="6"/>
      <c r="GZ1257" s="6"/>
      <c r="HA1257" s="6"/>
      <c r="HB1257" s="6"/>
      <c r="HC1257" s="6"/>
      <c r="HD1257" s="6"/>
      <c r="HE1257" s="6"/>
      <c r="HF1257" s="6"/>
      <c r="HG1257" s="6"/>
      <c r="HH1257" s="6"/>
    </row>
    <row r="1258" spans="1:216" x14ac:dyDescent="0.3">
      <c r="A1258" s="8"/>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6"/>
      <c r="AR1258" s="6"/>
      <c r="AS1258" s="6"/>
      <c r="AT1258" s="6"/>
      <c r="AU1258" s="6"/>
      <c r="AV1258" s="6"/>
      <c r="AW1258" s="6"/>
      <c r="AX1258" s="6"/>
      <c r="AY1258" s="6"/>
      <c r="AZ1258" s="6"/>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c r="DX1258" s="6"/>
      <c r="DY1258" s="6"/>
      <c r="DZ1258" s="6"/>
      <c r="EA1258" s="6"/>
      <c r="EB1258" s="6"/>
      <c r="EC1258" s="6"/>
      <c r="ED1258" s="6"/>
      <c r="EE1258" s="6"/>
      <c r="EF1258" s="6"/>
      <c r="EG1258" s="6"/>
      <c r="EH1258" s="6"/>
      <c r="EI1258" s="6"/>
      <c r="EJ1258" s="6"/>
      <c r="EK1258" s="6"/>
      <c r="EL1258" s="6"/>
      <c r="EM1258" s="6"/>
      <c r="EN1258" s="6"/>
      <c r="EO1258" s="6"/>
      <c r="EP1258" s="6"/>
      <c r="EQ1258" s="6"/>
      <c r="ER1258" s="6"/>
      <c r="ES1258" s="6"/>
      <c r="ET1258" s="6"/>
      <c r="EU1258" s="6"/>
      <c r="EV1258" s="6"/>
      <c r="EW1258" s="6"/>
      <c r="EX1258" s="6"/>
      <c r="EY1258" s="6"/>
      <c r="EZ1258" s="6"/>
      <c r="FA1258" s="6"/>
      <c r="FB1258" s="6"/>
      <c r="FC1258" s="6"/>
      <c r="FD1258" s="6"/>
      <c r="FE1258" s="6"/>
      <c r="FF1258" s="6"/>
      <c r="FG1258" s="6"/>
      <c r="FH1258" s="6"/>
      <c r="FI1258" s="6"/>
      <c r="FJ1258" s="6"/>
      <c r="FK1258" s="6"/>
      <c r="FL1258" s="6"/>
      <c r="FM1258" s="6"/>
      <c r="FN1258" s="6"/>
      <c r="FO1258" s="6"/>
      <c r="FP1258" s="6"/>
      <c r="FQ1258" s="6"/>
      <c r="FR1258" s="6"/>
      <c r="FS1258" s="6"/>
      <c r="FT1258" s="6"/>
      <c r="FU1258" s="6"/>
      <c r="FV1258" s="6"/>
      <c r="FW1258" s="6"/>
      <c r="FX1258" s="6"/>
      <c r="FY1258" s="6"/>
      <c r="FZ1258" s="6"/>
      <c r="GA1258" s="6"/>
      <c r="GB1258" s="6"/>
      <c r="GC1258" s="6"/>
      <c r="GD1258" s="6"/>
      <c r="GE1258" s="6"/>
      <c r="GF1258" s="6"/>
      <c r="GG1258" s="6"/>
      <c r="GH1258" s="6"/>
      <c r="GI1258" s="6"/>
      <c r="GJ1258" s="6"/>
      <c r="GK1258" s="6"/>
      <c r="GL1258" s="6"/>
      <c r="GM1258" s="6"/>
      <c r="GN1258" s="6"/>
      <c r="GO1258" s="6"/>
      <c r="GP1258" s="6"/>
      <c r="GQ1258" s="6"/>
      <c r="GR1258" s="6"/>
      <c r="GS1258" s="6"/>
      <c r="GT1258" s="6"/>
      <c r="GU1258" s="6"/>
      <c r="GV1258" s="6"/>
      <c r="GW1258" s="6"/>
      <c r="GX1258" s="6"/>
      <c r="GY1258" s="6"/>
      <c r="GZ1258" s="6"/>
      <c r="HA1258" s="6"/>
      <c r="HB1258" s="6"/>
      <c r="HC1258" s="6"/>
      <c r="HD1258" s="6"/>
      <c r="HE1258" s="6"/>
      <c r="HF1258" s="6"/>
      <c r="HG1258" s="6"/>
      <c r="HH1258" s="6"/>
    </row>
    <row r="1259" spans="1:216" x14ac:dyDescent="0.3">
      <c r="A1259" s="8"/>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6"/>
      <c r="AR1259" s="6"/>
      <c r="AS1259" s="6"/>
      <c r="AT1259" s="6"/>
      <c r="AU1259" s="6"/>
      <c r="AV1259" s="6"/>
      <c r="AW1259" s="6"/>
      <c r="AX1259" s="6"/>
      <c r="AY1259" s="6"/>
      <c r="AZ1259" s="6"/>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c r="DX1259" s="6"/>
      <c r="DY1259" s="6"/>
      <c r="DZ1259" s="6"/>
      <c r="EA1259" s="6"/>
      <c r="EB1259" s="6"/>
      <c r="EC1259" s="6"/>
      <c r="ED1259" s="6"/>
      <c r="EE1259" s="6"/>
      <c r="EF1259" s="6"/>
      <c r="EG1259" s="6"/>
      <c r="EH1259" s="6"/>
      <c r="EI1259" s="6"/>
      <c r="EJ1259" s="6"/>
      <c r="EK1259" s="6"/>
      <c r="EL1259" s="6"/>
      <c r="EM1259" s="6"/>
      <c r="EN1259" s="6"/>
      <c r="EO1259" s="6"/>
      <c r="EP1259" s="6"/>
      <c r="EQ1259" s="6"/>
      <c r="ER1259" s="6"/>
      <c r="ES1259" s="6"/>
      <c r="ET1259" s="6"/>
      <c r="EU1259" s="6"/>
      <c r="EV1259" s="6"/>
      <c r="EW1259" s="6"/>
      <c r="EX1259" s="6"/>
      <c r="EY1259" s="6"/>
      <c r="EZ1259" s="6"/>
      <c r="FA1259" s="6"/>
      <c r="FB1259" s="6"/>
      <c r="FC1259" s="6"/>
      <c r="FD1259" s="6"/>
      <c r="FE1259" s="6"/>
      <c r="FF1259" s="6"/>
      <c r="FG1259" s="6"/>
      <c r="FH1259" s="6"/>
      <c r="FI1259" s="6"/>
      <c r="FJ1259" s="6"/>
      <c r="FK1259" s="6"/>
      <c r="FL1259" s="6"/>
      <c r="FM1259" s="6"/>
      <c r="FN1259" s="6"/>
      <c r="FO1259" s="6"/>
      <c r="FP1259" s="6"/>
      <c r="FQ1259" s="6"/>
      <c r="FR1259" s="6"/>
      <c r="FS1259" s="6"/>
      <c r="FT1259" s="6"/>
      <c r="FU1259" s="6"/>
      <c r="FV1259" s="6"/>
      <c r="FW1259" s="6"/>
      <c r="FX1259" s="6"/>
      <c r="FY1259" s="6"/>
      <c r="FZ1259" s="6"/>
      <c r="GA1259" s="6"/>
      <c r="GB1259" s="6"/>
      <c r="GC1259" s="6"/>
      <c r="GD1259" s="6"/>
      <c r="GE1259" s="6"/>
      <c r="GF1259" s="6"/>
      <c r="GG1259" s="6"/>
      <c r="GH1259" s="6"/>
      <c r="GI1259" s="6"/>
      <c r="GJ1259" s="6"/>
      <c r="GK1259" s="6"/>
      <c r="GL1259" s="6"/>
      <c r="GM1259" s="6"/>
      <c r="GN1259" s="6"/>
      <c r="GO1259" s="6"/>
      <c r="GP1259" s="6"/>
      <c r="GQ1259" s="6"/>
      <c r="GR1259" s="6"/>
      <c r="GS1259" s="6"/>
      <c r="GT1259" s="6"/>
      <c r="GU1259" s="6"/>
      <c r="GV1259" s="6"/>
      <c r="GW1259" s="6"/>
      <c r="GX1259" s="6"/>
      <c r="GY1259" s="6"/>
      <c r="GZ1259" s="6"/>
      <c r="HA1259" s="6"/>
      <c r="HB1259" s="6"/>
      <c r="HC1259" s="6"/>
      <c r="HD1259" s="6"/>
      <c r="HE1259" s="6"/>
      <c r="HF1259" s="6"/>
      <c r="HG1259" s="6"/>
      <c r="HH1259" s="6"/>
    </row>
    <row r="1260" spans="1:216" x14ac:dyDescent="0.3">
      <c r="A1260" s="8"/>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c r="DX1260" s="6"/>
      <c r="DY1260" s="6"/>
      <c r="DZ1260" s="6"/>
      <c r="EA1260" s="6"/>
      <c r="EB1260" s="6"/>
      <c r="EC1260" s="6"/>
      <c r="ED1260" s="6"/>
      <c r="EE1260" s="6"/>
      <c r="EF1260" s="6"/>
      <c r="EG1260" s="6"/>
      <c r="EH1260" s="6"/>
      <c r="EI1260" s="6"/>
      <c r="EJ1260" s="6"/>
      <c r="EK1260" s="6"/>
      <c r="EL1260" s="6"/>
      <c r="EM1260" s="6"/>
      <c r="EN1260" s="6"/>
      <c r="EO1260" s="6"/>
      <c r="EP1260" s="6"/>
      <c r="EQ1260" s="6"/>
      <c r="ER1260" s="6"/>
      <c r="ES1260" s="6"/>
      <c r="ET1260" s="6"/>
      <c r="EU1260" s="6"/>
      <c r="EV1260" s="6"/>
      <c r="EW1260" s="6"/>
      <c r="EX1260" s="6"/>
      <c r="EY1260" s="6"/>
      <c r="EZ1260" s="6"/>
      <c r="FA1260" s="6"/>
      <c r="FB1260" s="6"/>
      <c r="FC1260" s="6"/>
      <c r="FD1260" s="6"/>
      <c r="FE1260" s="6"/>
      <c r="FF1260" s="6"/>
      <c r="FG1260" s="6"/>
      <c r="FH1260" s="6"/>
      <c r="FI1260" s="6"/>
      <c r="FJ1260" s="6"/>
      <c r="FK1260" s="6"/>
      <c r="FL1260" s="6"/>
      <c r="FM1260" s="6"/>
      <c r="FN1260" s="6"/>
      <c r="FO1260" s="6"/>
      <c r="FP1260" s="6"/>
      <c r="FQ1260" s="6"/>
      <c r="FR1260" s="6"/>
      <c r="FS1260" s="6"/>
      <c r="FT1260" s="6"/>
      <c r="FU1260" s="6"/>
      <c r="FV1260" s="6"/>
      <c r="FW1260" s="6"/>
      <c r="FX1260" s="6"/>
      <c r="FY1260" s="6"/>
      <c r="FZ1260" s="6"/>
      <c r="GA1260" s="6"/>
      <c r="GB1260" s="6"/>
      <c r="GC1260" s="6"/>
      <c r="GD1260" s="6"/>
      <c r="GE1260" s="6"/>
      <c r="GF1260" s="6"/>
      <c r="GG1260" s="6"/>
      <c r="GH1260" s="6"/>
      <c r="GI1260" s="6"/>
      <c r="GJ1260" s="6"/>
      <c r="GK1260" s="6"/>
      <c r="GL1260" s="6"/>
      <c r="GM1260" s="6"/>
      <c r="GN1260" s="6"/>
      <c r="GO1260" s="6"/>
      <c r="GP1260" s="6"/>
      <c r="GQ1260" s="6"/>
      <c r="GR1260" s="6"/>
      <c r="GS1260" s="6"/>
      <c r="GT1260" s="6"/>
      <c r="GU1260" s="6"/>
      <c r="GV1260" s="6"/>
      <c r="GW1260" s="6"/>
      <c r="GX1260" s="6"/>
      <c r="GY1260" s="6"/>
      <c r="GZ1260" s="6"/>
      <c r="HA1260" s="6"/>
      <c r="HB1260" s="6"/>
      <c r="HC1260" s="6"/>
      <c r="HD1260" s="6"/>
      <c r="HE1260" s="6"/>
      <c r="HF1260" s="6"/>
      <c r="HG1260" s="6"/>
      <c r="HH1260" s="6"/>
    </row>
    <row r="1261" spans="1:216" x14ac:dyDescent="0.3">
      <c r="A1261" s="8"/>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6"/>
      <c r="AR1261" s="6"/>
      <c r="AS1261" s="6"/>
      <c r="AT1261" s="6"/>
      <c r="AU1261" s="6"/>
      <c r="AV1261" s="6"/>
      <c r="AW1261" s="6"/>
      <c r="AX1261" s="6"/>
      <c r="AY1261" s="6"/>
      <c r="AZ1261" s="6"/>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c r="DX1261" s="6"/>
      <c r="DY1261" s="6"/>
      <c r="DZ1261" s="6"/>
      <c r="EA1261" s="6"/>
      <c r="EB1261" s="6"/>
      <c r="EC1261" s="6"/>
      <c r="ED1261" s="6"/>
      <c r="EE1261" s="6"/>
      <c r="EF1261" s="6"/>
      <c r="EG1261" s="6"/>
      <c r="EH1261" s="6"/>
      <c r="EI1261" s="6"/>
      <c r="EJ1261" s="6"/>
      <c r="EK1261" s="6"/>
      <c r="EL1261" s="6"/>
      <c r="EM1261" s="6"/>
      <c r="EN1261" s="6"/>
      <c r="EO1261" s="6"/>
      <c r="EP1261" s="6"/>
      <c r="EQ1261" s="6"/>
      <c r="ER1261" s="6"/>
      <c r="ES1261" s="6"/>
      <c r="ET1261" s="6"/>
      <c r="EU1261" s="6"/>
      <c r="EV1261" s="6"/>
      <c r="EW1261" s="6"/>
      <c r="EX1261" s="6"/>
      <c r="EY1261" s="6"/>
      <c r="EZ1261" s="6"/>
      <c r="FA1261" s="6"/>
      <c r="FB1261" s="6"/>
      <c r="FC1261" s="6"/>
      <c r="FD1261" s="6"/>
      <c r="FE1261" s="6"/>
      <c r="FF1261" s="6"/>
      <c r="FG1261" s="6"/>
      <c r="FH1261" s="6"/>
      <c r="FI1261" s="6"/>
      <c r="FJ1261" s="6"/>
      <c r="FK1261" s="6"/>
      <c r="FL1261" s="6"/>
      <c r="FM1261" s="6"/>
      <c r="FN1261" s="6"/>
      <c r="FO1261" s="6"/>
      <c r="FP1261" s="6"/>
      <c r="FQ1261" s="6"/>
      <c r="FR1261" s="6"/>
      <c r="FS1261" s="6"/>
      <c r="FT1261" s="6"/>
      <c r="FU1261" s="6"/>
      <c r="FV1261" s="6"/>
      <c r="FW1261" s="6"/>
      <c r="FX1261" s="6"/>
      <c r="FY1261" s="6"/>
      <c r="FZ1261" s="6"/>
      <c r="GA1261" s="6"/>
      <c r="GB1261" s="6"/>
      <c r="GC1261" s="6"/>
      <c r="GD1261" s="6"/>
      <c r="GE1261" s="6"/>
      <c r="GF1261" s="6"/>
      <c r="GG1261" s="6"/>
      <c r="GH1261" s="6"/>
      <c r="GI1261" s="6"/>
      <c r="GJ1261" s="6"/>
      <c r="GK1261" s="6"/>
      <c r="GL1261" s="6"/>
      <c r="GM1261" s="6"/>
      <c r="GN1261" s="6"/>
      <c r="GO1261" s="6"/>
      <c r="GP1261" s="6"/>
      <c r="GQ1261" s="6"/>
      <c r="GR1261" s="6"/>
      <c r="GS1261" s="6"/>
      <c r="GT1261" s="6"/>
      <c r="GU1261" s="6"/>
      <c r="GV1261" s="6"/>
      <c r="GW1261" s="6"/>
      <c r="GX1261" s="6"/>
      <c r="GY1261" s="6"/>
      <c r="GZ1261" s="6"/>
      <c r="HA1261" s="6"/>
      <c r="HB1261" s="6"/>
      <c r="HC1261" s="6"/>
      <c r="HD1261" s="6"/>
      <c r="HE1261" s="6"/>
      <c r="HF1261" s="6"/>
      <c r="HG1261" s="6"/>
      <c r="HH1261" s="6"/>
    </row>
    <row r="1262" spans="1:216" x14ac:dyDescent="0.3">
      <c r="A1262" s="8"/>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6"/>
      <c r="AR1262" s="6"/>
      <c r="AS1262" s="6"/>
      <c r="AT1262" s="6"/>
      <c r="AU1262" s="6"/>
      <c r="AV1262" s="6"/>
      <c r="AW1262" s="6"/>
      <c r="AX1262" s="6"/>
      <c r="AY1262" s="6"/>
      <c r="AZ1262" s="6"/>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c r="DX1262" s="6"/>
      <c r="DY1262" s="6"/>
      <c r="DZ1262" s="6"/>
      <c r="EA1262" s="6"/>
      <c r="EB1262" s="6"/>
      <c r="EC1262" s="6"/>
      <c r="ED1262" s="6"/>
      <c r="EE1262" s="6"/>
      <c r="EF1262" s="6"/>
      <c r="EG1262" s="6"/>
      <c r="EH1262" s="6"/>
      <c r="EI1262" s="6"/>
      <c r="EJ1262" s="6"/>
      <c r="EK1262" s="6"/>
      <c r="EL1262" s="6"/>
      <c r="EM1262" s="6"/>
      <c r="EN1262" s="6"/>
      <c r="EO1262" s="6"/>
      <c r="EP1262" s="6"/>
      <c r="EQ1262" s="6"/>
      <c r="ER1262" s="6"/>
      <c r="ES1262" s="6"/>
      <c r="ET1262" s="6"/>
      <c r="EU1262" s="6"/>
      <c r="EV1262" s="6"/>
      <c r="EW1262" s="6"/>
      <c r="EX1262" s="6"/>
      <c r="EY1262" s="6"/>
      <c r="EZ1262" s="6"/>
      <c r="FA1262" s="6"/>
      <c r="FB1262" s="6"/>
      <c r="FC1262" s="6"/>
      <c r="FD1262" s="6"/>
      <c r="FE1262" s="6"/>
      <c r="FF1262" s="6"/>
      <c r="FG1262" s="6"/>
      <c r="FH1262" s="6"/>
      <c r="FI1262" s="6"/>
      <c r="FJ1262" s="6"/>
      <c r="FK1262" s="6"/>
      <c r="FL1262" s="6"/>
      <c r="FM1262" s="6"/>
      <c r="FN1262" s="6"/>
      <c r="FO1262" s="6"/>
      <c r="FP1262" s="6"/>
      <c r="FQ1262" s="6"/>
      <c r="FR1262" s="6"/>
      <c r="FS1262" s="6"/>
      <c r="FT1262" s="6"/>
      <c r="FU1262" s="6"/>
      <c r="FV1262" s="6"/>
      <c r="FW1262" s="6"/>
      <c r="FX1262" s="6"/>
      <c r="FY1262" s="6"/>
      <c r="FZ1262" s="6"/>
      <c r="GA1262" s="6"/>
      <c r="GB1262" s="6"/>
      <c r="GC1262" s="6"/>
      <c r="GD1262" s="6"/>
      <c r="GE1262" s="6"/>
      <c r="GF1262" s="6"/>
      <c r="GG1262" s="6"/>
      <c r="GH1262" s="6"/>
      <c r="GI1262" s="6"/>
      <c r="GJ1262" s="6"/>
      <c r="GK1262" s="6"/>
      <c r="GL1262" s="6"/>
      <c r="GM1262" s="6"/>
      <c r="GN1262" s="6"/>
      <c r="GO1262" s="6"/>
      <c r="GP1262" s="6"/>
      <c r="GQ1262" s="6"/>
      <c r="GR1262" s="6"/>
      <c r="GS1262" s="6"/>
      <c r="GT1262" s="6"/>
      <c r="GU1262" s="6"/>
      <c r="GV1262" s="6"/>
      <c r="GW1262" s="6"/>
      <c r="GX1262" s="6"/>
      <c r="GY1262" s="6"/>
      <c r="GZ1262" s="6"/>
      <c r="HA1262" s="6"/>
      <c r="HB1262" s="6"/>
      <c r="HC1262" s="6"/>
      <c r="HD1262" s="6"/>
      <c r="HE1262" s="6"/>
      <c r="HF1262" s="6"/>
      <c r="HG1262" s="6"/>
      <c r="HH1262" s="6"/>
    </row>
    <row r="1263" spans="1:216" x14ac:dyDescent="0.3">
      <c r="A1263" s="8"/>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c r="DX1263" s="6"/>
      <c r="DY1263" s="6"/>
      <c r="DZ1263" s="6"/>
      <c r="EA1263" s="6"/>
      <c r="EB1263" s="6"/>
      <c r="EC1263" s="6"/>
      <c r="ED1263" s="6"/>
      <c r="EE1263" s="6"/>
      <c r="EF1263" s="6"/>
      <c r="EG1263" s="6"/>
      <c r="EH1263" s="6"/>
      <c r="EI1263" s="6"/>
      <c r="EJ1263" s="6"/>
      <c r="EK1263" s="6"/>
      <c r="EL1263" s="6"/>
      <c r="EM1263" s="6"/>
      <c r="EN1263" s="6"/>
      <c r="EO1263" s="6"/>
      <c r="EP1263" s="6"/>
      <c r="EQ1263" s="6"/>
      <c r="ER1263" s="6"/>
      <c r="ES1263" s="6"/>
      <c r="ET1263" s="6"/>
      <c r="EU1263" s="6"/>
      <c r="EV1263" s="6"/>
      <c r="EW1263" s="6"/>
      <c r="EX1263" s="6"/>
      <c r="EY1263" s="6"/>
      <c r="EZ1263" s="6"/>
      <c r="FA1263" s="6"/>
      <c r="FB1263" s="6"/>
      <c r="FC1263" s="6"/>
      <c r="FD1263" s="6"/>
      <c r="FE1263" s="6"/>
      <c r="FF1263" s="6"/>
      <c r="FG1263" s="6"/>
      <c r="FH1263" s="6"/>
      <c r="FI1263" s="6"/>
      <c r="FJ1263" s="6"/>
      <c r="FK1263" s="6"/>
      <c r="FL1263" s="6"/>
      <c r="FM1263" s="6"/>
      <c r="FN1263" s="6"/>
      <c r="FO1263" s="6"/>
      <c r="FP1263" s="6"/>
      <c r="FQ1263" s="6"/>
      <c r="FR1263" s="6"/>
      <c r="FS1263" s="6"/>
      <c r="FT1263" s="6"/>
      <c r="FU1263" s="6"/>
      <c r="FV1263" s="6"/>
      <c r="FW1263" s="6"/>
      <c r="FX1263" s="6"/>
      <c r="FY1263" s="6"/>
      <c r="FZ1263" s="6"/>
      <c r="GA1263" s="6"/>
      <c r="GB1263" s="6"/>
      <c r="GC1263" s="6"/>
      <c r="GD1263" s="6"/>
      <c r="GE1263" s="6"/>
      <c r="GF1263" s="6"/>
      <c r="GG1263" s="6"/>
      <c r="GH1263" s="6"/>
      <c r="GI1263" s="6"/>
      <c r="GJ1263" s="6"/>
      <c r="GK1263" s="6"/>
      <c r="GL1263" s="6"/>
      <c r="GM1263" s="6"/>
      <c r="GN1263" s="6"/>
      <c r="GO1263" s="6"/>
      <c r="GP1263" s="6"/>
      <c r="GQ1263" s="6"/>
      <c r="GR1263" s="6"/>
      <c r="GS1263" s="6"/>
      <c r="GT1263" s="6"/>
      <c r="GU1263" s="6"/>
      <c r="GV1263" s="6"/>
      <c r="GW1263" s="6"/>
      <c r="GX1263" s="6"/>
      <c r="GY1263" s="6"/>
      <c r="GZ1263" s="6"/>
      <c r="HA1263" s="6"/>
      <c r="HB1263" s="6"/>
      <c r="HC1263" s="6"/>
      <c r="HD1263" s="6"/>
      <c r="HE1263" s="6"/>
      <c r="HF1263" s="6"/>
      <c r="HG1263" s="6"/>
      <c r="HH1263" s="6"/>
    </row>
    <row r="1264" spans="1:216" x14ac:dyDescent="0.3">
      <c r="A1264" s="8"/>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6"/>
      <c r="AR1264" s="6"/>
      <c r="AS1264" s="6"/>
      <c r="AT1264" s="6"/>
      <c r="AU1264" s="6"/>
      <c r="AV1264" s="6"/>
      <c r="AW1264" s="6"/>
      <c r="AX1264" s="6"/>
      <c r="AY1264" s="6"/>
      <c r="AZ1264" s="6"/>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c r="DX1264" s="6"/>
      <c r="DY1264" s="6"/>
      <c r="DZ1264" s="6"/>
      <c r="EA1264" s="6"/>
      <c r="EB1264" s="6"/>
      <c r="EC1264" s="6"/>
      <c r="ED1264" s="6"/>
      <c r="EE1264" s="6"/>
      <c r="EF1264" s="6"/>
      <c r="EG1264" s="6"/>
      <c r="EH1264" s="6"/>
      <c r="EI1264" s="6"/>
      <c r="EJ1264" s="6"/>
      <c r="EK1264" s="6"/>
      <c r="EL1264" s="6"/>
      <c r="EM1264" s="6"/>
      <c r="EN1264" s="6"/>
      <c r="EO1264" s="6"/>
      <c r="EP1264" s="6"/>
      <c r="EQ1264" s="6"/>
      <c r="ER1264" s="6"/>
      <c r="ES1264" s="6"/>
      <c r="ET1264" s="6"/>
      <c r="EU1264" s="6"/>
      <c r="EV1264" s="6"/>
      <c r="EW1264" s="6"/>
      <c r="EX1264" s="6"/>
      <c r="EY1264" s="6"/>
      <c r="EZ1264" s="6"/>
      <c r="FA1264" s="6"/>
      <c r="FB1264" s="6"/>
      <c r="FC1264" s="6"/>
      <c r="FD1264" s="6"/>
      <c r="FE1264" s="6"/>
      <c r="FF1264" s="6"/>
      <c r="FG1264" s="6"/>
      <c r="FH1264" s="6"/>
      <c r="FI1264" s="6"/>
      <c r="FJ1264" s="6"/>
      <c r="FK1264" s="6"/>
      <c r="FL1264" s="6"/>
      <c r="FM1264" s="6"/>
      <c r="FN1264" s="6"/>
      <c r="FO1264" s="6"/>
      <c r="FP1264" s="6"/>
      <c r="FQ1264" s="6"/>
      <c r="FR1264" s="6"/>
      <c r="FS1264" s="6"/>
      <c r="FT1264" s="6"/>
      <c r="FU1264" s="6"/>
      <c r="FV1264" s="6"/>
      <c r="FW1264" s="6"/>
      <c r="FX1264" s="6"/>
      <c r="FY1264" s="6"/>
      <c r="FZ1264" s="6"/>
      <c r="GA1264" s="6"/>
      <c r="GB1264" s="6"/>
      <c r="GC1264" s="6"/>
      <c r="GD1264" s="6"/>
      <c r="GE1264" s="6"/>
      <c r="GF1264" s="6"/>
      <c r="GG1264" s="6"/>
      <c r="GH1264" s="6"/>
      <c r="GI1264" s="6"/>
      <c r="GJ1264" s="6"/>
      <c r="GK1264" s="6"/>
      <c r="GL1264" s="6"/>
      <c r="GM1264" s="6"/>
      <c r="GN1264" s="6"/>
      <c r="GO1264" s="6"/>
      <c r="GP1264" s="6"/>
      <c r="GQ1264" s="6"/>
      <c r="GR1264" s="6"/>
      <c r="GS1264" s="6"/>
      <c r="GT1264" s="6"/>
      <c r="GU1264" s="6"/>
      <c r="GV1264" s="6"/>
      <c r="GW1264" s="6"/>
      <c r="GX1264" s="6"/>
      <c r="GY1264" s="6"/>
      <c r="GZ1264" s="6"/>
      <c r="HA1264" s="6"/>
      <c r="HB1264" s="6"/>
      <c r="HC1264" s="6"/>
      <c r="HD1264" s="6"/>
      <c r="HE1264" s="6"/>
      <c r="HF1264" s="6"/>
      <c r="HG1264" s="6"/>
      <c r="HH1264" s="6"/>
    </row>
    <row r="1265" spans="1:216" x14ac:dyDescent="0.3">
      <c r="A1265" s="8"/>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6"/>
      <c r="AR1265" s="6"/>
      <c r="AS1265" s="6"/>
      <c r="AT1265" s="6"/>
      <c r="AU1265" s="6"/>
      <c r="AV1265" s="6"/>
      <c r="AW1265" s="6"/>
      <c r="AX1265" s="6"/>
      <c r="AY1265" s="6"/>
      <c r="AZ1265" s="6"/>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c r="DX1265" s="6"/>
      <c r="DY1265" s="6"/>
      <c r="DZ1265" s="6"/>
      <c r="EA1265" s="6"/>
      <c r="EB1265" s="6"/>
      <c r="EC1265" s="6"/>
      <c r="ED1265" s="6"/>
      <c r="EE1265" s="6"/>
      <c r="EF1265" s="6"/>
      <c r="EG1265" s="6"/>
      <c r="EH1265" s="6"/>
      <c r="EI1265" s="6"/>
      <c r="EJ1265" s="6"/>
      <c r="EK1265" s="6"/>
      <c r="EL1265" s="6"/>
      <c r="EM1265" s="6"/>
      <c r="EN1265" s="6"/>
      <c r="EO1265" s="6"/>
      <c r="EP1265" s="6"/>
      <c r="EQ1265" s="6"/>
      <c r="ER1265" s="6"/>
      <c r="ES1265" s="6"/>
      <c r="ET1265" s="6"/>
      <c r="EU1265" s="6"/>
      <c r="EV1265" s="6"/>
      <c r="EW1265" s="6"/>
      <c r="EX1265" s="6"/>
      <c r="EY1265" s="6"/>
      <c r="EZ1265" s="6"/>
      <c r="FA1265" s="6"/>
      <c r="FB1265" s="6"/>
      <c r="FC1265" s="6"/>
      <c r="FD1265" s="6"/>
      <c r="FE1265" s="6"/>
      <c r="FF1265" s="6"/>
      <c r="FG1265" s="6"/>
      <c r="FH1265" s="6"/>
      <c r="FI1265" s="6"/>
      <c r="FJ1265" s="6"/>
      <c r="FK1265" s="6"/>
      <c r="FL1265" s="6"/>
      <c r="FM1265" s="6"/>
      <c r="FN1265" s="6"/>
      <c r="FO1265" s="6"/>
      <c r="FP1265" s="6"/>
      <c r="FQ1265" s="6"/>
      <c r="FR1265" s="6"/>
      <c r="FS1265" s="6"/>
      <c r="FT1265" s="6"/>
      <c r="FU1265" s="6"/>
      <c r="FV1265" s="6"/>
      <c r="FW1265" s="6"/>
      <c r="FX1265" s="6"/>
      <c r="FY1265" s="6"/>
      <c r="FZ1265" s="6"/>
      <c r="GA1265" s="6"/>
      <c r="GB1265" s="6"/>
      <c r="GC1265" s="6"/>
      <c r="GD1265" s="6"/>
      <c r="GE1265" s="6"/>
      <c r="GF1265" s="6"/>
      <c r="GG1265" s="6"/>
      <c r="GH1265" s="6"/>
      <c r="GI1265" s="6"/>
      <c r="GJ1265" s="6"/>
      <c r="GK1265" s="6"/>
      <c r="GL1265" s="6"/>
      <c r="GM1265" s="6"/>
      <c r="GN1265" s="6"/>
      <c r="GO1265" s="6"/>
      <c r="GP1265" s="6"/>
      <c r="GQ1265" s="6"/>
      <c r="GR1265" s="6"/>
      <c r="GS1265" s="6"/>
      <c r="GT1265" s="6"/>
      <c r="GU1265" s="6"/>
      <c r="GV1265" s="6"/>
      <c r="GW1265" s="6"/>
      <c r="GX1265" s="6"/>
      <c r="GY1265" s="6"/>
      <c r="GZ1265" s="6"/>
      <c r="HA1265" s="6"/>
      <c r="HB1265" s="6"/>
      <c r="HC1265" s="6"/>
      <c r="HD1265" s="6"/>
      <c r="HE1265" s="6"/>
      <c r="HF1265" s="6"/>
      <c r="HG1265" s="6"/>
      <c r="HH1265" s="6"/>
    </row>
    <row r="1266" spans="1:216" x14ac:dyDescent="0.3">
      <c r="A1266" s="8"/>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6"/>
      <c r="AR1266" s="6"/>
      <c r="AS1266" s="6"/>
      <c r="AT1266" s="6"/>
      <c r="AU1266" s="6"/>
      <c r="AV1266" s="6"/>
      <c r="AW1266" s="6"/>
      <c r="AX1266" s="6"/>
      <c r="AY1266" s="6"/>
      <c r="AZ1266" s="6"/>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c r="DX1266" s="6"/>
      <c r="DY1266" s="6"/>
      <c r="DZ1266" s="6"/>
      <c r="EA1266" s="6"/>
      <c r="EB1266" s="6"/>
      <c r="EC1266" s="6"/>
      <c r="ED1266" s="6"/>
      <c r="EE1266" s="6"/>
      <c r="EF1266" s="6"/>
      <c r="EG1266" s="6"/>
      <c r="EH1266" s="6"/>
      <c r="EI1266" s="6"/>
      <c r="EJ1266" s="6"/>
      <c r="EK1266" s="6"/>
      <c r="EL1266" s="6"/>
      <c r="EM1266" s="6"/>
      <c r="EN1266" s="6"/>
      <c r="EO1266" s="6"/>
      <c r="EP1266" s="6"/>
      <c r="EQ1266" s="6"/>
      <c r="ER1266" s="6"/>
      <c r="ES1266" s="6"/>
      <c r="ET1266" s="6"/>
      <c r="EU1266" s="6"/>
      <c r="EV1266" s="6"/>
      <c r="EW1266" s="6"/>
      <c r="EX1266" s="6"/>
      <c r="EY1266" s="6"/>
      <c r="EZ1266" s="6"/>
      <c r="FA1266" s="6"/>
      <c r="FB1266" s="6"/>
      <c r="FC1266" s="6"/>
      <c r="FD1266" s="6"/>
      <c r="FE1266" s="6"/>
      <c r="FF1266" s="6"/>
      <c r="FG1266" s="6"/>
      <c r="FH1266" s="6"/>
      <c r="FI1266" s="6"/>
      <c r="FJ1266" s="6"/>
      <c r="FK1266" s="6"/>
      <c r="FL1266" s="6"/>
      <c r="FM1266" s="6"/>
      <c r="FN1266" s="6"/>
      <c r="FO1266" s="6"/>
      <c r="FP1266" s="6"/>
      <c r="FQ1266" s="6"/>
      <c r="FR1266" s="6"/>
      <c r="FS1266" s="6"/>
      <c r="FT1266" s="6"/>
      <c r="FU1266" s="6"/>
      <c r="FV1266" s="6"/>
      <c r="FW1266" s="6"/>
      <c r="FX1266" s="6"/>
      <c r="FY1266" s="6"/>
      <c r="FZ1266" s="6"/>
      <c r="GA1266" s="6"/>
      <c r="GB1266" s="6"/>
      <c r="GC1266" s="6"/>
      <c r="GD1266" s="6"/>
      <c r="GE1266" s="6"/>
      <c r="GF1266" s="6"/>
      <c r="GG1266" s="6"/>
      <c r="GH1266" s="6"/>
      <c r="GI1266" s="6"/>
      <c r="GJ1266" s="6"/>
      <c r="GK1266" s="6"/>
      <c r="GL1266" s="6"/>
      <c r="GM1266" s="6"/>
      <c r="GN1266" s="6"/>
      <c r="GO1266" s="6"/>
      <c r="GP1266" s="6"/>
      <c r="GQ1266" s="6"/>
      <c r="GR1266" s="6"/>
      <c r="GS1266" s="6"/>
      <c r="GT1266" s="6"/>
      <c r="GU1266" s="6"/>
      <c r="GV1266" s="6"/>
      <c r="GW1266" s="6"/>
      <c r="GX1266" s="6"/>
      <c r="GY1266" s="6"/>
      <c r="GZ1266" s="6"/>
      <c r="HA1266" s="6"/>
      <c r="HB1266" s="6"/>
      <c r="HC1266" s="6"/>
      <c r="HD1266" s="6"/>
      <c r="HE1266" s="6"/>
      <c r="HF1266" s="6"/>
      <c r="HG1266" s="6"/>
      <c r="HH1266" s="6"/>
    </row>
    <row r="1267" spans="1:216" x14ac:dyDescent="0.3">
      <c r="A1267" s="8"/>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6"/>
      <c r="AR1267" s="6"/>
      <c r="AS1267" s="6"/>
      <c r="AT1267" s="6"/>
      <c r="AU1267" s="6"/>
      <c r="AV1267" s="6"/>
      <c r="AW1267" s="6"/>
      <c r="AX1267" s="6"/>
      <c r="AY1267" s="6"/>
      <c r="AZ1267" s="6"/>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c r="DX1267" s="6"/>
      <c r="DY1267" s="6"/>
      <c r="DZ1267" s="6"/>
      <c r="EA1267" s="6"/>
      <c r="EB1267" s="6"/>
      <c r="EC1267" s="6"/>
      <c r="ED1267" s="6"/>
      <c r="EE1267" s="6"/>
      <c r="EF1267" s="6"/>
      <c r="EG1267" s="6"/>
      <c r="EH1267" s="6"/>
      <c r="EI1267" s="6"/>
      <c r="EJ1267" s="6"/>
      <c r="EK1267" s="6"/>
      <c r="EL1267" s="6"/>
      <c r="EM1267" s="6"/>
      <c r="EN1267" s="6"/>
      <c r="EO1267" s="6"/>
      <c r="EP1267" s="6"/>
      <c r="EQ1267" s="6"/>
      <c r="ER1267" s="6"/>
      <c r="ES1267" s="6"/>
      <c r="ET1267" s="6"/>
      <c r="EU1267" s="6"/>
      <c r="EV1267" s="6"/>
      <c r="EW1267" s="6"/>
      <c r="EX1267" s="6"/>
      <c r="EY1267" s="6"/>
      <c r="EZ1267" s="6"/>
      <c r="FA1267" s="6"/>
      <c r="FB1267" s="6"/>
      <c r="FC1267" s="6"/>
      <c r="FD1267" s="6"/>
      <c r="FE1267" s="6"/>
      <c r="FF1267" s="6"/>
      <c r="FG1267" s="6"/>
      <c r="FH1267" s="6"/>
      <c r="FI1267" s="6"/>
      <c r="FJ1267" s="6"/>
      <c r="FK1267" s="6"/>
      <c r="FL1267" s="6"/>
      <c r="FM1267" s="6"/>
      <c r="FN1267" s="6"/>
      <c r="FO1267" s="6"/>
      <c r="FP1267" s="6"/>
      <c r="FQ1267" s="6"/>
      <c r="FR1267" s="6"/>
      <c r="FS1267" s="6"/>
      <c r="FT1267" s="6"/>
      <c r="FU1267" s="6"/>
      <c r="FV1267" s="6"/>
      <c r="FW1267" s="6"/>
      <c r="FX1267" s="6"/>
      <c r="FY1267" s="6"/>
      <c r="FZ1267" s="6"/>
      <c r="GA1267" s="6"/>
      <c r="GB1267" s="6"/>
      <c r="GC1267" s="6"/>
      <c r="GD1267" s="6"/>
      <c r="GE1267" s="6"/>
      <c r="GF1267" s="6"/>
      <c r="GG1267" s="6"/>
      <c r="GH1267" s="6"/>
      <c r="GI1267" s="6"/>
      <c r="GJ1267" s="6"/>
      <c r="GK1267" s="6"/>
      <c r="GL1267" s="6"/>
      <c r="GM1267" s="6"/>
      <c r="GN1267" s="6"/>
      <c r="GO1267" s="6"/>
      <c r="GP1267" s="6"/>
      <c r="GQ1267" s="6"/>
      <c r="GR1267" s="6"/>
      <c r="GS1267" s="6"/>
      <c r="GT1267" s="6"/>
      <c r="GU1267" s="6"/>
      <c r="GV1267" s="6"/>
      <c r="GW1267" s="6"/>
      <c r="GX1267" s="6"/>
      <c r="GY1267" s="6"/>
      <c r="GZ1267" s="6"/>
      <c r="HA1267" s="6"/>
      <c r="HB1267" s="6"/>
      <c r="HC1267" s="6"/>
      <c r="HD1267" s="6"/>
      <c r="HE1267" s="6"/>
      <c r="HF1267" s="6"/>
      <c r="HG1267" s="6"/>
      <c r="HH1267" s="6"/>
    </row>
    <row r="1268" spans="1:216" x14ac:dyDescent="0.3">
      <c r="A1268" s="8"/>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6"/>
      <c r="AR1268" s="6"/>
      <c r="AS1268" s="6"/>
      <c r="AT1268" s="6"/>
      <c r="AU1268" s="6"/>
      <c r="AV1268" s="6"/>
      <c r="AW1268" s="6"/>
      <c r="AX1268" s="6"/>
      <c r="AY1268" s="6"/>
      <c r="AZ1268" s="6"/>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c r="DX1268" s="6"/>
      <c r="DY1268" s="6"/>
      <c r="DZ1268" s="6"/>
      <c r="EA1268" s="6"/>
      <c r="EB1268" s="6"/>
      <c r="EC1268" s="6"/>
      <c r="ED1268" s="6"/>
      <c r="EE1268" s="6"/>
      <c r="EF1268" s="6"/>
      <c r="EG1268" s="6"/>
      <c r="EH1268" s="6"/>
      <c r="EI1268" s="6"/>
      <c r="EJ1268" s="6"/>
      <c r="EK1268" s="6"/>
      <c r="EL1268" s="6"/>
      <c r="EM1268" s="6"/>
      <c r="EN1268" s="6"/>
      <c r="EO1268" s="6"/>
      <c r="EP1268" s="6"/>
      <c r="EQ1268" s="6"/>
      <c r="ER1268" s="6"/>
      <c r="ES1268" s="6"/>
      <c r="ET1268" s="6"/>
      <c r="EU1268" s="6"/>
      <c r="EV1268" s="6"/>
      <c r="EW1268" s="6"/>
      <c r="EX1268" s="6"/>
      <c r="EY1268" s="6"/>
      <c r="EZ1268" s="6"/>
      <c r="FA1268" s="6"/>
      <c r="FB1268" s="6"/>
      <c r="FC1268" s="6"/>
      <c r="FD1268" s="6"/>
      <c r="FE1268" s="6"/>
      <c r="FF1268" s="6"/>
      <c r="FG1268" s="6"/>
      <c r="FH1268" s="6"/>
      <c r="FI1268" s="6"/>
      <c r="FJ1268" s="6"/>
      <c r="FK1268" s="6"/>
      <c r="FL1268" s="6"/>
      <c r="FM1268" s="6"/>
      <c r="FN1268" s="6"/>
      <c r="FO1268" s="6"/>
      <c r="FP1268" s="6"/>
      <c r="FQ1268" s="6"/>
      <c r="FR1268" s="6"/>
      <c r="FS1268" s="6"/>
      <c r="FT1268" s="6"/>
      <c r="FU1268" s="6"/>
      <c r="FV1268" s="6"/>
      <c r="FW1268" s="6"/>
      <c r="FX1268" s="6"/>
      <c r="FY1268" s="6"/>
      <c r="FZ1268" s="6"/>
      <c r="GA1268" s="6"/>
      <c r="GB1268" s="6"/>
      <c r="GC1268" s="6"/>
      <c r="GD1268" s="6"/>
      <c r="GE1268" s="6"/>
      <c r="GF1268" s="6"/>
      <c r="GG1268" s="6"/>
      <c r="GH1268" s="6"/>
      <c r="GI1268" s="6"/>
      <c r="GJ1268" s="6"/>
      <c r="GK1268" s="6"/>
      <c r="GL1268" s="6"/>
      <c r="GM1268" s="6"/>
      <c r="GN1268" s="6"/>
      <c r="GO1268" s="6"/>
      <c r="GP1268" s="6"/>
      <c r="GQ1268" s="6"/>
      <c r="GR1268" s="6"/>
      <c r="GS1268" s="6"/>
      <c r="GT1268" s="6"/>
      <c r="GU1268" s="6"/>
      <c r="GV1268" s="6"/>
      <c r="GW1268" s="6"/>
      <c r="GX1268" s="6"/>
      <c r="GY1268" s="6"/>
      <c r="GZ1268" s="6"/>
      <c r="HA1268" s="6"/>
      <c r="HB1268" s="6"/>
      <c r="HC1268" s="6"/>
      <c r="HD1268" s="6"/>
      <c r="HE1268" s="6"/>
      <c r="HF1268" s="6"/>
      <c r="HG1268" s="6"/>
      <c r="HH1268" s="6"/>
    </row>
    <row r="1269" spans="1:216" x14ac:dyDescent="0.3">
      <c r="A1269" s="8"/>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6"/>
      <c r="AR1269" s="6"/>
      <c r="AS1269" s="6"/>
      <c r="AT1269" s="6"/>
      <c r="AU1269" s="6"/>
      <c r="AV1269" s="6"/>
      <c r="AW1269" s="6"/>
      <c r="AX1269" s="6"/>
      <c r="AY1269" s="6"/>
      <c r="AZ1269" s="6"/>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c r="DX1269" s="6"/>
      <c r="DY1269" s="6"/>
      <c r="DZ1269" s="6"/>
      <c r="EA1269" s="6"/>
      <c r="EB1269" s="6"/>
      <c r="EC1269" s="6"/>
      <c r="ED1269" s="6"/>
      <c r="EE1269" s="6"/>
      <c r="EF1269" s="6"/>
      <c r="EG1269" s="6"/>
      <c r="EH1269" s="6"/>
      <c r="EI1269" s="6"/>
      <c r="EJ1269" s="6"/>
      <c r="EK1269" s="6"/>
      <c r="EL1269" s="6"/>
      <c r="EM1269" s="6"/>
      <c r="EN1269" s="6"/>
      <c r="EO1269" s="6"/>
      <c r="EP1269" s="6"/>
      <c r="EQ1269" s="6"/>
      <c r="ER1269" s="6"/>
      <c r="ES1269" s="6"/>
      <c r="ET1269" s="6"/>
      <c r="EU1269" s="6"/>
      <c r="EV1269" s="6"/>
      <c r="EW1269" s="6"/>
      <c r="EX1269" s="6"/>
      <c r="EY1269" s="6"/>
      <c r="EZ1269" s="6"/>
      <c r="FA1269" s="6"/>
      <c r="FB1269" s="6"/>
      <c r="FC1269" s="6"/>
      <c r="FD1269" s="6"/>
      <c r="FE1269" s="6"/>
      <c r="FF1269" s="6"/>
      <c r="FG1269" s="6"/>
      <c r="FH1269" s="6"/>
      <c r="FI1269" s="6"/>
      <c r="FJ1269" s="6"/>
      <c r="FK1269" s="6"/>
      <c r="FL1269" s="6"/>
      <c r="FM1269" s="6"/>
      <c r="FN1269" s="6"/>
      <c r="FO1269" s="6"/>
      <c r="FP1269" s="6"/>
      <c r="FQ1269" s="6"/>
      <c r="FR1269" s="6"/>
      <c r="FS1269" s="6"/>
      <c r="FT1269" s="6"/>
      <c r="FU1269" s="6"/>
      <c r="FV1269" s="6"/>
      <c r="FW1269" s="6"/>
      <c r="FX1269" s="6"/>
      <c r="FY1269" s="6"/>
      <c r="FZ1269" s="6"/>
      <c r="GA1269" s="6"/>
      <c r="GB1269" s="6"/>
      <c r="GC1269" s="6"/>
      <c r="GD1269" s="6"/>
      <c r="GE1269" s="6"/>
      <c r="GF1269" s="6"/>
      <c r="GG1269" s="6"/>
      <c r="GH1269" s="6"/>
      <c r="GI1269" s="6"/>
      <c r="GJ1269" s="6"/>
      <c r="GK1269" s="6"/>
      <c r="GL1269" s="6"/>
      <c r="GM1269" s="6"/>
      <c r="GN1269" s="6"/>
      <c r="GO1269" s="6"/>
      <c r="GP1269" s="6"/>
      <c r="GQ1269" s="6"/>
      <c r="GR1269" s="6"/>
      <c r="GS1269" s="6"/>
      <c r="GT1269" s="6"/>
      <c r="GU1269" s="6"/>
      <c r="GV1269" s="6"/>
      <c r="GW1269" s="6"/>
      <c r="GX1269" s="6"/>
      <c r="GY1269" s="6"/>
      <c r="GZ1269" s="6"/>
      <c r="HA1269" s="6"/>
      <c r="HB1269" s="6"/>
      <c r="HC1269" s="6"/>
      <c r="HD1269" s="6"/>
      <c r="HE1269" s="6"/>
      <c r="HF1269" s="6"/>
      <c r="HG1269" s="6"/>
      <c r="HH1269" s="6"/>
    </row>
    <row r="1270" spans="1:216" x14ac:dyDescent="0.3">
      <c r="A1270" s="8"/>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c r="DX1270" s="6"/>
      <c r="DY1270" s="6"/>
      <c r="DZ1270" s="6"/>
      <c r="EA1270" s="6"/>
      <c r="EB1270" s="6"/>
      <c r="EC1270" s="6"/>
      <c r="ED1270" s="6"/>
      <c r="EE1270" s="6"/>
      <c r="EF1270" s="6"/>
      <c r="EG1270" s="6"/>
      <c r="EH1270" s="6"/>
      <c r="EI1270" s="6"/>
      <c r="EJ1270" s="6"/>
      <c r="EK1270" s="6"/>
      <c r="EL1270" s="6"/>
      <c r="EM1270" s="6"/>
      <c r="EN1270" s="6"/>
      <c r="EO1270" s="6"/>
      <c r="EP1270" s="6"/>
      <c r="EQ1270" s="6"/>
      <c r="ER1270" s="6"/>
      <c r="ES1270" s="6"/>
      <c r="ET1270" s="6"/>
      <c r="EU1270" s="6"/>
      <c r="EV1270" s="6"/>
      <c r="EW1270" s="6"/>
      <c r="EX1270" s="6"/>
      <c r="EY1270" s="6"/>
      <c r="EZ1270" s="6"/>
      <c r="FA1270" s="6"/>
      <c r="FB1270" s="6"/>
      <c r="FC1270" s="6"/>
      <c r="FD1270" s="6"/>
      <c r="FE1270" s="6"/>
      <c r="FF1270" s="6"/>
      <c r="FG1270" s="6"/>
      <c r="FH1270" s="6"/>
      <c r="FI1270" s="6"/>
      <c r="FJ1270" s="6"/>
      <c r="FK1270" s="6"/>
      <c r="FL1270" s="6"/>
      <c r="FM1270" s="6"/>
      <c r="FN1270" s="6"/>
      <c r="FO1270" s="6"/>
      <c r="FP1270" s="6"/>
      <c r="FQ1270" s="6"/>
      <c r="FR1270" s="6"/>
      <c r="FS1270" s="6"/>
      <c r="FT1270" s="6"/>
      <c r="FU1270" s="6"/>
      <c r="FV1270" s="6"/>
      <c r="FW1270" s="6"/>
      <c r="FX1270" s="6"/>
      <c r="FY1270" s="6"/>
      <c r="FZ1270" s="6"/>
      <c r="GA1270" s="6"/>
      <c r="GB1270" s="6"/>
      <c r="GC1270" s="6"/>
      <c r="GD1270" s="6"/>
      <c r="GE1270" s="6"/>
      <c r="GF1270" s="6"/>
      <c r="GG1270" s="6"/>
      <c r="GH1270" s="6"/>
      <c r="GI1270" s="6"/>
      <c r="GJ1270" s="6"/>
      <c r="GK1270" s="6"/>
      <c r="GL1270" s="6"/>
      <c r="GM1270" s="6"/>
      <c r="GN1270" s="6"/>
      <c r="GO1270" s="6"/>
      <c r="GP1270" s="6"/>
      <c r="GQ1270" s="6"/>
      <c r="GR1270" s="6"/>
      <c r="GS1270" s="6"/>
      <c r="GT1270" s="6"/>
      <c r="GU1270" s="6"/>
      <c r="GV1270" s="6"/>
      <c r="GW1270" s="6"/>
      <c r="GX1270" s="6"/>
      <c r="GY1270" s="6"/>
      <c r="GZ1270" s="6"/>
      <c r="HA1270" s="6"/>
      <c r="HB1270" s="6"/>
      <c r="HC1270" s="6"/>
      <c r="HD1270" s="6"/>
      <c r="HE1270" s="6"/>
      <c r="HF1270" s="6"/>
      <c r="HG1270" s="6"/>
      <c r="HH1270" s="6"/>
    </row>
    <row r="1271" spans="1:216" x14ac:dyDescent="0.3">
      <c r="A1271" s="8"/>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6"/>
      <c r="AR1271" s="6"/>
      <c r="AS1271" s="6"/>
      <c r="AT1271" s="6"/>
      <c r="AU1271" s="6"/>
      <c r="AV1271" s="6"/>
      <c r="AW1271" s="6"/>
      <c r="AX1271" s="6"/>
      <c r="AY1271" s="6"/>
      <c r="AZ1271" s="6"/>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c r="DX1271" s="6"/>
      <c r="DY1271" s="6"/>
      <c r="DZ1271" s="6"/>
      <c r="EA1271" s="6"/>
      <c r="EB1271" s="6"/>
      <c r="EC1271" s="6"/>
      <c r="ED1271" s="6"/>
      <c r="EE1271" s="6"/>
      <c r="EF1271" s="6"/>
      <c r="EG1271" s="6"/>
      <c r="EH1271" s="6"/>
      <c r="EI1271" s="6"/>
      <c r="EJ1271" s="6"/>
      <c r="EK1271" s="6"/>
      <c r="EL1271" s="6"/>
      <c r="EM1271" s="6"/>
      <c r="EN1271" s="6"/>
      <c r="EO1271" s="6"/>
      <c r="EP1271" s="6"/>
      <c r="EQ1271" s="6"/>
      <c r="ER1271" s="6"/>
      <c r="ES1271" s="6"/>
      <c r="ET1271" s="6"/>
      <c r="EU1271" s="6"/>
      <c r="EV1271" s="6"/>
      <c r="EW1271" s="6"/>
      <c r="EX1271" s="6"/>
      <c r="EY1271" s="6"/>
      <c r="EZ1271" s="6"/>
      <c r="FA1271" s="6"/>
      <c r="FB1271" s="6"/>
      <c r="FC1271" s="6"/>
      <c r="FD1271" s="6"/>
      <c r="FE1271" s="6"/>
      <c r="FF1271" s="6"/>
      <c r="FG1271" s="6"/>
      <c r="FH1271" s="6"/>
      <c r="FI1271" s="6"/>
      <c r="FJ1271" s="6"/>
      <c r="FK1271" s="6"/>
      <c r="FL1271" s="6"/>
      <c r="FM1271" s="6"/>
      <c r="FN1271" s="6"/>
      <c r="FO1271" s="6"/>
      <c r="FP1271" s="6"/>
      <c r="FQ1271" s="6"/>
      <c r="FR1271" s="6"/>
      <c r="FS1271" s="6"/>
      <c r="FT1271" s="6"/>
      <c r="FU1271" s="6"/>
      <c r="FV1271" s="6"/>
      <c r="FW1271" s="6"/>
      <c r="FX1271" s="6"/>
      <c r="FY1271" s="6"/>
      <c r="FZ1271" s="6"/>
      <c r="GA1271" s="6"/>
      <c r="GB1271" s="6"/>
      <c r="GC1271" s="6"/>
      <c r="GD1271" s="6"/>
      <c r="GE1271" s="6"/>
      <c r="GF1271" s="6"/>
      <c r="GG1271" s="6"/>
      <c r="GH1271" s="6"/>
      <c r="GI1271" s="6"/>
      <c r="GJ1271" s="6"/>
      <c r="GK1271" s="6"/>
      <c r="GL1271" s="6"/>
      <c r="GM1271" s="6"/>
      <c r="GN1271" s="6"/>
      <c r="GO1271" s="6"/>
      <c r="GP1271" s="6"/>
      <c r="GQ1271" s="6"/>
      <c r="GR1271" s="6"/>
      <c r="GS1271" s="6"/>
      <c r="GT1271" s="6"/>
      <c r="GU1271" s="6"/>
      <c r="GV1271" s="6"/>
      <c r="GW1271" s="6"/>
      <c r="GX1271" s="6"/>
      <c r="GY1271" s="6"/>
      <c r="GZ1271" s="6"/>
      <c r="HA1271" s="6"/>
      <c r="HB1271" s="6"/>
      <c r="HC1271" s="6"/>
      <c r="HD1271" s="6"/>
      <c r="HE1271" s="6"/>
      <c r="HF1271" s="6"/>
      <c r="HG1271" s="6"/>
      <c r="HH1271" s="6"/>
    </row>
    <row r="1272" spans="1:216" x14ac:dyDescent="0.3">
      <c r="A1272" s="8"/>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6"/>
      <c r="AR1272" s="6"/>
      <c r="AS1272" s="6"/>
      <c r="AT1272" s="6"/>
      <c r="AU1272" s="6"/>
      <c r="AV1272" s="6"/>
      <c r="AW1272" s="6"/>
      <c r="AX1272" s="6"/>
      <c r="AY1272" s="6"/>
      <c r="AZ1272" s="6"/>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c r="DX1272" s="6"/>
      <c r="DY1272" s="6"/>
      <c r="DZ1272" s="6"/>
      <c r="EA1272" s="6"/>
      <c r="EB1272" s="6"/>
      <c r="EC1272" s="6"/>
      <c r="ED1272" s="6"/>
      <c r="EE1272" s="6"/>
      <c r="EF1272" s="6"/>
      <c r="EG1272" s="6"/>
      <c r="EH1272" s="6"/>
      <c r="EI1272" s="6"/>
      <c r="EJ1272" s="6"/>
      <c r="EK1272" s="6"/>
      <c r="EL1272" s="6"/>
      <c r="EM1272" s="6"/>
      <c r="EN1272" s="6"/>
      <c r="EO1272" s="6"/>
      <c r="EP1272" s="6"/>
      <c r="EQ1272" s="6"/>
      <c r="ER1272" s="6"/>
      <c r="ES1272" s="6"/>
      <c r="ET1272" s="6"/>
      <c r="EU1272" s="6"/>
      <c r="EV1272" s="6"/>
      <c r="EW1272" s="6"/>
      <c r="EX1272" s="6"/>
      <c r="EY1272" s="6"/>
      <c r="EZ1272" s="6"/>
      <c r="FA1272" s="6"/>
      <c r="FB1272" s="6"/>
      <c r="FC1272" s="6"/>
      <c r="FD1272" s="6"/>
      <c r="FE1272" s="6"/>
      <c r="FF1272" s="6"/>
      <c r="FG1272" s="6"/>
      <c r="FH1272" s="6"/>
      <c r="FI1272" s="6"/>
      <c r="FJ1272" s="6"/>
      <c r="FK1272" s="6"/>
      <c r="FL1272" s="6"/>
      <c r="FM1272" s="6"/>
      <c r="FN1272" s="6"/>
      <c r="FO1272" s="6"/>
      <c r="FP1272" s="6"/>
      <c r="FQ1272" s="6"/>
      <c r="FR1272" s="6"/>
      <c r="FS1272" s="6"/>
      <c r="FT1272" s="6"/>
      <c r="FU1272" s="6"/>
      <c r="FV1272" s="6"/>
      <c r="FW1272" s="6"/>
      <c r="FX1272" s="6"/>
      <c r="FY1272" s="6"/>
      <c r="FZ1272" s="6"/>
      <c r="GA1272" s="6"/>
      <c r="GB1272" s="6"/>
      <c r="GC1272" s="6"/>
      <c r="GD1272" s="6"/>
      <c r="GE1272" s="6"/>
      <c r="GF1272" s="6"/>
      <c r="GG1272" s="6"/>
      <c r="GH1272" s="6"/>
      <c r="GI1272" s="6"/>
      <c r="GJ1272" s="6"/>
      <c r="GK1272" s="6"/>
      <c r="GL1272" s="6"/>
      <c r="GM1272" s="6"/>
      <c r="GN1272" s="6"/>
      <c r="GO1272" s="6"/>
      <c r="GP1272" s="6"/>
      <c r="GQ1272" s="6"/>
      <c r="GR1272" s="6"/>
      <c r="GS1272" s="6"/>
      <c r="GT1272" s="6"/>
      <c r="GU1272" s="6"/>
      <c r="GV1272" s="6"/>
      <c r="GW1272" s="6"/>
      <c r="GX1272" s="6"/>
      <c r="GY1272" s="6"/>
      <c r="GZ1272" s="6"/>
      <c r="HA1272" s="6"/>
      <c r="HB1272" s="6"/>
      <c r="HC1272" s="6"/>
      <c r="HD1272" s="6"/>
      <c r="HE1272" s="6"/>
      <c r="HF1272" s="6"/>
      <c r="HG1272" s="6"/>
      <c r="HH1272" s="6"/>
    </row>
    <row r="1273" spans="1:216" x14ac:dyDescent="0.3">
      <c r="A1273" s="8"/>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6"/>
      <c r="AR1273" s="6"/>
      <c r="AS1273" s="6"/>
      <c r="AT1273" s="6"/>
      <c r="AU1273" s="6"/>
      <c r="AV1273" s="6"/>
      <c r="AW1273" s="6"/>
      <c r="AX1273" s="6"/>
      <c r="AY1273" s="6"/>
      <c r="AZ1273" s="6"/>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c r="DX1273" s="6"/>
      <c r="DY1273" s="6"/>
      <c r="DZ1273" s="6"/>
      <c r="EA1273" s="6"/>
      <c r="EB1273" s="6"/>
      <c r="EC1273" s="6"/>
      <c r="ED1273" s="6"/>
      <c r="EE1273" s="6"/>
      <c r="EF1273" s="6"/>
      <c r="EG1273" s="6"/>
      <c r="EH1273" s="6"/>
      <c r="EI1273" s="6"/>
      <c r="EJ1273" s="6"/>
      <c r="EK1273" s="6"/>
      <c r="EL1273" s="6"/>
      <c r="EM1273" s="6"/>
      <c r="EN1273" s="6"/>
      <c r="EO1273" s="6"/>
      <c r="EP1273" s="6"/>
      <c r="EQ1273" s="6"/>
      <c r="ER1273" s="6"/>
      <c r="ES1273" s="6"/>
      <c r="ET1273" s="6"/>
      <c r="EU1273" s="6"/>
      <c r="EV1273" s="6"/>
      <c r="EW1273" s="6"/>
      <c r="EX1273" s="6"/>
      <c r="EY1273" s="6"/>
      <c r="EZ1273" s="6"/>
      <c r="FA1273" s="6"/>
      <c r="FB1273" s="6"/>
      <c r="FC1273" s="6"/>
      <c r="FD1273" s="6"/>
      <c r="FE1273" s="6"/>
      <c r="FF1273" s="6"/>
      <c r="FG1273" s="6"/>
      <c r="FH1273" s="6"/>
      <c r="FI1273" s="6"/>
      <c r="FJ1273" s="6"/>
      <c r="FK1273" s="6"/>
      <c r="FL1273" s="6"/>
      <c r="FM1273" s="6"/>
      <c r="FN1273" s="6"/>
      <c r="FO1273" s="6"/>
      <c r="FP1273" s="6"/>
      <c r="FQ1273" s="6"/>
      <c r="FR1273" s="6"/>
      <c r="FS1273" s="6"/>
      <c r="FT1273" s="6"/>
      <c r="FU1273" s="6"/>
      <c r="FV1273" s="6"/>
      <c r="FW1273" s="6"/>
      <c r="FX1273" s="6"/>
      <c r="FY1273" s="6"/>
      <c r="FZ1273" s="6"/>
      <c r="GA1273" s="6"/>
      <c r="GB1273" s="6"/>
      <c r="GC1273" s="6"/>
      <c r="GD1273" s="6"/>
      <c r="GE1273" s="6"/>
      <c r="GF1273" s="6"/>
      <c r="GG1273" s="6"/>
      <c r="GH1273" s="6"/>
      <c r="GI1273" s="6"/>
      <c r="GJ1273" s="6"/>
      <c r="GK1273" s="6"/>
      <c r="GL1273" s="6"/>
      <c r="GM1273" s="6"/>
      <c r="GN1273" s="6"/>
      <c r="GO1273" s="6"/>
      <c r="GP1273" s="6"/>
      <c r="GQ1273" s="6"/>
      <c r="GR1273" s="6"/>
      <c r="GS1273" s="6"/>
      <c r="GT1273" s="6"/>
      <c r="GU1273" s="6"/>
      <c r="GV1273" s="6"/>
      <c r="GW1273" s="6"/>
      <c r="GX1273" s="6"/>
      <c r="GY1273" s="6"/>
      <c r="GZ1273" s="6"/>
      <c r="HA1273" s="6"/>
      <c r="HB1273" s="6"/>
      <c r="HC1273" s="6"/>
      <c r="HD1273" s="6"/>
      <c r="HE1273" s="6"/>
      <c r="HF1273" s="6"/>
      <c r="HG1273" s="6"/>
      <c r="HH1273" s="6"/>
    </row>
    <row r="1274" spans="1:216" x14ac:dyDescent="0.3">
      <c r="A1274" s="8"/>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6"/>
      <c r="AR1274" s="6"/>
      <c r="AS1274" s="6"/>
      <c r="AT1274" s="6"/>
      <c r="AU1274" s="6"/>
      <c r="AV1274" s="6"/>
      <c r="AW1274" s="6"/>
      <c r="AX1274" s="6"/>
      <c r="AY1274" s="6"/>
      <c r="AZ1274" s="6"/>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c r="DX1274" s="6"/>
      <c r="DY1274" s="6"/>
      <c r="DZ1274" s="6"/>
      <c r="EA1274" s="6"/>
      <c r="EB1274" s="6"/>
      <c r="EC1274" s="6"/>
      <c r="ED1274" s="6"/>
      <c r="EE1274" s="6"/>
      <c r="EF1274" s="6"/>
      <c r="EG1274" s="6"/>
      <c r="EH1274" s="6"/>
      <c r="EI1274" s="6"/>
      <c r="EJ1274" s="6"/>
      <c r="EK1274" s="6"/>
      <c r="EL1274" s="6"/>
      <c r="EM1274" s="6"/>
      <c r="EN1274" s="6"/>
      <c r="EO1274" s="6"/>
      <c r="EP1274" s="6"/>
      <c r="EQ1274" s="6"/>
      <c r="ER1274" s="6"/>
      <c r="ES1274" s="6"/>
      <c r="ET1274" s="6"/>
      <c r="EU1274" s="6"/>
      <c r="EV1274" s="6"/>
      <c r="EW1274" s="6"/>
      <c r="EX1274" s="6"/>
      <c r="EY1274" s="6"/>
      <c r="EZ1274" s="6"/>
      <c r="FA1274" s="6"/>
      <c r="FB1274" s="6"/>
      <c r="FC1274" s="6"/>
      <c r="FD1274" s="6"/>
      <c r="FE1274" s="6"/>
      <c r="FF1274" s="6"/>
      <c r="FG1274" s="6"/>
      <c r="FH1274" s="6"/>
      <c r="FI1274" s="6"/>
      <c r="FJ1274" s="6"/>
      <c r="FK1274" s="6"/>
      <c r="FL1274" s="6"/>
      <c r="FM1274" s="6"/>
      <c r="FN1274" s="6"/>
      <c r="FO1274" s="6"/>
      <c r="FP1274" s="6"/>
      <c r="FQ1274" s="6"/>
      <c r="FR1274" s="6"/>
      <c r="FS1274" s="6"/>
      <c r="FT1274" s="6"/>
      <c r="FU1274" s="6"/>
      <c r="FV1274" s="6"/>
      <c r="FW1274" s="6"/>
      <c r="FX1274" s="6"/>
      <c r="FY1274" s="6"/>
      <c r="FZ1274" s="6"/>
      <c r="GA1274" s="6"/>
      <c r="GB1274" s="6"/>
      <c r="GC1274" s="6"/>
      <c r="GD1274" s="6"/>
      <c r="GE1274" s="6"/>
      <c r="GF1274" s="6"/>
      <c r="GG1274" s="6"/>
      <c r="GH1274" s="6"/>
      <c r="GI1274" s="6"/>
      <c r="GJ1274" s="6"/>
      <c r="GK1274" s="6"/>
      <c r="GL1274" s="6"/>
      <c r="GM1274" s="6"/>
      <c r="GN1274" s="6"/>
      <c r="GO1274" s="6"/>
      <c r="GP1274" s="6"/>
      <c r="GQ1274" s="6"/>
      <c r="GR1274" s="6"/>
      <c r="GS1274" s="6"/>
      <c r="GT1274" s="6"/>
      <c r="GU1274" s="6"/>
      <c r="GV1274" s="6"/>
      <c r="GW1274" s="6"/>
      <c r="GX1274" s="6"/>
      <c r="GY1274" s="6"/>
      <c r="GZ1274" s="6"/>
      <c r="HA1274" s="6"/>
      <c r="HB1274" s="6"/>
      <c r="HC1274" s="6"/>
      <c r="HD1274" s="6"/>
      <c r="HE1274" s="6"/>
      <c r="HF1274" s="6"/>
      <c r="HG1274" s="6"/>
      <c r="HH1274" s="6"/>
    </row>
    <row r="1275" spans="1:216" x14ac:dyDescent="0.3">
      <c r="A1275" s="8"/>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6"/>
      <c r="AR1275" s="6"/>
      <c r="AS1275" s="6"/>
      <c r="AT1275" s="6"/>
      <c r="AU1275" s="6"/>
      <c r="AV1275" s="6"/>
      <c r="AW1275" s="6"/>
      <c r="AX1275" s="6"/>
      <c r="AY1275" s="6"/>
      <c r="AZ1275" s="6"/>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c r="DX1275" s="6"/>
      <c r="DY1275" s="6"/>
      <c r="DZ1275" s="6"/>
      <c r="EA1275" s="6"/>
      <c r="EB1275" s="6"/>
      <c r="EC1275" s="6"/>
      <c r="ED1275" s="6"/>
      <c r="EE1275" s="6"/>
      <c r="EF1275" s="6"/>
      <c r="EG1275" s="6"/>
      <c r="EH1275" s="6"/>
      <c r="EI1275" s="6"/>
      <c r="EJ1275" s="6"/>
      <c r="EK1275" s="6"/>
      <c r="EL1275" s="6"/>
      <c r="EM1275" s="6"/>
      <c r="EN1275" s="6"/>
      <c r="EO1275" s="6"/>
      <c r="EP1275" s="6"/>
      <c r="EQ1275" s="6"/>
      <c r="ER1275" s="6"/>
      <c r="ES1275" s="6"/>
      <c r="ET1275" s="6"/>
      <c r="EU1275" s="6"/>
      <c r="EV1275" s="6"/>
      <c r="EW1275" s="6"/>
      <c r="EX1275" s="6"/>
      <c r="EY1275" s="6"/>
      <c r="EZ1275" s="6"/>
      <c r="FA1275" s="6"/>
      <c r="FB1275" s="6"/>
      <c r="FC1275" s="6"/>
      <c r="FD1275" s="6"/>
      <c r="FE1275" s="6"/>
      <c r="FF1275" s="6"/>
      <c r="FG1275" s="6"/>
      <c r="FH1275" s="6"/>
      <c r="FI1275" s="6"/>
      <c r="FJ1275" s="6"/>
      <c r="FK1275" s="6"/>
      <c r="FL1275" s="6"/>
      <c r="FM1275" s="6"/>
      <c r="FN1275" s="6"/>
      <c r="FO1275" s="6"/>
      <c r="FP1275" s="6"/>
      <c r="FQ1275" s="6"/>
      <c r="FR1275" s="6"/>
      <c r="FS1275" s="6"/>
      <c r="FT1275" s="6"/>
      <c r="FU1275" s="6"/>
      <c r="FV1275" s="6"/>
      <c r="FW1275" s="6"/>
      <c r="FX1275" s="6"/>
      <c r="FY1275" s="6"/>
      <c r="FZ1275" s="6"/>
      <c r="GA1275" s="6"/>
      <c r="GB1275" s="6"/>
      <c r="GC1275" s="6"/>
      <c r="GD1275" s="6"/>
      <c r="GE1275" s="6"/>
      <c r="GF1275" s="6"/>
      <c r="GG1275" s="6"/>
      <c r="GH1275" s="6"/>
      <c r="GI1275" s="6"/>
      <c r="GJ1275" s="6"/>
      <c r="GK1275" s="6"/>
      <c r="GL1275" s="6"/>
      <c r="GM1275" s="6"/>
      <c r="GN1275" s="6"/>
      <c r="GO1275" s="6"/>
      <c r="GP1275" s="6"/>
      <c r="GQ1275" s="6"/>
      <c r="GR1275" s="6"/>
      <c r="GS1275" s="6"/>
      <c r="GT1275" s="6"/>
      <c r="GU1275" s="6"/>
      <c r="GV1275" s="6"/>
      <c r="GW1275" s="6"/>
      <c r="GX1275" s="6"/>
      <c r="GY1275" s="6"/>
      <c r="GZ1275" s="6"/>
      <c r="HA1275" s="6"/>
      <c r="HB1275" s="6"/>
      <c r="HC1275" s="6"/>
      <c r="HD1275" s="6"/>
      <c r="HE1275" s="6"/>
      <c r="HF1275" s="6"/>
      <c r="HG1275" s="6"/>
      <c r="HH1275" s="6"/>
    </row>
    <row r="1276" spans="1:216" x14ac:dyDescent="0.3">
      <c r="A1276" s="8"/>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6"/>
      <c r="AR1276" s="6"/>
      <c r="AS1276" s="6"/>
      <c r="AT1276" s="6"/>
      <c r="AU1276" s="6"/>
      <c r="AV1276" s="6"/>
      <c r="AW1276" s="6"/>
      <c r="AX1276" s="6"/>
      <c r="AY1276" s="6"/>
      <c r="AZ1276" s="6"/>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c r="DX1276" s="6"/>
      <c r="DY1276" s="6"/>
      <c r="DZ1276" s="6"/>
      <c r="EA1276" s="6"/>
      <c r="EB1276" s="6"/>
      <c r="EC1276" s="6"/>
      <c r="ED1276" s="6"/>
      <c r="EE1276" s="6"/>
      <c r="EF1276" s="6"/>
      <c r="EG1276" s="6"/>
      <c r="EH1276" s="6"/>
      <c r="EI1276" s="6"/>
      <c r="EJ1276" s="6"/>
      <c r="EK1276" s="6"/>
      <c r="EL1276" s="6"/>
      <c r="EM1276" s="6"/>
      <c r="EN1276" s="6"/>
      <c r="EO1276" s="6"/>
      <c r="EP1276" s="6"/>
      <c r="EQ1276" s="6"/>
      <c r="ER1276" s="6"/>
      <c r="ES1276" s="6"/>
      <c r="ET1276" s="6"/>
      <c r="EU1276" s="6"/>
      <c r="EV1276" s="6"/>
      <c r="EW1276" s="6"/>
      <c r="EX1276" s="6"/>
      <c r="EY1276" s="6"/>
      <c r="EZ1276" s="6"/>
      <c r="FA1276" s="6"/>
      <c r="FB1276" s="6"/>
      <c r="FC1276" s="6"/>
      <c r="FD1276" s="6"/>
      <c r="FE1276" s="6"/>
      <c r="FF1276" s="6"/>
      <c r="FG1276" s="6"/>
      <c r="FH1276" s="6"/>
      <c r="FI1276" s="6"/>
      <c r="FJ1276" s="6"/>
      <c r="FK1276" s="6"/>
      <c r="FL1276" s="6"/>
      <c r="FM1276" s="6"/>
      <c r="FN1276" s="6"/>
      <c r="FO1276" s="6"/>
      <c r="FP1276" s="6"/>
      <c r="FQ1276" s="6"/>
      <c r="FR1276" s="6"/>
      <c r="FS1276" s="6"/>
      <c r="FT1276" s="6"/>
      <c r="FU1276" s="6"/>
      <c r="FV1276" s="6"/>
      <c r="FW1276" s="6"/>
      <c r="FX1276" s="6"/>
      <c r="FY1276" s="6"/>
      <c r="FZ1276" s="6"/>
      <c r="GA1276" s="6"/>
      <c r="GB1276" s="6"/>
      <c r="GC1276" s="6"/>
      <c r="GD1276" s="6"/>
      <c r="GE1276" s="6"/>
      <c r="GF1276" s="6"/>
      <c r="GG1276" s="6"/>
      <c r="GH1276" s="6"/>
      <c r="GI1276" s="6"/>
      <c r="GJ1276" s="6"/>
      <c r="GK1276" s="6"/>
      <c r="GL1276" s="6"/>
      <c r="GM1276" s="6"/>
      <c r="GN1276" s="6"/>
      <c r="GO1276" s="6"/>
      <c r="GP1276" s="6"/>
      <c r="GQ1276" s="6"/>
      <c r="GR1276" s="6"/>
      <c r="GS1276" s="6"/>
      <c r="GT1276" s="6"/>
      <c r="GU1276" s="6"/>
      <c r="GV1276" s="6"/>
      <c r="GW1276" s="6"/>
      <c r="GX1276" s="6"/>
      <c r="GY1276" s="6"/>
      <c r="GZ1276" s="6"/>
      <c r="HA1276" s="6"/>
      <c r="HB1276" s="6"/>
      <c r="HC1276" s="6"/>
      <c r="HD1276" s="6"/>
      <c r="HE1276" s="6"/>
      <c r="HF1276" s="6"/>
      <c r="HG1276" s="6"/>
      <c r="HH1276" s="6"/>
    </row>
    <row r="1277" spans="1:216" x14ac:dyDescent="0.3">
      <c r="A1277" s="8"/>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6"/>
      <c r="AR1277" s="6"/>
      <c r="AS1277" s="6"/>
      <c r="AT1277" s="6"/>
      <c r="AU1277" s="6"/>
      <c r="AV1277" s="6"/>
      <c r="AW1277" s="6"/>
      <c r="AX1277" s="6"/>
      <c r="AY1277" s="6"/>
      <c r="AZ1277" s="6"/>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c r="DX1277" s="6"/>
      <c r="DY1277" s="6"/>
      <c r="DZ1277" s="6"/>
      <c r="EA1277" s="6"/>
      <c r="EB1277" s="6"/>
      <c r="EC1277" s="6"/>
      <c r="ED1277" s="6"/>
      <c r="EE1277" s="6"/>
      <c r="EF1277" s="6"/>
      <c r="EG1277" s="6"/>
      <c r="EH1277" s="6"/>
      <c r="EI1277" s="6"/>
      <c r="EJ1277" s="6"/>
      <c r="EK1277" s="6"/>
      <c r="EL1277" s="6"/>
      <c r="EM1277" s="6"/>
      <c r="EN1277" s="6"/>
      <c r="EO1277" s="6"/>
      <c r="EP1277" s="6"/>
      <c r="EQ1277" s="6"/>
      <c r="ER1277" s="6"/>
      <c r="ES1277" s="6"/>
      <c r="ET1277" s="6"/>
      <c r="EU1277" s="6"/>
      <c r="EV1277" s="6"/>
      <c r="EW1277" s="6"/>
      <c r="EX1277" s="6"/>
      <c r="EY1277" s="6"/>
      <c r="EZ1277" s="6"/>
      <c r="FA1277" s="6"/>
      <c r="FB1277" s="6"/>
      <c r="FC1277" s="6"/>
      <c r="FD1277" s="6"/>
      <c r="FE1277" s="6"/>
      <c r="FF1277" s="6"/>
      <c r="FG1277" s="6"/>
      <c r="FH1277" s="6"/>
      <c r="FI1277" s="6"/>
      <c r="FJ1277" s="6"/>
      <c r="FK1277" s="6"/>
      <c r="FL1277" s="6"/>
      <c r="FM1277" s="6"/>
      <c r="FN1277" s="6"/>
      <c r="FO1277" s="6"/>
      <c r="FP1277" s="6"/>
      <c r="FQ1277" s="6"/>
      <c r="FR1277" s="6"/>
      <c r="FS1277" s="6"/>
      <c r="FT1277" s="6"/>
      <c r="FU1277" s="6"/>
      <c r="FV1277" s="6"/>
      <c r="FW1277" s="6"/>
      <c r="FX1277" s="6"/>
      <c r="FY1277" s="6"/>
      <c r="FZ1277" s="6"/>
      <c r="GA1277" s="6"/>
      <c r="GB1277" s="6"/>
      <c r="GC1277" s="6"/>
      <c r="GD1277" s="6"/>
      <c r="GE1277" s="6"/>
      <c r="GF1277" s="6"/>
      <c r="GG1277" s="6"/>
      <c r="GH1277" s="6"/>
      <c r="GI1277" s="6"/>
      <c r="GJ1277" s="6"/>
      <c r="GK1277" s="6"/>
      <c r="GL1277" s="6"/>
      <c r="GM1277" s="6"/>
      <c r="GN1277" s="6"/>
      <c r="GO1277" s="6"/>
      <c r="GP1277" s="6"/>
      <c r="GQ1277" s="6"/>
      <c r="GR1277" s="6"/>
      <c r="GS1277" s="6"/>
      <c r="GT1277" s="6"/>
      <c r="GU1277" s="6"/>
      <c r="GV1277" s="6"/>
      <c r="GW1277" s="6"/>
      <c r="GX1277" s="6"/>
      <c r="GY1277" s="6"/>
      <c r="GZ1277" s="6"/>
      <c r="HA1277" s="6"/>
      <c r="HB1277" s="6"/>
      <c r="HC1277" s="6"/>
      <c r="HD1277" s="6"/>
      <c r="HE1277" s="6"/>
      <c r="HF1277" s="6"/>
      <c r="HG1277" s="6"/>
      <c r="HH1277" s="6"/>
    </row>
    <row r="1278" spans="1:216" x14ac:dyDescent="0.3">
      <c r="A1278" s="8"/>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6"/>
      <c r="AR1278" s="6"/>
      <c r="AS1278" s="6"/>
      <c r="AT1278" s="6"/>
      <c r="AU1278" s="6"/>
      <c r="AV1278" s="6"/>
      <c r="AW1278" s="6"/>
      <c r="AX1278" s="6"/>
      <c r="AY1278" s="6"/>
      <c r="AZ1278" s="6"/>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c r="DX1278" s="6"/>
      <c r="DY1278" s="6"/>
      <c r="DZ1278" s="6"/>
      <c r="EA1278" s="6"/>
      <c r="EB1278" s="6"/>
      <c r="EC1278" s="6"/>
      <c r="ED1278" s="6"/>
      <c r="EE1278" s="6"/>
      <c r="EF1278" s="6"/>
      <c r="EG1278" s="6"/>
      <c r="EH1278" s="6"/>
      <c r="EI1278" s="6"/>
      <c r="EJ1278" s="6"/>
      <c r="EK1278" s="6"/>
      <c r="EL1278" s="6"/>
      <c r="EM1278" s="6"/>
      <c r="EN1278" s="6"/>
      <c r="EO1278" s="6"/>
      <c r="EP1278" s="6"/>
      <c r="EQ1278" s="6"/>
      <c r="ER1278" s="6"/>
      <c r="ES1278" s="6"/>
      <c r="ET1278" s="6"/>
      <c r="EU1278" s="6"/>
      <c r="EV1278" s="6"/>
      <c r="EW1278" s="6"/>
      <c r="EX1278" s="6"/>
      <c r="EY1278" s="6"/>
      <c r="EZ1278" s="6"/>
      <c r="FA1278" s="6"/>
      <c r="FB1278" s="6"/>
      <c r="FC1278" s="6"/>
      <c r="FD1278" s="6"/>
      <c r="FE1278" s="6"/>
      <c r="FF1278" s="6"/>
      <c r="FG1278" s="6"/>
      <c r="FH1278" s="6"/>
      <c r="FI1278" s="6"/>
      <c r="FJ1278" s="6"/>
      <c r="FK1278" s="6"/>
      <c r="FL1278" s="6"/>
      <c r="FM1278" s="6"/>
      <c r="FN1278" s="6"/>
      <c r="FO1278" s="6"/>
      <c r="FP1278" s="6"/>
      <c r="FQ1278" s="6"/>
      <c r="FR1278" s="6"/>
      <c r="FS1278" s="6"/>
      <c r="FT1278" s="6"/>
      <c r="FU1278" s="6"/>
      <c r="FV1278" s="6"/>
      <c r="FW1278" s="6"/>
      <c r="FX1278" s="6"/>
      <c r="FY1278" s="6"/>
      <c r="FZ1278" s="6"/>
      <c r="GA1278" s="6"/>
      <c r="GB1278" s="6"/>
      <c r="GC1278" s="6"/>
      <c r="GD1278" s="6"/>
      <c r="GE1278" s="6"/>
      <c r="GF1278" s="6"/>
      <c r="GG1278" s="6"/>
      <c r="GH1278" s="6"/>
      <c r="GI1278" s="6"/>
      <c r="GJ1278" s="6"/>
      <c r="GK1278" s="6"/>
      <c r="GL1278" s="6"/>
      <c r="GM1278" s="6"/>
      <c r="GN1278" s="6"/>
      <c r="GO1278" s="6"/>
      <c r="GP1278" s="6"/>
      <c r="GQ1278" s="6"/>
      <c r="GR1278" s="6"/>
      <c r="GS1278" s="6"/>
      <c r="GT1278" s="6"/>
      <c r="GU1278" s="6"/>
      <c r="GV1278" s="6"/>
      <c r="GW1278" s="6"/>
      <c r="GX1278" s="6"/>
      <c r="GY1278" s="6"/>
      <c r="GZ1278" s="6"/>
      <c r="HA1278" s="6"/>
      <c r="HB1278" s="6"/>
      <c r="HC1278" s="6"/>
      <c r="HD1278" s="6"/>
      <c r="HE1278" s="6"/>
      <c r="HF1278" s="6"/>
      <c r="HG1278" s="6"/>
      <c r="HH1278" s="6"/>
    </row>
    <row r="1279" spans="1:216" x14ac:dyDescent="0.3">
      <c r="A1279" s="8"/>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6"/>
      <c r="AR1279" s="6"/>
      <c r="AS1279" s="6"/>
      <c r="AT1279" s="6"/>
      <c r="AU1279" s="6"/>
      <c r="AV1279" s="6"/>
      <c r="AW1279" s="6"/>
      <c r="AX1279" s="6"/>
      <c r="AY1279" s="6"/>
      <c r="AZ1279" s="6"/>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c r="DX1279" s="6"/>
      <c r="DY1279" s="6"/>
      <c r="DZ1279" s="6"/>
      <c r="EA1279" s="6"/>
      <c r="EB1279" s="6"/>
      <c r="EC1279" s="6"/>
      <c r="ED1279" s="6"/>
      <c r="EE1279" s="6"/>
      <c r="EF1279" s="6"/>
      <c r="EG1279" s="6"/>
      <c r="EH1279" s="6"/>
      <c r="EI1279" s="6"/>
      <c r="EJ1279" s="6"/>
      <c r="EK1279" s="6"/>
      <c r="EL1279" s="6"/>
      <c r="EM1279" s="6"/>
      <c r="EN1279" s="6"/>
      <c r="EO1279" s="6"/>
      <c r="EP1279" s="6"/>
      <c r="EQ1279" s="6"/>
      <c r="ER1279" s="6"/>
      <c r="ES1279" s="6"/>
      <c r="ET1279" s="6"/>
      <c r="EU1279" s="6"/>
      <c r="EV1279" s="6"/>
      <c r="EW1279" s="6"/>
      <c r="EX1279" s="6"/>
      <c r="EY1279" s="6"/>
      <c r="EZ1279" s="6"/>
      <c r="FA1279" s="6"/>
      <c r="FB1279" s="6"/>
      <c r="FC1279" s="6"/>
      <c r="FD1279" s="6"/>
      <c r="FE1279" s="6"/>
      <c r="FF1279" s="6"/>
      <c r="FG1279" s="6"/>
      <c r="FH1279" s="6"/>
      <c r="FI1279" s="6"/>
      <c r="FJ1279" s="6"/>
      <c r="FK1279" s="6"/>
      <c r="FL1279" s="6"/>
      <c r="FM1279" s="6"/>
      <c r="FN1279" s="6"/>
      <c r="FO1279" s="6"/>
      <c r="FP1279" s="6"/>
      <c r="FQ1279" s="6"/>
      <c r="FR1279" s="6"/>
      <c r="FS1279" s="6"/>
      <c r="FT1279" s="6"/>
      <c r="FU1279" s="6"/>
      <c r="FV1279" s="6"/>
      <c r="FW1279" s="6"/>
      <c r="FX1279" s="6"/>
      <c r="FY1279" s="6"/>
      <c r="FZ1279" s="6"/>
      <c r="GA1279" s="6"/>
      <c r="GB1279" s="6"/>
      <c r="GC1279" s="6"/>
      <c r="GD1279" s="6"/>
      <c r="GE1279" s="6"/>
      <c r="GF1279" s="6"/>
      <c r="GG1279" s="6"/>
      <c r="GH1279" s="6"/>
      <c r="GI1279" s="6"/>
      <c r="GJ1279" s="6"/>
      <c r="GK1279" s="6"/>
      <c r="GL1279" s="6"/>
      <c r="GM1279" s="6"/>
      <c r="GN1279" s="6"/>
      <c r="GO1279" s="6"/>
      <c r="GP1279" s="6"/>
      <c r="GQ1279" s="6"/>
      <c r="GR1279" s="6"/>
      <c r="GS1279" s="6"/>
      <c r="GT1279" s="6"/>
      <c r="GU1279" s="6"/>
      <c r="GV1279" s="6"/>
      <c r="GW1279" s="6"/>
      <c r="GX1279" s="6"/>
      <c r="GY1279" s="6"/>
      <c r="GZ1279" s="6"/>
      <c r="HA1279" s="6"/>
      <c r="HB1279" s="6"/>
      <c r="HC1279" s="6"/>
      <c r="HD1279" s="6"/>
      <c r="HE1279" s="6"/>
      <c r="HF1279" s="6"/>
      <c r="HG1279" s="6"/>
      <c r="HH1279" s="6"/>
    </row>
    <row r="1280" spans="1:216" x14ac:dyDescent="0.3">
      <c r="A1280" s="8"/>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6"/>
      <c r="AR1280" s="6"/>
      <c r="AS1280" s="6"/>
      <c r="AT1280" s="6"/>
      <c r="AU1280" s="6"/>
      <c r="AV1280" s="6"/>
      <c r="AW1280" s="6"/>
      <c r="AX1280" s="6"/>
      <c r="AY1280" s="6"/>
      <c r="AZ1280" s="6"/>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c r="DX1280" s="6"/>
      <c r="DY1280" s="6"/>
      <c r="DZ1280" s="6"/>
      <c r="EA1280" s="6"/>
      <c r="EB1280" s="6"/>
      <c r="EC1280" s="6"/>
      <c r="ED1280" s="6"/>
      <c r="EE1280" s="6"/>
      <c r="EF1280" s="6"/>
      <c r="EG1280" s="6"/>
      <c r="EH1280" s="6"/>
      <c r="EI1280" s="6"/>
      <c r="EJ1280" s="6"/>
      <c r="EK1280" s="6"/>
      <c r="EL1280" s="6"/>
      <c r="EM1280" s="6"/>
      <c r="EN1280" s="6"/>
      <c r="EO1280" s="6"/>
      <c r="EP1280" s="6"/>
      <c r="EQ1280" s="6"/>
      <c r="ER1280" s="6"/>
      <c r="ES1280" s="6"/>
      <c r="ET1280" s="6"/>
      <c r="EU1280" s="6"/>
      <c r="EV1280" s="6"/>
      <c r="EW1280" s="6"/>
      <c r="EX1280" s="6"/>
      <c r="EY1280" s="6"/>
      <c r="EZ1280" s="6"/>
      <c r="FA1280" s="6"/>
      <c r="FB1280" s="6"/>
      <c r="FC1280" s="6"/>
      <c r="FD1280" s="6"/>
      <c r="FE1280" s="6"/>
      <c r="FF1280" s="6"/>
      <c r="FG1280" s="6"/>
      <c r="FH1280" s="6"/>
      <c r="FI1280" s="6"/>
      <c r="FJ1280" s="6"/>
      <c r="FK1280" s="6"/>
      <c r="FL1280" s="6"/>
      <c r="FM1280" s="6"/>
      <c r="FN1280" s="6"/>
      <c r="FO1280" s="6"/>
      <c r="FP1280" s="6"/>
      <c r="FQ1280" s="6"/>
      <c r="FR1280" s="6"/>
      <c r="FS1280" s="6"/>
      <c r="FT1280" s="6"/>
      <c r="FU1280" s="6"/>
      <c r="FV1280" s="6"/>
      <c r="FW1280" s="6"/>
      <c r="FX1280" s="6"/>
      <c r="FY1280" s="6"/>
      <c r="FZ1280" s="6"/>
      <c r="GA1280" s="6"/>
      <c r="GB1280" s="6"/>
      <c r="GC1280" s="6"/>
      <c r="GD1280" s="6"/>
      <c r="GE1280" s="6"/>
      <c r="GF1280" s="6"/>
      <c r="GG1280" s="6"/>
      <c r="GH1280" s="6"/>
      <c r="GI1280" s="6"/>
      <c r="GJ1280" s="6"/>
      <c r="GK1280" s="6"/>
      <c r="GL1280" s="6"/>
      <c r="GM1280" s="6"/>
      <c r="GN1280" s="6"/>
      <c r="GO1280" s="6"/>
      <c r="GP1280" s="6"/>
      <c r="GQ1280" s="6"/>
      <c r="GR1280" s="6"/>
      <c r="GS1280" s="6"/>
      <c r="GT1280" s="6"/>
      <c r="GU1280" s="6"/>
      <c r="GV1280" s="6"/>
      <c r="GW1280" s="6"/>
      <c r="GX1280" s="6"/>
      <c r="GY1280" s="6"/>
      <c r="GZ1280" s="6"/>
      <c r="HA1280" s="6"/>
      <c r="HB1280" s="6"/>
      <c r="HC1280" s="6"/>
      <c r="HD1280" s="6"/>
      <c r="HE1280" s="6"/>
      <c r="HF1280" s="6"/>
      <c r="HG1280" s="6"/>
      <c r="HH1280" s="6"/>
    </row>
    <row r="1281" spans="1:216" x14ac:dyDescent="0.3">
      <c r="A1281" s="8"/>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6"/>
      <c r="AR1281" s="6"/>
      <c r="AS1281" s="6"/>
      <c r="AT1281" s="6"/>
      <c r="AU1281" s="6"/>
      <c r="AV1281" s="6"/>
      <c r="AW1281" s="6"/>
      <c r="AX1281" s="6"/>
      <c r="AY1281" s="6"/>
      <c r="AZ1281" s="6"/>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c r="DX1281" s="6"/>
      <c r="DY1281" s="6"/>
      <c r="DZ1281" s="6"/>
      <c r="EA1281" s="6"/>
      <c r="EB1281" s="6"/>
      <c r="EC1281" s="6"/>
      <c r="ED1281" s="6"/>
      <c r="EE1281" s="6"/>
      <c r="EF1281" s="6"/>
      <c r="EG1281" s="6"/>
      <c r="EH1281" s="6"/>
      <c r="EI1281" s="6"/>
      <c r="EJ1281" s="6"/>
      <c r="EK1281" s="6"/>
      <c r="EL1281" s="6"/>
      <c r="EM1281" s="6"/>
      <c r="EN1281" s="6"/>
      <c r="EO1281" s="6"/>
      <c r="EP1281" s="6"/>
      <c r="EQ1281" s="6"/>
      <c r="ER1281" s="6"/>
      <c r="ES1281" s="6"/>
      <c r="ET1281" s="6"/>
      <c r="EU1281" s="6"/>
      <c r="EV1281" s="6"/>
      <c r="EW1281" s="6"/>
      <c r="EX1281" s="6"/>
      <c r="EY1281" s="6"/>
      <c r="EZ1281" s="6"/>
      <c r="FA1281" s="6"/>
      <c r="FB1281" s="6"/>
      <c r="FC1281" s="6"/>
      <c r="FD1281" s="6"/>
      <c r="FE1281" s="6"/>
      <c r="FF1281" s="6"/>
      <c r="FG1281" s="6"/>
      <c r="FH1281" s="6"/>
      <c r="FI1281" s="6"/>
      <c r="FJ1281" s="6"/>
      <c r="FK1281" s="6"/>
      <c r="FL1281" s="6"/>
      <c r="FM1281" s="6"/>
      <c r="FN1281" s="6"/>
      <c r="FO1281" s="6"/>
      <c r="FP1281" s="6"/>
      <c r="FQ1281" s="6"/>
      <c r="FR1281" s="6"/>
      <c r="FS1281" s="6"/>
      <c r="FT1281" s="6"/>
      <c r="FU1281" s="6"/>
      <c r="FV1281" s="6"/>
      <c r="FW1281" s="6"/>
      <c r="FX1281" s="6"/>
      <c r="FY1281" s="6"/>
      <c r="FZ1281" s="6"/>
      <c r="GA1281" s="6"/>
      <c r="GB1281" s="6"/>
      <c r="GC1281" s="6"/>
      <c r="GD1281" s="6"/>
      <c r="GE1281" s="6"/>
      <c r="GF1281" s="6"/>
      <c r="GG1281" s="6"/>
      <c r="GH1281" s="6"/>
      <c r="GI1281" s="6"/>
      <c r="GJ1281" s="6"/>
      <c r="GK1281" s="6"/>
      <c r="GL1281" s="6"/>
      <c r="GM1281" s="6"/>
      <c r="GN1281" s="6"/>
      <c r="GO1281" s="6"/>
      <c r="GP1281" s="6"/>
      <c r="GQ1281" s="6"/>
      <c r="GR1281" s="6"/>
      <c r="GS1281" s="6"/>
      <c r="GT1281" s="6"/>
      <c r="GU1281" s="6"/>
      <c r="GV1281" s="6"/>
      <c r="GW1281" s="6"/>
      <c r="GX1281" s="6"/>
      <c r="GY1281" s="6"/>
      <c r="GZ1281" s="6"/>
      <c r="HA1281" s="6"/>
      <c r="HB1281" s="6"/>
      <c r="HC1281" s="6"/>
      <c r="HD1281" s="6"/>
      <c r="HE1281" s="6"/>
      <c r="HF1281" s="6"/>
      <c r="HG1281" s="6"/>
      <c r="HH1281" s="6"/>
    </row>
    <row r="1282" spans="1:216" x14ac:dyDescent="0.3">
      <c r="A1282" s="8"/>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6"/>
      <c r="AR1282" s="6"/>
      <c r="AS1282" s="6"/>
      <c r="AT1282" s="6"/>
      <c r="AU1282" s="6"/>
      <c r="AV1282" s="6"/>
      <c r="AW1282" s="6"/>
      <c r="AX1282" s="6"/>
      <c r="AY1282" s="6"/>
      <c r="AZ1282" s="6"/>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c r="DX1282" s="6"/>
      <c r="DY1282" s="6"/>
      <c r="DZ1282" s="6"/>
      <c r="EA1282" s="6"/>
      <c r="EB1282" s="6"/>
      <c r="EC1282" s="6"/>
      <c r="ED1282" s="6"/>
      <c r="EE1282" s="6"/>
      <c r="EF1282" s="6"/>
      <c r="EG1282" s="6"/>
      <c r="EH1282" s="6"/>
      <c r="EI1282" s="6"/>
      <c r="EJ1282" s="6"/>
      <c r="EK1282" s="6"/>
      <c r="EL1282" s="6"/>
      <c r="EM1282" s="6"/>
      <c r="EN1282" s="6"/>
      <c r="EO1282" s="6"/>
      <c r="EP1282" s="6"/>
      <c r="EQ1282" s="6"/>
      <c r="ER1282" s="6"/>
      <c r="ES1282" s="6"/>
      <c r="ET1282" s="6"/>
      <c r="EU1282" s="6"/>
      <c r="EV1282" s="6"/>
      <c r="EW1282" s="6"/>
      <c r="EX1282" s="6"/>
      <c r="EY1282" s="6"/>
      <c r="EZ1282" s="6"/>
      <c r="FA1282" s="6"/>
      <c r="FB1282" s="6"/>
      <c r="FC1282" s="6"/>
      <c r="FD1282" s="6"/>
      <c r="FE1282" s="6"/>
      <c r="FF1282" s="6"/>
      <c r="FG1282" s="6"/>
      <c r="FH1282" s="6"/>
      <c r="FI1282" s="6"/>
      <c r="FJ1282" s="6"/>
      <c r="FK1282" s="6"/>
      <c r="FL1282" s="6"/>
      <c r="FM1282" s="6"/>
      <c r="FN1282" s="6"/>
      <c r="FO1282" s="6"/>
      <c r="FP1282" s="6"/>
      <c r="FQ1282" s="6"/>
      <c r="FR1282" s="6"/>
      <c r="FS1282" s="6"/>
      <c r="FT1282" s="6"/>
      <c r="FU1282" s="6"/>
      <c r="FV1282" s="6"/>
      <c r="FW1282" s="6"/>
      <c r="FX1282" s="6"/>
      <c r="FY1282" s="6"/>
      <c r="FZ1282" s="6"/>
      <c r="GA1282" s="6"/>
      <c r="GB1282" s="6"/>
      <c r="GC1282" s="6"/>
      <c r="GD1282" s="6"/>
      <c r="GE1282" s="6"/>
      <c r="GF1282" s="6"/>
      <c r="GG1282" s="6"/>
      <c r="GH1282" s="6"/>
      <c r="GI1282" s="6"/>
      <c r="GJ1282" s="6"/>
      <c r="GK1282" s="6"/>
      <c r="GL1282" s="6"/>
      <c r="GM1282" s="6"/>
      <c r="GN1282" s="6"/>
      <c r="GO1282" s="6"/>
      <c r="GP1282" s="6"/>
      <c r="GQ1282" s="6"/>
      <c r="GR1282" s="6"/>
      <c r="GS1282" s="6"/>
      <c r="GT1282" s="6"/>
      <c r="GU1282" s="6"/>
      <c r="GV1282" s="6"/>
      <c r="GW1282" s="6"/>
      <c r="GX1282" s="6"/>
      <c r="GY1282" s="6"/>
      <c r="GZ1282" s="6"/>
      <c r="HA1282" s="6"/>
      <c r="HB1282" s="6"/>
      <c r="HC1282" s="6"/>
      <c r="HD1282" s="6"/>
      <c r="HE1282" s="6"/>
      <c r="HF1282" s="6"/>
      <c r="HG1282" s="6"/>
      <c r="HH1282" s="6"/>
    </row>
    <row r="1283" spans="1:216" x14ac:dyDescent="0.3">
      <c r="A1283" s="8"/>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6"/>
      <c r="AR1283" s="6"/>
      <c r="AS1283" s="6"/>
      <c r="AT1283" s="6"/>
      <c r="AU1283" s="6"/>
      <c r="AV1283" s="6"/>
      <c r="AW1283" s="6"/>
      <c r="AX1283" s="6"/>
      <c r="AY1283" s="6"/>
      <c r="AZ1283" s="6"/>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c r="DX1283" s="6"/>
      <c r="DY1283" s="6"/>
      <c r="DZ1283" s="6"/>
      <c r="EA1283" s="6"/>
      <c r="EB1283" s="6"/>
      <c r="EC1283" s="6"/>
      <c r="ED1283" s="6"/>
      <c r="EE1283" s="6"/>
      <c r="EF1283" s="6"/>
      <c r="EG1283" s="6"/>
      <c r="EH1283" s="6"/>
      <c r="EI1283" s="6"/>
      <c r="EJ1283" s="6"/>
      <c r="EK1283" s="6"/>
      <c r="EL1283" s="6"/>
      <c r="EM1283" s="6"/>
      <c r="EN1283" s="6"/>
      <c r="EO1283" s="6"/>
      <c r="EP1283" s="6"/>
      <c r="EQ1283" s="6"/>
      <c r="ER1283" s="6"/>
      <c r="ES1283" s="6"/>
      <c r="ET1283" s="6"/>
      <c r="EU1283" s="6"/>
      <c r="EV1283" s="6"/>
      <c r="EW1283" s="6"/>
      <c r="EX1283" s="6"/>
      <c r="EY1283" s="6"/>
      <c r="EZ1283" s="6"/>
      <c r="FA1283" s="6"/>
      <c r="FB1283" s="6"/>
      <c r="FC1283" s="6"/>
      <c r="FD1283" s="6"/>
      <c r="FE1283" s="6"/>
      <c r="FF1283" s="6"/>
      <c r="FG1283" s="6"/>
      <c r="FH1283" s="6"/>
      <c r="FI1283" s="6"/>
      <c r="FJ1283" s="6"/>
      <c r="FK1283" s="6"/>
      <c r="FL1283" s="6"/>
      <c r="FM1283" s="6"/>
      <c r="FN1283" s="6"/>
      <c r="FO1283" s="6"/>
      <c r="FP1283" s="6"/>
      <c r="FQ1283" s="6"/>
      <c r="FR1283" s="6"/>
      <c r="FS1283" s="6"/>
      <c r="FT1283" s="6"/>
      <c r="FU1283" s="6"/>
      <c r="FV1283" s="6"/>
      <c r="FW1283" s="6"/>
      <c r="FX1283" s="6"/>
      <c r="FY1283" s="6"/>
      <c r="FZ1283" s="6"/>
      <c r="GA1283" s="6"/>
      <c r="GB1283" s="6"/>
      <c r="GC1283" s="6"/>
      <c r="GD1283" s="6"/>
      <c r="GE1283" s="6"/>
      <c r="GF1283" s="6"/>
      <c r="GG1283" s="6"/>
      <c r="GH1283" s="6"/>
      <c r="GI1283" s="6"/>
      <c r="GJ1283" s="6"/>
      <c r="GK1283" s="6"/>
      <c r="GL1283" s="6"/>
      <c r="GM1283" s="6"/>
      <c r="GN1283" s="6"/>
      <c r="GO1283" s="6"/>
      <c r="GP1283" s="6"/>
      <c r="GQ1283" s="6"/>
      <c r="GR1283" s="6"/>
      <c r="GS1283" s="6"/>
      <c r="GT1283" s="6"/>
      <c r="GU1283" s="6"/>
      <c r="GV1283" s="6"/>
      <c r="GW1283" s="6"/>
      <c r="GX1283" s="6"/>
      <c r="GY1283" s="6"/>
      <c r="GZ1283" s="6"/>
      <c r="HA1283" s="6"/>
      <c r="HB1283" s="6"/>
      <c r="HC1283" s="6"/>
      <c r="HD1283" s="6"/>
      <c r="HE1283" s="6"/>
      <c r="HF1283" s="6"/>
      <c r="HG1283" s="6"/>
      <c r="HH1283" s="6"/>
    </row>
    <row r="1284" spans="1:216" x14ac:dyDescent="0.3">
      <c r="A1284" s="8"/>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6"/>
      <c r="AR1284" s="6"/>
      <c r="AS1284" s="6"/>
      <c r="AT1284" s="6"/>
      <c r="AU1284" s="6"/>
      <c r="AV1284" s="6"/>
      <c r="AW1284" s="6"/>
      <c r="AX1284" s="6"/>
      <c r="AY1284" s="6"/>
      <c r="AZ1284" s="6"/>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c r="DX1284" s="6"/>
      <c r="DY1284" s="6"/>
      <c r="DZ1284" s="6"/>
      <c r="EA1284" s="6"/>
      <c r="EB1284" s="6"/>
      <c r="EC1284" s="6"/>
      <c r="ED1284" s="6"/>
      <c r="EE1284" s="6"/>
      <c r="EF1284" s="6"/>
      <c r="EG1284" s="6"/>
      <c r="EH1284" s="6"/>
      <c r="EI1284" s="6"/>
      <c r="EJ1284" s="6"/>
      <c r="EK1284" s="6"/>
      <c r="EL1284" s="6"/>
      <c r="EM1284" s="6"/>
      <c r="EN1284" s="6"/>
      <c r="EO1284" s="6"/>
      <c r="EP1284" s="6"/>
      <c r="EQ1284" s="6"/>
      <c r="ER1284" s="6"/>
      <c r="ES1284" s="6"/>
      <c r="ET1284" s="6"/>
      <c r="EU1284" s="6"/>
      <c r="EV1284" s="6"/>
      <c r="EW1284" s="6"/>
      <c r="EX1284" s="6"/>
      <c r="EY1284" s="6"/>
      <c r="EZ1284" s="6"/>
      <c r="FA1284" s="6"/>
      <c r="FB1284" s="6"/>
      <c r="FC1284" s="6"/>
      <c r="FD1284" s="6"/>
      <c r="FE1284" s="6"/>
      <c r="FF1284" s="6"/>
      <c r="FG1284" s="6"/>
      <c r="FH1284" s="6"/>
      <c r="FI1284" s="6"/>
      <c r="FJ1284" s="6"/>
      <c r="FK1284" s="6"/>
      <c r="FL1284" s="6"/>
      <c r="FM1284" s="6"/>
      <c r="FN1284" s="6"/>
      <c r="FO1284" s="6"/>
      <c r="FP1284" s="6"/>
      <c r="FQ1284" s="6"/>
      <c r="FR1284" s="6"/>
      <c r="FS1284" s="6"/>
      <c r="FT1284" s="6"/>
      <c r="FU1284" s="6"/>
      <c r="FV1284" s="6"/>
      <c r="FW1284" s="6"/>
      <c r="FX1284" s="6"/>
      <c r="FY1284" s="6"/>
      <c r="FZ1284" s="6"/>
      <c r="GA1284" s="6"/>
      <c r="GB1284" s="6"/>
      <c r="GC1284" s="6"/>
      <c r="GD1284" s="6"/>
      <c r="GE1284" s="6"/>
      <c r="GF1284" s="6"/>
      <c r="GG1284" s="6"/>
      <c r="GH1284" s="6"/>
      <c r="GI1284" s="6"/>
      <c r="GJ1284" s="6"/>
      <c r="GK1284" s="6"/>
      <c r="GL1284" s="6"/>
      <c r="GM1284" s="6"/>
      <c r="GN1284" s="6"/>
      <c r="GO1284" s="6"/>
      <c r="GP1284" s="6"/>
      <c r="GQ1284" s="6"/>
      <c r="GR1284" s="6"/>
      <c r="GS1284" s="6"/>
      <c r="GT1284" s="6"/>
      <c r="GU1284" s="6"/>
      <c r="GV1284" s="6"/>
      <c r="GW1284" s="6"/>
      <c r="GX1284" s="6"/>
      <c r="GY1284" s="6"/>
      <c r="GZ1284" s="6"/>
      <c r="HA1284" s="6"/>
      <c r="HB1284" s="6"/>
      <c r="HC1284" s="6"/>
      <c r="HD1284" s="6"/>
      <c r="HE1284" s="6"/>
      <c r="HF1284" s="6"/>
      <c r="HG1284" s="6"/>
      <c r="HH1284" s="6"/>
    </row>
    <row r="1285" spans="1:216" x14ac:dyDescent="0.3">
      <c r="A1285" s="8"/>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6"/>
      <c r="AR1285" s="6"/>
      <c r="AS1285" s="6"/>
      <c r="AT1285" s="6"/>
      <c r="AU1285" s="6"/>
      <c r="AV1285" s="6"/>
      <c r="AW1285" s="6"/>
      <c r="AX1285" s="6"/>
      <c r="AY1285" s="6"/>
      <c r="AZ1285" s="6"/>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c r="DX1285" s="6"/>
      <c r="DY1285" s="6"/>
      <c r="DZ1285" s="6"/>
      <c r="EA1285" s="6"/>
      <c r="EB1285" s="6"/>
      <c r="EC1285" s="6"/>
      <c r="ED1285" s="6"/>
      <c r="EE1285" s="6"/>
      <c r="EF1285" s="6"/>
      <c r="EG1285" s="6"/>
      <c r="EH1285" s="6"/>
      <c r="EI1285" s="6"/>
      <c r="EJ1285" s="6"/>
      <c r="EK1285" s="6"/>
      <c r="EL1285" s="6"/>
      <c r="EM1285" s="6"/>
      <c r="EN1285" s="6"/>
      <c r="EO1285" s="6"/>
      <c r="EP1285" s="6"/>
      <c r="EQ1285" s="6"/>
      <c r="ER1285" s="6"/>
      <c r="ES1285" s="6"/>
      <c r="ET1285" s="6"/>
      <c r="EU1285" s="6"/>
      <c r="EV1285" s="6"/>
      <c r="EW1285" s="6"/>
      <c r="EX1285" s="6"/>
      <c r="EY1285" s="6"/>
      <c r="EZ1285" s="6"/>
      <c r="FA1285" s="6"/>
      <c r="FB1285" s="6"/>
      <c r="FC1285" s="6"/>
      <c r="FD1285" s="6"/>
      <c r="FE1285" s="6"/>
      <c r="FF1285" s="6"/>
      <c r="FG1285" s="6"/>
      <c r="FH1285" s="6"/>
      <c r="FI1285" s="6"/>
      <c r="FJ1285" s="6"/>
      <c r="FK1285" s="6"/>
      <c r="FL1285" s="6"/>
      <c r="FM1285" s="6"/>
      <c r="FN1285" s="6"/>
      <c r="FO1285" s="6"/>
      <c r="FP1285" s="6"/>
      <c r="FQ1285" s="6"/>
      <c r="FR1285" s="6"/>
      <c r="FS1285" s="6"/>
      <c r="FT1285" s="6"/>
      <c r="FU1285" s="6"/>
      <c r="FV1285" s="6"/>
      <c r="FW1285" s="6"/>
      <c r="FX1285" s="6"/>
      <c r="FY1285" s="6"/>
      <c r="FZ1285" s="6"/>
      <c r="GA1285" s="6"/>
      <c r="GB1285" s="6"/>
      <c r="GC1285" s="6"/>
      <c r="GD1285" s="6"/>
      <c r="GE1285" s="6"/>
      <c r="GF1285" s="6"/>
      <c r="GG1285" s="6"/>
      <c r="GH1285" s="6"/>
      <c r="GI1285" s="6"/>
      <c r="GJ1285" s="6"/>
      <c r="GK1285" s="6"/>
      <c r="GL1285" s="6"/>
      <c r="GM1285" s="6"/>
      <c r="GN1285" s="6"/>
      <c r="GO1285" s="6"/>
      <c r="GP1285" s="6"/>
      <c r="GQ1285" s="6"/>
      <c r="GR1285" s="6"/>
      <c r="GS1285" s="6"/>
      <c r="GT1285" s="6"/>
      <c r="GU1285" s="6"/>
      <c r="GV1285" s="6"/>
      <c r="GW1285" s="6"/>
      <c r="GX1285" s="6"/>
      <c r="GY1285" s="6"/>
      <c r="GZ1285" s="6"/>
      <c r="HA1285" s="6"/>
      <c r="HB1285" s="6"/>
      <c r="HC1285" s="6"/>
      <c r="HD1285" s="6"/>
      <c r="HE1285" s="6"/>
      <c r="HF1285" s="6"/>
      <c r="HG1285" s="6"/>
      <c r="HH1285" s="6"/>
    </row>
    <row r="1286" spans="1:216" x14ac:dyDescent="0.3">
      <c r="A1286" s="8"/>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6"/>
      <c r="AR1286" s="6"/>
      <c r="AS1286" s="6"/>
      <c r="AT1286" s="6"/>
      <c r="AU1286" s="6"/>
      <c r="AV1286" s="6"/>
      <c r="AW1286" s="6"/>
      <c r="AX1286" s="6"/>
      <c r="AY1286" s="6"/>
      <c r="AZ1286" s="6"/>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c r="DX1286" s="6"/>
      <c r="DY1286" s="6"/>
      <c r="DZ1286" s="6"/>
      <c r="EA1286" s="6"/>
      <c r="EB1286" s="6"/>
      <c r="EC1286" s="6"/>
      <c r="ED1286" s="6"/>
      <c r="EE1286" s="6"/>
      <c r="EF1286" s="6"/>
      <c r="EG1286" s="6"/>
      <c r="EH1286" s="6"/>
      <c r="EI1286" s="6"/>
      <c r="EJ1286" s="6"/>
      <c r="EK1286" s="6"/>
      <c r="EL1286" s="6"/>
      <c r="EM1286" s="6"/>
      <c r="EN1286" s="6"/>
      <c r="EO1286" s="6"/>
      <c r="EP1286" s="6"/>
      <c r="EQ1286" s="6"/>
      <c r="ER1286" s="6"/>
      <c r="ES1286" s="6"/>
      <c r="ET1286" s="6"/>
      <c r="EU1286" s="6"/>
      <c r="EV1286" s="6"/>
      <c r="EW1286" s="6"/>
      <c r="EX1286" s="6"/>
      <c r="EY1286" s="6"/>
      <c r="EZ1286" s="6"/>
      <c r="FA1286" s="6"/>
      <c r="FB1286" s="6"/>
      <c r="FC1286" s="6"/>
      <c r="FD1286" s="6"/>
      <c r="FE1286" s="6"/>
      <c r="FF1286" s="6"/>
      <c r="FG1286" s="6"/>
      <c r="FH1286" s="6"/>
      <c r="FI1286" s="6"/>
      <c r="FJ1286" s="6"/>
      <c r="FK1286" s="6"/>
      <c r="FL1286" s="6"/>
      <c r="FM1286" s="6"/>
      <c r="FN1286" s="6"/>
      <c r="FO1286" s="6"/>
      <c r="FP1286" s="6"/>
      <c r="FQ1286" s="6"/>
      <c r="FR1286" s="6"/>
      <c r="FS1286" s="6"/>
      <c r="FT1286" s="6"/>
      <c r="FU1286" s="6"/>
      <c r="FV1286" s="6"/>
      <c r="FW1286" s="6"/>
      <c r="FX1286" s="6"/>
      <c r="FY1286" s="6"/>
      <c r="FZ1286" s="6"/>
      <c r="GA1286" s="6"/>
      <c r="GB1286" s="6"/>
      <c r="GC1286" s="6"/>
      <c r="GD1286" s="6"/>
      <c r="GE1286" s="6"/>
      <c r="GF1286" s="6"/>
      <c r="GG1286" s="6"/>
      <c r="GH1286" s="6"/>
      <c r="GI1286" s="6"/>
      <c r="GJ1286" s="6"/>
      <c r="GK1286" s="6"/>
      <c r="GL1286" s="6"/>
      <c r="GM1286" s="6"/>
      <c r="GN1286" s="6"/>
      <c r="GO1286" s="6"/>
      <c r="GP1286" s="6"/>
      <c r="GQ1286" s="6"/>
      <c r="GR1286" s="6"/>
      <c r="GS1286" s="6"/>
      <c r="GT1286" s="6"/>
      <c r="GU1286" s="6"/>
      <c r="GV1286" s="6"/>
      <c r="GW1286" s="6"/>
      <c r="GX1286" s="6"/>
      <c r="GY1286" s="6"/>
      <c r="GZ1286" s="6"/>
      <c r="HA1286" s="6"/>
      <c r="HB1286" s="6"/>
      <c r="HC1286" s="6"/>
      <c r="HD1286" s="6"/>
      <c r="HE1286" s="6"/>
      <c r="HF1286" s="6"/>
      <c r="HG1286" s="6"/>
      <c r="HH1286" s="6"/>
    </row>
    <row r="1287" spans="1:216" x14ac:dyDescent="0.3">
      <c r="A1287" s="8"/>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6"/>
      <c r="AR1287" s="6"/>
      <c r="AS1287" s="6"/>
      <c r="AT1287" s="6"/>
      <c r="AU1287" s="6"/>
      <c r="AV1287" s="6"/>
      <c r="AW1287" s="6"/>
      <c r="AX1287" s="6"/>
      <c r="AY1287" s="6"/>
      <c r="AZ1287" s="6"/>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c r="DX1287" s="6"/>
      <c r="DY1287" s="6"/>
      <c r="DZ1287" s="6"/>
      <c r="EA1287" s="6"/>
      <c r="EB1287" s="6"/>
      <c r="EC1287" s="6"/>
      <c r="ED1287" s="6"/>
      <c r="EE1287" s="6"/>
      <c r="EF1287" s="6"/>
      <c r="EG1287" s="6"/>
      <c r="EH1287" s="6"/>
      <c r="EI1287" s="6"/>
      <c r="EJ1287" s="6"/>
      <c r="EK1287" s="6"/>
      <c r="EL1287" s="6"/>
      <c r="EM1287" s="6"/>
      <c r="EN1287" s="6"/>
      <c r="EO1287" s="6"/>
      <c r="EP1287" s="6"/>
      <c r="EQ1287" s="6"/>
      <c r="ER1287" s="6"/>
      <c r="ES1287" s="6"/>
      <c r="ET1287" s="6"/>
      <c r="EU1287" s="6"/>
      <c r="EV1287" s="6"/>
      <c r="EW1287" s="6"/>
      <c r="EX1287" s="6"/>
      <c r="EY1287" s="6"/>
      <c r="EZ1287" s="6"/>
      <c r="FA1287" s="6"/>
      <c r="FB1287" s="6"/>
      <c r="FC1287" s="6"/>
      <c r="FD1287" s="6"/>
      <c r="FE1287" s="6"/>
      <c r="FF1287" s="6"/>
      <c r="FG1287" s="6"/>
      <c r="FH1287" s="6"/>
      <c r="FI1287" s="6"/>
      <c r="FJ1287" s="6"/>
      <c r="FK1287" s="6"/>
      <c r="FL1287" s="6"/>
      <c r="FM1287" s="6"/>
      <c r="FN1287" s="6"/>
      <c r="FO1287" s="6"/>
      <c r="FP1287" s="6"/>
      <c r="FQ1287" s="6"/>
      <c r="FR1287" s="6"/>
      <c r="FS1287" s="6"/>
      <c r="FT1287" s="6"/>
      <c r="FU1287" s="6"/>
      <c r="FV1287" s="6"/>
      <c r="FW1287" s="6"/>
      <c r="FX1287" s="6"/>
      <c r="FY1287" s="6"/>
      <c r="FZ1287" s="6"/>
      <c r="GA1287" s="6"/>
      <c r="GB1287" s="6"/>
      <c r="GC1287" s="6"/>
      <c r="GD1287" s="6"/>
      <c r="GE1287" s="6"/>
      <c r="GF1287" s="6"/>
      <c r="GG1287" s="6"/>
      <c r="GH1287" s="6"/>
      <c r="GI1287" s="6"/>
      <c r="GJ1287" s="6"/>
      <c r="GK1287" s="6"/>
      <c r="GL1287" s="6"/>
      <c r="GM1287" s="6"/>
      <c r="GN1287" s="6"/>
      <c r="GO1287" s="6"/>
      <c r="GP1287" s="6"/>
      <c r="GQ1287" s="6"/>
      <c r="GR1287" s="6"/>
      <c r="GS1287" s="6"/>
      <c r="GT1287" s="6"/>
      <c r="GU1287" s="6"/>
      <c r="GV1287" s="6"/>
      <c r="GW1287" s="6"/>
      <c r="GX1287" s="6"/>
      <c r="GY1287" s="6"/>
      <c r="GZ1287" s="6"/>
      <c r="HA1287" s="6"/>
      <c r="HB1287" s="6"/>
      <c r="HC1287" s="6"/>
      <c r="HD1287" s="6"/>
      <c r="HE1287" s="6"/>
      <c r="HF1287" s="6"/>
      <c r="HG1287" s="6"/>
      <c r="HH1287" s="6"/>
    </row>
    <row r="1288" spans="1:216" x14ac:dyDescent="0.3">
      <c r="A1288" s="8"/>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6"/>
      <c r="AR1288" s="6"/>
      <c r="AS1288" s="6"/>
      <c r="AT1288" s="6"/>
      <c r="AU1288" s="6"/>
      <c r="AV1288" s="6"/>
      <c r="AW1288" s="6"/>
      <c r="AX1288" s="6"/>
      <c r="AY1288" s="6"/>
      <c r="AZ1288" s="6"/>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c r="DX1288" s="6"/>
      <c r="DY1288" s="6"/>
      <c r="DZ1288" s="6"/>
      <c r="EA1288" s="6"/>
      <c r="EB1288" s="6"/>
      <c r="EC1288" s="6"/>
      <c r="ED1288" s="6"/>
      <c r="EE1288" s="6"/>
      <c r="EF1288" s="6"/>
      <c r="EG1288" s="6"/>
      <c r="EH1288" s="6"/>
      <c r="EI1288" s="6"/>
      <c r="EJ1288" s="6"/>
      <c r="EK1288" s="6"/>
      <c r="EL1288" s="6"/>
      <c r="EM1288" s="6"/>
      <c r="EN1288" s="6"/>
      <c r="EO1288" s="6"/>
      <c r="EP1288" s="6"/>
      <c r="EQ1288" s="6"/>
      <c r="ER1288" s="6"/>
      <c r="ES1288" s="6"/>
      <c r="ET1288" s="6"/>
      <c r="EU1288" s="6"/>
      <c r="EV1288" s="6"/>
      <c r="EW1288" s="6"/>
      <c r="EX1288" s="6"/>
      <c r="EY1288" s="6"/>
      <c r="EZ1288" s="6"/>
      <c r="FA1288" s="6"/>
      <c r="FB1288" s="6"/>
      <c r="FC1288" s="6"/>
      <c r="FD1288" s="6"/>
      <c r="FE1288" s="6"/>
      <c r="FF1288" s="6"/>
      <c r="FG1288" s="6"/>
      <c r="FH1288" s="6"/>
      <c r="FI1288" s="6"/>
      <c r="FJ1288" s="6"/>
      <c r="FK1288" s="6"/>
      <c r="FL1288" s="6"/>
      <c r="FM1288" s="6"/>
      <c r="FN1288" s="6"/>
      <c r="FO1288" s="6"/>
      <c r="FP1288" s="6"/>
      <c r="FQ1288" s="6"/>
      <c r="FR1288" s="6"/>
      <c r="FS1288" s="6"/>
      <c r="FT1288" s="6"/>
      <c r="FU1288" s="6"/>
      <c r="FV1288" s="6"/>
      <c r="FW1288" s="6"/>
      <c r="FX1288" s="6"/>
      <c r="FY1288" s="6"/>
      <c r="FZ1288" s="6"/>
      <c r="GA1288" s="6"/>
      <c r="GB1288" s="6"/>
      <c r="GC1288" s="6"/>
      <c r="GD1288" s="6"/>
      <c r="GE1288" s="6"/>
      <c r="GF1288" s="6"/>
      <c r="GG1288" s="6"/>
      <c r="GH1288" s="6"/>
      <c r="GI1288" s="6"/>
      <c r="GJ1288" s="6"/>
      <c r="GK1288" s="6"/>
      <c r="GL1288" s="6"/>
      <c r="GM1288" s="6"/>
      <c r="GN1288" s="6"/>
      <c r="GO1288" s="6"/>
      <c r="GP1288" s="6"/>
      <c r="GQ1288" s="6"/>
      <c r="GR1288" s="6"/>
      <c r="GS1288" s="6"/>
      <c r="GT1288" s="6"/>
      <c r="GU1288" s="6"/>
      <c r="GV1288" s="6"/>
      <c r="GW1288" s="6"/>
      <c r="GX1288" s="6"/>
      <c r="GY1288" s="6"/>
      <c r="GZ1288" s="6"/>
      <c r="HA1288" s="6"/>
      <c r="HB1288" s="6"/>
      <c r="HC1288" s="6"/>
      <c r="HD1288" s="6"/>
      <c r="HE1288" s="6"/>
      <c r="HF1288" s="6"/>
      <c r="HG1288" s="6"/>
      <c r="HH1288" s="6"/>
    </row>
    <row r="1289" spans="1:216" x14ac:dyDescent="0.3">
      <c r="A1289" s="8"/>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6"/>
      <c r="AR1289" s="6"/>
      <c r="AS1289" s="6"/>
      <c r="AT1289" s="6"/>
      <c r="AU1289" s="6"/>
      <c r="AV1289" s="6"/>
      <c r="AW1289" s="6"/>
      <c r="AX1289" s="6"/>
      <c r="AY1289" s="6"/>
      <c r="AZ1289" s="6"/>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c r="DX1289" s="6"/>
      <c r="DY1289" s="6"/>
      <c r="DZ1289" s="6"/>
      <c r="EA1289" s="6"/>
      <c r="EB1289" s="6"/>
      <c r="EC1289" s="6"/>
      <c r="ED1289" s="6"/>
      <c r="EE1289" s="6"/>
      <c r="EF1289" s="6"/>
      <c r="EG1289" s="6"/>
      <c r="EH1289" s="6"/>
      <c r="EI1289" s="6"/>
      <c r="EJ1289" s="6"/>
      <c r="EK1289" s="6"/>
      <c r="EL1289" s="6"/>
      <c r="EM1289" s="6"/>
      <c r="EN1289" s="6"/>
      <c r="EO1289" s="6"/>
      <c r="EP1289" s="6"/>
      <c r="EQ1289" s="6"/>
      <c r="ER1289" s="6"/>
      <c r="ES1289" s="6"/>
      <c r="ET1289" s="6"/>
      <c r="EU1289" s="6"/>
      <c r="EV1289" s="6"/>
      <c r="EW1289" s="6"/>
      <c r="EX1289" s="6"/>
      <c r="EY1289" s="6"/>
      <c r="EZ1289" s="6"/>
      <c r="FA1289" s="6"/>
      <c r="FB1289" s="6"/>
      <c r="FC1289" s="6"/>
      <c r="FD1289" s="6"/>
      <c r="FE1289" s="6"/>
      <c r="FF1289" s="6"/>
      <c r="FG1289" s="6"/>
      <c r="FH1289" s="6"/>
      <c r="FI1289" s="6"/>
      <c r="FJ1289" s="6"/>
      <c r="FK1289" s="6"/>
      <c r="FL1289" s="6"/>
      <c r="FM1289" s="6"/>
      <c r="FN1289" s="6"/>
      <c r="FO1289" s="6"/>
      <c r="FP1289" s="6"/>
      <c r="FQ1289" s="6"/>
      <c r="FR1289" s="6"/>
      <c r="FS1289" s="6"/>
      <c r="FT1289" s="6"/>
      <c r="FU1289" s="6"/>
      <c r="FV1289" s="6"/>
      <c r="FW1289" s="6"/>
      <c r="FX1289" s="6"/>
      <c r="FY1289" s="6"/>
      <c r="FZ1289" s="6"/>
      <c r="GA1289" s="6"/>
      <c r="GB1289" s="6"/>
      <c r="GC1289" s="6"/>
      <c r="GD1289" s="6"/>
      <c r="GE1289" s="6"/>
      <c r="GF1289" s="6"/>
      <c r="GG1289" s="6"/>
      <c r="GH1289" s="6"/>
      <c r="GI1289" s="6"/>
      <c r="GJ1289" s="6"/>
      <c r="GK1289" s="6"/>
      <c r="GL1289" s="6"/>
      <c r="GM1289" s="6"/>
      <c r="GN1289" s="6"/>
      <c r="GO1289" s="6"/>
      <c r="GP1289" s="6"/>
      <c r="GQ1289" s="6"/>
      <c r="GR1289" s="6"/>
      <c r="GS1289" s="6"/>
      <c r="GT1289" s="6"/>
      <c r="GU1289" s="6"/>
      <c r="GV1289" s="6"/>
      <c r="GW1289" s="6"/>
      <c r="GX1289" s="6"/>
      <c r="GY1289" s="6"/>
      <c r="GZ1289" s="6"/>
      <c r="HA1289" s="6"/>
      <c r="HB1289" s="6"/>
      <c r="HC1289" s="6"/>
      <c r="HD1289" s="6"/>
      <c r="HE1289" s="6"/>
      <c r="HF1289" s="6"/>
      <c r="HG1289" s="6"/>
      <c r="HH1289" s="6"/>
    </row>
    <row r="1290" spans="1:216" x14ac:dyDescent="0.3">
      <c r="A1290" s="8"/>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6"/>
      <c r="AR1290" s="6"/>
      <c r="AS1290" s="6"/>
      <c r="AT1290" s="6"/>
      <c r="AU1290" s="6"/>
      <c r="AV1290" s="6"/>
      <c r="AW1290" s="6"/>
      <c r="AX1290" s="6"/>
      <c r="AY1290" s="6"/>
      <c r="AZ1290" s="6"/>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c r="DX1290" s="6"/>
      <c r="DY1290" s="6"/>
      <c r="DZ1290" s="6"/>
      <c r="EA1290" s="6"/>
      <c r="EB1290" s="6"/>
      <c r="EC1290" s="6"/>
      <c r="ED1290" s="6"/>
      <c r="EE1290" s="6"/>
      <c r="EF1290" s="6"/>
      <c r="EG1290" s="6"/>
      <c r="EH1290" s="6"/>
      <c r="EI1290" s="6"/>
      <c r="EJ1290" s="6"/>
      <c r="EK1290" s="6"/>
      <c r="EL1290" s="6"/>
      <c r="EM1290" s="6"/>
      <c r="EN1290" s="6"/>
      <c r="EO1290" s="6"/>
      <c r="EP1290" s="6"/>
      <c r="EQ1290" s="6"/>
      <c r="ER1290" s="6"/>
      <c r="ES1290" s="6"/>
      <c r="ET1290" s="6"/>
      <c r="EU1290" s="6"/>
      <c r="EV1290" s="6"/>
      <c r="EW1290" s="6"/>
      <c r="EX1290" s="6"/>
      <c r="EY1290" s="6"/>
      <c r="EZ1290" s="6"/>
      <c r="FA1290" s="6"/>
      <c r="FB1290" s="6"/>
      <c r="FC1290" s="6"/>
      <c r="FD1290" s="6"/>
      <c r="FE1290" s="6"/>
      <c r="FF1290" s="6"/>
      <c r="FG1290" s="6"/>
      <c r="FH1290" s="6"/>
      <c r="FI1290" s="6"/>
      <c r="FJ1290" s="6"/>
      <c r="FK1290" s="6"/>
      <c r="FL1290" s="6"/>
      <c r="FM1290" s="6"/>
      <c r="FN1290" s="6"/>
      <c r="FO1290" s="6"/>
      <c r="FP1290" s="6"/>
      <c r="FQ1290" s="6"/>
      <c r="FR1290" s="6"/>
      <c r="FS1290" s="6"/>
      <c r="FT1290" s="6"/>
      <c r="FU1290" s="6"/>
      <c r="FV1290" s="6"/>
      <c r="FW1290" s="6"/>
      <c r="FX1290" s="6"/>
      <c r="FY1290" s="6"/>
      <c r="FZ1290" s="6"/>
      <c r="GA1290" s="6"/>
      <c r="GB1290" s="6"/>
      <c r="GC1290" s="6"/>
      <c r="GD1290" s="6"/>
      <c r="GE1290" s="6"/>
      <c r="GF1290" s="6"/>
      <c r="GG1290" s="6"/>
      <c r="GH1290" s="6"/>
      <c r="GI1290" s="6"/>
      <c r="GJ1290" s="6"/>
      <c r="GK1290" s="6"/>
      <c r="GL1290" s="6"/>
      <c r="GM1290" s="6"/>
      <c r="GN1290" s="6"/>
      <c r="GO1290" s="6"/>
      <c r="GP1290" s="6"/>
      <c r="GQ1290" s="6"/>
      <c r="GR1290" s="6"/>
      <c r="GS1290" s="6"/>
      <c r="GT1290" s="6"/>
      <c r="GU1290" s="6"/>
      <c r="GV1290" s="6"/>
      <c r="GW1290" s="6"/>
      <c r="GX1290" s="6"/>
      <c r="GY1290" s="6"/>
      <c r="GZ1290" s="6"/>
      <c r="HA1290" s="6"/>
      <c r="HB1290" s="6"/>
      <c r="HC1290" s="6"/>
      <c r="HD1290" s="6"/>
      <c r="HE1290" s="6"/>
      <c r="HF1290" s="6"/>
      <c r="HG1290" s="6"/>
      <c r="HH1290" s="6"/>
    </row>
    <row r="1291" spans="1:216" x14ac:dyDescent="0.3">
      <c r="A1291" s="8"/>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6"/>
      <c r="AR1291" s="6"/>
      <c r="AS1291" s="6"/>
      <c r="AT1291" s="6"/>
      <c r="AU1291" s="6"/>
      <c r="AV1291" s="6"/>
      <c r="AW1291" s="6"/>
      <c r="AX1291" s="6"/>
      <c r="AY1291" s="6"/>
      <c r="AZ1291" s="6"/>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c r="DX1291" s="6"/>
      <c r="DY1291" s="6"/>
      <c r="DZ1291" s="6"/>
      <c r="EA1291" s="6"/>
      <c r="EB1291" s="6"/>
      <c r="EC1291" s="6"/>
      <c r="ED1291" s="6"/>
      <c r="EE1291" s="6"/>
      <c r="EF1291" s="6"/>
      <c r="EG1291" s="6"/>
      <c r="EH1291" s="6"/>
      <c r="EI1291" s="6"/>
      <c r="EJ1291" s="6"/>
      <c r="EK1291" s="6"/>
      <c r="EL1291" s="6"/>
      <c r="EM1291" s="6"/>
      <c r="EN1291" s="6"/>
      <c r="EO1291" s="6"/>
      <c r="EP1291" s="6"/>
      <c r="EQ1291" s="6"/>
      <c r="ER1291" s="6"/>
      <c r="ES1291" s="6"/>
      <c r="ET1291" s="6"/>
      <c r="EU1291" s="6"/>
      <c r="EV1291" s="6"/>
      <c r="EW1291" s="6"/>
      <c r="EX1291" s="6"/>
      <c r="EY1291" s="6"/>
      <c r="EZ1291" s="6"/>
      <c r="FA1291" s="6"/>
      <c r="FB1291" s="6"/>
      <c r="FC1291" s="6"/>
      <c r="FD1291" s="6"/>
      <c r="FE1291" s="6"/>
      <c r="FF1291" s="6"/>
      <c r="FG1291" s="6"/>
      <c r="FH1291" s="6"/>
      <c r="FI1291" s="6"/>
      <c r="FJ1291" s="6"/>
      <c r="FK1291" s="6"/>
      <c r="FL1291" s="6"/>
      <c r="FM1291" s="6"/>
      <c r="FN1291" s="6"/>
      <c r="FO1291" s="6"/>
      <c r="FP1291" s="6"/>
      <c r="FQ1291" s="6"/>
      <c r="FR1291" s="6"/>
      <c r="FS1291" s="6"/>
      <c r="FT1291" s="6"/>
      <c r="FU1291" s="6"/>
      <c r="FV1291" s="6"/>
      <c r="FW1291" s="6"/>
      <c r="FX1291" s="6"/>
      <c r="FY1291" s="6"/>
      <c r="FZ1291" s="6"/>
      <c r="GA1291" s="6"/>
      <c r="GB1291" s="6"/>
      <c r="GC1291" s="6"/>
      <c r="GD1291" s="6"/>
      <c r="GE1291" s="6"/>
      <c r="GF1291" s="6"/>
      <c r="GG1291" s="6"/>
      <c r="GH1291" s="6"/>
      <c r="GI1291" s="6"/>
      <c r="GJ1291" s="6"/>
      <c r="GK1291" s="6"/>
      <c r="GL1291" s="6"/>
      <c r="GM1291" s="6"/>
      <c r="GN1291" s="6"/>
      <c r="GO1291" s="6"/>
      <c r="GP1291" s="6"/>
      <c r="GQ1291" s="6"/>
      <c r="GR1291" s="6"/>
      <c r="GS1291" s="6"/>
      <c r="GT1291" s="6"/>
      <c r="GU1291" s="6"/>
      <c r="GV1291" s="6"/>
      <c r="GW1291" s="6"/>
      <c r="GX1291" s="6"/>
      <c r="GY1291" s="6"/>
      <c r="GZ1291" s="6"/>
      <c r="HA1291" s="6"/>
      <c r="HB1291" s="6"/>
      <c r="HC1291" s="6"/>
      <c r="HD1291" s="6"/>
      <c r="HE1291" s="6"/>
      <c r="HF1291" s="6"/>
      <c r="HG1291" s="6"/>
      <c r="HH1291" s="6"/>
    </row>
    <row r="1292" spans="1:216" x14ac:dyDescent="0.3">
      <c r="A1292" s="8"/>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6"/>
      <c r="AR1292" s="6"/>
      <c r="AS1292" s="6"/>
      <c r="AT1292" s="6"/>
      <c r="AU1292" s="6"/>
      <c r="AV1292" s="6"/>
      <c r="AW1292" s="6"/>
      <c r="AX1292" s="6"/>
      <c r="AY1292" s="6"/>
      <c r="AZ1292" s="6"/>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c r="DX1292" s="6"/>
      <c r="DY1292" s="6"/>
      <c r="DZ1292" s="6"/>
      <c r="EA1292" s="6"/>
      <c r="EB1292" s="6"/>
      <c r="EC1292" s="6"/>
      <c r="ED1292" s="6"/>
      <c r="EE1292" s="6"/>
      <c r="EF1292" s="6"/>
      <c r="EG1292" s="6"/>
      <c r="EH1292" s="6"/>
      <c r="EI1292" s="6"/>
      <c r="EJ1292" s="6"/>
      <c r="EK1292" s="6"/>
      <c r="EL1292" s="6"/>
      <c r="EM1292" s="6"/>
      <c r="EN1292" s="6"/>
      <c r="EO1292" s="6"/>
      <c r="EP1292" s="6"/>
      <c r="EQ1292" s="6"/>
      <c r="ER1292" s="6"/>
      <c r="ES1292" s="6"/>
      <c r="ET1292" s="6"/>
      <c r="EU1292" s="6"/>
      <c r="EV1292" s="6"/>
      <c r="EW1292" s="6"/>
      <c r="EX1292" s="6"/>
      <c r="EY1292" s="6"/>
      <c r="EZ1292" s="6"/>
      <c r="FA1292" s="6"/>
      <c r="FB1292" s="6"/>
      <c r="FC1292" s="6"/>
      <c r="FD1292" s="6"/>
      <c r="FE1292" s="6"/>
      <c r="FF1292" s="6"/>
      <c r="FG1292" s="6"/>
      <c r="FH1292" s="6"/>
      <c r="FI1292" s="6"/>
      <c r="FJ1292" s="6"/>
      <c r="FK1292" s="6"/>
      <c r="FL1292" s="6"/>
      <c r="FM1292" s="6"/>
      <c r="FN1292" s="6"/>
      <c r="FO1292" s="6"/>
      <c r="FP1292" s="6"/>
      <c r="FQ1292" s="6"/>
      <c r="FR1292" s="6"/>
      <c r="FS1292" s="6"/>
      <c r="FT1292" s="6"/>
      <c r="FU1292" s="6"/>
      <c r="FV1292" s="6"/>
      <c r="FW1292" s="6"/>
      <c r="FX1292" s="6"/>
      <c r="FY1292" s="6"/>
      <c r="FZ1292" s="6"/>
      <c r="GA1292" s="6"/>
      <c r="GB1292" s="6"/>
      <c r="GC1292" s="6"/>
      <c r="GD1292" s="6"/>
      <c r="GE1292" s="6"/>
      <c r="GF1292" s="6"/>
      <c r="GG1292" s="6"/>
      <c r="GH1292" s="6"/>
      <c r="GI1292" s="6"/>
      <c r="GJ1292" s="6"/>
      <c r="GK1292" s="6"/>
      <c r="GL1292" s="6"/>
      <c r="GM1292" s="6"/>
      <c r="GN1292" s="6"/>
      <c r="GO1292" s="6"/>
      <c r="GP1292" s="6"/>
      <c r="GQ1292" s="6"/>
      <c r="GR1292" s="6"/>
      <c r="GS1292" s="6"/>
      <c r="GT1292" s="6"/>
      <c r="GU1292" s="6"/>
      <c r="GV1292" s="6"/>
      <c r="GW1292" s="6"/>
      <c r="GX1292" s="6"/>
      <c r="GY1292" s="6"/>
      <c r="GZ1292" s="6"/>
      <c r="HA1292" s="6"/>
      <c r="HB1292" s="6"/>
      <c r="HC1292" s="6"/>
      <c r="HD1292" s="6"/>
      <c r="HE1292" s="6"/>
      <c r="HF1292" s="6"/>
      <c r="HG1292" s="6"/>
      <c r="HH1292" s="6"/>
    </row>
    <row r="1293" spans="1:216" x14ac:dyDescent="0.3">
      <c r="A1293" s="8"/>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c r="DX1293" s="6"/>
      <c r="DY1293" s="6"/>
      <c r="DZ1293" s="6"/>
      <c r="EA1293" s="6"/>
      <c r="EB1293" s="6"/>
      <c r="EC1293" s="6"/>
      <c r="ED1293" s="6"/>
      <c r="EE1293" s="6"/>
      <c r="EF1293" s="6"/>
      <c r="EG1293" s="6"/>
      <c r="EH1293" s="6"/>
      <c r="EI1293" s="6"/>
      <c r="EJ1293" s="6"/>
      <c r="EK1293" s="6"/>
      <c r="EL1293" s="6"/>
      <c r="EM1293" s="6"/>
      <c r="EN1293" s="6"/>
      <c r="EO1293" s="6"/>
      <c r="EP1293" s="6"/>
      <c r="EQ1293" s="6"/>
      <c r="ER1293" s="6"/>
      <c r="ES1293" s="6"/>
      <c r="ET1293" s="6"/>
      <c r="EU1293" s="6"/>
      <c r="EV1293" s="6"/>
      <c r="EW1293" s="6"/>
      <c r="EX1293" s="6"/>
      <c r="EY1293" s="6"/>
      <c r="EZ1293" s="6"/>
      <c r="FA1293" s="6"/>
      <c r="FB1293" s="6"/>
      <c r="FC1293" s="6"/>
      <c r="FD1293" s="6"/>
      <c r="FE1293" s="6"/>
      <c r="FF1293" s="6"/>
      <c r="FG1293" s="6"/>
      <c r="FH1293" s="6"/>
      <c r="FI1293" s="6"/>
      <c r="FJ1293" s="6"/>
      <c r="FK1293" s="6"/>
      <c r="FL1293" s="6"/>
      <c r="FM1293" s="6"/>
      <c r="FN1293" s="6"/>
      <c r="FO1293" s="6"/>
      <c r="FP1293" s="6"/>
      <c r="FQ1293" s="6"/>
      <c r="FR1293" s="6"/>
      <c r="FS1293" s="6"/>
      <c r="FT1293" s="6"/>
      <c r="FU1293" s="6"/>
      <c r="FV1293" s="6"/>
      <c r="FW1293" s="6"/>
      <c r="FX1293" s="6"/>
      <c r="FY1293" s="6"/>
      <c r="FZ1293" s="6"/>
      <c r="GA1293" s="6"/>
      <c r="GB1293" s="6"/>
      <c r="GC1293" s="6"/>
      <c r="GD1293" s="6"/>
      <c r="GE1293" s="6"/>
      <c r="GF1293" s="6"/>
      <c r="GG1293" s="6"/>
      <c r="GH1293" s="6"/>
      <c r="GI1293" s="6"/>
      <c r="GJ1293" s="6"/>
      <c r="GK1293" s="6"/>
      <c r="GL1293" s="6"/>
      <c r="GM1293" s="6"/>
      <c r="GN1293" s="6"/>
      <c r="GO1293" s="6"/>
      <c r="GP1293" s="6"/>
      <c r="GQ1293" s="6"/>
      <c r="GR1293" s="6"/>
      <c r="GS1293" s="6"/>
      <c r="GT1293" s="6"/>
      <c r="GU1293" s="6"/>
      <c r="GV1293" s="6"/>
      <c r="GW1293" s="6"/>
      <c r="GX1293" s="6"/>
      <c r="GY1293" s="6"/>
      <c r="GZ1293" s="6"/>
      <c r="HA1293" s="6"/>
      <c r="HB1293" s="6"/>
      <c r="HC1293" s="6"/>
      <c r="HD1293" s="6"/>
      <c r="HE1293" s="6"/>
      <c r="HF1293" s="6"/>
      <c r="HG1293" s="6"/>
      <c r="HH1293" s="6"/>
    </row>
    <row r="1294" spans="1:216" x14ac:dyDescent="0.3">
      <c r="A1294" s="8"/>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6"/>
      <c r="AR1294" s="6"/>
      <c r="AS1294" s="6"/>
      <c r="AT1294" s="6"/>
      <c r="AU1294" s="6"/>
      <c r="AV1294" s="6"/>
      <c r="AW1294" s="6"/>
      <c r="AX1294" s="6"/>
      <c r="AY1294" s="6"/>
      <c r="AZ1294" s="6"/>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c r="DX1294" s="6"/>
      <c r="DY1294" s="6"/>
      <c r="DZ1294" s="6"/>
      <c r="EA1294" s="6"/>
      <c r="EB1294" s="6"/>
      <c r="EC1294" s="6"/>
      <c r="ED1294" s="6"/>
      <c r="EE1294" s="6"/>
      <c r="EF1294" s="6"/>
      <c r="EG1294" s="6"/>
      <c r="EH1294" s="6"/>
      <c r="EI1294" s="6"/>
      <c r="EJ1294" s="6"/>
      <c r="EK1294" s="6"/>
      <c r="EL1294" s="6"/>
      <c r="EM1294" s="6"/>
      <c r="EN1294" s="6"/>
      <c r="EO1294" s="6"/>
      <c r="EP1294" s="6"/>
      <c r="EQ1294" s="6"/>
      <c r="ER1294" s="6"/>
      <c r="ES1294" s="6"/>
      <c r="ET1294" s="6"/>
      <c r="EU1294" s="6"/>
      <c r="EV1294" s="6"/>
      <c r="EW1294" s="6"/>
      <c r="EX1294" s="6"/>
      <c r="EY1294" s="6"/>
      <c r="EZ1294" s="6"/>
      <c r="FA1294" s="6"/>
      <c r="FB1294" s="6"/>
      <c r="FC1294" s="6"/>
      <c r="FD1294" s="6"/>
      <c r="FE1294" s="6"/>
      <c r="FF1294" s="6"/>
      <c r="FG1294" s="6"/>
      <c r="FH1294" s="6"/>
      <c r="FI1294" s="6"/>
      <c r="FJ1294" s="6"/>
      <c r="FK1294" s="6"/>
      <c r="FL1294" s="6"/>
      <c r="FM1294" s="6"/>
      <c r="FN1294" s="6"/>
      <c r="FO1294" s="6"/>
      <c r="FP1294" s="6"/>
      <c r="FQ1294" s="6"/>
      <c r="FR1294" s="6"/>
      <c r="FS1294" s="6"/>
      <c r="FT1294" s="6"/>
      <c r="FU1294" s="6"/>
      <c r="FV1294" s="6"/>
      <c r="FW1294" s="6"/>
      <c r="FX1294" s="6"/>
      <c r="FY1294" s="6"/>
      <c r="FZ1294" s="6"/>
      <c r="GA1294" s="6"/>
      <c r="GB1294" s="6"/>
      <c r="GC1294" s="6"/>
      <c r="GD1294" s="6"/>
      <c r="GE1294" s="6"/>
      <c r="GF1294" s="6"/>
      <c r="GG1294" s="6"/>
      <c r="GH1294" s="6"/>
      <c r="GI1294" s="6"/>
      <c r="GJ1294" s="6"/>
      <c r="GK1294" s="6"/>
      <c r="GL1294" s="6"/>
      <c r="GM1294" s="6"/>
      <c r="GN1294" s="6"/>
      <c r="GO1294" s="6"/>
      <c r="GP1294" s="6"/>
      <c r="GQ1294" s="6"/>
      <c r="GR1294" s="6"/>
      <c r="GS1294" s="6"/>
      <c r="GT1294" s="6"/>
      <c r="GU1294" s="6"/>
      <c r="GV1294" s="6"/>
      <c r="GW1294" s="6"/>
      <c r="GX1294" s="6"/>
      <c r="GY1294" s="6"/>
      <c r="GZ1294" s="6"/>
      <c r="HA1294" s="6"/>
      <c r="HB1294" s="6"/>
      <c r="HC1294" s="6"/>
      <c r="HD1294" s="6"/>
      <c r="HE1294" s="6"/>
      <c r="HF1294" s="6"/>
      <c r="HG1294" s="6"/>
      <c r="HH1294" s="6"/>
    </row>
    <row r="1295" spans="1:216" x14ac:dyDescent="0.3">
      <c r="A1295" s="8"/>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6"/>
      <c r="AR1295" s="6"/>
      <c r="AS1295" s="6"/>
      <c r="AT1295" s="6"/>
      <c r="AU1295" s="6"/>
      <c r="AV1295" s="6"/>
      <c r="AW1295" s="6"/>
      <c r="AX1295" s="6"/>
      <c r="AY1295" s="6"/>
      <c r="AZ1295" s="6"/>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c r="DX1295" s="6"/>
      <c r="DY1295" s="6"/>
      <c r="DZ1295" s="6"/>
      <c r="EA1295" s="6"/>
      <c r="EB1295" s="6"/>
      <c r="EC1295" s="6"/>
      <c r="ED1295" s="6"/>
      <c r="EE1295" s="6"/>
      <c r="EF1295" s="6"/>
      <c r="EG1295" s="6"/>
      <c r="EH1295" s="6"/>
      <c r="EI1295" s="6"/>
      <c r="EJ1295" s="6"/>
      <c r="EK1295" s="6"/>
      <c r="EL1295" s="6"/>
      <c r="EM1295" s="6"/>
      <c r="EN1295" s="6"/>
      <c r="EO1295" s="6"/>
      <c r="EP1295" s="6"/>
      <c r="EQ1295" s="6"/>
      <c r="ER1295" s="6"/>
      <c r="ES1295" s="6"/>
      <c r="ET1295" s="6"/>
      <c r="EU1295" s="6"/>
      <c r="EV1295" s="6"/>
      <c r="EW1295" s="6"/>
      <c r="EX1295" s="6"/>
      <c r="EY1295" s="6"/>
      <c r="EZ1295" s="6"/>
      <c r="FA1295" s="6"/>
      <c r="FB1295" s="6"/>
      <c r="FC1295" s="6"/>
      <c r="FD1295" s="6"/>
      <c r="FE1295" s="6"/>
      <c r="FF1295" s="6"/>
      <c r="FG1295" s="6"/>
      <c r="FH1295" s="6"/>
      <c r="FI1295" s="6"/>
      <c r="FJ1295" s="6"/>
      <c r="FK1295" s="6"/>
      <c r="FL1295" s="6"/>
      <c r="FM1295" s="6"/>
      <c r="FN1295" s="6"/>
      <c r="FO1295" s="6"/>
      <c r="FP1295" s="6"/>
      <c r="FQ1295" s="6"/>
      <c r="FR1295" s="6"/>
      <c r="FS1295" s="6"/>
      <c r="FT1295" s="6"/>
      <c r="FU1295" s="6"/>
      <c r="FV1295" s="6"/>
      <c r="FW1295" s="6"/>
      <c r="FX1295" s="6"/>
      <c r="FY1295" s="6"/>
      <c r="FZ1295" s="6"/>
      <c r="GA1295" s="6"/>
      <c r="GB1295" s="6"/>
      <c r="GC1295" s="6"/>
      <c r="GD1295" s="6"/>
      <c r="GE1295" s="6"/>
      <c r="GF1295" s="6"/>
      <c r="GG1295" s="6"/>
      <c r="GH1295" s="6"/>
      <c r="GI1295" s="6"/>
      <c r="GJ1295" s="6"/>
      <c r="GK1295" s="6"/>
      <c r="GL1295" s="6"/>
      <c r="GM1295" s="6"/>
      <c r="GN1295" s="6"/>
      <c r="GO1295" s="6"/>
      <c r="GP1295" s="6"/>
      <c r="GQ1295" s="6"/>
      <c r="GR1295" s="6"/>
      <c r="GS1295" s="6"/>
      <c r="GT1295" s="6"/>
      <c r="GU1295" s="6"/>
      <c r="GV1295" s="6"/>
      <c r="GW1295" s="6"/>
      <c r="GX1295" s="6"/>
      <c r="GY1295" s="6"/>
      <c r="GZ1295" s="6"/>
      <c r="HA1295" s="6"/>
      <c r="HB1295" s="6"/>
      <c r="HC1295" s="6"/>
      <c r="HD1295" s="6"/>
      <c r="HE1295" s="6"/>
      <c r="HF1295" s="6"/>
      <c r="HG1295" s="6"/>
      <c r="HH1295" s="6"/>
    </row>
    <row r="1296" spans="1:216" x14ac:dyDescent="0.3">
      <c r="A1296" s="8"/>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6"/>
      <c r="AR1296" s="6"/>
      <c r="AS1296" s="6"/>
      <c r="AT1296" s="6"/>
      <c r="AU1296" s="6"/>
      <c r="AV1296" s="6"/>
      <c r="AW1296" s="6"/>
      <c r="AX1296" s="6"/>
      <c r="AY1296" s="6"/>
      <c r="AZ1296" s="6"/>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c r="DX1296" s="6"/>
      <c r="DY1296" s="6"/>
      <c r="DZ1296" s="6"/>
      <c r="EA1296" s="6"/>
      <c r="EB1296" s="6"/>
      <c r="EC1296" s="6"/>
      <c r="ED1296" s="6"/>
      <c r="EE1296" s="6"/>
      <c r="EF1296" s="6"/>
      <c r="EG1296" s="6"/>
      <c r="EH1296" s="6"/>
      <c r="EI1296" s="6"/>
      <c r="EJ1296" s="6"/>
      <c r="EK1296" s="6"/>
      <c r="EL1296" s="6"/>
      <c r="EM1296" s="6"/>
      <c r="EN1296" s="6"/>
      <c r="EO1296" s="6"/>
      <c r="EP1296" s="6"/>
      <c r="EQ1296" s="6"/>
      <c r="ER1296" s="6"/>
      <c r="ES1296" s="6"/>
      <c r="ET1296" s="6"/>
      <c r="EU1296" s="6"/>
      <c r="EV1296" s="6"/>
      <c r="EW1296" s="6"/>
      <c r="EX1296" s="6"/>
      <c r="EY1296" s="6"/>
      <c r="EZ1296" s="6"/>
      <c r="FA1296" s="6"/>
      <c r="FB1296" s="6"/>
      <c r="FC1296" s="6"/>
      <c r="FD1296" s="6"/>
      <c r="FE1296" s="6"/>
      <c r="FF1296" s="6"/>
      <c r="FG1296" s="6"/>
      <c r="FH1296" s="6"/>
      <c r="FI1296" s="6"/>
      <c r="FJ1296" s="6"/>
      <c r="FK1296" s="6"/>
      <c r="FL1296" s="6"/>
      <c r="FM1296" s="6"/>
      <c r="FN1296" s="6"/>
      <c r="FO1296" s="6"/>
      <c r="FP1296" s="6"/>
      <c r="FQ1296" s="6"/>
      <c r="FR1296" s="6"/>
      <c r="FS1296" s="6"/>
      <c r="FT1296" s="6"/>
      <c r="FU1296" s="6"/>
      <c r="FV1296" s="6"/>
      <c r="FW1296" s="6"/>
      <c r="FX1296" s="6"/>
      <c r="FY1296" s="6"/>
      <c r="FZ1296" s="6"/>
      <c r="GA1296" s="6"/>
      <c r="GB1296" s="6"/>
      <c r="GC1296" s="6"/>
      <c r="GD1296" s="6"/>
      <c r="GE1296" s="6"/>
      <c r="GF1296" s="6"/>
      <c r="GG1296" s="6"/>
      <c r="GH1296" s="6"/>
      <c r="GI1296" s="6"/>
      <c r="GJ1296" s="6"/>
      <c r="GK1296" s="6"/>
      <c r="GL1296" s="6"/>
      <c r="GM1296" s="6"/>
      <c r="GN1296" s="6"/>
      <c r="GO1296" s="6"/>
      <c r="GP1296" s="6"/>
      <c r="GQ1296" s="6"/>
      <c r="GR1296" s="6"/>
      <c r="GS1296" s="6"/>
      <c r="GT1296" s="6"/>
      <c r="GU1296" s="6"/>
      <c r="GV1296" s="6"/>
      <c r="GW1296" s="6"/>
      <c r="GX1296" s="6"/>
      <c r="GY1296" s="6"/>
      <c r="GZ1296" s="6"/>
      <c r="HA1296" s="6"/>
      <c r="HB1296" s="6"/>
      <c r="HC1296" s="6"/>
      <c r="HD1296" s="6"/>
      <c r="HE1296" s="6"/>
      <c r="HF1296" s="6"/>
      <c r="HG1296" s="6"/>
      <c r="HH1296" s="6"/>
    </row>
    <row r="1297" spans="1:216" x14ac:dyDescent="0.3">
      <c r="A1297" s="8"/>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6"/>
      <c r="AR1297" s="6"/>
      <c r="AS1297" s="6"/>
      <c r="AT1297" s="6"/>
      <c r="AU1297" s="6"/>
      <c r="AV1297" s="6"/>
      <c r="AW1297" s="6"/>
      <c r="AX1297" s="6"/>
      <c r="AY1297" s="6"/>
      <c r="AZ1297" s="6"/>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c r="DX1297" s="6"/>
      <c r="DY1297" s="6"/>
      <c r="DZ1297" s="6"/>
      <c r="EA1297" s="6"/>
      <c r="EB1297" s="6"/>
      <c r="EC1297" s="6"/>
      <c r="ED1297" s="6"/>
      <c r="EE1297" s="6"/>
      <c r="EF1297" s="6"/>
      <c r="EG1297" s="6"/>
      <c r="EH1297" s="6"/>
      <c r="EI1297" s="6"/>
      <c r="EJ1297" s="6"/>
      <c r="EK1297" s="6"/>
      <c r="EL1297" s="6"/>
      <c r="EM1297" s="6"/>
      <c r="EN1297" s="6"/>
      <c r="EO1297" s="6"/>
      <c r="EP1297" s="6"/>
      <c r="EQ1297" s="6"/>
      <c r="ER1297" s="6"/>
      <c r="ES1297" s="6"/>
      <c r="ET1297" s="6"/>
      <c r="EU1297" s="6"/>
      <c r="EV1297" s="6"/>
      <c r="EW1297" s="6"/>
      <c r="EX1297" s="6"/>
      <c r="EY1297" s="6"/>
      <c r="EZ1297" s="6"/>
      <c r="FA1297" s="6"/>
      <c r="FB1297" s="6"/>
      <c r="FC1297" s="6"/>
      <c r="FD1297" s="6"/>
      <c r="FE1297" s="6"/>
      <c r="FF1297" s="6"/>
      <c r="FG1297" s="6"/>
      <c r="FH1297" s="6"/>
      <c r="FI1297" s="6"/>
      <c r="FJ1297" s="6"/>
      <c r="FK1297" s="6"/>
      <c r="FL1297" s="6"/>
      <c r="FM1297" s="6"/>
      <c r="FN1297" s="6"/>
      <c r="FO1297" s="6"/>
      <c r="FP1297" s="6"/>
      <c r="FQ1297" s="6"/>
      <c r="FR1297" s="6"/>
      <c r="FS1297" s="6"/>
      <c r="FT1297" s="6"/>
      <c r="FU1297" s="6"/>
      <c r="FV1297" s="6"/>
      <c r="FW1297" s="6"/>
      <c r="FX1297" s="6"/>
      <c r="FY1297" s="6"/>
      <c r="FZ1297" s="6"/>
      <c r="GA1297" s="6"/>
      <c r="GB1297" s="6"/>
      <c r="GC1297" s="6"/>
      <c r="GD1297" s="6"/>
      <c r="GE1297" s="6"/>
      <c r="GF1297" s="6"/>
      <c r="GG1297" s="6"/>
      <c r="GH1297" s="6"/>
      <c r="GI1297" s="6"/>
      <c r="GJ1297" s="6"/>
      <c r="GK1297" s="6"/>
      <c r="GL1297" s="6"/>
      <c r="GM1297" s="6"/>
      <c r="GN1297" s="6"/>
      <c r="GO1297" s="6"/>
      <c r="GP1297" s="6"/>
      <c r="GQ1297" s="6"/>
      <c r="GR1297" s="6"/>
      <c r="GS1297" s="6"/>
      <c r="GT1297" s="6"/>
      <c r="GU1297" s="6"/>
      <c r="GV1297" s="6"/>
      <c r="GW1297" s="6"/>
      <c r="GX1297" s="6"/>
      <c r="GY1297" s="6"/>
      <c r="GZ1297" s="6"/>
      <c r="HA1297" s="6"/>
      <c r="HB1297" s="6"/>
      <c r="HC1297" s="6"/>
      <c r="HD1297" s="6"/>
      <c r="HE1297" s="6"/>
      <c r="HF1297" s="6"/>
      <c r="HG1297" s="6"/>
      <c r="HH1297" s="6"/>
    </row>
    <row r="1298" spans="1:216" x14ac:dyDescent="0.3">
      <c r="A1298" s="8"/>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6"/>
      <c r="AR1298" s="6"/>
      <c r="AS1298" s="6"/>
      <c r="AT1298" s="6"/>
      <c r="AU1298" s="6"/>
      <c r="AV1298" s="6"/>
      <c r="AW1298" s="6"/>
      <c r="AX1298" s="6"/>
      <c r="AY1298" s="6"/>
      <c r="AZ1298" s="6"/>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c r="DX1298" s="6"/>
      <c r="DY1298" s="6"/>
      <c r="DZ1298" s="6"/>
      <c r="EA1298" s="6"/>
      <c r="EB1298" s="6"/>
      <c r="EC1298" s="6"/>
      <c r="ED1298" s="6"/>
      <c r="EE1298" s="6"/>
      <c r="EF1298" s="6"/>
      <c r="EG1298" s="6"/>
      <c r="EH1298" s="6"/>
      <c r="EI1298" s="6"/>
      <c r="EJ1298" s="6"/>
      <c r="EK1298" s="6"/>
      <c r="EL1298" s="6"/>
      <c r="EM1298" s="6"/>
      <c r="EN1298" s="6"/>
      <c r="EO1298" s="6"/>
      <c r="EP1298" s="6"/>
      <c r="EQ1298" s="6"/>
      <c r="ER1298" s="6"/>
      <c r="ES1298" s="6"/>
      <c r="ET1298" s="6"/>
      <c r="EU1298" s="6"/>
      <c r="EV1298" s="6"/>
      <c r="EW1298" s="6"/>
      <c r="EX1298" s="6"/>
      <c r="EY1298" s="6"/>
      <c r="EZ1298" s="6"/>
      <c r="FA1298" s="6"/>
      <c r="FB1298" s="6"/>
      <c r="FC1298" s="6"/>
      <c r="FD1298" s="6"/>
      <c r="FE1298" s="6"/>
      <c r="FF1298" s="6"/>
      <c r="FG1298" s="6"/>
      <c r="FH1298" s="6"/>
      <c r="FI1298" s="6"/>
      <c r="FJ1298" s="6"/>
      <c r="FK1298" s="6"/>
      <c r="FL1298" s="6"/>
      <c r="FM1298" s="6"/>
      <c r="FN1298" s="6"/>
      <c r="FO1298" s="6"/>
      <c r="FP1298" s="6"/>
      <c r="FQ1298" s="6"/>
      <c r="FR1298" s="6"/>
      <c r="FS1298" s="6"/>
      <c r="FT1298" s="6"/>
      <c r="FU1298" s="6"/>
      <c r="FV1298" s="6"/>
      <c r="FW1298" s="6"/>
      <c r="FX1298" s="6"/>
      <c r="FY1298" s="6"/>
      <c r="FZ1298" s="6"/>
      <c r="GA1298" s="6"/>
      <c r="GB1298" s="6"/>
      <c r="GC1298" s="6"/>
      <c r="GD1298" s="6"/>
      <c r="GE1298" s="6"/>
      <c r="GF1298" s="6"/>
      <c r="GG1298" s="6"/>
      <c r="GH1298" s="6"/>
      <c r="GI1298" s="6"/>
      <c r="GJ1298" s="6"/>
      <c r="GK1298" s="6"/>
      <c r="GL1298" s="6"/>
      <c r="GM1298" s="6"/>
      <c r="GN1298" s="6"/>
      <c r="GO1298" s="6"/>
      <c r="GP1298" s="6"/>
      <c r="GQ1298" s="6"/>
      <c r="GR1298" s="6"/>
      <c r="GS1298" s="6"/>
      <c r="GT1298" s="6"/>
      <c r="GU1298" s="6"/>
      <c r="GV1298" s="6"/>
      <c r="GW1298" s="6"/>
      <c r="GX1298" s="6"/>
      <c r="GY1298" s="6"/>
      <c r="GZ1298" s="6"/>
      <c r="HA1298" s="6"/>
      <c r="HB1298" s="6"/>
      <c r="HC1298" s="6"/>
      <c r="HD1298" s="6"/>
      <c r="HE1298" s="6"/>
      <c r="HF1298" s="6"/>
      <c r="HG1298" s="6"/>
      <c r="HH1298" s="6"/>
    </row>
    <row r="1299" spans="1:216" x14ac:dyDescent="0.3">
      <c r="A1299" s="8"/>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6"/>
      <c r="AR1299" s="6"/>
      <c r="AS1299" s="6"/>
      <c r="AT1299" s="6"/>
      <c r="AU1299" s="6"/>
      <c r="AV1299" s="6"/>
      <c r="AW1299" s="6"/>
      <c r="AX1299" s="6"/>
      <c r="AY1299" s="6"/>
      <c r="AZ1299" s="6"/>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c r="DX1299" s="6"/>
      <c r="DY1299" s="6"/>
      <c r="DZ1299" s="6"/>
      <c r="EA1299" s="6"/>
      <c r="EB1299" s="6"/>
      <c r="EC1299" s="6"/>
      <c r="ED1299" s="6"/>
      <c r="EE1299" s="6"/>
      <c r="EF1299" s="6"/>
      <c r="EG1299" s="6"/>
      <c r="EH1299" s="6"/>
      <c r="EI1299" s="6"/>
      <c r="EJ1299" s="6"/>
      <c r="EK1299" s="6"/>
      <c r="EL1299" s="6"/>
      <c r="EM1299" s="6"/>
      <c r="EN1299" s="6"/>
      <c r="EO1299" s="6"/>
      <c r="EP1299" s="6"/>
      <c r="EQ1299" s="6"/>
      <c r="ER1299" s="6"/>
      <c r="ES1299" s="6"/>
      <c r="ET1299" s="6"/>
      <c r="EU1299" s="6"/>
      <c r="EV1299" s="6"/>
      <c r="EW1299" s="6"/>
      <c r="EX1299" s="6"/>
      <c r="EY1299" s="6"/>
      <c r="EZ1299" s="6"/>
      <c r="FA1299" s="6"/>
      <c r="FB1299" s="6"/>
      <c r="FC1299" s="6"/>
      <c r="FD1299" s="6"/>
      <c r="FE1299" s="6"/>
      <c r="FF1299" s="6"/>
      <c r="FG1299" s="6"/>
      <c r="FH1299" s="6"/>
      <c r="FI1299" s="6"/>
      <c r="FJ1299" s="6"/>
      <c r="FK1299" s="6"/>
      <c r="FL1299" s="6"/>
      <c r="FM1299" s="6"/>
      <c r="FN1299" s="6"/>
      <c r="FO1299" s="6"/>
      <c r="FP1299" s="6"/>
      <c r="FQ1299" s="6"/>
      <c r="FR1299" s="6"/>
      <c r="FS1299" s="6"/>
      <c r="FT1299" s="6"/>
      <c r="FU1299" s="6"/>
      <c r="FV1299" s="6"/>
      <c r="FW1299" s="6"/>
      <c r="FX1299" s="6"/>
      <c r="FY1299" s="6"/>
      <c r="FZ1299" s="6"/>
      <c r="GA1299" s="6"/>
      <c r="GB1299" s="6"/>
      <c r="GC1299" s="6"/>
      <c r="GD1299" s="6"/>
      <c r="GE1299" s="6"/>
      <c r="GF1299" s="6"/>
      <c r="GG1299" s="6"/>
      <c r="GH1299" s="6"/>
      <c r="GI1299" s="6"/>
      <c r="GJ1299" s="6"/>
      <c r="GK1299" s="6"/>
      <c r="GL1299" s="6"/>
      <c r="GM1299" s="6"/>
      <c r="GN1299" s="6"/>
      <c r="GO1299" s="6"/>
      <c r="GP1299" s="6"/>
      <c r="GQ1299" s="6"/>
      <c r="GR1299" s="6"/>
      <c r="GS1299" s="6"/>
      <c r="GT1299" s="6"/>
      <c r="GU1299" s="6"/>
      <c r="GV1299" s="6"/>
      <c r="GW1299" s="6"/>
      <c r="GX1299" s="6"/>
      <c r="GY1299" s="6"/>
      <c r="GZ1299" s="6"/>
      <c r="HA1299" s="6"/>
      <c r="HB1299" s="6"/>
      <c r="HC1299" s="6"/>
      <c r="HD1299" s="6"/>
      <c r="HE1299" s="6"/>
      <c r="HF1299" s="6"/>
      <c r="HG1299" s="6"/>
      <c r="HH1299" s="6"/>
    </row>
    <row r="1300" spans="1:216" x14ac:dyDescent="0.3">
      <c r="A1300" s="8"/>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6"/>
      <c r="AR1300" s="6"/>
      <c r="AS1300" s="6"/>
      <c r="AT1300" s="6"/>
      <c r="AU1300" s="6"/>
      <c r="AV1300" s="6"/>
      <c r="AW1300" s="6"/>
      <c r="AX1300" s="6"/>
      <c r="AY1300" s="6"/>
      <c r="AZ1300" s="6"/>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c r="DX1300" s="6"/>
      <c r="DY1300" s="6"/>
      <c r="DZ1300" s="6"/>
      <c r="EA1300" s="6"/>
      <c r="EB1300" s="6"/>
      <c r="EC1300" s="6"/>
      <c r="ED1300" s="6"/>
      <c r="EE1300" s="6"/>
      <c r="EF1300" s="6"/>
      <c r="EG1300" s="6"/>
      <c r="EH1300" s="6"/>
      <c r="EI1300" s="6"/>
      <c r="EJ1300" s="6"/>
      <c r="EK1300" s="6"/>
      <c r="EL1300" s="6"/>
      <c r="EM1300" s="6"/>
      <c r="EN1300" s="6"/>
      <c r="EO1300" s="6"/>
      <c r="EP1300" s="6"/>
      <c r="EQ1300" s="6"/>
      <c r="ER1300" s="6"/>
      <c r="ES1300" s="6"/>
      <c r="ET1300" s="6"/>
      <c r="EU1300" s="6"/>
      <c r="EV1300" s="6"/>
      <c r="EW1300" s="6"/>
      <c r="EX1300" s="6"/>
      <c r="EY1300" s="6"/>
      <c r="EZ1300" s="6"/>
      <c r="FA1300" s="6"/>
      <c r="FB1300" s="6"/>
      <c r="FC1300" s="6"/>
      <c r="FD1300" s="6"/>
      <c r="FE1300" s="6"/>
      <c r="FF1300" s="6"/>
      <c r="FG1300" s="6"/>
      <c r="FH1300" s="6"/>
      <c r="FI1300" s="6"/>
      <c r="FJ1300" s="6"/>
      <c r="FK1300" s="6"/>
      <c r="FL1300" s="6"/>
      <c r="FM1300" s="6"/>
      <c r="FN1300" s="6"/>
      <c r="FO1300" s="6"/>
      <c r="FP1300" s="6"/>
      <c r="FQ1300" s="6"/>
      <c r="FR1300" s="6"/>
      <c r="FS1300" s="6"/>
      <c r="FT1300" s="6"/>
      <c r="FU1300" s="6"/>
      <c r="FV1300" s="6"/>
      <c r="FW1300" s="6"/>
      <c r="FX1300" s="6"/>
      <c r="FY1300" s="6"/>
      <c r="FZ1300" s="6"/>
      <c r="GA1300" s="6"/>
      <c r="GB1300" s="6"/>
      <c r="GC1300" s="6"/>
      <c r="GD1300" s="6"/>
      <c r="GE1300" s="6"/>
      <c r="GF1300" s="6"/>
      <c r="GG1300" s="6"/>
      <c r="GH1300" s="6"/>
      <c r="GI1300" s="6"/>
      <c r="GJ1300" s="6"/>
      <c r="GK1300" s="6"/>
      <c r="GL1300" s="6"/>
      <c r="GM1300" s="6"/>
      <c r="GN1300" s="6"/>
      <c r="GO1300" s="6"/>
      <c r="GP1300" s="6"/>
      <c r="GQ1300" s="6"/>
      <c r="GR1300" s="6"/>
      <c r="GS1300" s="6"/>
      <c r="GT1300" s="6"/>
      <c r="GU1300" s="6"/>
      <c r="GV1300" s="6"/>
      <c r="GW1300" s="6"/>
      <c r="GX1300" s="6"/>
      <c r="GY1300" s="6"/>
      <c r="GZ1300" s="6"/>
      <c r="HA1300" s="6"/>
      <c r="HB1300" s="6"/>
      <c r="HC1300" s="6"/>
      <c r="HD1300" s="6"/>
      <c r="HE1300" s="6"/>
      <c r="HF1300" s="6"/>
      <c r="HG1300" s="6"/>
      <c r="HH1300" s="6"/>
    </row>
    <row r="1301" spans="1:216" x14ac:dyDescent="0.3">
      <c r="A1301" s="8"/>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6"/>
      <c r="AR1301" s="6"/>
      <c r="AS1301" s="6"/>
      <c r="AT1301" s="6"/>
      <c r="AU1301" s="6"/>
      <c r="AV1301" s="6"/>
      <c r="AW1301" s="6"/>
      <c r="AX1301" s="6"/>
      <c r="AY1301" s="6"/>
      <c r="AZ1301" s="6"/>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c r="DX1301" s="6"/>
      <c r="DY1301" s="6"/>
      <c r="DZ1301" s="6"/>
      <c r="EA1301" s="6"/>
      <c r="EB1301" s="6"/>
      <c r="EC1301" s="6"/>
      <c r="ED1301" s="6"/>
      <c r="EE1301" s="6"/>
      <c r="EF1301" s="6"/>
      <c r="EG1301" s="6"/>
      <c r="EH1301" s="6"/>
      <c r="EI1301" s="6"/>
      <c r="EJ1301" s="6"/>
      <c r="EK1301" s="6"/>
      <c r="EL1301" s="6"/>
      <c r="EM1301" s="6"/>
      <c r="EN1301" s="6"/>
      <c r="EO1301" s="6"/>
      <c r="EP1301" s="6"/>
      <c r="EQ1301" s="6"/>
      <c r="ER1301" s="6"/>
      <c r="ES1301" s="6"/>
      <c r="ET1301" s="6"/>
      <c r="EU1301" s="6"/>
      <c r="EV1301" s="6"/>
      <c r="EW1301" s="6"/>
      <c r="EX1301" s="6"/>
      <c r="EY1301" s="6"/>
      <c r="EZ1301" s="6"/>
      <c r="FA1301" s="6"/>
      <c r="FB1301" s="6"/>
      <c r="FC1301" s="6"/>
      <c r="FD1301" s="6"/>
      <c r="FE1301" s="6"/>
      <c r="FF1301" s="6"/>
      <c r="FG1301" s="6"/>
      <c r="FH1301" s="6"/>
      <c r="FI1301" s="6"/>
      <c r="FJ1301" s="6"/>
      <c r="FK1301" s="6"/>
      <c r="FL1301" s="6"/>
      <c r="FM1301" s="6"/>
      <c r="FN1301" s="6"/>
      <c r="FO1301" s="6"/>
      <c r="FP1301" s="6"/>
      <c r="FQ1301" s="6"/>
      <c r="FR1301" s="6"/>
      <c r="FS1301" s="6"/>
      <c r="FT1301" s="6"/>
      <c r="FU1301" s="6"/>
      <c r="FV1301" s="6"/>
      <c r="FW1301" s="6"/>
      <c r="FX1301" s="6"/>
      <c r="FY1301" s="6"/>
      <c r="FZ1301" s="6"/>
      <c r="GA1301" s="6"/>
      <c r="GB1301" s="6"/>
      <c r="GC1301" s="6"/>
      <c r="GD1301" s="6"/>
      <c r="GE1301" s="6"/>
      <c r="GF1301" s="6"/>
      <c r="GG1301" s="6"/>
      <c r="GH1301" s="6"/>
      <c r="GI1301" s="6"/>
      <c r="GJ1301" s="6"/>
      <c r="GK1301" s="6"/>
      <c r="GL1301" s="6"/>
      <c r="GM1301" s="6"/>
      <c r="GN1301" s="6"/>
      <c r="GO1301" s="6"/>
      <c r="GP1301" s="6"/>
      <c r="GQ1301" s="6"/>
      <c r="GR1301" s="6"/>
      <c r="GS1301" s="6"/>
      <c r="GT1301" s="6"/>
      <c r="GU1301" s="6"/>
      <c r="GV1301" s="6"/>
      <c r="GW1301" s="6"/>
      <c r="GX1301" s="6"/>
      <c r="GY1301" s="6"/>
      <c r="GZ1301" s="6"/>
      <c r="HA1301" s="6"/>
      <c r="HB1301" s="6"/>
      <c r="HC1301" s="6"/>
      <c r="HD1301" s="6"/>
      <c r="HE1301" s="6"/>
      <c r="HF1301" s="6"/>
      <c r="HG1301" s="6"/>
      <c r="HH1301" s="6"/>
    </row>
    <row r="1302" spans="1:216" x14ac:dyDescent="0.3">
      <c r="A1302" s="8"/>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6"/>
      <c r="AR1302" s="6"/>
      <c r="AS1302" s="6"/>
      <c r="AT1302" s="6"/>
      <c r="AU1302" s="6"/>
      <c r="AV1302" s="6"/>
      <c r="AW1302" s="6"/>
      <c r="AX1302" s="6"/>
      <c r="AY1302" s="6"/>
      <c r="AZ1302" s="6"/>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c r="DX1302" s="6"/>
      <c r="DY1302" s="6"/>
      <c r="DZ1302" s="6"/>
      <c r="EA1302" s="6"/>
      <c r="EB1302" s="6"/>
      <c r="EC1302" s="6"/>
      <c r="ED1302" s="6"/>
      <c r="EE1302" s="6"/>
      <c r="EF1302" s="6"/>
      <c r="EG1302" s="6"/>
      <c r="EH1302" s="6"/>
      <c r="EI1302" s="6"/>
      <c r="EJ1302" s="6"/>
      <c r="EK1302" s="6"/>
      <c r="EL1302" s="6"/>
      <c r="EM1302" s="6"/>
      <c r="EN1302" s="6"/>
      <c r="EO1302" s="6"/>
      <c r="EP1302" s="6"/>
      <c r="EQ1302" s="6"/>
      <c r="ER1302" s="6"/>
      <c r="ES1302" s="6"/>
      <c r="ET1302" s="6"/>
      <c r="EU1302" s="6"/>
      <c r="EV1302" s="6"/>
      <c r="EW1302" s="6"/>
      <c r="EX1302" s="6"/>
      <c r="EY1302" s="6"/>
      <c r="EZ1302" s="6"/>
      <c r="FA1302" s="6"/>
      <c r="FB1302" s="6"/>
      <c r="FC1302" s="6"/>
      <c r="FD1302" s="6"/>
      <c r="FE1302" s="6"/>
      <c r="FF1302" s="6"/>
      <c r="FG1302" s="6"/>
      <c r="FH1302" s="6"/>
      <c r="FI1302" s="6"/>
      <c r="FJ1302" s="6"/>
      <c r="FK1302" s="6"/>
      <c r="FL1302" s="6"/>
      <c r="FM1302" s="6"/>
      <c r="FN1302" s="6"/>
      <c r="FO1302" s="6"/>
      <c r="FP1302" s="6"/>
      <c r="FQ1302" s="6"/>
      <c r="FR1302" s="6"/>
      <c r="FS1302" s="6"/>
      <c r="FT1302" s="6"/>
      <c r="FU1302" s="6"/>
      <c r="FV1302" s="6"/>
      <c r="FW1302" s="6"/>
      <c r="FX1302" s="6"/>
      <c r="FY1302" s="6"/>
      <c r="FZ1302" s="6"/>
      <c r="GA1302" s="6"/>
      <c r="GB1302" s="6"/>
      <c r="GC1302" s="6"/>
      <c r="GD1302" s="6"/>
      <c r="GE1302" s="6"/>
      <c r="GF1302" s="6"/>
      <c r="GG1302" s="6"/>
      <c r="GH1302" s="6"/>
      <c r="GI1302" s="6"/>
      <c r="GJ1302" s="6"/>
      <c r="GK1302" s="6"/>
      <c r="GL1302" s="6"/>
      <c r="GM1302" s="6"/>
      <c r="GN1302" s="6"/>
      <c r="GO1302" s="6"/>
      <c r="GP1302" s="6"/>
      <c r="GQ1302" s="6"/>
      <c r="GR1302" s="6"/>
      <c r="GS1302" s="6"/>
      <c r="GT1302" s="6"/>
      <c r="GU1302" s="6"/>
      <c r="GV1302" s="6"/>
      <c r="GW1302" s="6"/>
      <c r="GX1302" s="6"/>
      <c r="GY1302" s="6"/>
      <c r="GZ1302" s="6"/>
      <c r="HA1302" s="6"/>
      <c r="HB1302" s="6"/>
      <c r="HC1302" s="6"/>
      <c r="HD1302" s="6"/>
      <c r="HE1302" s="6"/>
      <c r="HF1302" s="6"/>
      <c r="HG1302" s="6"/>
      <c r="HH1302" s="6"/>
    </row>
    <row r="1303" spans="1:216" x14ac:dyDescent="0.3">
      <c r="A1303" s="8"/>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6"/>
      <c r="AR1303" s="6"/>
      <c r="AS1303" s="6"/>
      <c r="AT1303" s="6"/>
      <c r="AU1303" s="6"/>
      <c r="AV1303" s="6"/>
      <c r="AW1303" s="6"/>
      <c r="AX1303" s="6"/>
      <c r="AY1303" s="6"/>
      <c r="AZ1303" s="6"/>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c r="DX1303" s="6"/>
      <c r="DY1303" s="6"/>
      <c r="DZ1303" s="6"/>
      <c r="EA1303" s="6"/>
      <c r="EB1303" s="6"/>
      <c r="EC1303" s="6"/>
      <c r="ED1303" s="6"/>
      <c r="EE1303" s="6"/>
      <c r="EF1303" s="6"/>
      <c r="EG1303" s="6"/>
      <c r="EH1303" s="6"/>
      <c r="EI1303" s="6"/>
      <c r="EJ1303" s="6"/>
      <c r="EK1303" s="6"/>
      <c r="EL1303" s="6"/>
      <c r="EM1303" s="6"/>
      <c r="EN1303" s="6"/>
      <c r="EO1303" s="6"/>
      <c r="EP1303" s="6"/>
      <c r="EQ1303" s="6"/>
      <c r="ER1303" s="6"/>
      <c r="ES1303" s="6"/>
      <c r="ET1303" s="6"/>
      <c r="EU1303" s="6"/>
      <c r="EV1303" s="6"/>
      <c r="EW1303" s="6"/>
      <c r="EX1303" s="6"/>
      <c r="EY1303" s="6"/>
      <c r="EZ1303" s="6"/>
      <c r="FA1303" s="6"/>
      <c r="FB1303" s="6"/>
      <c r="FC1303" s="6"/>
      <c r="FD1303" s="6"/>
      <c r="FE1303" s="6"/>
      <c r="FF1303" s="6"/>
      <c r="FG1303" s="6"/>
      <c r="FH1303" s="6"/>
      <c r="FI1303" s="6"/>
      <c r="FJ1303" s="6"/>
      <c r="FK1303" s="6"/>
      <c r="FL1303" s="6"/>
      <c r="FM1303" s="6"/>
      <c r="FN1303" s="6"/>
      <c r="FO1303" s="6"/>
      <c r="FP1303" s="6"/>
      <c r="FQ1303" s="6"/>
      <c r="FR1303" s="6"/>
      <c r="FS1303" s="6"/>
      <c r="FT1303" s="6"/>
      <c r="FU1303" s="6"/>
      <c r="FV1303" s="6"/>
      <c r="FW1303" s="6"/>
      <c r="FX1303" s="6"/>
      <c r="FY1303" s="6"/>
      <c r="FZ1303" s="6"/>
      <c r="GA1303" s="6"/>
      <c r="GB1303" s="6"/>
      <c r="GC1303" s="6"/>
      <c r="GD1303" s="6"/>
      <c r="GE1303" s="6"/>
      <c r="GF1303" s="6"/>
      <c r="GG1303" s="6"/>
      <c r="GH1303" s="6"/>
      <c r="GI1303" s="6"/>
      <c r="GJ1303" s="6"/>
      <c r="GK1303" s="6"/>
      <c r="GL1303" s="6"/>
      <c r="GM1303" s="6"/>
      <c r="GN1303" s="6"/>
      <c r="GO1303" s="6"/>
      <c r="GP1303" s="6"/>
      <c r="GQ1303" s="6"/>
      <c r="GR1303" s="6"/>
      <c r="GS1303" s="6"/>
      <c r="GT1303" s="6"/>
      <c r="GU1303" s="6"/>
      <c r="GV1303" s="6"/>
      <c r="GW1303" s="6"/>
      <c r="GX1303" s="6"/>
      <c r="GY1303" s="6"/>
      <c r="GZ1303" s="6"/>
      <c r="HA1303" s="6"/>
      <c r="HB1303" s="6"/>
      <c r="HC1303" s="6"/>
      <c r="HD1303" s="6"/>
      <c r="HE1303" s="6"/>
      <c r="HF1303" s="6"/>
      <c r="HG1303" s="6"/>
      <c r="HH1303" s="6"/>
    </row>
    <row r="1304" spans="1:216" x14ac:dyDescent="0.3">
      <c r="A1304" s="8"/>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6"/>
      <c r="AR1304" s="6"/>
      <c r="AS1304" s="6"/>
      <c r="AT1304" s="6"/>
      <c r="AU1304" s="6"/>
      <c r="AV1304" s="6"/>
      <c r="AW1304" s="6"/>
      <c r="AX1304" s="6"/>
      <c r="AY1304" s="6"/>
      <c r="AZ1304" s="6"/>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c r="DX1304" s="6"/>
      <c r="DY1304" s="6"/>
      <c r="DZ1304" s="6"/>
      <c r="EA1304" s="6"/>
      <c r="EB1304" s="6"/>
      <c r="EC1304" s="6"/>
      <c r="ED1304" s="6"/>
      <c r="EE1304" s="6"/>
      <c r="EF1304" s="6"/>
      <c r="EG1304" s="6"/>
      <c r="EH1304" s="6"/>
      <c r="EI1304" s="6"/>
      <c r="EJ1304" s="6"/>
      <c r="EK1304" s="6"/>
      <c r="EL1304" s="6"/>
      <c r="EM1304" s="6"/>
      <c r="EN1304" s="6"/>
      <c r="EO1304" s="6"/>
      <c r="EP1304" s="6"/>
      <c r="EQ1304" s="6"/>
      <c r="ER1304" s="6"/>
      <c r="ES1304" s="6"/>
      <c r="ET1304" s="6"/>
      <c r="EU1304" s="6"/>
      <c r="EV1304" s="6"/>
      <c r="EW1304" s="6"/>
      <c r="EX1304" s="6"/>
      <c r="EY1304" s="6"/>
      <c r="EZ1304" s="6"/>
      <c r="FA1304" s="6"/>
      <c r="FB1304" s="6"/>
      <c r="FC1304" s="6"/>
      <c r="FD1304" s="6"/>
      <c r="FE1304" s="6"/>
      <c r="FF1304" s="6"/>
      <c r="FG1304" s="6"/>
      <c r="FH1304" s="6"/>
      <c r="FI1304" s="6"/>
      <c r="FJ1304" s="6"/>
      <c r="FK1304" s="6"/>
      <c r="FL1304" s="6"/>
      <c r="FM1304" s="6"/>
      <c r="FN1304" s="6"/>
      <c r="FO1304" s="6"/>
      <c r="FP1304" s="6"/>
      <c r="FQ1304" s="6"/>
      <c r="FR1304" s="6"/>
      <c r="FS1304" s="6"/>
      <c r="FT1304" s="6"/>
      <c r="FU1304" s="6"/>
      <c r="FV1304" s="6"/>
      <c r="FW1304" s="6"/>
      <c r="FX1304" s="6"/>
      <c r="FY1304" s="6"/>
      <c r="FZ1304" s="6"/>
      <c r="GA1304" s="6"/>
      <c r="GB1304" s="6"/>
      <c r="GC1304" s="6"/>
      <c r="GD1304" s="6"/>
      <c r="GE1304" s="6"/>
      <c r="GF1304" s="6"/>
      <c r="GG1304" s="6"/>
      <c r="GH1304" s="6"/>
      <c r="GI1304" s="6"/>
      <c r="GJ1304" s="6"/>
      <c r="GK1304" s="6"/>
      <c r="GL1304" s="6"/>
      <c r="GM1304" s="6"/>
      <c r="GN1304" s="6"/>
      <c r="GO1304" s="6"/>
      <c r="GP1304" s="6"/>
      <c r="GQ1304" s="6"/>
      <c r="GR1304" s="6"/>
      <c r="GS1304" s="6"/>
      <c r="GT1304" s="6"/>
      <c r="GU1304" s="6"/>
      <c r="GV1304" s="6"/>
      <c r="GW1304" s="6"/>
      <c r="GX1304" s="6"/>
      <c r="GY1304" s="6"/>
      <c r="GZ1304" s="6"/>
      <c r="HA1304" s="6"/>
      <c r="HB1304" s="6"/>
      <c r="HC1304" s="6"/>
      <c r="HD1304" s="6"/>
      <c r="HE1304" s="6"/>
      <c r="HF1304" s="6"/>
      <c r="HG1304" s="6"/>
      <c r="HH1304" s="6"/>
    </row>
    <row r="1305" spans="1:216" x14ac:dyDescent="0.3">
      <c r="A1305" s="8"/>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6"/>
      <c r="AR1305" s="6"/>
      <c r="AS1305" s="6"/>
      <c r="AT1305" s="6"/>
      <c r="AU1305" s="6"/>
      <c r="AV1305" s="6"/>
      <c r="AW1305" s="6"/>
      <c r="AX1305" s="6"/>
      <c r="AY1305" s="6"/>
      <c r="AZ1305" s="6"/>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c r="DX1305" s="6"/>
      <c r="DY1305" s="6"/>
      <c r="DZ1305" s="6"/>
      <c r="EA1305" s="6"/>
      <c r="EB1305" s="6"/>
      <c r="EC1305" s="6"/>
      <c r="ED1305" s="6"/>
      <c r="EE1305" s="6"/>
      <c r="EF1305" s="6"/>
      <c r="EG1305" s="6"/>
      <c r="EH1305" s="6"/>
      <c r="EI1305" s="6"/>
      <c r="EJ1305" s="6"/>
      <c r="EK1305" s="6"/>
      <c r="EL1305" s="6"/>
      <c r="EM1305" s="6"/>
      <c r="EN1305" s="6"/>
      <c r="EO1305" s="6"/>
      <c r="EP1305" s="6"/>
      <c r="EQ1305" s="6"/>
      <c r="ER1305" s="6"/>
      <c r="ES1305" s="6"/>
      <c r="ET1305" s="6"/>
      <c r="EU1305" s="6"/>
      <c r="EV1305" s="6"/>
      <c r="EW1305" s="6"/>
      <c r="EX1305" s="6"/>
      <c r="EY1305" s="6"/>
      <c r="EZ1305" s="6"/>
      <c r="FA1305" s="6"/>
      <c r="FB1305" s="6"/>
      <c r="FC1305" s="6"/>
      <c r="FD1305" s="6"/>
      <c r="FE1305" s="6"/>
      <c r="FF1305" s="6"/>
      <c r="FG1305" s="6"/>
      <c r="FH1305" s="6"/>
      <c r="FI1305" s="6"/>
      <c r="FJ1305" s="6"/>
      <c r="FK1305" s="6"/>
      <c r="FL1305" s="6"/>
      <c r="FM1305" s="6"/>
      <c r="FN1305" s="6"/>
      <c r="FO1305" s="6"/>
      <c r="FP1305" s="6"/>
      <c r="FQ1305" s="6"/>
      <c r="FR1305" s="6"/>
      <c r="FS1305" s="6"/>
      <c r="FT1305" s="6"/>
      <c r="FU1305" s="6"/>
      <c r="FV1305" s="6"/>
      <c r="FW1305" s="6"/>
      <c r="FX1305" s="6"/>
      <c r="FY1305" s="6"/>
      <c r="FZ1305" s="6"/>
      <c r="GA1305" s="6"/>
      <c r="GB1305" s="6"/>
      <c r="GC1305" s="6"/>
      <c r="GD1305" s="6"/>
      <c r="GE1305" s="6"/>
      <c r="GF1305" s="6"/>
      <c r="GG1305" s="6"/>
      <c r="GH1305" s="6"/>
      <c r="GI1305" s="6"/>
      <c r="GJ1305" s="6"/>
      <c r="GK1305" s="6"/>
      <c r="GL1305" s="6"/>
      <c r="GM1305" s="6"/>
      <c r="GN1305" s="6"/>
      <c r="GO1305" s="6"/>
      <c r="GP1305" s="6"/>
      <c r="GQ1305" s="6"/>
      <c r="GR1305" s="6"/>
      <c r="GS1305" s="6"/>
      <c r="GT1305" s="6"/>
      <c r="GU1305" s="6"/>
      <c r="GV1305" s="6"/>
      <c r="GW1305" s="6"/>
      <c r="GX1305" s="6"/>
      <c r="GY1305" s="6"/>
      <c r="GZ1305" s="6"/>
      <c r="HA1305" s="6"/>
      <c r="HB1305" s="6"/>
      <c r="HC1305" s="6"/>
      <c r="HD1305" s="6"/>
      <c r="HE1305" s="6"/>
      <c r="HF1305" s="6"/>
      <c r="HG1305" s="6"/>
      <c r="HH1305" s="6"/>
    </row>
    <row r="1306" spans="1:216" x14ac:dyDescent="0.3">
      <c r="A1306" s="8"/>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6"/>
      <c r="AR1306" s="6"/>
      <c r="AS1306" s="6"/>
      <c r="AT1306" s="6"/>
      <c r="AU1306" s="6"/>
      <c r="AV1306" s="6"/>
      <c r="AW1306" s="6"/>
      <c r="AX1306" s="6"/>
      <c r="AY1306" s="6"/>
      <c r="AZ1306" s="6"/>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c r="DX1306" s="6"/>
      <c r="DY1306" s="6"/>
      <c r="DZ1306" s="6"/>
      <c r="EA1306" s="6"/>
      <c r="EB1306" s="6"/>
      <c r="EC1306" s="6"/>
      <c r="ED1306" s="6"/>
      <c r="EE1306" s="6"/>
      <c r="EF1306" s="6"/>
      <c r="EG1306" s="6"/>
      <c r="EH1306" s="6"/>
      <c r="EI1306" s="6"/>
      <c r="EJ1306" s="6"/>
      <c r="EK1306" s="6"/>
      <c r="EL1306" s="6"/>
      <c r="EM1306" s="6"/>
      <c r="EN1306" s="6"/>
      <c r="EO1306" s="6"/>
      <c r="EP1306" s="6"/>
      <c r="EQ1306" s="6"/>
      <c r="ER1306" s="6"/>
      <c r="ES1306" s="6"/>
      <c r="ET1306" s="6"/>
      <c r="EU1306" s="6"/>
      <c r="EV1306" s="6"/>
      <c r="EW1306" s="6"/>
      <c r="EX1306" s="6"/>
      <c r="EY1306" s="6"/>
      <c r="EZ1306" s="6"/>
      <c r="FA1306" s="6"/>
      <c r="FB1306" s="6"/>
      <c r="FC1306" s="6"/>
      <c r="FD1306" s="6"/>
      <c r="FE1306" s="6"/>
      <c r="FF1306" s="6"/>
      <c r="FG1306" s="6"/>
      <c r="FH1306" s="6"/>
      <c r="FI1306" s="6"/>
      <c r="FJ1306" s="6"/>
      <c r="FK1306" s="6"/>
      <c r="FL1306" s="6"/>
      <c r="FM1306" s="6"/>
      <c r="FN1306" s="6"/>
      <c r="FO1306" s="6"/>
      <c r="FP1306" s="6"/>
      <c r="FQ1306" s="6"/>
      <c r="FR1306" s="6"/>
      <c r="FS1306" s="6"/>
      <c r="FT1306" s="6"/>
      <c r="FU1306" s="6"/>
      <c r="FV1306" s="6"/>
      <c r="FW1306" s="6"/>
      <c r="FX1306" s="6"/>
      <c r="FY1306" s="6"/>
      <c r="FZ1306" s="6"/>
      <c r="GA1306" s="6"/>
      <c r="GB1306" s="6"/>
      <c r="GC1306" s="6"/>
      <c r="GD1306" s="6"/>
      <c r="GE1306" s="6"/>
      <c r="GF1306" s="6"/>
      <c r="GG1306" s="6"/>
      <c r="GH1306" s="6"/>
      <c r="GI1306" s="6"/>
      <c r="GJ1306" s="6"/>
      <c r="GK1306" s="6"/>
      <c r="GL1306" s="6"/>
      <c r="GM1306" s="6"/>
      <c r="GN1306" s="6"/>
      <c r="GO1306" s="6"/>
      <c r="GP1306" s="6"/>
      <c r="GQ1306" s="6"/>
      <c r="GR1306" s="6"/>
      <c r="GS1306" s="6"/>
      <c r="GT1306" s="6"/>
      <c r="GU1306" s="6"/>
      <c r="GV1306" s="6"/>
      <c r="GW1306" s="6"/>
      <c r="GX1306" s="6"/>
      <c r="GY1306" s="6"/>
      <c r="GZ1306" s="6"/>
      <c r="HA1306" s="6"/>
      <c r="HB1306" s="6"/>
      <c r="HC1306" s="6"/>
      <c r="HD1306" s="6"/>
      <c r="HE1306" s="6"/>
      <c r="HF1306" s="6"/>
      <c r="HG1306" s="6"/>
      <c r="HH1306" s="6"/>
    </row>
    <row r="1307" spans="1:216" x14ac:dyDescent="0.3">
      <c r="A1307" s="8"/>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6"/>
      <c r="AR1307" s="6"/>
      <c r="AS1307" s="6"/>
      <c r="AT1307" s="6"/>
      <c r="AU1307" s="6"/>
      <c r="AV1307" s="6"/>
      <c r="AW1307" s="6"/>
      <c r="AX1307" s="6"/>
      <c r="AY1307" s="6"/>
      <c r="AZ1307" s="6"/>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c r="DX1307" s="6"/>
      <c r="DY1307" s="6"/>
      <c r="DZ1307" s="6"/>
      <c r="EA1307" s="6"/>
      <c r="EB1307" s="6"/>
      <c r="EC1307" s="6"/>
      <c r="ED1307" s="6"/>
      <c r="EE1307" s="6"/>
      <c r="EF1307" s="6"/>
      <c r="EG1307" s="6"/>
      <c r="EH1307" s="6"/>
      <c r="EI1307" s="6"/>
      <c r="EJ1307" s="6"/>
      <c r="EK1307" s="6"/>
      <c r="EL1307" s="6"/>
      <c r="EM1307" s="6"/>
      <c r="EN1307" s="6"/>
      <c r="EO1307" s="6"/>
      <c r="EP1307" s="6"/>
      <c r="EQ1307" s="6"/>
      <c r="ER1307" s="6"/>
      <c r="ES1307" s="6"/>
      <c r="ET1307" s="6"/>
      <c r="EU1307" s="6"/>
      <c r="EV1307" s="6"/>
      <c r="EW1307" s="6"/>
      <c r="EX1307" s="6"/>
      <c r="EY1307" s="6"/>
      <c r="EZ1307" s="6"/>
      <c r="FA1307" s="6"/>
      <c r="FB1307" s="6"/>
      <c r="FC1307" s="6"/>
      <c r="FD1307" s="6"/>
      <c r="FE1307" s="6"/>
      <c r="FF1307" s="6"/>
      <c r="FG1307" s="6"/>
      <c r="FH1307" s="6"/>
      <c r="FI1307" s="6"/>
      <c r="FJ1307" s="6"/>
      <c r="FK1307" s="6"/>
      <c r="FL1307" s="6"/>
      <c r="FM1307" s="6"/>
      <c r="FN1307" s="6"/>
      <c r="FO1307" s="6"/>
      <c r="FP1307" s="6"/>
      <c r="FQ1307" s="6"/>
      <c r="FR1307" s="6"/>
      <c r="FS1307" s="6"/>
      <c r="FT1307" s="6"/>
      <c r="FU1307" s="6"/>
      <c r="FV1307" s="6"/>
      <c r="FW1307" s="6"/>
      <c r="FX1307" s="6"/>
      <c r="FY1307" s="6"/>
      <c r="FZ1307" s="6"/>
      <c r="GA1307" s="6"/>
      <c r="GB1307" s="6"/>
      <c r="GC1307" s="6"/>
      <c r="GD1307" s="6"/>
      <c r="GE1307" s="6"/>
      <c r="GF1307" s="6"/>
      <c r="GG1307" s="6"/>
      <c r="GH1307" s="6"/>
      <c r="GI1307" s="6"/>
      <c r="GJ1307" s="6"/>
      <c r="GK1307" s="6"/>
      <c r="GL1307" s="6"/>
      <c r="GM1307" s="6"/>
      <c r="GN1307" s="6"/>
      <c r="GO1307" s="6"/>
      <c r="GP1307" s="6"/>
      <c r="GQ1307" s="6"/>
      <c r="GR1307" s="6"/>
      <c r="GS1307" s="6"/>
      <c r="GT1307" s="6"/>
      <c r="GU1307" s="6"/>
      <c r="GV1307" s="6"/>
      <c r="GW1307" s="6"/>
      <c r="GX1307" s="6"/>
      <c r="GY1307" s="6"/>
      <c r="GZ1307" s="6"/>
      <c r="HA1307" s="6"/>
      <c r="HB1307" s="6"/>
      <c r="HC1307" s="6"/>
      <c r="HD1307" s="6"/>
      <c r="HE1307" s="6"/>
      <c r="HF1307" s="6"/>
      <c r="HG1307" s="6"/>
      <c r="HH1307" s="6"/>
    </row>
    <row r="1308" spans="1:216" x14ac:dyDescent="0.3">
      <c r="A1308" s="8"/>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6"/>
      <c r="AR1308" s="6"/>
      <c r="AS1308" s="6"/>
      <c r="AT1308" s="6"/>
      <c r="AU1308" s="6"/>
      <c r="AV1308" s="6"/>
      <c r="AW1308" s="6"/>
      <c r="AX1308" s="6"/>
      <c r="AY1308" s="6"/>
      <c r="AZ1308" s="6"/>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c r="DX1308" s="6"/>
      <c r="DY1308" s="6"/>
      <c r="DZ1308" s="6"/>
      <c r="EA1308" s="6"/>
      <c r="EB1308" s="6"/>
      <c r="EC1308" s="6"/>
      <c r="ED1308" s="6"/>
      <c r="EE1308" s="6"/>
      <c r="EF1308" s="6"/>
      <c r="EG1308" s="6"/>
      <c r="EH1308" s="6"/>
      <c r="EI1308" s="6"/>
      <c r="EJ1308" s="6"/>
      <c r="EK1308" s="6"/>
      <c r="EL1308" s="6"/>
      <c r="EM1308" s="6"/>
      <c r="EN1308" s="6"/>
      <c r="EO1308" s="6"/>
      <c r="EP1308" s="6"/>
      <c r="EQ1308" s="6"/>
      <c r="ER1308" s="6"/>
      <c r="ES1308" s="6"/>
      <c r="ET1308" s="6"/>
      <c r="EU1308" s="6"/>
      <c r="EV1308" s="6"/>
      <c r="EW1308" s="6"/>
      <c r="EX1308" s="6"/>
      <c r="EY1308" s="6"/>
      <c r="EZ1308" s="6"/>
      <c r="FA1308" s="6"/>
      <c r="FB1308" s="6"/>
      <c r="FC1308" s="6"/>
      <c r="FD1308" s="6"/>
      <c r="FE1308" s="6"/>
      <c r="FF1308" s="6"/>
      <c r="FG1308" s="6"/>
      <c r="FH1308" s="6"/>
      <c r="FI1308" s="6"/>
      <c r="FJ1308" s="6"/>
      <c r="FK1308" s="6"/>
      <c r="FL1308" s="6"/>
      <c r="FM1308" s="6"/>
      <c r="FN1308" s="6"/>
      <c r="FO1308" s="6"/>
      <c r="FP1308" s="6"/>
      <c r="FQ1308" s="6"/>
      <c r="FR1308" s="6"/>
      <c r="FS1308" s="6"/>
      <c r="FT1308" s="6"/>
      <c r="FU1308" s="6"/>
      <c r="FV1308" s="6"/>
      <c r="FW1308" s="6"/>
      <c r="FX1308" s="6"/>
      <c r="FY1308" s="6"/>
      <c r="FZ1308" s="6"/>
      <c r="GA1308" s="6"/>
      <c r="GB1308" s="6"/>
      <c r="GC1308" s="6"/>
      <c r="GD1308" s="6"/>
      <c r="GE1308" s="6"/>
      <c r="GF1308" s="6"/>
      <c r="GG1308" s="6"/>
      <c r="GH1308" s="6"/>
      <c r="GI1308" s="6"/>
      <c r="GJ1308" s="6"/>
      <c r="GK1308" s="6"/>
      <c r="GL1308" s="6"/>
      <c r="GM1308" s="6"/>
      <c r="GN1308" s="6"/>
      <c r="GO1308" s="6"/>
      <c r="GP1308" s="6"/>
      <c r="GQ1308" s="6"/>
      <c r="GR1308" s="6"/>
      <c r="GS1308" s="6"/>
      <c r="GT1308" s="6"/>
      <c r="GU1308" s="6"/>
      <c r="GV1308" s="6"/>
      <c r="GW1308" s="6"/>
      <c r="GX1308" s="6"/>
      <c r="GY1308" s="6"/>
      <c r="GZ1308" s="6"/>
      <c r="HA1308" s="6"/>
      <c r="HB1308" s="6"/>
      <c r="HC1308" s="6"/>
      <c r="HD1308" s="6"/>
      <c r="HE1308" s="6"/>
      <c r="HF1308" s="6"/>
      <c r="HG1308" s="6"/>
      <c r="HH1308" s="6"/>
    </row>
    <row r="1309" spans="1:216" x14ac:dyDescent="0.3">
      <c r="A1309" s="8"/>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6"/>
      <c r="AR1309" s="6"/>
      <c r="AS1309" s="6"/>
      <c r="AT1309" s="6"/>
      <c r="AU1309" s="6"/>
      <c r="AV1309" s="6"/>
      <c r="AW1309" s="6"/>
      <c r="AX1309" s="6"/>
      <c r="AY1309" s="6"/>
      <c r="AZ1309" s="6"/>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c r="DX1309" s="6"/>
      <c r="DY1309" s="6"/>
      <c r="DZ1309" s="6"/>
      <c r="EA1309" s="6"/>
      <c r="EB1309" s="6"/>
      <c r="EC1309" s="6"/>
      <c r="ED1309" s="6"/>
      <c r="EE1309" s="6"/>
      <c r="EF1309" s="6"/>
      <c r="EG1309" s="6"/>
      <c r="EH1309" s="6"/>
      <c r="EI1309" s="6"/>
      <c r="EJ1309" s="6"/>
      <c r="EK1309" s="6"/>
      <c r="EL1309" s="6"/>
      <c r="EM1309" s="6"/>
      <c r="EN1309" s="6"/>
      <c r="EO1309" s="6"/>
      <c r="EP1309" s="6"/>
      <c r="EQ1309" s="6"/>
      <c r="ER1309" s="6"/>
      <c r="ES1309" s="6"/>
      <c r="ET1309" s="6"/>
      <c r="EU1309" s="6"/>
      <c r="EV1309" s="6"/>
      <c r="EW1309" s="6"/>
      <c r="EX1309" s="6"/>
      <c r="EY1309" s="6"/>
      <c r="EZ1309" s="6"/>
      <c r="FA1309" s="6"/>
      <c r="FB1309" s="6"/>
      <c r="FC1309" s="6"/>
      <c r="FD1309" s="6"/>
      <c r="FE1309" s="6"/>
      <c r="FF1309" s="6"/>
      <c r="FG1309" s="6"/>
      <c r="FH1309" s="6"/>
      <c r="FI1309" s="6"/>
      <c r="FJ1309" s="6"/>
      <c r="FK1309" s="6"/>
      <c r="FL1309" s="6"/>
      <c r="FM1309" s="6"/>
      <c r="FN1309" s="6"/>
      <c r="FO1309" s="6"/>
      <c r="FP1309" s="6"/>
      <c r="FQ1309" s="6"/>
      <c r="FR1309" s="6"/>
      <c r="FS1309" s="6"/>
      <c r="FT1309" s="6"/>
      <c r="FU1309" s="6"/>
      <c r="FV1309" s="6"/>
      <c r="FW1309" s="6"/>
      <c r="FX1309" s="6"/>
      <c r="FY1309" s="6"/>
      <c r="FZ1309" s="6"/>
      <c r="GA1309" s="6"/>
      <c r="GB1309" s="6"/>
      <c r="GC1309" s="6"/>
      <c r="GD1309" s="6"/>
      <c r="GE1309" s="6"/>
      <c r="GF1309" s="6"/>
      <c r="GG1309" s="6"/>
      <c r="GH1309" s="6"/>
      <c r="GI1309" s="6"/>
      <c r="GJ1309" s="6"/>
      <c r="GK1309" s="6"/>
      <c r="GL1309" s="6"/>
      <c r="GM1309" s="6"/>
      <c r="GN1309" s="6"/>
      <c r="GO1309" s="6"/>
      <c r="GP1309" s="6"/>
      <c r="GQ1309" s="6"/>
      <c r="GR1309" s="6"/>
      <c r="GS1309" s="6"/>
      <c r="GT1309" s="6"/>
      <c r="GU1309" s="6"/>
      <c r="GV1309" s="6"/>
      <c r="GW1309" s="6"/>
      <c r="GX1309" s="6"/>
      <c r="GY1309" s="6"/>
      <c r="GZ1309" s="6"/>
      <c r="HA1309" s="6"/>
      <c r="HB1309" s="6"/>
      <c r="HC1309" s="6"/>
      <c r="HD1309" s="6"/>
      <c r="HE1309" s="6"/>
      <c r="HF1309" s="6"/>
      <c r="HG1309" s="6"/>
      <c r="HH1309" s="6"/>
    </row>
    <row r="1310" spans="1:216" x14ac:dyDescent="0.3">
      <c r="A1310" s="8"/>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6"/>
      <c r="AR1310" s="6"/>
      <c r="AS1310" s="6"/>
      <c r="AT1310" s="6"/>
      <c r="AU1310" s="6"/>
      <c r="AV1310" s="6"/>
      <c r="AW1310" s="6"/>
      <c r="AX1310" s="6"/>
      <c r="AY1310" s="6"/>
      <c r="AZ1310" s="6"/>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c r="DX1310" s="6"/>
      <c r="DY1310" s="6"/>
      <c r="DZ1310" s="6"/>
      <c r="EA1310" s="6"/>
      <c r="EB1310" s="6"/>
      <c r="EC1310" s="6"/>
      <c r="ED1310" s="6"/>
      <c r="EE1310" s="6"/>
      <c r="EF1310" s="6"/>
      <c r="EG1310" s="6"/>
      <c r="EH1310" s="6"/>
      <c r="EI1310" s="6"/>
      <c r="EJ1310" s="6"/>
      <c r="EK1310" s="6"/>
      <c r="EL1310" s="6"/>
      <c r="EM1310" s="6"/>
      <c r="EN1310" s="6"/>
      <c r="EO1310" s="6"/>
      <c r="EP1310" s="6"/>
      <c r="EQ1310" s="6"/>
      <c r="ER1310" s="6"/>
      <c r="ES1310" s="6"/>
      <c r="ET1310" s="6"/>
      <c r="EU1310" s="6"/>
      <c r="EV1310" s="6"/>
      <c r="EW1310" s="6"/>
      <c r="EX1310" s="6"/>
      <c r="EY1310" s="6"/>
      <c r="EZ1310" s="6"/>
      <c r="FA1310" s="6"/>
      <c r="FB1310" s="6"/>
      <c r="FC1310" s="6"/>
      <c r="FD1310" s="6"/>
      <c r="FE1310" s="6"/>
      <c r="FF1310" s="6"/>
      <c r="FG1310" s="6"/>
      <c r="FH1310" s="6"/>
      <c r="FI1310" s="6"/>
      <c r="FJ1310" s="6"/>
      <c r="FK1310" s="6"/>
      <c r="FL1310" s="6"/>
      <c r="FM1310" s="6"/>
      <c r="FN1310" s="6"/>
      <c r="FO1310" s="6"/>
      <c r="FP1310" s="6"/>
      <c r="FQ1310" s="6"/>
      <c r="FR1310" s="6"/>
      <c r="FS1310" s="6"/>
      <c r="FT1310" s="6"/>
      <c r="FU1310" s="6"/>
      <c r="FV1310" s="6"/>
      <c r="FW1310" s="6"/>
      <c r="FX1310" s="6"/>
      <c r="FY1310" s="6"/>
      <c r="FZ1310" s="6"/>
      <c r="GA1310" s="6"/>
      <c r="GB1310" s="6"/>
      <c r="GC1310" s="6"/>
      <c r="GD1310" s="6"/>
      <c r="GE1310" s="6"/>
      <c r="GF1310" s="6"/>
      <c r="GG1310" s="6"/>
      <c r="GH1310" s="6"/>
      <c r="GI1310" s="6"/>
      <c r="GJ1310" s="6"/>
      <c r="GK1310" s="6"/>
      <c r="GL1310" s="6"/>
      <c r="GM1310" s="6"/>
      <c r="GN1310" s="6"/>
      <c r="GO1310" s="6"/>
      <c r="GP1310" s="6"/>
      <c r="GQ1310" s="6"/>
      <c r="GR1310" s="6"/>
      <c r="GS1310" s="6"/>
      <c r="GT1310" s="6"/>
      <c r="GU1310" s="6"/>
      <c r="GV1310" s="6"/>
      <c r="GW1310" s="6"/>
      <c r="GX1310" s="6"/>
      <c r="GY1310" s="6"/>
      <c r="GZ1310" s="6"/>
      <c r="HA1310" s="6"/>
      <c r="HB1310" s="6"/>
      <c r="HC1310" s="6"/>
      <c r="HD1310" s="6"/>
      <c r="HE1310" s="6"/>
      <c r="HF1310" s="6"/>
      <c r="HG1310" s="6"/>
      <c r="HH1310" s="6"/>
    </row>
    <row r="1311" spans="1:216" x14ac:dyDescent="0.3">
      <c r="A1311" s="8"/>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6"/>
      <c r="AR1311" s="6"/>
      <c r="AS1311" s="6"/>
      <c r="AT1311" s="6"/>
      <c r="AU1311" s="6"/>
      <c r="AV1311" s="6"/>
      <c r="AW1311" s="6"/>
      <c r="AX1311" s="6"/>
      <c r="AY1311" s="6"/>
      <c r="AZ1311" s="6"/>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c r="DX1311" s="6"/>
      <c r="DY1311" s="6"/>
      <c r="DZ1311" s="6"/>
      <c r="EA1311" s="6"/>
      <c r="EB1311" s="6"/>
      <c r="EC1311" s="6"/>
      <c r="ED1311" s="6"/>
      <c r="EE1311" s="6"/>
      <c r="EF1311" s="6"/>
      <c r="EG1311" s="6"/>
      <c r="EH1311" s="6"/>
      <c r="EI1311" s="6"/>
      <c r="EJ1311" s="6"/>
      <c r="EK1311" s="6"/>
      <c r="EL1311" s="6"/>
      <c r="EM1311" s="6"/>
      <c r="EN1311" s="6"/>
      <c r="EO1311" s="6"/>
      <c r="EP1311" s="6"/>
      <c r="EQ1311" s="6"/>
      <c r="ER1311" s="6"/>
      <c r="ES1311" s="6"/>
      <c r="ET1311" s="6"/>
      <c r="EU1311" s="6"/>
      <c r="EV1311" s="6"/>
      <c r="EW1311" s="6"/>
      <c r="EX1311" s="6"/>
      <c r="EY1311" s="6"/>
      <c r="EZ1311" s="6"/>
      <c r="FA1311" s="6"/>
      <c r="FB1311" s="6"/>
      <c r="FC1311" s="6"/>
      <c r="FD1311" s="6"/>
      <c r="FE1311" s="6"/>
      <c r="FF1311" s="6"/>
      <c r="FG1311" s="6"/>
      <c r="FH1311" s="6"/>
      <c r="FI1311" s="6"/>
      <c r="FJ1311" s="6"/>
      <c r="FK1311" s="6"/>
      <c r="FL1311" s="6"/>
      <c r="FM1311" s="6"/>
      <c r="FN1311" s="6"/>
      <c r="FO1311" s="6"/>
      <c r="FP1311" s="6"/>
      <c r="FQ1311" s="6"/>
      <c r="FR1311" s="6"/>
      <c r="FS1311" s="6"/>
      <c r="FT1311" s="6"/>
      <c r="FU1311" s="6"/>
      <c r="FV1311" s="6"/>
      <c r="FW1311" s="6"/>
      <c r="FX1311" s="6"/>
      <c r="FY1311" s="6"/>
      <c r="FZ1311" s="6"/>
      <c r="GA1311" s="6"/>
      <c r="GB1311" s="6"/>
      <c r="GC1311" s="6"/>
      <c r="GD1311" s="6"/>
      <c r="GE1311" s="6"/>
      <c r="GF1311" s="6"/>
      <c r="GG1311" s="6"/>
      <c r="GH1311" s="6"/>
      <c r="GI1311" s="6"/>
      <c r="GJ1311" s="6"/>
      <c r="GK1311" s="6"/>
      <c r="GL1311" s="6"/>
      <c r="GM1311" s="6"/>
      <c r="GN1311" s="6"/>
      <c r="GO1311" s="6"/>
      <c r="GP1311" s="6"/>
      <c r="GQ1311" s="6"/>
      <c r="GR1311" s="6"/>
      <c r="GS1311" s="6"/>
      <c r="GT1311" s="6"/>
      <c r="GU1311" s="6"/>
      <c r="GV1311" s="6"/>
      <c r="GW1311" s="6"/>
      <c r="GX1311" s="6"/>
      <c r="GY1311" s="6"/>
      <c r="GZ1311" s="6"/>
      <c r="HA1311" s="6"/>
      <c r="HB1311" s="6"/>
      <c r="HC1311" s="6"/>
      <c r="HD1311" s="6"/>
      <c r="HE1311" s="6"/>
      <c r="HF1311" s="6"/>
      <c r="HG1311" s="6"/>
      <c r="HH1311" s="6"/>
    </row>
    <row r="1312" spans="1:216" x14ac:dyDescent="0.3">
      <c r="A1312" s="8"/>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6"/>
      <c r="AR1312" s="6"/>
      <c r="AS1312" s="6"/>
      <c r="AT1312" s="6"/>
      <c r="AU1312" s="6"/>
      <c r="AV1312" s="6"/>
      <c r="AW1312" s="6"/>
      <c r="AX1312" s="6"/>
      <c r="AY1312" s="6"/>
      <c r="AZ1312" s="6"/>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c r="DX1312" s="6"/>
      <c r="DY1312" s="6"/>
      <c r="DZ1312" s="6"/>
      <c r="EA1312" s="6"/>
      <c r="EB1312" s="6"/>
      <c r="EC1312" s="6"/>
      <c r="ED1312" s="6"/>
      <c r="EE1312" s="6"/>
      <c r="EF1312" s="6"/>
      <c r="EG1312" s="6"/>
      <c r="EH1312" s="6"/>
      <c r="EI1312" s="6"/>
      <c r="EJ1312" s="6"/>
      <c r="EK1312" s="6"/>
      <c r="EL1312" s="6"/>
      <c r="EM1312" s="6"/>
      <c r="EN1312" s="6"/>
      <c r="EO1312" s="6"/>
      <c r="EP1312" s="6"/>
      <c r="EQ1312" s="6"/>
      <c r="ER1312" s="6"/>
      <c r="ES1312" s="6"/>
      <c r="ET1312" s="6"/>
      <c r="EU1312" s="6"/>
      <c r="EV1312" s="6"/>
      <c r="EW1312" s="6"/>
      <c r="EX1312" s="6"/>
      <c r="EY1312" s="6"/>
      <c r="EZ1312" s="6"/>
      <c r="FA1312" s="6"/>
      <c r="FB1312" s="6"/>
      <c r="FC1312" s="6"/>
      <c r="FD1312" s="6"/>
      <c r="FE1312" s="6"/>
      <c r="FF1312" s="6"/>
      <c r="FG1312" s="6"/>
      <c r="FH1312" s="6"/>
      <c r="FI1312" s="6"/>
      <c r="FJ1312" s="6"/>
      <c r="FK1312" s="6"/>
      <c r="FL1312" s="6"/>
      <c r="FM1312" s="6"/>
      <c r="FN1312" s="6"/>
      <c r="FO1312" s="6"/>
      <c r="FP1312" s="6"/>
      <c r="FQ1312" s="6"/>
      <c r="FR1312" s="6"/>
      <c r="FS1312" s="6"/>
      <c r="FT1312" s="6"/>
      <c r="FU1312" s="6"/>
      <c r="FV1312" s="6"/>
      <c r="FW1312" s="6"/>
      <c r="FX1312" s="6"/>
      <c r="FY1312" s="6"/>
      <c r="FZ1312" s="6"/>
      <c r="GA1312" s="6"/>
      <c r="GB1312" s="6"/>
      <c r="GC1312" s="6"/>
      <c r="GD1312" s="6"/>
      <c r="GE1312" s="6"/>
      <c r="GF1312" s="6"/>
      <c r="GG1312" s="6"/>
      <c r="GH1312" s="6"/>
      <c r="GI1312" s="6"/>
      <c r="GJ1312" s="6"/>
      <c r="GK1312" s="6"/>
      <c r="GL1312" s="6"/>
      <c r="GM1312" s="6"/>
      <c r="GN1312" s="6"/>
      <c r="GO1312" s="6"/>
      <c r="GP1312" s="6"/>
      <c r="GQ1312" s="6"/>
      <c r="GR1312" s="6"/>
      <c r="GS1312" s="6"/>
      <c r="GT1312" s="6"/>
      <c r="GU1312" s="6"/>
      <c r="GV1312" s="6"/>
      <c r="GW1312" s="6"/>
      <c r="GX1312" s="6"/>
      <c r="GY1312" s="6"/>
      <c r="GZ1312" s="6"/>
      <c r="HA1312" s="6"/>
      <c r="HB1312" s="6"/>
      <c r="HC1312" s="6"/>
      <c r="HD1312" s="6"/>
      <c r="HE1312" s="6"/>
      <c r="HF1312" s="6"/>
      <c r="HG1312" s="6"/>
      <c r="HH1312" s="6"/>
    </row>
    <row r="1313" spans="1:216" x14ac:dyDescent="0.3">
      <c r="A1313" s="8"/>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6"/>
      <c r="AR1313" s="6"/>
      <c r="AS1313" s="6"/>
      <c r="AT1313" s="6"/>
      <c r="AU1313" s="6"/>
      <c r="AV1313" s="6"/>
      <c r="AW1313" s="6"/>
      <c r="AX1313" s="6"/>
      <c r="AY1313" s="6"/>
      <c r="AZ1313" s="6"/>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c r="DX1313" s="6"/>
      <c r="DY1313" s="6"/>
      <c r="DZ1313" s="6"/>
      <c r="EA1313" s="6"/>
      <c r="EB1313" s="6"/>
      <c r="EC1313" s="6"/>
      <c r="ED1313" s="6"/>
      <c r="EE1313" s="6"/>
      <c r="EF1313" s="6"/>
      <c r="EG1313" s="6"/>
      <c r="EH1313" s="6"/>
      <c r="EI1313" s="6"/>
      <c r="EJ1313" s="6"/>
      <c r="EK1313" s="6"/>
      <c r="EL1313" s="6"/>
      <c r="EM1313" s="6"/>
      <c r="EN1313" s="6"/>
      <c r="EO1313" s="6"/>
      <c r="EP1313" s="6"/>
      <c r="EQ1313" s="6"/>
      <c r="ER1313" s="6"/>
      <c r="ES1313" s="6"/>
      <c r="ET1313" s="6"/>
      <c r="EU1313" s="6"/>
      <c r="EV1313" s="6"/>
      <c r="EW1313" s="6"/>
      <c r="EX1313" s="6"/>
      <c r="EY1313" s="6"/>
      <c r="EZ1313" s="6"/>
      <c r="FA1313" s="6"/>
      <c r="FB1313" s="6"/>
      <c r="FC1313" s="6"/>
      <c r="FD1313" s="6"/>
      <c r="FE1313" s="6"/>
      <c r="FF1313" s="6"/>
      <c r="FG1313" s="6"/>
      <c r="FH1313" s="6"/>
      <c r="FI1313" s="6"/>
      <c r="FJ1313" s="6"/>
      <c r="FK1313" s="6"/>
      <c r="FL1313" s="6"/>
      <c r="FM1313" s="6"/>
      <c r="FN1313" s="6"/>
      <c r="FO1313" s="6"/>
      <c r="FP1313" s="6"/>
      <c r="FQ1313" s="6"/>
      <c r="FR1313" s="6"/>
      <c r="FS1313" s="6"/>
      <c r="FT1313" s="6"/>
      <c r="FU1313" s="6"/>
      <c r="FV1313" s="6"/>
      <c r="FW1313" s="6"/>
      <c r="FX1313" s="6"/>
      <c r="FY1313" s="6"/>
      <c r="FZ1313" s="6"/>
      <c r="GA1313" s="6"/>
      <c r="GB1313" s="6"/>
      <c r="GC1313" s="6"/>
      <c r="GD1313" s="6"/>
      <c r="GE1313" s="6"/>
      <c r="GF1313" s="6"/>
      <c r="GG1313" s="6"/>
      <c r="GH1313" s="6"/>
      <c r="GI1313" s="6"/>
      <c r="GJ1313" s="6"/>
      <c r="GK1313" s="6"/>
      <c r="GL1313" s="6"/>
      <c r="GM1313" s="6"/>
      <c r="GN1313" s="6"/>
      <c r="GO1313" s="6"/>
      <c r="GP1313" s="6"/>
      <c r="GQ1313" s="6"/>
      <c r="GR1313" s="6"/>
      <c r="GS1313" s="6"/>
      <c r="GT1313" s="6"/>
      <c r="GU1313" s="6"/>
      <c r="GV1313" s="6"/>
      <c r="GW1313" s="6"/>
      <c r="GX1313" s="6"/>
      <c r="GY1313" s="6"/>
      <c r="GZ1313" s="6"/>
      <c r="HA1313" s="6"/>
      <c r="HB1313" s="6"/>
      <c r="HC1313" s="6"/>
      <c r="HD1313" s="6"/>
      <c r="HE1313" s="6"/>
      <c r="HF1313" s="6"/>
      <c r="HG1313" s="6"/>
      <c r="HH1313" s="6"/>
    </row>
    <row r="1314" spans="1:216" x14ac:dyDescent="0.3">
      <c r="A1314" s="8"/>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6"/>
      <c r="AR1314" s="6"/>
      <c r="AS1314" s="6"/>
      <c r="AT1314" s="6"/>
      <c r="AU1314" s="6"/>
      <c r="AV1314" s="6"/>
      <c r="AW1314" s="6"/>
      <c r="AX1314" s="6"/>
      <c r="AY1314" s="6"/>
      <c r="AZ1314" s="6"/>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c r="DX1314" s="6"/>
      <c r="DY1314" s="6"/>
      <c r="DZ1314" s="6"/>
      <c r="EA1314" s="6"/>
      <c r="EB1314" s="6"/>
      <c r="EC1314" s="6"/>
      <c r="ED1314" s="6"/>
      <c r="EE1314" s="6"/>
      <c r="EF1314" s="6"/>
      <c r="EG1314" s="6"/>
      <c r="EH1314" s="6"/>
      <c r="EI1314" s="6"/>
      <c r="EJ1314" s="6"/>
      <c r="EK1314" s="6"/>
      <c r="EL1314" s="6"/>
      <c r="EM1314" s="6"/>
      <c r="EN1314" s="6"/>
      <c r="EO1314" s="6"/>
      <c r="EP1314" s="6"/>
      <c r="EQ1314" s="6"/>
      <c r="ER1314" s="6"/>
      <c r="ES1314" s="6"/>
      <c r="ET1314" s="6"/>
      <c r="EU1314" s="6"/>
      <c r="EV1314" s="6"/>
      <c r="EW1314" s="6"/>
      <c r="EX1314" s="6"/>
      <c r="EY1314" s="6"/>
      <c r="EZ1314" s="6"/>
      <c r="FA1314" s="6"/>
      <c r="FB1314" s="6"/>
      <c r="FC1314" s="6"/>
      <c r="FD1314" s="6"/>
      <c r="FE1314" s="6"/>
      <c r="FF1314" s="6"/>
      <c r="FG1314" s="6"/>
      <c r="FH1314" s="6"/>
      <c r="FI1314" s="6"/>
      <c r="FJ1314" s="6"/>
      <c r="FK1314" s="6"/>
      <c r="FL1314" s="6"/>
      <c r="FM1314" s="6"/>
      <c r="FN1314" s="6"/>
      <c r="FO1314" s="6"/>
      <c r="FP1314" s="6"/>
      <c r="FQ1314" s="6"/>
      <c r="FR1314" s="6"/>
      <c r="FS1314" s="6"/>
      <c r="FT1314" s="6"/>
      <c r="FU1314" s="6"/>
      <c r="FV1314" s="6"/>
      <c r="FW1314" s="6"/>
      <c r="FX1314" s="6"/>
      <c r="FY1314" s="6"/>
      <c r="FZ1314" s="6"/>
      <c r="GA1314" s="6"/>
      <c r="GB1314" s="6"/>
      <c r="GC1314" s="6"/>
      <c r="GD1314" s="6"/>
      <c r="GE1314" s="6"/>
      <c r="GF1314" s="6"/>
      <c r="GG1314" s="6"/>
      <c r="GH1314" s="6"/>
      <c r="GI1314" s="6"/>
      <c r="GJ1314" s="6"/>
      <c r="GK1314" s="6"/>
      <c r="GL1314" s="6"/>
      <c r="GM1314" s="6"/>
      <c r="GN1314" s="6"/>
      <c r="GO1314" s="6"/>
      <c r="GP1314" s="6"/>
      <c r="GQ1314" s="6"/>
      <c r="GR1314" s="6"/>
      <c r="GS1314" s="6"/>
      <c r="GT1314" s="6"/>
      <c r="GU1314" s="6"/>
      <c r="GV1314" s="6"/>
      <c r="GW1314" s="6"/>
      <c r="GX1314" s="6"/>
      <c r="GY1314" s="6"/>
      <c r="GZ1314" s="6"/>
      <c r="HA1314" s="6"/>
      <c r="HB1314" s="6"/>
      <c r="HC1314" s="6"/>
      <c r="HD1314" s="6"/>
      <c r="HE1314" s="6"/>
      <c r="HF1314" s="6"/>
      <c r="HG1314" s="6"/>
      <c r="HH1314" s="6"/>
    </row>
    <row r="1315" spans="1:216" x14ac:dyDescent="0.3">
      <c r="A1315" s="8"/>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6"/>
      <c r="AR1315" s="6"/>
      <c r="AS1315" s="6"/>
      <c r="AT1315" s="6"/>
      <c r="AU1315" s="6"/>
      <c r="AV1315" s="6"/>
      <c r="AW1315" s="6"/>
      <c r="AX1315" s="6"/>
      <c r="AY1315" s="6"/>
      <c r="AZ1315" s="6"/>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c r="DX1315" s="6"/>
      <c r="DY1315" s="6"/>
      <c r="DZ1315" s="6"/>
      <c r="EA1315" s="6"/>
      <c r="EB1315" s="6"/>
      <c r="EC1315" s="6"/>
      <c r="ED1315" s="6"/>
      <c r="EE1315" s="6"/>
      <c r="EF1315" s="6"/>
      <c r="EG1315" s="6"/>
      <c r="EH1315" s="6"/>
      <c r="EI1315" s="6"/>
      <c r="EJ1315" s="6"/>
      <c r="EK1315" s="6"/>
      <c r="EL1315" s="6"/>
      <c r="EM1315" s="6"/>
      <c r="EN1315" s="6"/>
      <c r="EO1315" s="6"/>
      <c r="EP1315" s="6"/>
      <c r="EQ1315" s="6"/>
      <c r="ER1315" s="6"/>
      <c r="ES1315" s="6"/>
      <c r="ET1315" s="6"/>
      <c r="EU1315" s="6"/>
      <c r="EV1315" s="6"/>
      <c r="EW1315" s="6"/>
      <c r="EX1315" s="6"/>
      <c r="EY1315" s="6"/>
      <c r="EZ1315" s="6"/>
      <c r="FA1315" s="6"/>
      <c r="FB1315" s="6"/>
      <c r="FC1315" s="6"/>
      <c r="FD1315" s="6"/>
      <c r="FE1315" s="6"/>
      <c r="FF1315" s="6"/>
      <c r="FG1315" s="6"/>
      <c r="FH1315" s="6"/>
      <c r="FI1315" s="6"/>
      <c r="FJ1315" s="6"/>
      <c r="FK1315" s="6"/>
      <c r="FL1315" s="6"/>
      <c r="FM1315" s="6"/>
      <c r="FN1315" s="6"/>
      <c r="FO1315" s="6"/>
      <c r="FP1315" s="6"/>
      <c r="FQ1315" s="6"/>
      <c r="FR1315" s="6"/>
      <c r="FS1315" s="6"/>
      <c r="FT1315" s="6"/>
      <c r="FU1315" s="6"/>
      <c r="FV1315" s="6"/>
      <c r="FW1315" s="6"/>
      <c r="FX1315" s="6"/>
      <c r="FY1315" s="6"/>
      <c r="FZ1315" s="6"/>
      <c r="GA1315" s="6"/>
      <c r="GB1315" s="6"/>
      <c r="GC1315" s="6"/>
      <c r="GD1315" s="6"/>
      <c r="GE1315" s="6"/>
      <c r="GF1315" s="6"/>
      <c r="GG1315" s="6"/>
      <c r="GH1315" s="6"/>
      <c r="GI1315" s="6"/>
      <c r="GJ1315" s="6"/>
      <c r="GK1315" s="6"/>
      <c r="GL1315" s="6"/>
      <c r="GM1315" s="6"/>
      <c r="GN1315" s="6"/>
      <c r="GO1315" s="6"/>
      <c r="GP1315" s="6"/>
      <c r="GQ1315" s="6"/>
      <c r="GR1315" s="6"/>
      <c r="GS1315" s="6"/>
      <c r="GT1315" s="6"/>
      <c r="GU1315" s="6"/>
      <c r="GV1315" s="6"/>
      <c r="GW1315" s="6"/>
      <c r="GX1315" s="6"/>
      <c r="GY1315" s="6"/>
      <c r="GZ1315" s="6"/>
      <c r="HA1315" s="6"/>
      <c r="HB1315" s="6"/>
      <c r="HC1315" s="6"/>
      <c r="HD1315" s="6"/>
      <c r="HE1315" s="6"/>
      <c r="HF1315" s="6"/>
      <c r="HG1315" s="6"/>
      <c r="HH1315" s="6"/>
    </row>
    <row r="1316" spans="1:216" x14ac:dyDescent="0.3">
      <c r="A1316" s="8"/>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6"/>
      <c r="AR1316" s="6"/>
      <c r="AS1316" s="6"/>
      <c r="AT1316" s="6"/>
      <c r="AU1316" s="6"/>
      <c r="AV1316" s="6"/>
      <c r="AW1316" s="6"/>
      <c r="AX1316" s="6"/>
      <c r="AY1316" s="6"/>
      <c r="AZ1316" s="6"/>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c r="DX1316" s="6"/>
      <c r="DY1316" s="6"/>
      <c r="DZ1316" s="6"/>
      <c r="EA1316" s="6"/>
      <c r="EB1316" s="6"/>
      <c r="EC1316" s="6"/>
      <c r="ED1316" s="6"/>
      <c r="EE1316" s="6"/>
      <c r="EF1316" s="6"/>
      <c r="EG1316" s="6"/>
      <c r="EH1316" s="6"/>
      <c r="EI1316" s="6"/>
      <c r="EJ1316" s="6"/>
      <c r="EK1316" s="6"/>
      <c r="EL1316" s="6"/>
      <c r="EM1316" s="6"/>
      <c r="EN1316" s="6"/>
      <c r="EO1316" s="6"/>
      <c r="EP1316" s="6"/>
      <c r="EQ1316" s="6"/>
      <c r="ER1316" s="6"/>
      <c r="ES1316" s="6"/>
      <c r="ET1316" s="6"/>
      <c r="EU1316" s="6"/>
      <c r="EV1316" s="6"/>
      <c r="EW1316" s="6"/>
      <c r="EX1316" s="6"/>
      <c r="EY1316" s="6"/>
      <c r="EZ1316" s="6"/>
      <c r="FA1316" s="6"/>
      <c r="FB1316" s="6"/>
      <c r="FC1316" s="6"/>
      <c r="FD1316" s="6"/>
      <c r="FE1316" s="6"/>
      <c r="FF1316" s="6"/>
      <c r="FG1316" s="6"/>
      <c r="FH1316" s="6"/>
      <c r="FI1316" s="6"/>
      <c r="FJ1316" s="6"/>
      <c r="FK1316" s="6"/>
      <c r="FL1316" s="6"/>
      <c r="FM1316" s="6"/>
      <c r="FN1316" s="6"/>
      <c r="FO1316" s="6"/>
      <c r="FP1316" s="6"/>
      <c r="FQ1316" s="6"/>
      <c r="FR1316" s="6"/>
      <c r="FS1316" s="6"/>
      <c r="FT1316" s="6"/>
      <c r="FU1316" s="6"/>
      <c r="FV1316" s="6"/>
      <c r="FW1316" s="6"/>
      <c r="FX1316" s="6"/>
      <c r="FY1316" s="6"/>
      <c r="FZ1316" s="6"/>
      <c r="GA1316" s="6"/>
      <c r="GB1316" s="6"/>
      <c r="GC1316" s="6"/>
      <c r="GD1316" s="6"/>
      <c r="GE1316" s="6"/>
      <c r="GF1316" s="6"/>
      <c r="GG1316" s="6"/>
      <c r="GH1316" s="6"/>
      <c r="GI1316" s="6"/>
      <c r="GJ1316" s="6"/>
      <c r="GK1316" s="6"/>
      <c r="GL1316" s="6"/>
      <c r="GM1316" s="6"/>
      <c r="GN1316" s="6"/>
      <c r="GO1316" s="6"/>
      <c r="GP1316" s="6"/>
      <c r="GQ1316" s="6"/>
      <c r="GR1316" s="6"/>
      <c r="GS1316" s="6"/>
      <c r="GT1316" s="6"/>
      <c r="GU1316" s="6"/>
      <c r="GV1316" s="6"/>
      <c r="GW1316" s="6"/>
      <c r="GX1316" s="6"/>
      <c r="GY1316" s="6"/>
      <c r="GZ1316" s="6"/>
      <c r="HA1316" s="6"/>
      <c r="HB1316" s="6"/>
      <c r="HC1316" s="6"/>
      <c r="HD1316" s="6"/>
      <c r="HE1316" s="6"/>
      <c r="HF1316" s="6"/>
      <c r="HG1316" s="6"/>
      <c r="HH1316" s="6"/>
    </row>
    <row r="1317" spans="1:216" x14ac:dyDescent="0.3">
      <c r="A1317" s="8"/>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6"/>
      <c r="AR1317" s="6"/>
      <c r="AS1317" s="6"/>
      <c r="AT1317" s="6"/>
      <c r="AU1317" s="6"/>
      <c r="AV1317" s="6"/>
      <c r="AW1317" s="6"/>
      <c r="AX1317" s="6"/>
      <c r="AY1317" s="6"/>
      <c r="AZ1317" s="6"/>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c r="DX1317" s="6"/>
      <c r="DY1317" s="6"/>
      <c r="DZ1317" s="6"/>
      <c r="EA1317" s="6"/>
      <c r="EB1317" s="6"/>
      <c r="EC1317" s="6"/>
      <c r="ED1317" s="6"/>
      <c r="EE1317" s="6"/>
      <c r="EF1317" s="6"/>
      <c r="EG1317" s="6"/>
      <c r="EH1317" s="6"/>
      <c r="EI1317" s="6"/>
      <c r="EJ1317" s="6"/>
      <c r="EK1317" s="6"/>
      <c r="EL1317" s="6"/>
      <c r="EM1317" s="6"/>
      <c r="EN1317" s="6"/>
      <c r="EO1317" s="6"/>
      <c r="EP1317" s="6"/>
      <c r="EQ1317" s="6"/>
      <c r="ER1317" s="6"/>
      <c r="ES1317" s="6"/>
      <c r="ET1317" s="6"/>
      <c r="EU1317" s="6"/>
      <c r="EV1317" s="6"/>
      <c r="EW1317" s="6"/>
      <c r="EX1317" s="6"/>
      <c r="EY1317" s="6"/>
      <c r="EZ1317" s="6"/>
      <c r="FA1317" s="6"/>
      <c r="FB1317" s="6"/>
      <c r="FC1317" s="6"/>
      <c r="FD1317" s="6"/>
      <c r="FE1317" s="6"/>
      <c r="FF1317" s="6"/>
      <c r="FG1317" s="6"/>
      <c r="FH1317" s="6"/>
      <c r="FI1317" s="6"/>
      <c r="FJ1317" s="6"/>
      <c r="FK1317" s="6"/>
      <c r="FL1317" s="6"/>
      <c r="FM1317" s="6"/>
      <c r="FN1317" s="6"/>
      <c r="FO1317" s="6"/>
      <c r="FP1317" s="6"/>
      <c r="FQ1317" s="6"/>
      <c r="FR1317" s="6"/>
      <c r="FS1317" s="6"/>
      <c r="FT1317" s="6"/>
      <c r="FU1317" s="6"/>
      <c r="FV1317" s="6"/>
      <c r="FW1317" s="6"/>
      <c r="FX1317" s="6"/>
      <c r="FY1317" s="6"/>
      <c r="FZ1317" s="6"/>
      <c r="GA1317" s="6"/>
      <c r="GB1317" s="6"/>
      <c r="GC1317" s="6"/>
      <c r="GD1317" s="6"/>
      <c r="GE1317" s="6"/>
      <c r="GF1317" s="6"/>
      <c r="GG1317" s="6"/>
      <c r="GH1317" s="6"/>
      <c r="GI1317" s="6"/>
      <c r="GJ1317" s="6"/>
      <c r="GK1317" s="6"/>
      <c r="GL1317" s="6"/>
      <c r="GM1317" s="6"/>
      <c r="GN1317" s="6"/>
      <c r="GO1317" s="6"/>
      <c r="GP1317" s="6"/>
      <c r="GQ1317" s="6"/>
      <c r="GR1317" s="6"/>
      <c r="GS1317" s="6"/>
      <c r="GT1317" s="6"/>
      <c r="GU1317" s="6"/>
      <c r="GV1317" s="6"/>
      <c r="GW1317" s="6"/>
      <c r="GX1317" s="6"/>
      <c r="GY1317" s="6"/>
      <c r="GZ1317" s="6"/>
      <c r="HA1317" s="6"/>
      <c r="HB1317" s="6"/>
      <c r="HC1317" s="6"/>
      <c r="HD1317" s="6"/>
      <c r="HE1317" s="6"/>
      <c r="HF1317" s="6"/>
      <c r="HG1317" s="6"/>
      <c r="HH1317" s="6"/>
    </row>
    <row r="1318" spans="1:216" x14ac:dyDescent="0.3">
      <c r="A1318" s="8"/>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6"/>
      <c r="AR1318" s="6"/>
      <c r="AS1318" s="6"/>
      <c r="AT1318" s="6"/>
      <c r="AU1318" s="6"/>
      <c r="AV1318" s="6"/>
      <c r="AW1318" s="6"/>
      <c r="AX1318" s="6"/>
      <c r="AY1318" s="6"/>
      <c r="AZ1318" s="6"/>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c r="DX1318" s="6"/>
      <c r="DY1318" s="6"/>
      <c r="DZ1318" s="6"/>
      <c r="EA1318" s="6"/>
      <c r="EB1318" s="6"/>
      <c r="EC1318" s="6"/>
      <c r="ED1318" s="6"/>
      <c r="EE1318" s="6"/>
      <c r="EF1318" s="6"/>
      <c r="EG1318" s="6"/>
      <c r="EH1318" s="6"/>
      <c r="EI1318" s="6"/>
      <c r="EJ1318" s="6"/>
      <c r="EK1318" s="6"/>
      <c r="EL1318" s="6"/>
      <c r="EM1318" s="6"/>
      <c r="EN1318" s="6"/>
      <c r="EO1318" s="6"/>
      <c r="EP1318" s="6"/>
      <c r="EQ1318" s="6"/>
      <c r="ER1318" s="6"/>
      <c r="ES1318" s="6"/>
      <c r="ET1318" s="6"/>
      <c r="EU1318" s="6"/>
      <c r="EV1318" s="6"/>
      <c r="EW1318" s="6"/>
      <c r="EX1318" s="6"/>
      <c r="EY1318" s="6"/>
      <c r="EZ1318" s="6"/>
      <c r="FA1318" s="6"/>
      <c r="FB1318" s="6"/>
      <c r="FC1318" s="6"/>
      <c r="FD1318" s="6"/>
      <c r="FE1318" s="6"/>
      <c r="FF1318" s="6"/>
      <c r="FG1318" s="6"/>
      <c r="FH1318" s="6"/>
      <c r="FI1318" s="6"/>
      <c r="FJ1318" s="6"/>
      <c r="FK1318" s="6"/>
      <c r="FL1318" s="6"/>
      <c r="FM1318" s="6"/>
      <c r="FN1318" s="6"/>
      <c r="FO1318" s="6"/>
      <c r="FP1318" s="6"/>
      <c r="FQ1318" s="6"/>
      <c r="FR1318" s="6"/>
      <c r="FS1318" s="6"/>
      <c r="FT1318" s="6"/>
      <c r="FU1318" s="6"/>
      <c r="FV1318" s="6"/>
      <c r="FW1318" s="6"/>
      <c r="FX1318" s="6"/>
      <c r="FY1318" s="6"/>
      <c r="FZ1318" s="6"/>
      <c r="GA1318" s="6"/>
      <c r="GB1318" s="6"/>
      <c r="GC1318" s="6"/>
      <c r="GD1318" s="6"/>
      <c r="GE1318" s="6"/>
      <c r="GF1318" s="6"/>
      <c r="GG1318" s="6"/>
      <c r="GH1318" s="6"/>
      <c r="GI1318" s="6"/>
      <c r="GJ1318" s="6"/>
      <c r="GK1318" s="6"/>
      <c r="GL1318" s="6"/>
      <c r="GM1318" s="6"/>
      <c r="GN1318" s="6"/>
      <c r="GO1318" s="6"/>
      <c r="GP1318" s="6"/>
      <c r="GQ1318" s="6"/>
      <c r="GR1318" s="6"/>
      <c r="GS1318" s="6"/>
      <c r="GT1318" s="6"/>
      <c r="GU1318" s="6"/>
      <c r="GV1318" s="6"/>
      <c r="GW1318" s="6"/>
      <c r="GX1318" s="6"/>
      <c r="GY1318" s="6"/>
      <c r="GZ1318" s="6"/>
      <c r="HA1318" s="6"/>
      <c r="HB1318" s="6"/>
      <c r="HC1318" s="6"/>
      <c r="HD1318" s="6"/>
      <c r="HE1318" s="6"/>
      <c r="HF1318" s="6"/>
      <c r="HG1318" s="6"/>
      <c r="HH1318" s="6"/>
    </row>
    <row r="1319" spans="1:216" x14ac:dyDescent="0.3">
      <c r="A1319" s="8"/>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6"/>
      <c r="AR1319" s="6"/>
      <c r="AS1319" s="6"/>
      <c r="AT1319" s="6"/>
      <c r="AU1319" s="6"/>
      <c r="AV1319" s="6"/>
      <c r="AW1319" s="6"/>
      <c r="AX1319" s="6"/>
      <c r="AY1319" s="6"/>
      <c r="AZ1319" s="6"/>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c r="DX1319" s="6"/>
      <c r="DY1319" s="6"/>
      <c r="DZ1319" s="6"/>
      <c r="EA1319" s="6"/>
      <c r="EB1319" s="6"/>
      <c r="EC1319" s="6"/>
      <c r="ED1319" s="6"/>
      <c r="EE1319" s="6"/>
      <c r="EF1319" s="6"/>
      <c r="EG1319" s="6"/>
      <c r="EH1319" s="6"/>
      <c r="EI1319" s="6"/>
      <c r="EJ1319" s="6"/>
      <c r="EK1319" s="6"/>
      <c r="EL1319" s="6"/>
      <c r="EM1319" s="6"/>
      <c r="EN1319" s="6"/>
      <c r="EO1319" s="6"/>
      <c r="EP1319" s="6"/>
      <c r="EQ1319" s="6"/>
      <c r="ER1319" s="6"/>
      <c r="ES1319" s="6"/>
      <c r="ET1319" s="6"/>
      <c r="EU1319" s="6"/>
      <c r="EV1319" s="6"/>
      <c r="EW1319" s="6"/>
      <c r="EX1319" s="6"/>
      <c r="EY1319" s="6"/>
      <c r="EZ1319" s="6"/>
      <c r="FA1319" s="6"/>
      <c r="FB1319" s="6"/>
      <c r="FC1319" s="6"/>
      <c r="FD1319" s="6"/>
      <c r="FE1319" s="6"/>
      <c r="FF1319" s="6"/>
      <c r="FG1319" s="6"/>
      <c r="FH1319" s="6"/>
      <c r="FI1319" s="6"/>
      <c r="FJ1319" s="6"/>
      <c r="FK1319" s="6"/>
      <c r="FL1319" s="6"/>
      <c r="FM1319" s="6"/>
      <c r="FN1319" s="6"/>
      <c r="FO1319" s="6"/>
      <c r="FP1319" s="6"/>
      <c r="FQ1319" s="6"/>
      <c r="FR1319" s="6"/>
      <c r="FS1319" s="6"/>
      <c r="FT1319" s="6"/>
      <c r="FU1319" s="6"/>
      <c r="FV1319" s="6"/>
      <c r="FW1319" s="6"/>
      <c r="FX1319" s="6"/>
      <c r="FY1319" s="6"/>
      <c r="FZ1319" s="6"/>
      <c r="GA1319" s="6"/>
      <c r="GB1319" s="6"/>
      <c r="GC1319" s="6"/>
      <c r="GD1319" s="6"/>
      <c r="GE1319" s="6"/>
      <c r="GF1319" s="6"/>
      <c r="GG1319" s="6"/>
      <c r="GH1319" s="6"/>
      <c r="GI1319" s="6"/>
      <c r="GJ1319" s="6"/>
      <c r="GK1319" s="6"/>
      <c r="GL1319" s="6"/>
      <c r="GM1319" s="6"/>
      <c r="GN1319" s="6"/>
      <c r="GO1319" s="6"/>
      <c r="GP1319" s="6"/>
      <c r="GQ1319" s="6"/>
      <c r="GR1319" s="6"/>
      <c r="GS1319" s="6"/>
      <c r="GT1319" s="6"/>
      <c r="GU1319" s="6"/>
      <c r="GV1319" s="6"/>
      <c r="GW1319" s="6"/>
      <c r="GX1319" s="6"/>
      <c r="GY1319" s="6"/>
      <c r="GZ1319" s="6"/>
      <c r="HA1319" s="6"/>
      <c r="HB1319" s="6"/>
      <c r="HC1319" s="6"/>
      <c r="HD1319" s="6"/>
      <c r="HE1319" s="6"/>
      <c r="HF1319" s="6"/>
      <c r="HG1319" s="6"/>
      <c r="HH1319" s="6"/>
    </row>
    <row r="1320" spans="1:216" x14ac:dyDescent="0.3">
      <c r="A1320" s="8"/>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6"/>
      <c r="AR1320" s="6"/>
      <c r="AS1320" s="6"/>
      <c r="AT1320" s="6"/>
      <c r="AU1320" s="6"/>
      <c r="AV1320" s="6"/>
      <c r="AW1320" s="6"/>
      <c r="AX1320" s="6"/>
      <c r="AY1320" s="6"/>
      <c r="AZ1320" s="6"/>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c r="DX1320" s="6"/>
      <c r="DY1320" s="6"/>
      <c r="DZ1320" s="6"/>
      <c r="EA1320" s="6"/>
      <c r="EB1320" s="6"/>
      <c r="EC1320" s="6"/>
      <c r="ED1320" s="6"/>
      <c r="EE1320" s="6"/>
      <c r="EF1320" s="6"/>
      <c r="EG1320" s="6"/>
      <c r="EH1320" s="6"/>
      <c r="EI1320" s="6"/>
      <c r="EJ1320" s="6"/>
      <c r="EK1320" s="6"/>
      <c r="EL1320" s="6"/>
      <c r="EM1320" s="6"/>
      <c r="EN1320" s="6"/>
      <c r="EO1320" s="6"/>
      <c r="EP1320" s="6"/>
      <c r="EQ1320" s="6"/>
      <c r="ER1320" s="6"/>
      <c r="ES1320" s="6"/>
      <c r="ET1320" s="6"/>
      <c r="EU1320" s="6"/>
      <c r="EV1320" s="6"/>
      <c r="EW1320" s="6"/>
      <c r="EX1320" s="6"/>
      <c r="EY1320" s="6"/>
      <c r="EZ1320" s="6"/>
      <c r="FA1320" s="6"/>
      <c r="FB1320" s="6"/>
      <c r="FC1320" s="6"/>
      <c r="FD1320" s="6"/>
      <c r="FE1320" s="6"/>
      <c r="FF1320" s="6"/>
      <c r="FG1320" s="6"/>
      <c r="FH1320" s="6"/>
      <c r="FI1320" s="6"/>
      <c r="FJ1320" s="6"/>
      <c r="FK1320" s="6"/>
      <c r="FL1320" s="6"/>
      <c r="FM1320" s="6"/>
      <c r="FN1320" s="6"/>
      <c r="FO1320" s="6"/>
      <c r="FP1320" s="6"/>
      <c r="FQ1320" s="6"/>
      <c r="FR1320" s="6"/>
      <c r="FS1320" s="6"/>
      <c r="FT1320" s="6"/>
      <c r="FU1320" s="6"/>
      <c r="FV1320" s="6"/>
      <c r="FW1320" s="6"/>
      <c r="FX1320" s="6"/>
      <c r="FY1320" s="6"/>
      <c r="FZ1320" s="6"/>
      <c r="GA1320" s="6"/>
      <c r="GB1320" s="6"/>
      <c r="GC1320" s="6"/>
      <c r="GD1320" s="6"/>
      <c r="GE1320" s="6"/>
      <c r="GF1320" s="6"/>
      <c r="GG1320" s="6"/>
      <c r="GH1320" s="6"/>
      <c r="GI1320" s="6"/>
      <c r="GJ1320" s="6"/>
      <c r="GK1320" s="6"/>
      <c r="GL1320" s="6"/>
      <c r="GM1320" s="6"/>
      <c r="GN1320" s="6"/>
      <c r="GO1320" s="6"/>
      <c r="GP1320" s="6"/>
      <c r="GQ1320" s="6"/>
      <c r="GR1320" s="6"/>
      <c r="GS1320" s="6"/>
      <c r="GT1320" s="6"/>
      <c r="GU1320" s="6"/>
      <c r="GV1320" s="6"/>
      <c r="GW1320" s="6"/>
      <c r="GX1320" s="6"/>
      <c r="GY1320" s="6"/>
      <c r="GZ1320" s="6"/>
      <c r="HA1320" s="6"/>
      <c r="HB1320" s="6"/>
      <c r="HC1320" s="6"/>
      <c r="HD1320" s="6"/>
      <c r="HE1320" s="6"/>
      <c r="HF1320" s="6"/>
      <c r="HG1320" s="6"/>
      <c r="HH1320" s="6"/>
    </row>
    <row r="1321" spans="1:216" x14ac:dyDescent="0.3">
      <c r="A1321" s="8"/>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6"/>
      <c r="AR1321" s="6"/>
      <c r="AS1321" s="6"/>
      <c r="AT1321" s="6"/>
      <c r="AU1321" s="6"/>
      <c r="AV1321" s="6"/>
      <c r="AW1321" s="6"/>
      <c r="AX1321" s="6"/>
      <c r="AY1321" s="6"/>
      <c r="AZ1321" s="6"/>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c r="DX1321" s="6"/>
      <c r="DY1321" s="6"/>
      <c r="DZ1321" s="6"/>
      <c r="EA1321" s="6"/>
      <c r="EB1321" s="6"/>
      <c r="EC1321" s="6"/>
      <c r="ED1321" s="6"/>
      <c r="EE1321" s="6"/>
      <c r="EF1321" s="6"/>
      <c r="EG1321" s="6"/>
      <c r="EH1321" s="6"/>
      <c r="EI1321" s="6"/>
      <c r="EJ1321" s="6"/>
      <c r="EK1321" s="6"/>
      <c r="EL1321" s="6"/>
      <c r="EM1321" s="6"/>
      <c r="EN1321" s="6"/>
      <c r="EO1321" s="6"/>
      <c r="EP1321" s="6"/>
      <c r="EQ1321" s="6"/>
      <c r="ER1321" s="6"/>
      <c r="ES1321" s="6"/>
      <c r="ET1321" s="6"/>
      <c r="EU1321" s="6"/>
      <c r="EV1321" s="6"/>
      <c r="EW1321" s="6"/>
      <c r="EX1321" s="6"/>
      <c r="EY1321" s="6"/>
      <c r="EZ1321" s="6"/>
      <c r="FA1321" s="6"/>
      <c r="FB1321" s="6"/>
      <c r="FC1321" s="6"/>
      <c r="FD1321" s="6"/>
      <c r="FE1321" s="6"/>
      <c r="FF1321" s="6"/>
      <c r="FG1321" s="6"/>
      <c r="FH1321" s="6"/>
      <c r="FI1321" s="6"/>
      <c r="FJ1321" s="6"/>
      <c r="FK1321" s="6"/>
      <c r="FL1321" s="6"/>
      <c r="FM1321" s="6"/>
      <c r="FN1321" s="6"/>
      <c r="FO1321" s="6"/>
      <c r="FP1321" s="6"/>
      <c r="FQ1321" s="6"/>
      <c r="FR1321" s="6"/>
      <c r="FS1321" s="6"/>
      <c r="FT1321" s="6"/>
      <c r="FU1321" s="6"/>
      <c r="FV1321" s="6"/>
      <c r="FW1321" s="6"/>
      <c r="FX1321" s="6"/>
      <c r="FY1321" s="6"/>
      <c r="FZ1321" s="6"/>
      <c r="GA1321" s="6"/>
      <c r="GB1321" s="6"/>
      <c r="GC1321" s="6"/>
      <c r="GD1321" s="6"/>
      <c r="GE1321" s="6"/>
      <c r="GF1321" s="6"/>
      <c r="GG1321" s="6"/>
      <c r="GH1321" s="6"/>
      <c r="GI1321" s="6"/>
      <c r="GJ1321" s="6"/>
      <c r="GK1321" s="6"/>
      <c r="GL1321" s="6"/>
      <c r="GM1321" s="6"/>
      <c r="GN1321" s="6"/>
      <c r="GO1321" s="6"/>
      <c r="GP1321" s="6"/>
      <c r="GQ1321" s="6"/>
      <c r="GR1321" s="6"/>
      <c r="GS1321" s="6"/>
      <c r="GT1321" s="6"/>
      <c r="GU1321" s="6"/>
      <c r="GV1321" s="6"/>
      <c r="GW1321" s="6"/>
      <c r="GX1321" s="6"/>
      <c r="GY1321" s="6"/>
      <c r="GZ1321" s="6"/>
      <c r="HA1321" s="6"/>
      <c r="HB1321" s="6"/>
      <c r="HC1321" s="6"/>
      <c r="HD1321" s="6"/>
      <c r="HE1321" s="6"/>
      <c r="HF1321" s="6"/>
      <c r="HG1321" s="6"/>
      <c r="HH1321" s="6"/>
    </row>
    <row r="1322" spans="1:216" x14ac:dyDescent="0.3">
      <c r="A1322" s="8"/>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6"/>
      <c r="AR1322" s="6"/>
      <c r="AS1322" s="6"/>
      <c r="AT1322" s="6"/>
      <c r="AU1322" s="6"/>
      <c r="AV1322" s="6"/>
      <c r="AW1322" s="6"/>
      <c r="AX1322" s="6"/>
      <c r="AY1322" s="6"/>
      <c r="AZ1322" s="6"/>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c r="DX1322" s="6"/>
      <c r="DY1322" s="6"/>
      <c r="DZ1322" s="6"/>
      <c r="EA1322" s="6"/>
      <c r="EB1322" s="6"/>
      <c r="EC1322" s="6"/>
      <c r="ED1322" s="6"/>
      <c r="EE1322" s="6"/>
      <c r="EF1322" s="6"/>
      <c r="EG1322" s="6"/>
      <c r="EH1322" s="6"/>
      <c r="EI1322" s="6"/>
      <c r="EJ1322" s="6"/>
      <c r="EK1322" s="6"/>
      <c r="EL1322" s="6"/>
      <c r="EM1322" s="6"/>
      <c r="EN1322" s="6"/>
      <c r="EO1322" s="6"/>
      <c r="EP1322" s="6"/>
      <c r="EQ1322" s="6"/>
      <c r="ER1322" s="6"/>
      <c r="ES1322" s="6"/>
      <c r="ET1322" s="6"/>
      <c r="EU1322" s="6"/>
      <c r="EV1322" s="6"/>
      <c r="EW1322" s="6"/>
      <c r="EX1322" s="6"/>
      <c r="EY1322" s="6"/>
      <c r="EZ1322" s="6"/>
      <c r="FA1322" s="6"/>
      <c r="FB1322" s="6"/>
      <c r="FC1322" s="6"/>
      <c r="FD1322" s="6"/>
      <c r="FE1322" s="6"/>
      <c r="FF1322" s="6"/>
      <c r="FG1322" s="6"/>
      <c r="FH1322" s="6"/>
      <c r="FI1322" s="6"/>
      <c r="FJ1322" s="6"/>
      <c r="FK1322" s="6"/>
      <c r="FL1322" s="6"/>
      <c r="FM1322" s="6"/>
      <c r="FN1322" s="6"/>
      <c r="FO1322" s="6"/>
      <c r="FP1322" s="6"/>
      <c r="FQ1322" s="6"/>
      <c r="FR1322" s="6"/>
      <c r="FS1322" s="6"/>
      <c r="FT1322" s="6"/>
      <c r="FU1322" s="6"/>
      <c r="FV1322" s="6"/>
      <c r="FW1322" s="6"/>
      <c r="FX1322" s="6"/>
      <c r="FY1322" s="6"/>
      <c r="FZ1322" s="6"/>
      <c r="GA1322" s="6"/>
      <c r="GB1322" s="6"/>
      <c r="GC1322" s="6"/>
      <c r="GD1322" s="6"/>
      <c r="GE1322" s="6"/>
      <c r="GF1322" s="6"/>
      <c r="GG1322" s="6"/>
      <c r="GH1322" s="6"/>
      <c r="GI1322" s="6"/>
      <c r="GJ1322" s="6"/>
      <c r="GK1322" s="6"/>
      <c r="GL1322" s="6"/>
      <c r="GM1322" s="6"/>
      <c r="GN1322" s="6"/>
      <c r="GO1322" s="6"/>
      <c r="GP1322" s="6"/>
      <c r="GQ1322" s="6"/>
      <c r="GR1322" s="6"/>
      <c r="GS1322" s="6"/>
      <c r="GT1322" s="6"/>
      <c r="GU1322" s="6"/>
      <c r="GV1322" s="6"/>
      <c r="GW1322" s="6"/>
      <c r="GX1322" s="6"/>
      <c r="GY1322" s="6"/>
      <c r="GZ1322" s="6"/>
      <c r="HA1322" s="6"/>
      <c r="HB1322" s="6"/>
      <c r="HC1322" s="6"/>
      <c r="HD1322" s="6"/>
      <c r="HE1322" s="6"/>
      <c r="HF1322" s="6"/>
      <c r="HG1322" s="6"/>
      <c r="HH1322" s="6"/>
    </row>
    <row r="1323" spans="1:216" x14ac:dyDescent="0.3">
      <c r="A1323" s="8"/>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row>
    <row r="1324" spans="1:216" x14ac:dyDescent="0.3">
      <c r="A1324" s="8"/>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row>
    <row r="1325" spans="1:216" x14ac:dyDescent="0.3">
      <c r="A1325" s="8"/>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row>
    <row r="1326" spans="1:216" x14ac:dyDescent="0.3">
      <c r="A1326" s="8"/>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6"/>
      <c r="AR1326" s="6"/>
      <c r="AS1326" s="6"/>
      <c r="AT1326" s="6"/>
      <c r="AU1326" s="6"/>
      <c r="AV1326" s="6"/>
      <c r="AW1326" s="6"/>
      <c r="AX1326" s="6"/>
      <c r="AY1326" s="6"/>
      <c r="AZ1326" s="6"/>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c r="DX1326" s="6"/>
      <c r="DY1326" s="6"/>
      <c r="DZ1326" s="6"/>
      <c r="EA1326" s="6"/>
      <c r="EB1326" s="6"/>
      <c r="EC1326" s="6"/>
      <c r="ED1326" s="6"/>
      <c r="EE1326" s="6"/>
      <c r="EF1326" s="6"/>
      <c r="EG1326" s="6"/>
      <c r="EH1326" s="6"/>
      <c r="EI1326" s="6"/>
      <c r="EJ1326" s="6"/>
      <c r="EK1326" s="6"/>
      <c r="EL1326" s="6"/>
      <c r="EM1326" s="6"/>
      <c r="EN1326" s="6"/>
      <c r="EO1326" s="6"/>
      <c r="EP1326" s="6"/>
      <c r="EQ1326" s="6"/>
      <c r="ER1326" s="6"/>
      <c r="ES1326" s="6"/>
      <c r="ET1326" s="6"/>
      <c r="EU1326" s="6"/>
      <c r="EV1326" s="6"/>
      <c r="EW1326" s="6"/>
      <c r="EX1326" s="6"/>
      <c r="EY1326" s="6"/>
      <c r="EZ1326" s="6"/>
      <c r="FA1326" s="6"/>
      <c r="FB1326" s="6"/>
      <c r="FC1326" s="6"/>
      <c r="FD1326" s="6"/>
      <c r="FE1326" s="6"/>
      <c r="FF1326" s="6"/>
      <c r="FG1326" s="6"/>
      <c r="FH1326" s="6"/>
      <c r="FI1326" s="6"/>
      <c r="FJ1326" s="6"/>
      <c r="FK1326" s="6"/>
      <c r="FL1326" s="6"/>
      <c r="FM1326" s="6"/>
      <c r="FN1326" s="6"/>
      <c r="FO1326" s="6"/>
      <c r="FP1326" s="6"/>
      <c r="FQ1326" s="6"/>
      <c r="FR1326" s="6"/>
      <c r="FS1326" s="6"/>
      <c r="FT1326" s="6"/>
      <c r="FU1326" s="6"/>
      <c r="FV1326" s="6"/>
      <c r="FW1326" s="6"/>
      <c r="FX1326" s="6"/>
      <c r="FY1326" s="6"/>
      <c r="FZ1326" s="6"/>
      <c r="GA1326" s="6"/>
      <c r="GB1326" s="6"/>
      <c r="GC1326" s="6"/>
      <c r="GD1326" s="6"/>
      <c r="GE1326" s="6"/>
      <c r="GF1326" s="6"/>
      <c r="GG1326" s="6"/>
      <c r="GH1326" s="6"/>
      <c r="GI1326" s="6"/>
      <c r="GJ1326" s="6"/>
      <c r="GK1326" s="6"/>
      <c r="GL1326" s="6"/>
      <c r="GM1326" s="6"/>
      <c r="GN1326" s="6"/>
      <c r="GO1326" s="6"/>
      <c r="GP1326" s="6"/>
      <c r="GQ1326" s="6"/>
      <c r="GR1326" s="6"/>
      <c r="GS1326" s="6"/>
      <c r="GT1326" s="6"/>
      <c r="GU1326" s="6"/>
      <c r="GV1326" s="6"/>
      <c r="GW1326" s="6"/>
      <c r="GX1326" s="6"/>
      <c r="GY1326" s="6"/>
      <c r="GZ1326" s="6"/>
      <c r="HA1326" s="6"/>
      <c r="HB1326" s="6"/>
      <c r="HC1326" s="6"/>
      <c r="HD1326" s="6"/>
      <c r="HE1326" s="6"/>
      <c r="HF1326" s="6"/>
      <c r="HG1326" s="6"/>
      <c r="HH1326" s="6"/>
    </row>
    <row r="1327" spans="1:216" x14ac:dyDescent="0.3">
      <c r="A1327" s="8"/>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6"/>
      <c r="AR1327" s="6"/>
      <c r="AS1327" s="6"/>
      <c r="AT1327" s="6"/>
      <c r="AU1327" s="6"/>
      <c r="AV1327" s="6"/>
      <c r="AW1327" s="6"/>
      <c r="AX1327" s="6"/>
      <c r="AY1327" s="6"/>
      <c r="AZ1327" s="6"/>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c r="DX1327" s="6"/>
      <c r="DY1327" s="6"/>
      <c r="DZ1327" s="6"/>
      <c r="EA1327" s="6"/>
      <c r="EB1327" s="6"/>
      <c r="EC1327" s="6"/>
      <c r="ED1327" s="6"/>
      <c r="EE1327" s="6"/>
      <c r="EF1327" s="6"/>
      <c r="EG1327" s="6"/>
      <c r="EH1327" s="6"/>
      <c r="EI1327" s="6"/>
      <c r="EJ1327" s="6"/>
      <c r="EK1327" s="6"/>
      <c r="EL1327" s="6"/>
      <c r="EM1327" s="6"/>
      <c r="EN1327" s="6"/>
      <c r="EO1327" s="6"/>
      <c r="EP1327" s="6"/>
      <c r="EQ1327" s="6"/>
      <c r="ER1327" s="6"/>
      <c r="ES1327" s="6"/>
      <c r="ET1327" s="6"/>
      <c r="EU1327" s="6"/>
      <c r="EV1327" s="6"/>
      <c r="EW1327" s="6"/>
      <c r="EX1327" s="6"/>
      <c r="EY1327" s="6"/>
      <c r="EZ1327" s="6"/>
      <c r="FA1327" s="6"/>
      <c r="FB1327" s="6"/>
      <c r="FC1327" s="6"/>
      <c r="FD1327" s="6"/>
      <c r="FE1327" s="6"/>
      <c r="FF1327" s="6"/>
      <c r="FG1327" s="6"/>
      <c r="FH1327" s="6"/>
      <c r="FI1327" s="6"/>
      <c r="FJ1327" s="6"/>
      <c r="FK1327" s="6"/>
      <c r="FL1327" s="6"/>
      <c r="FM1327" s="6"/>
      <c r="FN1327" s="6"/>
      <c r="FO1327" s="6"/>
      <c r="FP1327" s="6"/>
      <c r="FQ1327" s="6"/>
      <c r="FR1327" s="6"/>
      <c r="FS1327" s="6"/>
      <c r="FT1327" s="6"/>
      <c r="FU1327" s="6"/>
      <c r="FV1327" s="6"/>
      <c r="FW1327" s="6"/>
      <c r="FX1327" s="6"/>
      <c r="FY1327" s="6"/>
      <c r="FZ1327" s="6"/>
      <c r="GA1327" s="6"/>
      <c r="GB1327" s="6"/>
      <c r="GC1327" s="6"/>
      <c r="GD1327" s="6"/>
      <c r="GE1327" s="6"/>
      <c r="GF1327" s="6"/>
      <c r="GG1327" s="6"/>
      <c r="GH1327" s="6"/>
      <c r="GI1327" s="6"/>
      <c r="GJ1327" s="6"/>
      <c r="GK1327" s="6"/>
      <c r="GL1327" s="6"/>
      <c r="GM1327" s="6"/>
      <c r="GN1327" s="6"/>
      <c r="GO1327" s="6"/>
      <c r="GP1327" s="6"/>
      <c r="GQ1327" s="6"/>
      <c r="GR1327" s="6"/>
      <c r="GS1327" s="6"/>
      <c r="GT1327" s="6"/>
      <c r="GU1327" s="6"/>
      <c r="GV1327" s="6"/>
      <c r="GW1327" s="6"/>
      <c r="GX1327" s="6"/>
      <c r="GY1327" s="6"/>
      <c r="GZ1327" s="6"/>
      <c r="HA1327" s="6"/>
      <c r="HB1327" s="6"/>
      <c r="HC1327" s="6"/>
      <c r="HD1327" s="6"/>
      <c r="HE1327" s="6"/>
      <c r="HF1327" s="6"/>
      <c r="HG1327" s="6"/>
      <c r="HH1327" s="6"/>
    </row>
    <row r="1328" spans="1:216" x14ac:dyDescent="0.3">
      <c r="A1328" s="8"/>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6"/>
      <c r="AR1328" s="6"/>
      <c r="AS1328" s="6"/>
      <c r="AT1328" s="6"/>
      <c r="AU1328" s="6"/>
      <c r="AV1328" s="6"/>
      <c r="AW1328" s="6"/>
      <c r="AX1328" s="6"/>
      <c r="AY1328" s="6"/>
      <c r="AZ1328" s="6"/>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c r="DX1328" s="6"/>
      <c r="DY1328" s="6"/>
      <c r="DZ1328" s="6"/>
      <c r="EA1328" s="6"/>
      <c r="EB1328" s="6"/>
      <c r="EC1328" s="6"/>
      <c r="ED1328" s="6"/>
      <c r="EE1328" s="6"/>
      <c r="EF1328" s="6"/>
      <c r="EG1328" s="6"/>
      <c r="EH1328" s="6"/>
      <c r="EI1328" s="6"/>
      <c r="EJ1328" s="6"/>
      <c r="EK1328" s="6"/>
      <c r="EL1328" s="6"/>
      <c r="EM1328" s="6"/>
      <c r="EN1328" s="6"/>
      <c r="EO1328" s="6"/>
      <c r="EP1328" s="6"/>
      <c r="EQ1328" s="6"/>
      <c r="ER1328" s="6"/>
      <c r="ES1328" s="6"/>
      <c r="ET1328" s="6"/>
      <c r="EU1328" s="6"/>
      <c r="EV1328" s="6"/>
      <c r="EW1328" s="6"/>
      <c r="EX1328" s="6"/>
      <c r="EY1328" s="6"/>
      <c r="EZ1328" s="6"/>
      <c r="FA1328" s="6"/>
      <c r="FB1328" s="6"/>
      <c r="FC1328" s="6"/>
      <c r="FD1328" s="6"/>
      <c r="FE1328" s="6"/>
      <c r="FF1328" s="6"/>
      <c r="FG1328" s="6"/>
      <c r="FH1328" s="6"/>
      <c r="FI1328" s="6"/>
      <c r="FJ1328" s="6"/>
      <c r="FK1328" s="6"/>
      <c r="FL1328" s="6"/>
      <c r="FM1328" s="6"/>
      <c r="FN1328" s="6"/>
      <c r="FO1328" s="6"/>
      <c r="FP1328" s="6"/>
      <c r="FQ1328" s="6"/>
      <c r="FR1328" s="6"/>
      <c r="FS1328" s="6"/>
      <c r="FT1328" s="6"/>
      <c r="FU1328" s="6"/>
      <c r="FV1328" s="6"/>
      <c r="FW1328" s="6"/>
      <c r="FX1328" s="6"/>
      <c r="FY1328" s="6"/>
      <c r="FZ1328" s="6"/>
      <c r="GA1328" s="6"/>
      <c r="GB1328" s="6"/>
      <c r="GC1328" s="6"/>
      <c r="GD1328" s="6"/>
      <c r="GE1328" s="6"/>
      <c r="GF1328" s="6"/>
      <c r="GG1328" s="6"/>
      <c r="GH1328" s="6"/>
      <c r="GI1328" s="6"/>
      <c r="GJ1328" s="6"/>
      <c r="GK1328" s="6"/>
      <c r="GL1328" s="6"/>
      <c r="GM1328" s="6"/>
      <c r="GN1328" s="6"/>
      <c r="GO1328" s="6"/>
      <c r="GP1328" s="6"/>
      <c r="GQ1328" s="6"/>
      <c r="GR1328" s="6"/>
      <c r="GS1328" s="6"/>
      <c r="GT1328" s="6"/>
      <c r="GU1328" s="6"/>
      <c r="GV1328" s="6"/>
      <c r="GW1328" s="6"/>
      <c r="GX1328" s="6"/>
      <c r="GY1328" s="6"/>
      <c r="GZ1328" s="6"/>
      <c r="HA1328" s="6"/>
      <c r="HB1328" s="6"/>
      <c r="HC1328" s="6"/>
      <c r="HD1328" s="6"/>
      <c r="HE1328" s="6"/>
      <c r="HF1328" s="6"/>
      <c r="HG1328" s="6"/>
      <c r="HH1328" s="6"/>
    </row>
    <row r="1329" spans="1:216" x14ac:dyDescent="0.3">
      <c r="A1329" s="8"/>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row>
    <row r="1330" spans="1:216" x14ac:dyDescent="0.3">
      <c r="A1330" s="8"/>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row>
    <row r="1331" spans="1:216" x14ac:dyDescent="0.3">
      <c r="A1331" s="8"/>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row>
    <row r="1332" spans="1:216" x14ac:dyDescent="0.3">
      <c r="A1332" s="8"/>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row>
    <row r="1333" spans="1:216" x14ac:dyDescent="0.3">
      <c r="A1333" s="8"/>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row>
    <row r="1334" spans="1:216" x14ac:dyDescent="0.3">
      <c r="A1334" s="8"/>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row>
    <row r="1335" spans="1:216" x14ac:dyDescent="0.3">
      <c r="A1335" s="8"/>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row>
    <row r="1336" spans="1:216" x14ac:dyDescent="0.3">
      <c r="A1336" s="8"/>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row>
    <row r="1337" spans="1:216" x14ac:dyDescent="0.3">
      <c r="A1337" s="8"/>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row>
    <row r="1338" spans="1:216" x14ac:dyDescent="0.3">
      <c r="A1338" s="8"/>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6"/>
      <c r="AR1338" s="6"/>
      <c r="AS1338" s="6"/>
      <c r="AT1338" s="6"/>
      <c r="AU1338" s="6"/>
      <c r="AV1338" s="6"/>
      <c r="AW1338" s="6"/>
      <c r="AX1338" s="6"/>
      <c r="AY1338" s="6"/>
      <c r="AZ1338" s="6"/>
      <c r="BA1338" s="6"/>
      <c r="BB1338" s="6"/>
      <c r="BC1338" s="6"/>
      <c r="BD1338" s="6"/>
      <c r="BE1338" s="6"/>
      <c r="BF1338" s="6"/>
      <c r="BG1338" s="6"/>
      <c r="BH1338" s="6"/>
      <c r="BI1338" s="6"/>
      <c r="BJ1338" s="6"/>
      <c r="BK1338" s="6"/>
      <c r="BL1338" s="6"/>
      <c r="BM1338" s="6"/>
      <c r="BN1338" s="6"/>
      <c r="BO1338" s="6"/>
      <c r="BP1338" s="6"/>
      <c r="BQ1338" s="6"/>
      <c r="BR1338" s="6"/>
      <c r="BS1338" s="6"/>
      <c r="BT1338" s="6"/>
      <c r="BU1338" s="6"/>
      <c r="BV1338" s="6"/>
      <c r="BW1338" s="6"/>
      <c r="BX1338" s="6"/>
      <c r="BY1338" s="6"/>
      <c r="BZ1338" s="6"/>
      <c r="CA1338" s="6"/>
      <c r="CB1338" s="6"/>
      <c r="CC1338" s="6"/>
      <c r="CD1338" s="6"/>
      <c r="CE1338" s="6"/>
      <c r="CF1338" s="6"/>
      <c r="CG1338" s="6"/>
      <c r="CH1338" s="6"/>
      <c r="CI1338" s="6"/>
      <c r="CJ1338" s="6"/>
      <c r="CK1338" s="6"/>
      <c r="CL1338" s="6"/>
      <c r="CM1338" s="6"/>
      <c r="CN1338" s="6"/>
      <c r="CO1338" s="6"/>
      <c r="CP1338" s="6"/>
      <c r="CQ1338" s="6"/>
      <c r="CR1338" s="6"/>
      <c r="CS1338" s="6"/>
      <c r="CT1338" s="6"/>
      <c r="CU1338" s="6"/>
      <c r="CV1338" s="6"/>
      <c r="CW1338" s="6"/>
      <c r="CX1338" s="6"/>
      <c r="CY1338" s="6"/>
      <c r="CZ1338" s="6"/>
      <c r="DA1338" s="6"/>
      <c r="DB1338" s="6"/>
      <c r="DC1338" s="6"/>
      <c r="DD1338" s="6"/>
      <c r="DE1338" s="6"/>
      <c r="DF1338" s="6"/>
      <c r="DG1338" s="6"/>
      <c r="DH1338" s="6"/>
      <c r="DI1338" s="6"/>
      <c r="DJ1338" s="6"/>
      <c r="DK1338" s="6"/>
      <c r="DL1338" s="6"/>
      <c r="DM1338" s="6"/>
      <c r="DN1338" s="6"/>
      <c r="DO1338" s="6"/>
      <c r="DP1338" s="6"/>
      <c r="DQ1338" s="6"/>
      <c r="DR1338" s="6"/>
      <c r="DS1338" s="6"/>
      <c r="DT1338" s="6"/>
      <c r="DU1338" s="6"/>
      <c r="DV1338" s="6"/>
      <c r="DW1338" s="6"/>
      <c r="DX1338" s="6"/>
      <c r="DY1338" s="6"/>
      <c r="DZ1338" s="6"/>
      <c r="EA1338" s="6"/>
      <c r="EB1338" s="6"/>
      <c r="EC1338" s="6"/>
      <c r="ED1338" s="6"/>
      <c r="EE1338" s="6"/>
      <c r="EF1338" s="6"/>
      <c r="EG1338" s="6"/>
      <c r="EH1338" s="6"/>
      <c r="EI1338" s="6"/>
      <c r="EJ1338" s="6"/>
      <c r="EK1338" s="6"/>
      <c r="EL1338" s="6"/>
      <c r="EM1338" s="6"/>
      <c r="EN1338" s="6"/>
      <c r="EO1338" s="6"/>
      <c r="EP1338" s="6"/>
      <c r="EQ1338" s="6"/>
      <c r="ER1338" s="6"/>
      <c r="ES1338" s="6"/>
      <c r="ET1338" s="6"/>
      <c r="EU1338" s="6"/>
      <c r="EV1338" s="6"/>
      <c r="EW1338" s="6"/>
      <c r="EX1338" s="6"/>
      <c r="EY1338" s="6"/>
      <c r="EZ1338" s="6"/>
      <c r="FA1338" s="6"/>
      <c r="FB1338" s="6"/>
      <c r="FC1338" s="6"/>
      <c r="FD1338" s="6"/>
      <c r="FE1338" s="6"/>
      <c r="FF1338" s="6"/>
      <c r="FG1338" s="6"/>
      <c r="FH1338" s="6"/>
      <c r="FI1338" s="6"/>
      <c r="FJ1338" s="6"/>
      <c r="FK1338" s="6"/>
      <c r="FL1338" s="6"/>
      <c r="FM1338" s="6"/>
      <c r="FN1338" s="6"/>
      <c r="FO1338" s="6"/>
      <c r="FP1338" s="6"/>
      <c r="FQ1338" s="6"/>
      <c r="FR1338" s="6"/>
      <c r="FS1338" s="6"/>
      <c r="FT1338" s="6"/>
      <c r="FU1338" s="6"/>
      <c r="FV1338" s="6"/>
      <c r="FW1338" s="6"/>
      <c r="FX1338" s="6"/>
      <c r="FY1338" s="6"/>
      <c r="FZ1338" s="6"/>
      <c r="GA1338" s="6"/>
      <c r="GB1338" s="6"/>
      <c r="GC1338" s="6"/>
      <c r="GD1338" s="6"/>
      <c r="GE1338" s="6"/>
      <c r="GF1338" s="6"/>
      <c r="GG1338" s="6"/>
      <c r="GH1338" s="6"/>
      <c r="GI1338" s="6"/>
      <c r="GJ1338" s="6"/>
      <c r="GK1338" s="6"/>
      <c r="GL1338" s="6"/>
      <c r="GM1338" s="6"/>
      <c r="GN1338" s="6"/>
      <c r="GO1338" s="6"/>
      <c r="GP1338" s="6"/>
      <c r="GQ1338" s="6"/>
      <c r="GR1338" s="6"/>
      <c r="GS1338" s="6"/>
      <c r="GT1338" s="6"/>
      <c r="GU1338" s="6"/>
      <c r="GV1338" s="6"/>
      <c r="GW1338" s="6"/>
      <c r="GX1338" s="6"/>
      <c r="GY1338" s="6"/>
      <c r="GZ1338" s="6"/>
      <c r="HA1338" s="6"/>
      <c r="HB1338" s="6"/>
      <c r="HC1338" s="6"/>
      <c r="HD1338" s="6"/>
      <c r="HE1338" s="6"/>
      <c r="HF1338" s="6"/>
      <c r="HG1338" s="6"/>
      <c r="HH1338" s="6"/>
    </row>
    <row r="1339" spans="1:216" x14ac:dyDescent="0.3">
      <c r="A1339" s="8"/>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6"/>
      <c r="AR1339" s="6"/>
      <c r="AS1339" s="6"/>
      <c r="AT1339" s="6"/>
      <c r="AU1339" s="6"/>
      <c r="AV1339" s="6"/>
      <c r="AW1339" s="6"/>
      <c r="AX1339" s="6"/>
      <c r="AY1339" s="6"/>
      <c r="AZ1339" s="6"/>
      <c r="BA1339" s="6"/>
      <c r="BB1339" s="6"/>
      <c r="BC1339" s="6"/>
      <c r="BD1339" s="6"/>
      <c r="BE1339" s="6"/>
      <c r="BF1339" s="6"/>
      <c r="BG1339" s="6"/>
      <c r="BH1339" s="6"/>
      <c r="BI1339" s="6"/>
      <c r="BJ1339" s="6"/>
      <c r="BK1339" s="6"/>
      <c r="BL1339" s="6"/>
      <c r="BM1339" s="6"/>
      <c r="BN1339" s="6"/>
      <c r="BO1339" s="6"/>
      <c r="BP1339" s="6"/>
      <c r="BQ1339" s="6"/>
      <c r="BR1339" s="6"/>
      <c r="BS1339" s="6"/>
      <c r="BT1339" s="6"/>
      <c r="BU1339" s="6"/>
      <c r="BV1339" s="6"/>
      <c r="BW1339" s="6"/>
      <c r="BX1339" s="6"/>
      <c r="BY1339" s="6"/>
      <c r="BZ1339" s="6"/>
      <c r="CA1339" s="6"/>
      <c r="CB1339" s="6"/>
      <c r="CC1339" s="6"/>
      <c r="CD1339" s="6"/>
      <c r="CE1339" s="6"/>
      <c r="CF1339" s="6"/>
      <c r="CG1339" s="6"/>
      <c r="CH1339" s="6"/>
      <c r="CI1339" s="6"/>
      <c r="CJ1339" s="6"/>
      <c r="CK1339" s="6"/>
      <c r="CL1339" s="6"/>
      <c r="CM1339" s="6"/>
      <c r="CN1339" s="6"/>
      <c r="CO1339" s="6"/>
      <c r="CP1339" s="6"/>
      <c r="CQ1339" s="6"/>
      <c r="CR1339" s="6"/>
      <c r="CS1339" s="6"/>
      <c r="CT1339" s="6"/>
      <c r="CU1339" s="6"/>
      <c r="CV1339" s="6"/>
      <c r="CW1339" s="6"/>
      <c r="CX1339" s="6"/>
      <c r="CY1339" s="6"/>
      <c r="CZ1339" s="6"/>
      <c r="DA1339" s="6"/>
      <c r="DB1339" s="6"/>
      <c r="DC1339" s="6"/>
      <c r="DD1339" s="6"/>
      <c r="DE1339" s="6"/>
      <c r="DF1339" s="6"/>
      <c r="DG1339" s="6"/>
      <c r="DH1339" s="6"/>
      <c r="DI1339" s="6"/>
      <c r="DJ1339" s="6"/>
      <c r="DK1339" s="6"/>
      <c r="DL1339" s="6"/>
      <c r="DM1339" s="6"/>
      <c r="DN1339" s="6"/>
      <c r="DO1339" s="6"/>
      <c r="DP1339" s="6"/>
      <c r="DQ1339" s="6"/>
      <c r="DR1339" s="6"/>
      <c r="DS1339" s="6"/>
      <c r="DT1339" s="6"/>
      <c r="DU1339" s="6"/>
      <c r="DV1339" s="6"/>
      <c r="DW1339" s="6"/>
      <c r="DX1339" s="6"/>
      <c r="DY1339" s="6"/>
      <c r="DZ1339" s="6"/>
      <c r="EA1339" s="6"/>
      <c r="EB1339" s="6"/>
      <c r="EC1339" s="6"/>
      <c r="ED1339" s="6"/>
      <c r="EE1339" s="6"/>
      <c r="EF1339" s="6"/>
      <c r="EG1339" s="6"/>
      <c r="EH1339" s="6"/>
      <c r="EI1339" s="6"/>
      <c r="EJ1339" s="6"/>
      <c r="EK1339" s="6"/>
      <c r="EL1339" s="6"/>
      <c r="EM1339" s="6"/>
      <c r="EN1339" s="6"/>
      <c r="EO1339" s="6"/>
      <c r="EP1339" s="6"/>
      <c r="EQ1339" s="6"/>
      <c r="ER1339" s="6"/>
      <c r="ES1339" s="6"/>
      <c r="ET1339" s="6"/>
      <c r="EU1339" s="6"/>
      <c r="EV1339" s="6"/>
      <c r="EW1339" s="6"/>
      <c r="EX1339" s="6"/>
      <c r="EY1339" s="6"/>
      <c r="EZ1339" s="6"/>
      <c r="FA1339" s="6"/>
      <c r="FB1339" s="6"/>
      <c r="FC1339" s="6"/>
      <c r="FD1339" s="6"/>
      <c r="FE1339" s="6"/>
      <c r="FF1339" s="6"/>
      <c r="FG1339" s="6"/>
      <c r="FH1339" s="6"/>
      <c r="FI1339" s="6"/>
      <c r="FJ1339" s="6"/>
      <c r="FK1339" s="6"/>
      <c r="FL1339" s="6"/>
      <c r="FM1339" s="6"/>
      <c r="FN1339" s="6"/>
      <c r="FO1339" s="6"/>
      <c r="FP1339" s="6"/>
      <c r="FQ1339" s="6"/>
      <c r="FR1339" s="6"/>
      <c r="FS1339" s="6"/>
      <c r="FT1339" s="6"/>
      <c r="FU1339" s="6"/>
      <c r="FV1339" s="6"/>
      <c r="FW1339" s="6"/>
      <c r="FX1339" s="6"/>
      <c r="FY1339" s="6"/>
      <c r="FZ1339" s="6"/>
      <c r="GA1339" s="6"/>
      <c r="GB1339" s="6"/>
      <c r="GC1339" s="6"/>
      <c r="GD1339" s="6"/>
      <c r="GE1339" s="6"/>
      <c r="GF1339" s="6"/>
      <c r="GG1339" s="6"/>
      <c r="GH1339" s="6"/>
      <c r="GI1339" s="6"/>
      <c r="GJ1339" s="6"/>
      <c r="GK1339" s="6"/>
      <c r="GL1339" s="6"/>
      <c r="GM1339" s="6"/>
      <c r="GN1339" s="6"/>
      <c r="GO1339" s="6"/>
      <c r="GP1339" s="6"/>
      <c r="GQ1339" s="6"/>
      <c r="GR1339" s="6"/>
      <c r="GS1339" s="6"/>
      <c r="GT1339" s="6"/>
      <c r="GU1339" s="6"/>
      <c r="GV1339" s="6"/>
      <c r="GW1339" s="6"/>
      <c r="GX1339" s="6"/>
      <c r="GY1339" s="6"/>
      <c r="GZ1339" s="6"/>
      <c r="HA1339" s="6"/>
      <c r="HB1339" s="6"/>
      <c r="HC1339" s="6"/>
      <c r="HD1339" s="6"/>
      <c r="HE1339" s="6"/>
      <c r="HF1339" s="6"/>
      <c r="HG1339" s="6"/>
      <c r="HH1339" s="6"/>
    </row>
    <row r="1340" spans="1:216" x14ac:dyDescent="0.3">
      <c r="A1340" s="8"/>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6"/>
      <c r="AR1340" s="6"/>
      <c r="AS1340" s="6"/>
      <c r="AT1340" s="6"/>
      <c r="AU1340" s="6"/>
      <c r="AV1340" s="6"/>
      <c r="AW1340" s="6"/>
      <c r="AX1340" s="6"/>
      <c r="AY1340" s="6"/>
      <c r="AZ1340" s="6"/>
      <c r="BA1340" s="6"/>
      <c r="BB1340" s="6"/>
      <c r="BC1340" s="6"/>
      <c r="BD1340" s="6"/>
      <c r="BE1340" s="6"/>
      <c r="BF1340" s="6"/>
      <c r="BG1340" s="6"/>
      <c r="BH1340" s="6"/>
      <c r="BI1340" s="6"/>
      <c r="BJ1340" s="6"/>
      <c r="BK1340" s="6"/>
      <c r="BL1340" s="6"/>
      <c r="BM1340" s="6"/>
      <c r="BN1340" s="6"/>
      <c r="BO1340" s="6"/>
      <c r="BP1340" s="6"/>
      <c r="BQ1340" s="6"/>
      <c r="BR1340" s="6"/>
      <c r="BS1340" s="6"/>
      <c r="BT1340" s="6"/>
      <c r="BU1340" s="6"/>
      <c r="BV1340" s="6"/>
      <c r="BW1340" s="6"/>
      <c r="BX1340" s="6"/>
      <c r="BY1340" s="6"/>
      <c r="BZ1340" s="6"/>
      <c r="CA1340" s="6"/>
      <c r="CB1340" s="6"/>
      <c r="CC1340" s="6"/>
      <c r="CD1340" s="6"/>
      <c r="CE1340" s="6"/>
      <c r="CF1340" s="6"/>
      <c r="CG1340" s="6"/>
      <c r="CH1340" s="6"/>
      <c r="CI1340" s="6"/>
      <c r="CJ1340" s="6"/>
      <c r="CK1340" s="6"/>
      <c r="CL1340" s="6"/>
      <c r="CM1340" s="6"/>
      <c r="CN1340" s="6"/>
      <c r="CO1340" s="6"/>
      <c r="CP1340" s="6"/>
      <c r="CQ1340" s="6"/>
      <c r="CR1340" s="6"/>
      <c r="CS1340" s="6"/>
      <c r="CT1340" s="6"/>
      <c r="CU1340" s="6"/>
      <c r="CV1340" s="6"/>
      <c r="CW1340" s="6"/>
      <c r="CX1340" s="6"/>
      <c r="CY1340" s="6"/>
      <c r="CZ1340" s="6"/>
      <c r="DA1340" s="6"/>
      <c r="DB1340" s="6"/>
      <c r="DC1340" s="6"/>
      <c r="DD1340" s="6"/>
      <c r="DE1340" s="6"/>
      <c r="DF1340" s="6"/>
      <c r="DG1340" s="6"/>
      <c r="DH1340" s="6"/>
      <c r="DI1340" s="6"/>
      <c r="DJ1340" s="6"/>
      <c r="DK1340" s="6"/>
      <c r="DL1340" s="6"/>
      <c r="DM1340" s="6"/>
      <c r="DN1340" s="6"/>
      <c r="DO1340" s="6"/>
      <c r="DP1340" s="6"/>
      <c r="DQ1340" s="6"/>
      <c r="DR1340" s="6"/>
      <c r="DS1340" s="6"/>
      <c r="DT1340" s="6"/>
      <c r="DU1340" s="6"/>
      <c r="DV1340" s="6"/>
      <c r="DW1340" s="6"/>
      <c r="DX1340" s="6"/>
      <c r="DY1340" s="6"/>
      <c r="DZ1340" s="6"/>
      <c r="EA1340" s="6"/>
      <c r="EB1340" s="6"/>
      <c r="EC1340" s="6"/>
      <c r="ED1340" s="6"/>
      <c r="EE1340" s="6"/>
      <c r="EF1340" s="6"/>
      <c r="EG1340" s="6"/>
      <c r="EH1340" s="6"/>
      <c r="EI1340" s="6"/>
      <c r="EJ1340" s="6"/>
      <c r="EK1340" s="6"/>
      <c r="EL1340" s="6"/>
      <c r="EM1340" s="6"/>
      <c r="EN1340" s="6"/>
      <c r="EO1340" s="6"/>
      <c r="EP1340" s="6"/>
      <c r="EQ1340" s="6"/>
      <c r="ER1340" s="6"/>
      <c r="ES1340" s="6"/>
      <c r="ET1340" s="6"/>
      <c r="EU1340" s="6"/>
      <c r="EV1340" s="6"/>
      <c r="EW1340" s="6"/>
      <c r="EX1340" s="6"/>
      <c r="EY1340" s="6"/>
      <c r="EZ1340" s="6"/>
      <c r="FA1340" s="6"/>
      <c r="FB1340" s="6"/>
      <c r="FC1340" s="6"/>
      <c r="FD1340" s="6"/>
      <c r="FE1340" s="6"/>
      <c r="FF1340" s="6"/>
      <c r="FG1340" s="6"/>
      <c r="FH1340" s="6"/>
      <c r="FI1340" s="6"/>
      <c r="FJ1340" s="6"/>
      <c r="FK1340" s="6"/>
      <c r="FL1340" s="6"/>
      <c r="FM1340" s="6"/>
      <c r="FN1340" s="6"/>
      <c r="FO1340" s="6"/>
      <c r="FP1340" s="6"/>
      <c r="FQ1340" s="6"/>
      <c r="FR1340" s="6"/>
      <c r="FS1340" s="6"/>
      <c r="FT1340" s="6"/>
      <c r="FU1340" s="6"/>
      <c r="FV1340" s="6"/>
      <c r="FW1340" s="6"/>
      <c r="FX1340" s="6"/>
      <c r="FY1340" s="6"/>
      <c r="FZ1340" s="6"/>
      <c r="GA1340" s="6"/>
      <c r="GB1340" s="6"/>
      <c r="GC1340" s="6"/>
      <c r="GD1340" s="6"/>
      <c r="GE1340" s="6"/>
      <c r="GF1340" s="6"/>
      <c r="GG1340" s="6"/>
      <c r="GH1340" s="6"/>
      <c r="GI1340" s="6"/>
      <c r="GJ1340" s="6"/>
      <c r="GK1340" s="6"/>
      <c r="GL1340" s="6"/>
      <c r="GM1340" s="6"/>
      <c r="GN1340" s="6"/>
      <c r="GO1340" s="6"/>
      <c r="GP1340" s="6"/>
      <c r="GQ1340" s="6"/>
      <c r="GR1340" s="6"/>
      <c r="GS1340" s="6"/>
      <c r="GT1340" s="6"/>
      <c r="GU1340" s="6"/>
      <c r="GV1340" s="6"/>
      <c r="GW1340" s="6"/>
      <c r="GX1340" s="6"/>
      <c r="GY1340" s="6"/>
      <c r="GZ1340" s="6"/>
      <c r="HA1340" s="6"/>
      <c r="HB1340" s="6"/>
      <c r="HC1340" s="6"/>
      <c r="HD1340" s="6"/>
      <c r="HE1340" s="6"/>
      <c r="HF1340" s="6"/>
      <c r="HG1340" s="6"/>
      <c r="HH1340" s="6"/>
    </row>
    <row r="1341" spans="1:216" x14ac:dyDescent="0.3">
      <c r="A1341" s="8"/>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6"/>
      <c r="AR1341" s="6"/>
      <c r="AS1341" s="6"/>
      <c r="AT1341" s="6"/>
      <c r="AU1341" s="6"/>
      <c r="AV1341" s="6"/>
      <c r="AW1341" s="6"/>
      <c r="AX1341" s="6"/>
      <c r="AY1341" s="6"/>
      <c r="AZ1341" s="6"/>
      <c r="BA1341" s="6"/>
      <c r="BB1341" s="6"/>
      <c r="BC1341" s="6"/>
      <c r="BD1341" s="6"/>
      <c r="BE1341" s="6"/>
      <c r="BF1341" s="6"/>
      <c r="BG1341" s="6"/>
      <c r="BH1341" s="6"/>
      <c r="BI1341" s="6"/>
      <c r="BJ1341" s="6"/>
      <c r="BK1341" s="6"/>
      <c r="BL1341" s="6"/>
      <c r="BM1341" s="6"/>
      <c r="BN1341" s="6"/>
      <c r="BO1341" s="6"/>
      <c r="BP1341" s="6"/>
      <c r="BQ1341" s="6"/>
      <c r="BR1341" s="6"/>
      <c r="BS1341" s="6"/>
      <c r="BT1341" s="6"/>
      <c r="BU1341" s="6"/>
      <c r="BV1341" s="6"/>
      <c r="BW1341" s="6"/>
      <c r="BX1341" s="6"/>
      <c r="BY1341" s="6"/>
      <c r="BZ1341" s="6"/>
      <c r="CA1341" s="6"/>
      <c r="CB1341" s="6"/>
      <c r="CC1341" s="6"/>
      <c r="CD1341" s="6"/>
      <c r="CE1341" s="6"/>
      <c r="CF1341" s="6"/>
      <c r="CG1341" s="6"/>
      <c r="CH1341" s="6"/>
      <c r="CI1341" s="6"/>
      <c r="CJ1341" s="6"/>
      <c r="CK1341" s="6"/>
      <c r="CL1341" s="6"/>
      <c r="CM1341" s="6"/>
      <c r="CN1341" s="6"/>
      <c r="CO1341" s="6"/>
      <c r="CP1341" s="6"/>
      <c r="CQ1341" s="6"/>
      <c r="CR1341" s="6"/>
      <c r="CS1341" s="6"/>
      <c r="CT1341" s="6"/>
      <c r="CU1341" s="6"/>
      <c r="CV1341" s="6"/>
      <c r="CW1341" s="6"/>
      <c r="CX1341" s="6"/>
      <c r="CY1341" s="6"/>
      <c r="CZ1341" s="6"/>
      <c r="DA1341" s="6"/>
      <c r="DB1341" s="6"/>
      <c r="DC1341" s="6"/>
      <c r="DD1341" s="6"/>
      <c r="DE1341" s="6"/>
      <c r="DF1341" s="6"/>
      <c r="DG1341" s="6"/>
      <c r="DH1341" s="6"/>
      <c r="DI1341" s="6"/>
      <c r="DJ1341" s="6"/>
      <c r="DK1341" s="6"/>
      <c r="DL1341" s="6"/>
      <c r="DM1341" s="6"/>
      <c r="DN1341" s="6"/>
      <c r="DO1341" s="6"/>
      <c r="DP1341" s="6"/>
      <c r="DQ1341" s="6"/>
      <c r="DR1341" s="6"/>
      <c r="DS1341" s="6"/>
      <c r="DT1341" s="6"/>
      <c r="DU1341" s="6"/>
      <c r="DV1341" s="6"/>
      <c r="DW1341" s="6"/>
      <c r="DX1341" s="6"/>
      <c r="DY1341" s="6"/>
      <c r="DZ1341" s="6"/>
      <c r="EA1341" s="6"/>
      <c r="EB1341" s="6"/>
      <c r="EC1341" s="6"/>
      <c r="ED1341" s="6"/>
      <c r="EE1341" s="6"/>
      <c r="EF1341" s="6"/>
      <c r="EG1341" s="6"/>
      <c r="EH1341" s="6"/>
      <c r="EI1341" s="6"/>
      <c r="EJ1341" s="6"/>
      <c r="EK1341" s="6"/>
      <c r="EL1341" s="6"/>
      <c r="EM1341" s="6"/>
      <c r="EN1341" s="6"/>
      <c r="EO1341" s="6"/>
      <c r="EP1341" s="6"/>
      <c r="EQ1341" s="6"/>
      <c r="ER1341" s="6"/>
      <c r="ES1341" s="6"/>
      <c r="ET1341" s="6"/>
      <c r="EU1341" s="6"/>
      <c r="EV1341" s="6"/>
      <c r="EW1341" s="6"/>
      <c r="EX1341" s="6"/>
      <c r="EY1341" s="6"/>
      <c r="EZ1341" s="6"/>
      <c r="FA1341" s="6"/>
      <c r="FB1341" s="6"/>
      <c r="FC1341" s="6"/>
      <c r="FD1341" s="6"/>
      <c r="FE1341" s="6"/>
      <c r="FF1341" s="6"/>
      <c r="FG1341" s="6"/>
      <c r="FH1341" s="6"/>
      <c r="FI1341" s="6"/>
      <c r="FJ1341" s="6"/>
      <c r="FK1341" s="6"/>
      <c r="FL1341" s="6"/>
      <c r="FM1341" s="6"/>
      <c r="FN1341" s="6"/>
      <c r="FO1341" s="6"/>
      <c r="FP1341" s="6"/>
      <c r="FQ1341" s="6"/>
      <c r="FR1341" s="6"/>
      <c r="FS1341" s="6"/>
      <c r="FT1341" s="6"/>
      <c r="FU1341" s="6"/>
      <c r="FV1341" s="6"/>
      <c r="FW1341" s="6"/>
      <c r="FX1341" s="6"/>
      <c r="FY1341" s="6"/>
      <c r="FZ1341" s="6"/>
      <c r="GA1341" s="6"/>
      <c r="GB1341" s="6"/>
      <c r="GC1341" s="6"/>
      <c r="GD1341" s="6"/>
      <c r="GE1341" s="6"/>
      <c r="GF1341" s="6"/>
      <c r="GG1341" s="6"/>
      <c r="GH1341" s="6"/>
      <c r="GI1341" s="6"/>
      <c r="GJ1341" s="6"/>
      <c r="GK1341" s="6"/>
      <c r="GL1341" s="6"/>
      <c r="GM1341" s="6"/>
      <c r="GN1341" s="6"/>
      <c r="GO1341" s="6"/>
      <c r="GP1341" s="6"/>
      <c r="GQ1341" s="6"/>
      <c r="GR1341" s="6"/>
      <c r="GS1341" s="6"/>
      <c r="GT1341" s="6"/>
      <c r="GU1341" s="6"/>
      <c r="GV1341" s="6"/>
      <c r="GW1341" s="6"/>
      <c r="GX1341" s="6"/>
      <c r="GY1341" s="6"/>
      <c r="GZ1341" s="6"/>
      <c r="HA1341" s="6"/>
      <c r="HB1341" s="6"/>
      <c r="HC1341" s="6"/>
      <c r="HD1341" s="6"/>
      <c r="HE1341" s="6"/>
      <c r="HF1341" s="6"/>
      <c r="HG1341" s="6"/>
      <c r="HH1341" s="6"/>
    </row>
    <row r="1342" spans="1:216" x14ac:dyDescent="0.3">
      <c r="A1342" s="8"/>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6"/>
      <c r="AR1342" s="6"/>
      <c r="AS1342" s="6"/>
      <c r="AT1342" s="6"/>
      <c r="AU1342" s="6"/>
      <c r="AV1342" s="6"/>
      <c r="AW1342" s="6"/>
      <c r="AX1342" s="6"/>
      <c r="AY1342" s="6"/>
      <c r="AZ1342" s="6"/>
      <c r="BA1342" s="6"/>
      <c r="BB1342" s="6"/>
      <c r="BC1342" s="6"/>
      <c r="BD1342" s="6"/>
      <c r="BE1342" s="6"/>
      <c r="BF1342" s="6"/>
      <c r="BG1342" s="6"/>
      <c r="BH1342" s="6"/>
      <c r="BI1342" s="6"/>
      <c r="BJ1342" s="6"/>
      <c r="BK1342" s="6"/>
      <c r="BL1342" s="6"/>
      <c r="BM1342" s="6"/>
      <c r="BN1342" s="6"/>
      <c r="BO1342" s="6"/>
      <c r="BP1342" s="6"/>
      <c r="BQ1342" s="6"/>
      <c r="BR1342" s="6"/>
      <c r="BS1342" s="6"/>
      <c r="BT1342" s="6"/>
      <c r="BU1342" s="6"/>
      <c r="BV1342" s="6"/>
      <c r="BW1342" s="6"/>
      <c r="BX1342" s="6"/>
      <c r="BY1342" s="6"/>
      <c r="BZ1342" s="6"/>
      <c r="CA1342" s="6"/>
      <c r="CB1342" s="6"/>
      <c r="CC1342" s="6"/>
      <c r="CD1342" s="6"/>
      <c r="CE1342" s="6"/>
      <c r="CF1342" s="6"/>
      <c r="CG1342" s="6"/>
      <c r="CH1342" s="6"/>
      <c r="CI1342" s="6"/>
      <c r="CJ1342" s="6"/>
      <c r="CK1342" s="6"/>
      <c r="CL1342" s="6"/>
      <c r="CM1342" s="6"/>
      <c r="CN1342" s="6"/>
      <c r="CO1342" s="6"/>
      <c r="CP1342" s="6"/>
      <c r="CQ1342" s="6"/>
      <c r="CR1342" s="6"/>
      <c r="CS1342" s="6"/>
      <c r="CT1342" s="6"/>
      <c r="CU1342" s="6"/>
      <c r="CV1342" s="6"/>
      <c r="CW1342" s="6"/>
      <c r="CX1342" s="6"/>
      <c r="CY1342" s="6"/>
      <c r="CZ1342" s="6"/>
      <c r="DA1342" s="6"/>
      <c r="DB1342" s="6"/>
      <c r="DC1342" s="6"/>
      <c r="DD1342" s="6"/>
      <c r="DE1342" s="6"/>
      <c r="DF1342" s="6"/>
      <c r="DG1342" s="6"/>
      <c r="DH1342" s="6"/>
      <c r="DI1342" s="6"/>
      <c r="DJ1342" s="6"/>
      <c r="DK1342" s="6"/>
      <c r="DL1342" s="6"/>
      <c r="DM1342" s="6"/>
      <c r="DN1342" s="6"/>
      <c r="DO1342" s="6"/>
      <c r="DP1342" s="6"/>
      <c r="DQ1342" s="6"/>
      <c r="DR1342" s="6"/>
      <c r="DS1342" s="6"/>
      <c r="DT1342" s="6"/>
      <c r="DU1342" s="6"/>
      <c r="DV1342" s="6"/>
      <c r="DW1342" s="6"/>
      <c r="DX1342" s="6"/>
      <c r="DY1342" s="6"/>
      <c r="DZ1342" s="6"/>
      <c r="EA1342" s="6"/>
      <c r="EB1342" s="6"/>
      <c r="EC1342" s="6"/>
      <c r="ED1342" s="6"/>
      <c r="EE1342" s="6"/>
      <c r="EF1342" s="6"/>
      <c r="EG1342" s="6"/>
      <c r="EH1342" s="6"/>
      <c r="EI1342" s="6"/>
      <c r="EJ1342" s="6"/>
      <c r="EK1342" s="6"/>
      <c r="EL1342" s="6"/>
      <c r="EM1342" s="6"/>
      <c r="EN1342" s="6"/>
      <c r="EO1342" s="6"/>
      <c r="EP1342" s="6"/>
      <c r="EQ1342" s="6"/>
      <c r="ER1342" s="6"/>
      <c r="ES1342" s="6"/>
      <c r="ET1342" s="6"/>
      <c r="EU1342" s="6"/>
      <c r="EV1342" s="6"/>
      <c r="EW1342" s="6"/>
      <c r="EX1342" s="6"/>
      <c r="EY1342" s="6"/>
      <c r="EZ1342" s="6"/>
      <c r="FA1342" s="6"/>
      <c r="FB1342" s="6"/>
      <c r="FC1342" s="6"/>
      <c r="FD1342" s="6"/>
      <c r="FE1342" s="6"/>
      <c r="FF1342" s="6"/>
      <c r="FG1342" s="6"/>
      <c r="FH1342" s="6"/>
      <c r="FI1342" s="6"/>
      <c r="FJ1342" s="6"/>
      <c r="FK1342" s="6"/>
      <c r="FL1342" s="6"/>
      <c r="FM1342" s="6"/>
      <c r="FN1342" s="6"/>
      <c r="FO1342" s="6"/>
      <c r="FP1342" s="6"/>
      <c r="FQ1342" s="6"/>
      <c r="FR1342" s="6"/>
      <c r="FS1342" s="6"/>
      <c r="FT1342" s="6"/>
      <c r="FU1342" s="6"/>
      <c r="FV1342" s="6"/>
      <c r="FW1342" s="6"/>
      <c r="FX1342" s="6"/>
      <c r="FY1342" s="6"/>
      <c r="FZ1342" s="6"/>
      <c r="GA1342" s="6"/>
      <c r="GB1342" s="6"/>
      <c r="GC1342" s="6"/>
      <c r="GD1342" s="6"/>
      <c r="GE1342" s="6"/>
      <c r="GF1342" s="6"/>
      <c r="GG1342" s="6"/>
      <c r="GH1342" s="6"/>
      <c r="GI1342" s="6"/>
      <c r="GJ1342" s="6"/>
      <c r="GK1342" s="6"/>
      <c r="GL1342" s="6"/>
      <c r="GM1342" s="6"/>
      <c r="GN1342" s="6"/>
      <c r="GO1342" s="6"/>
      <c r="GP1342" s="6"/>
      <c r="GQ1342" s="6"/>
      <c r="GR1342" s="6"/>
      <c r="GS1342" s="6"/>
      <c r="GT1342" s="6"/>
      <c r="GU1342" s="6"/>
      <c r="GV1342" s="6"/>
      <c r="GW1342" s="6"/>
      <c r="GX1342" s="6"/>
      <c r="GY1342" s="6"/>
      <c r="GZ1342" s="6"/>
      <c r="HA1342" s="6"/>
      <c r="HB1342" s="6"/>
      <c r="HC1342" s="6"/>
      <c r="HD1342" s="6"/>
      <c r="HE1342" s="6"/>
      <c r="HF1342" s="6"/>
      <c r="HG1342" s="6"/>
      <c r="HH1342" s="6"/>
    </row>
    <row r="1343" spans="1:216" x14ac:dyDescent="0.3">
      <c r="A1343" s="8"/>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6"/>
      <c r="AR1343" s="6"/>
      <c r="AS1343" s="6"/>
      <c r="AT1343" s="6"/>
      <c r="AU1343" s="6"/>
      <c r="AV1343" s="6"/>
      <c r="AW1343" s="6"/>
      <c r="AX1343" s="6"/>
      <c r="AY1343" s="6"/>
      <c r="AZ1343" s="6"/>
      <c r="BA1343" s="6"/>
      <c r="BB1343" s="6"/>
      <c r="BC1343" s="6"/>
      <c r="BD1343" s="6"/>
      <c r="BE1343" s="6"/>
      <c r="BF1343" s="6"/>
      <c r="BG1343" s="6"/>
      <c r="BH1343" s="6"/>
      <c r="BI1343" s="6"/>
      <c r="BJ1343" s="6"/>
      <c r="BK1343" s="6"/>
      <c r="BL1343" s="6"/>
      <c r="BM1343" s="6"/>
      <c r="BN1343" s="6"/>
      <c r="BO1343" s="6"/>
      <c r="BP1343" s="6"/>
      <c r="BQ1343" s="6"/>
      <c r="BR1343" s="6"/>
      <c r="BS1343" s="6"/>
      <c r="BT1343" s="6"/>
      <c r="BU1343" s="6"/>
      <c r="BV1343" s="6"/>
      <c r="BW1343" s="6"/>
      <c r="BX1343" s="6"/>
      <c r="BY1343" s="6"/>
      <c r="BZ1343" s="6"/>
      <c r="CA1343" s="6"/>
      <c r="CB1343" s="6"/>
      <c r="CC1343" s="6"/>
      <c r="CD1343" s="6"/>
      <c r="CE1343" s="6"/>
      <c r="CF1343" s="6"/>
      <c r="CG1343" s="6"/>
      <c r="CH1343" s="6"/>
      <c r="CI1343" s="6"/>
      <c r="CJ1343" s="6"/>
      <c r="CK1343" s="6"/>
      <c r="CL1343" s="6"/>
      <c r="CM1343" s="6"/>
      <c r="CN1343" s="6"/>
      <c r="CO1343" s="6"/>
      <c r="CP1343" s="6"/>
      <c r="CQ1343" s="6"/>
      <c r="CR1343" s="6"/>
      <c r="CS1343" s="6"/>
      <c r="CT1343" s="6"/>
      <c r="CU1343" s="6"/>
      <c r="CV1343" s="6"/>
      <c r="CW1343" s="6"/>
      <c r="CX1343" s="6"/>
      <c r="CY1343" s="6"/>
      <c r="CZ1343" s="6"/>
      <c r="DA1343" s="6"/>
      <c r="DB1343" s="6"/>
      <c r="DC1343" s="6"/>
      <c r="DD1343" s="6"/>
      <c r="DE1343" s="6"/>
      <c r="DF1343" s="6"/>
      <c r="DG1343" s="6"/>
      <c r="DH1343" s="6"/>
      <c r="DI1343" s="6"/>
      <c r="DJ1343" s="6"/>
      <c r="DK1343" s="6"/>
      <c r="DL1343" s="6"/>
      <c r="DM1343" s="6"/>
      <c r="DN1343" s="6"/>
      <c r="DO1343" s="6"/>
      <c r="DP1343" s="6"/>
      <c r="DQ1343" s="6"/>
      <c r="DR1343" s="6"/>
      <c r="DS1343" s="6"/>
      <c r="DT1343" s="6"/>
      <c r="DU1343" s="6"/>
      <c r="DV1343" s="6"/>
      <c r="DW1343" s="6"/>
      <c r="DX1343" s="6"/>
      <c r="DY1343" s="6"/>
      <c r="DZ1343" s="6"/>
      <c r="EA1343" s="6"/>
      <c r="EB1343" s="6"/>
      <c r="EC1343" s="6"/>
      <c r="ED1343" s="6"/>
      <c r="EE1343" s="6"/>
      <c r="EF1343" s="6"/>
      <c r="EG1343" s="6"/>
      <c r="EH1343" s="6"/>
      <c r="EI1343" s="6"/>
      <c r="EJ1343" s="6"/>
      <c r="EK1343" s="6"/>
      <c r="EL1343" s="6"/>
      <c r="EM1343" s="6"/>
      <c r="EN1343" s="6"/>
      <c r="EO1343" s="6"/>
      <c r="EP1343" s="6"/>
      <c r="EQ1343" s="6"/>
      <c r="ER1343" s="6"/>
      <c r="ES1343" s="6"/>
      <c r="ET1343" s="6"/>
      <c r="EU1343" s="6"/>
      <c r="EV1343" s="6"/>
      <c r="EW1343" s="6"/>
      <c r="EX1343" s="6"/>
      <c r="EY1343" s="6"/>
      <c r="EZ1343" s="6"/>
      <c r="FA1343" s="6"/>
      <c r="FB1343" s="6"/>
      <c r="FC1343" s="6"/>
      <c r="FD1343" s="6"/>
      <c r="FE1343" s="6"/>
      <c r="FF1343" s="6"/>
      <c r="FG1343" s="6"/>
      <c r="FH1343" s="6"/>
      <c r="FI1343" s="6"/>
      <c r="FJ1343" s="6"/>
      <c r="FK1343" s="6"/>
      <c r="FL1343" s="6"/>
      <c r="FM1343" s="6"/>
      <c r="FN1343" s="6"/>
      <c r="FO1343" s="6"/>
      <c r="FP1343" s="6"/>
      <c r="FQ1343" s="6"/>
      <c r="FR1343" s="6"/>
      <c r="FS1343" s="6"/>
      <c r="FT1343" s="6"/>
      <c r="FU1343" s="6"/>
      <c r="FV1343" s="6"/>
      <c r="FW1343" s="6"/>
      <c r="FX1343" s="6"/>
      <c r="FY1343" s="6"/>
      <c r="FZ1343" s="6"/>
      <c r="GA1343" s="6"/>
      <c r="GB1343" s="6"/>
      <c r="GC1343" s="6"/>
      <c r="GD1343" s="6"/>
      <c r="GE1343" s="6"/>
      <c r="GF1343" s="6"/>
      <c r="GG1343" s="6"/>
      <c r="GH1343" s="6"/>
      <c r="GI1343" s="6"/>
      <c r="GJ1343" s="6"/>
      <c r="GK1343" s="6"/>
      <c r="GL1343" s="6"/>
      <c r="GM1343" s="6"/>
      <c r="GN1343" s="6"/>
      <c r="GO1343" s="6"/>
      <c r="GP1343" s="6"/>
      <c r="GQ1343" s="6"/>
      <c r="GR1343" s="6"/>
      <c r="GS1343" s="6"/>
      <c r="GT1343" s="6"/>
      <c r="GU1343" s="6"/>
      <c r="GV1343" s="6"/>
      <c r="GW1343" s="6"/>
      <c r="GX1343" s="6"/>
      <c r="GY1343" s="6"/>
      <c r="GZ1343" s="6"/>
      <c r="HA1343" s="6"/>
      <c r="HB1343" s="6"/>
      <c r="HC1343" s="6"/>
      <c r="HD1343" s="6"/>
      <c r="HE1343" s="6"/>
      <c r="HF1343" s="6"/>
      <c r="HG1343" s="6"/>
      <c r="HH1343" s="6"/>
    </row>
    <row r="1344" spans="1:216" x14ac:dyDescent="0.3">
      <c r="A1344" s="8"/>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6"/>
      <c r="AR1344" s="6"/>
      <c r="AS1344" s="6"/>
      <c r="AT1344" s="6"/>
      <c r="AU1344" s="6"/>
      <c r="AV1344" s="6"/>
      <c r="AW1344" s="6"/>
      <c r="AX1344" s="6"/>
      <c r="AY1344" s="6"/>
      <c r="AZ1344" s="6"/>
      <c r="BA1344" s="6"/>
      <c r="BB1344" s="6"/>
      <c r="BC1344" s="6"/>
      <c r="BD1344" s="6"/>
      <c r="BE1344" s="6"/>
      <c r="BF1344" s="6"/>
      <c r="BG1344" s="6"/>
      <c r="BH1344" s="6"/>
      <c r="BI1344" s="6"/>
      <c r="BJ1344" s="6"/>
      <c r="BK1344" s="6"/>
      <c r="BL1344" s="6"/>
      <c r="BM1344" s="6"/>
      <c r="BN1344" s="6"/>
      <c r="BO1344" s="6"/>
      <c r="BP1344" s="6"/>
      <c r="BQ1344" s="6"/>
      <c r="BR1344" s="6"/>
      <c r="BS1344" s="6"/>
      <c r="BT1344" s="6"/>
      <c r="BU1344" s="6"/>
      <c r="BV1344" s="6"/>
      <c r="BW1344" s="6"/>
      <c r="BX1344" s="6"/>
      <c r="BY1344" s="6"/>
      <c r="BZ1344" s="6"/>
      <c r="CA1344" s="6"/>
      <c r="CB1344" s="6"/>
      <c r="CC1344" s="6"/>
      <c r="CD1344" s="6"/>
      <c r="CE1344" s="6"/>
      <c r="CF1344" s="6"/>
      <c r="CG1344" s="6"/>
      <c r="CH1344" s="6"/>
      <c r="CI1344" s="6"/>
      <c r="CJ1344" s="6"/>
      <c r="CK1344" s="6"/>
      <c r="CL1344" s="6"/>
      <c r="CM1344" s="6"/>
      <c r="CN1344" s="6"/>
      <c r="CO1344" s="6"/>
      <c r="CP1344" s="6"/>
      <c r="CQ1344" s="6"/>
      <c r="CR1344" s="6"/>
      <c r="CS1344" s="6"/>
      <c r="CT1344" s="6"/>
      <c r="CU1344" s="6"/>
      <c r="CV1344" s="6"/>
      <c r="CW1344" s="6"/>
      <c r="CX1344" s="6"/>
      <c r="CY1344" s="6"/>
      <c r="CZ1344" s="6"/>
      <c r="DA1344" s="6"/>
      <c r="DB1344" s="6"/>
      <c r="DC1344" s="6"/>
      <c r="DD1344" s="6"/>
      <c r="DE1344" s="6"/>
      <c r="DF1344" s="6"/>
      <c r="DG1344" s="6"/>
      <c r="DH1344" s="6"/>
      <c r="DI1344" s="6"/>
      <c r="DJ1344" s="6"/>
      <c r="DK1344" s="6"/>
      <c r="DL1344" s="6"/>
      <c r="DM1344" s="6"/>
      <c r="DN1344" s="6"/>
      <c r="DO1344" s="6"/>
      <c r="DP1344" s="6"/>
      <c r="DQ1344" s="6"/>
      <c r="DR1344" s="6"/>
      <c r="DS1344" s="6"/>
      <c r="DT1344" s="6"/>
      <c r="DU1344" s="6"/>
      <c r="DV1344" s="6"/>
      <c r="DW1344" s="6"/>
      <c r="DX1344" s="6"/>
      <c r="DY1344" s="6"/>
      <c r="DZ1344" s="6"/>
      <c r="EA1344" s="6"/>
      <c r="EB1344" s="6"/>
      <c r="EC1344" s="6"/>
      <c r="ED1344" s="6"/>
      <c r="EE1344" s="6"/>
      <c r="EF1344" s="6"/>
      <c r="EG1344" s="6"/>
      <c r="EH1344" s="6"/>
      <c r="EI1344" s="6"/>
      <c r="EJ1344" s="6"/>
      <c r="EK1344" s="6"/>
      <c r="EL1344" s="6"/>
      <c r="EM1344" s="6"/>
      <c r="EN1344" s="6"/>
      <c r="EO1344" s="6"/>
      <c r="EP1344" s="6"/>
      <c r="EQ1344" s="6"/>
      <c r="ER1344" s="6"/>
      <c r="ES1344" s="6"/>
      <c r="ET1344" s="6"/>
      <c r="EU1344" s="6"/>
      <c r="EV1344" s="6"/>
      <c r="EW1344" s="6"/>
      <c r="EX1344" s="6"/>
      <c r="EY1344" s="6"/>
      <c r="EZ1344" s="6"/>
      <c r="FA1344" s="6"/>
      <c r="FB1344" s="6"/>
      <c r="FC1344" s="6"/>
      <c r="FD1344" s="6"/>
      <c r="FE1344" s="6"/>
      <c r="FF1344" s="6"/>
      <c r="FG1344" s="6"/>
      <c r="FH1344" s="6"/>
      <c r="FI1344" s="6"/>
      <c r="FJ1344" s="6"/>
      <c r="FK1344" s="6"/>
      <c r="FL1344" s="6"/>
      <c r="FM1344" s="6"/>
      <c r="FN1344" s="6"/>
      <c r="FO1344" s="6"/>
      <c r="FP1344" s="6"/>
      <c r="FQ1344" s="6"/>
      <c r="FR1344" s="6"/>
      <c r="FS1344" s="6"/>
      <c r="FT1344" s="6"/>
      <c r="FU1344" s="6"/>
      <c r="FV1344" s="6"/>
      <c r="FW1344" s="6"/>
      <c r="FX1344" s="6"/>
      <c r="FY1344" s="6"/>
      <c r="FZ1344" s="6"/>
      <c r="GA1344" s="6"/>
      <c r="GB1344" s="6"/>
      <c r="GC1344" s="6"/>
      <c r="GD1344" s="6"/>
      <c r="GE1344" s="6"/>
      <c r="GF1344" s="6"/>
      <c r="GG1344" s="6"/>
      <c r="GH1344" s="6"/>
      <c r="GI1344" s="6"/>
      <c r="GJ1344" s="6"/>
      <c r="GK1344" s="6"/>
      <c r="GL1344" s="6"/>
      <c r="GM1344" s="6"/>
      <c r="GN1344" s="6"/>
      <c r="GO1344" s="6"/>
      <c r="GP1344" s="6"/>
      <c r="GQ1344" s="6"/>
      <c r="GR1344" s="6"/>
      <c r="GS1344" s="6"/>
      <c r="GT1344" s="6"/>
      <c r="GU1344" s="6"/>
      <c r="GV1344" s="6"/>
      <c r="GW1344" s="6"/>
      <c r="GX1344" s="6"/>
      <c r="GY1344" s="6"/>
      <c r="GZ1344" s="6"/>
      <c r="HA1344" s="6"/>
      <c r="HB1344" s="6"/>
      <c r="HC1344" s="6"/>
      <c r="HD1344" s="6"/>
      <c r="HE1344" s="6"/>
      <c r="HF1344" s="6"/>
      <c r="HG1344" s="6"/>
      <c r="HH1344" s="6"/>
    </row>
    <row r="1345" spans="1:216" x14ac:dyDescent="0.3">
      <c r="A1345" s="8"/>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6"/>
      <c r="AR1345" s="6"/>
      <c r="AS1345" s="6"/>
      <c r="AT1345" s="6"/>
      <c r="AU1345" s="6"/>
      <c r="AV1345" s="6"/>
      <c r="AW1345" s="6"/>
      <c r="AX1345" s="6"/>
      <c r="AY1345" s="6"/>
      <c r="AZ1345" s="6"/>
      <c r="BA1345" s="6"/>
      <c r="BB1345" s="6"/>
      <c r="BC1345" s="6"/>
      <c r="BD1345" s="6"/>
      <c r="BE1345" s="6"/>
      <c r="BF1345" s="6"/>
      <c r="BG1345" s="6"/>
      <c r="BH1345" s="6"/>
      <c r="BI1345" s="6"/>
      <c r="BJ1345" s="6"/>
      <c r="BK1345" s="6"/>
      <c r="BL1345" s="6"/>
      <c r="BM1345" s="6"/>
      <c r="BN1345" s="6"/>
      <c r="BO1345" s="6"/>
      <c r="BP1345" s="6"/>
      <c r="BQ1345" s="6"/>
      <c r="BR1345" s="6"/>
      <c r="BS1345" s="6"/>
      <c r="BT1345" s="6"/>
      <c r="BU1345" s="6"/>
      <c r="BV1345" s="6"/>
      <c r="BW1345" s="6"/>
      <c r="BX1345" s="6"/>
      <c r="BY1345" s="6"/>
      <c r="BZ1345" s="6"/>
      <c r="CA1345" s="6"/>
      <c r="CB1345" s="6"/>
      <c r="CC1345" s="6"/>
      <c r="CD1345" s="6"/>
      <c r="CE1345" s="6"/>
      <c r="CF1345" s="6"/>
      <c r="CG1345" s="6"/>
      <c r="CH1345" s="6"/>
      <c r="CI1345" s="6"/>
      <c r="CJ1345" s="6"/>
      <c r="CK1345" s="6"/>
      <c r="CL1345" s="6"/>
      <c r="CM1345" s="6"/>
      <c r="CN1345" s="6"/>
      <c r="CO1345" s="6"/>
      <c r="CP1345" s="6"/>
      <c r="CQ1345" s="6"/>
      <c r="CR1345" s="6"/>
      <c r="CS1345" s="6"/>
      <c r="CT1345" s="6"/>
      <c r="CU1345" s="6"/>
      <c r="CV1345" s="6"/>
      <c r="CW1345" s="6"/>
      <c r="CX1345" s="6"/>
      <c r="CY1345" s="6"/>
      <c r="CZ1345" s="6"/>
      <c r="DA1345" s="6"/>
      <c r="DB1345" s="6"/>
      <c r="DC1345" s="6"/>
      <c r="DD1345" s="6"/>
      <c r="DE1345" s="6"/>
      <c r="DF1345" s="6"/>
      <c r="DG1345" s="6"/>
      <c r="DH1345" s="6"/>
      <c r="DI1345" s="6"/>
      <c r="DJ1345" s="6"/>
      <c r="DK1345" s="6"/>
      <c r="DL1345" s="6"/>
      <c r="DM1345" s="6"/>
      <c r="DN1345" s="6"/>
      <c r="DO1345" s="6"/>
      <c r="DP1345" s="6"/>
      <c r="DQ1345" s="6"/>
      <c r="DR1345" s="6"/>
      <c r="DS1345" s="6"/>
      <c r="DT1345" s="6"/>
      <c r="DU1345" s="6"/>
      <c r="DV1345" s="6"/>
      <c r="DW1345" s="6"/>
      <c r="DX1345" s="6"/>
      <c r="DY1345" s="6"/>
      <c r="DZ1345" s="6"/>
      <c r="EA1345" s="6"/>
      <c r="EB1345" s="6"/>
      <c r="EC1345" s="6"/>
      <c r="ED1345" s="6"/>
      <c r="EE1345" s="6"/>
      <c r="EF1345" s="6"/>
      <c r="EG1345" s="6"/>
      <c r="EH1345" s="6"/>
      <c r="EI1345" s="6"/>
      <c r="EJ1345" s="6"/>
      <c r="EK1345" s="6"/>
      <c r="EL1345" s="6"/>
      <c r="EM1345" s="6"/>
      <c r="EN1345" s="6"/>
      <c r="EO1345" s="6"/>
      <c r="EP1345" s="6"/>
      <c r="EQ1345" s="6"/>
      <c r="ER1345" s="6"/>
      <c r="ES1345" s="6"/>
      <c r="ET1345" s="6"/>
      <c r="EU1345" s="6"/>
      <c r="EV1345" s="6"/>
      <c r="EW1345" s="6"/>
      <c r="EX1345" s="6"/>
      <c r="EY1345" s="6"/>
      <c r="EZ1345" s="6"/>
      <c r="FA1345" s="6"/>
      <c r="FB1345" s="6"/>
      <c r="FC1345" s="6"/>
      <c r="FD1345" s="6"/>
      <c r="FE1345" s="6"/>
      <c r="FF1345" s="6"/>
      <c r="FG1345" s="6"/>
      <c r="FH1345" s="6"/>
      <c r="FI1345" s="6"/>
      <c r="FJ1345" s="6"/>
      <c r="FK1345" s="6"/>
      <c r="FL1345" s="6"/>
      <c r="FM1345" s="6"/>
      <c r="FN1345" s="6"/>
      <c r="FO1345" s="6"/>
      <c r="FP1345" s="6"/>
      <c r="FQ1345" s="6"/>
      <c r="FR1345" s="6"/>
      <c r="FS1345" s="6"/>
      <c r="FT1345" s="6"/>
      <c r="FU1345" s="6"/>
      <c r="FV1345" s="6"/>
      <c r="FW1345" s="6"/>
      <c r="FX1345" s="6"/>
      <c r="FY1345" s="6"/>
      <c r="FZ1345" s="6"/>
      <c r="GA1345" s="6"/>
      <c r="GB1345" s="6"/>
      <c r="GC1345" s="6"/>
      <c r="GD1345" s="6"/>
      <c r="GE1345" s="6"/>
      <c r="GF1345" s="6"/>
      <c r="GG1345" s="6"/>
      <c r="GH1345" s="6"/>
      <c r="GI1345" s="6"/>
      <c r="GJ1345" s="6"/>
      <c r="GK1345" s="6"/>
      <c r="GL1345" s="6"/>
      <c r="GM1345" s="6"/>
      <c r="GN1345" s="6"/>
      <c r="GO1345" s="6"/>
      <c r="GP1345" s="6"/>
      <c r="GQ1345" s="6"/>
      <c r="GR1345" s="6"/>
      <c r="GS1345" s="6"/>
      <c r="GT1345" s="6"/>
      <c r="GU1345" s="6"/>
      <c r="GV1345" s="6"/>
      <c r="GW1345" s="6"/>
      <c r="GX1345" s="6"/>
      <c r="GY1345" s="6"/>
      <c r="GZ1345" s="6"/>
      <c r="HA1345" s="6"/>
      <c r="HB1345" s="6"/>
      <c r="HC1345" s="6"/>
      <c r="HD1345" s="6"/>
      <c r="HE1345" s="6"/>
      <c r="HF1345" s="6"/>
      <c r="HG1345" s="6"/>
      <c r="HH1345" s="6"/>
    </row>
    <row r="1346" spans="1:216" x14ac:dyDescent="0.3">
      <c r="A1346" s="8"/>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6"/>
      <c r="BK1346" s="6"/>
      <c r="BL1346" s="6"/>
      <c r="BM1346" s="6"/>
      <c r="BN1346" s="6"/>
      <c r="BO1346" s="6"/>
      <c r="BP1346" s="6"/>
      <c r="BQ1346" s="6"/>
      <c r="BR1346" s="6"/>
      <c r="BS1346" s="6"/>
      <c r="BT1346" s="6"/>
      <c r="BU1346" s="6"/>
      <c r="BV1346" s="6"/>
      <c r="BW1346" s="6"/>
      <c r="BX1346" s="6"/>
      <c r="BY1346" s="6"/>
      <c r="BZ1346" s="6"/>
      <c r="CA1346" s="6"/>
      <c r="CB1346" s="6"/>
      <c r="CC1346" s="6"/>
      <c r="CD1346" s="6"/>
      <c r="CE1346" s="6"/>
      <c r="CF1346" s="6"/>
      <c r="CG1346" s="6"/>
      <c r="CH1346" s="6"/>
      <c r="CI1346" s="6"/>
      <c r="CJ1346" s="6"/>
      <c r="CK1346" s="6"/>
      <c r="CL1346" s="6"/>
      <c r="CM1346" s="6"/>
      <c r="CN1346" s="6"/>
      <c r="CO1346" s="6"/>
      <c r="CP1346" s="6"/>
      <c r="CQ1346" s="6"/>
      <c r="CR1346" s="6"/>
      <c r="CS1346" s="6"/>
      <c r="CT1346" s="6"/>
      <c r="CU1346" s="6"/>
      <c r="CV1346" s="6"/>
      <c r="CW1346" s="6"/>
      <c r="CX1346" s="6"/>
      <c r="CY1346" s="6"/>
      <c r="CZ1346" s="6"/>
      <c r="DA1346" s="6"/>
      <c r="DB1346" s="6"/>
      <c r="DC1346" s="6"/>
      <c r="DD1346" s="6"/>
      <c r="DE1346" s="6"/>
      <c r="DF1346" s="6"/>
      <c r="DG1346" s="6"/>
      <c r="DH1346" s="6"/>
      <c r="DI1346" s="6"/>
      <c r="DJ1346" s="6"/>
      <c r="DK1346" s="6"/>
      <c r="DL1346" s="6"/>
      <c r="DM1346" s="6"/>
      <c r="DN1346" s="6"/>
      <c r="DO1346" s="6"/>
      <c r="DP1346" s="6"/>
      <c r="DQ1346" s="6"/>
      <c r="DR1346" s="6"/>
      <c r="DS1346" s="6"/>
      <c r="DT1346" s="6"/>
      <c r="DU1346" s="6"/>
      <c r="DV1346" s="6"/>
      <c r="DW1346" s="6"/>
      <c r="DX1346" s="6"/>
      <c r="DY1346" s="6"/>
      <c r="DZ1346" s="6"/>
      <c r="EA1346" s="6"/>
      <c r="EB1346" s="6"/>
      <c r="EC1346" s="6"/>
      <c r="ED1346" s="6"/>
      <c r="EE1346" s="6"/>
      <c r="EF1346" s="6"/>
      <c r="EG1346" s="6"/>
      <c r="EH1346" s="6"/>
      <c r="EI1346" s="6"/>
      <c r="EJ1346" s="6"/>
      <c r="EK1346" s="6"/>
      <c r="EL1346" s="6"/>
      <c r="EM1346" s="6"/>
      <c r="EN1346" s="6"/>
      <c r="EO1346" s="6"/>
      <c r="EP1346" s="6"/>
      <c r="EQ1346" s="6"/>
      <c r="ER1346" s="6"/>
      <c r="ES1346" s="6"/>
      <c r="ET1346" s="6"/>
      <c r="EU1346" s="6"/>
      <c r="EV1346" s="6"/>
      <c r="EW1346" s="6"/>
      <c r="EX1346" s="6"/>
      <c r="EY1346" s="6"/>
      <c r="EZ1346" s="6"/>
      <c r="FA1346" s="6"/>
      <c r="FB1346" s="6"/>
      <c r="FC1346" s="6"/>
      <c r="FD1346" s="6"/>
      <c r="FE1346" s="6"/>
      <c r="FF1346" s="6"/>
      <c r="FG1346" s="6"/>
      <c r="FH1346" s="6"/>
      <c r="FI1346" s="6"/>
      <c r="FJ1346" s="6"/>
      <c r="FK1346" s="6"/>
      <c r="FL1346" s="6"/>
      <c r="FM1346" s="6"/>
      <c r="FN1346" s="6"/>
      <c r="FO1346" s="6"/>
      <c r="FP1346" s="6"/>
      <c r="FQ1346" s="6"/>
      <c r="FR1346" s="6"/>
      <c r="FS1346" s="6"/>
      <c r="FT1346" s="6"/>
      <c r="FU1346" s="6"/>
      <c r="FV1346" s="6"/>
      <c r="FW1346" s="6"/>
      <c r="FX1346" s="6"/>
      <c r="FY1346" s="6"/>
      <c r="FZ1346" s="6"/>
      <c r="GA1346" s="6"/>
      <c r="GB1346" s="6"/>
      <c r="GC1346" s="6"/>
      <c r="GD1346" s="6"/>
      <c r="GE1346" s="6"/>
      <c r="GF1346" s="6"/>
      <c r="GG1346" s="6"/>
      <c r="GH1346" s="6"/>
      <c r="GI1346" s="6"/>
      <c r="GJ1346" s="6"/>
      <c r="GK1346" s="6"/>
      <c r="GL1346" s="6"/>
      <c r="GM1346" s="6"/>
      <c r="GN1346" s="6"/>
      <c r="GO1346" s="6"/>
      <c r="GP1346" s="6"/>
      <c r="GQ1346" s="6"/>
      <c r="GR1346" s="6"/>
      <c r="GS1346" s="6"/>
      <c r="GT1346" s="6"/>
      <c r="GU1346" s="6"/>
      <c r="GV1346" s="6"/>
      <c r="GW1346" s="6"/>
      <c r="GX1346" s="6"/>
      <c r="GY1346" s="6"/>
      <c r="GZ1346" s="6"/>
      <c r="HA1346" s="6"/>
      <c r="HB1346" s="6"/>
      <c r="HC1346" s="6"/>
      <c r="HD1346" s="6"/>
      <c r="HE1346" s="6"/>
      <c r="HF1346" s="6"/>
      <c r="HG1346" s="6"/>
      <c r="HH1346" s="6"/>
    </row>
    <row r="1347" spans="1:216" x14ac:dyDescent="0.3">
      <c r="A1347" s="8"/>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6"/>
      <c r="AR1347" s="6"/>
      <c r="AS1347" s="6"/>
      <c r="AT1347" s="6"/>
      <c r="AU1347" s="6"/>
      <c r="AV1347" s="6"/>
      <c r="AW1347" s="6"/>
      <c r="AX1347" s="6"/>
      <c r="AY1347" s="6"/>
      <c r="AZ1347" s="6"/>
      <c r="BA1347" s="6"/>
      <c r="BB1347" s="6"/>
      <c r="BC1347" s="6"/>
      <c r="BD1347" s="6"/>
      <c r="BE1347" s="6"/>
      <c r="BF1347" s="6"/>
      <c r="BG1347" s="6"/>
      <c r="BH1347" s="6"/>
      <c r="BI1347" s="6"/>
      <c r="BJ1347" s="6"/>
      <c r="BK1347" s="6"/>
      <c r="BL1347" s="6"/>
      <c r="BM1347" s="6"/>
      <c r="BN1347" s="6"/>
      <c r="BO1347" s="6"/>
      <c r="BP1347" s="6"/>
      <c r="BQ1347" s="6"/>
      <c r="BR1347" s="6"/>
      <c r="BS1347" s="6"/>
      <c r="BT1347" s="6"/>
      <c r="BU1347" s="6"/>
      <c r="BV1347" s="6"/>
      <c r="BW1347" s="6"/>
      <c r="BX1347" s="6"/>
      <c r="BY1347" s="6"/>
      <c r="BZ1347" s="6"/>
      <c r="CA1347" s="6"/>
      <c r="CB1347" s="6"/>
      <c r="CC1347" s="6"/>
      <c r="CD1347" s="6"/>
      <c r="CE1347" s="6"/>
      <c r="CF1347" s="6"/>
      <c r="CG1347" s="6"/>
      <c r="CH1347" s="6"/>
      <c r="CI1347" s="6"/>
      <c r="CJ1347" s="6"/>
      <c r="CK1347" s="6"/>
      <c r="CL1347" s="6"/>
      <c r="CM1347" s="6"/>
      <c r="CN1347" s="6"/>
      <c r="CO1347" s="6"/>
      <c r="CP1347" s="6"/>
      <c r="CQ1347" s="6"/>
      <c r="CR1347" s="6"/>
      <c r="CS1347" s="6"/>
      <c r="CT1347" s="6"/>
      <c r="CU1347" s="6"/>
      <c r="CV1347" s="6"/>
      <c r="CW1347" s="6"/>
      <c r="CX1347" s="6"/>
      <c r="CY1347" s="6"/>
      <c r="CZ1347" s="6"/>
      <c r="DA1347" s="6"/>
      <c r="DB1347" s="6"/>
      <c r="DC1347" s="6"/>
      <c r="DD1347" s="6"/>
      <c r="DE1347" s="6"/>
      <c r="DF1347" s="6"/>
      <c r="DG1347" s="6"/>
      <c r="DH1347" s="6"/>
      <c r="DI1347" s="6"/>
      <c r="DJ1347" s="6"/>
      <c r="DK1347" s="6"/>
      <c r="DL1347" s="6"/>
      <c r="DM1347" s="6"/>
      <c r="DN1347" s="6"/>
      <c r="DO1347" s="6"/>
      <c r="DP1347" s="6"/>
      <c r="DQ1347" s="6"/>
      <c r="DR1347" s="6"/>
      <c r="DS1347" s="6"/>
      <c r="DT1347" s="6"/>
      <c r="DU1347" s="6"/>
      <c r="DV1347" s="6"/>
      <c r="DW1347" s="6"/>
      <c r="DX1347" s="6"/>
      <c r="DY1347" s="6"/>
      <c r="DZ1347" s="6"/>
      <c r="EA1347" s="6"/>
      <c r="EB1347" s="6"/>
      <c r="EC1347" s="6"/>
      <c r="ED1347" s="6"/>
      <c r="EE1347" s="6"/>
      <c r="EF1347" s="6"/>
      <c r="EG1347" s="6"/>
      <c r="EH1347" s="6"/>
      <c r="EI1347" s="6"/>
      <c r="EJ1347" s="6"/>
      <c r="EK1347" s="6"/>
      <c r="EL1347" s="6"/>
      <c r="EM1347" s="6"/>
      <c r="EN1347" s="6"/>
      <c r="EO1347" s="6"/>
      <c r="EP1347" s="6"/>
      <c r="EQ1347" s="6"/>
      <c r="ER1347" s="6"/>
      <c r="ES1347" s="6"/>
      <c r="ET1347" s="6"/>
      <c r="EU1347" s="6"/>
      <c r="EV1347" s="6"/>
      <c r="EW1347" s="6"/>
      <c r="EX1347" s="6"/>
      <c r="EY1347" s="6"/>
      <c r="EZ1347" s="6"/>
      <c r="FA1347" s="6"/>
      <c r="FB1347" s="6"/>
      <c r="FC1347" s="6"/>
      <c r="FD1347" s="6"/>
      <c r="FE1347" s="6"/>
      <c r="FF1347" s="6"/>
      <c r="FG1347" s="6"/>
      <c r="FH1347" s="6"/>
      <c r="FI1347" s="6"/>
      <c r="FJ1347" s="6"/>
      <c r="FK1347" s="6"/>
      <c r="FL1347" s="6"/>
      <c r="FM1347" s="6"/>
      <c r="FN1347" s="6"/>
      <c r="FO1347" s="6"/>
      <c r="FP1347" s="6"/>
      <c r="FQ1347" s="6"/>
      <c r="FR1347" s="6"/>
      <c r="FS1347" s="6"/>
      <c r="FT1347" s="6"/>
      <c r="FU1347" s="6"/>
      <c r="FV1347" s="6"/>
      <c r="FW1347" s="6"/>
      <c r="FX1347" s="6"/>
      <c r="FY1347" s="6"/>
      <c r="FZ1347" s="6"/>
      <c r="GA1347" s="6"/>
      <c r="GB1347" s="6"/>
      <c r="GC1347" s="6"/>
      <c r="GD1347" s="6"/>
      <c r="GE1347" s="6"/>
      <c r="GF1347" s="6"/>
      <c r="GG1347" s="6"/>
      <c r="GH1347" s="6"/>
      <c r="GI1347" s="6"/>
      <c r="GJ1347" s="6"/>
      <c r="GK1347" s="6"/>
      <c r="GL1347" s="6"/>
      <c r="GM1347" s="6"/>
      <c r="GN1347" s="6"/>
      <c r="GO1347" s="6"/>
      <c r="GP1347" s="6"/>
      <c r="GQ1347" s="6"/>
      <c r="GR1347" s="6"/>
      <c r="GS1347" s="6"/>
      <c r="GT1347" s="6"/>
      <c r="GU1347" s="6"/>
      <c r="GV1347" s="6"/>
      <c r="GW1347" s="6"/>
      <c r="GX1347" s="6"/>
      <c r="GY1347" s="6"/>
      <c r="GZ1347" s="6"/>
      <c r="HA1347" s="6"/>
      <c r="HB1347" s="6"/>
      <c r="HC1347" s="6"/>
      <c r="HD1347" s="6"/>
      <c r="HE1347" s="6"/>
      <c r="HF1347" s="6"/>
      <c r="HG1347" s="6"/>
      <c r="HH1347" s="6"/>
    </row>
    <row r="1348" spans="1:216" x14ac:dyDescent="0.3">
      <c r="A1348" s="8"/>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6"/>
      <c r="BK1348" s="6"/>
      <c r="BL1348" s="6"/>
      <c r="BM1348" s="6"/>
      <c r="BN1348" s="6"/>
      <c r="BO1348" s="6"/>
      <c r="BP1348" s="6"/>
      <c r="BQ1348" s="6"/>
      <c r="BR1348" s="6"/>
      <c r="BS1348" s="6"/>
      <c r="BT1348" s="6"/>
      <c r="BU1348" s="6"/>
      <c r="BV1348" s="6"/>
      <c r="BW1348" s="6"/>
      <c r="BX1348" s="6"/>
      <c r="BY1348" s="6"/>
      <c r="BZ1348" s="6"/>
      <c r="CA1348" s="6"/>
      <c r="CB1348" s="6"/>
      <c r="CC1348" s="6"/>
      <c r="CD1348" s="6"/>
      <c r="CE1348" s="6"/>
      <c r="CF1348" s="6"/>
      <c r="CG1348" s="6"/>
      <c r="CH1348" s="6"/>
      <c r="CI1348" s="6"/>
      <c r="CJ1348" s="6"/>
      <c r="CK1348" s="6"/>
      <c r="CL1348" s="6"/>
      <c r="CM1348" s="6"/>
      <c r="CN1348" s="6"/>
      <c r="CO1348" s="6"/>
      <c r="CP1348" s="6"/>
      <c r="CQ1348" s="6"/>
      <c r="CR1348" s="6"/>
      <c r="CS1348" s="6"/>
      <c r="CT1348" s="6"/>
      <c r="CU1348" s="6"/>
      <c r="CV1348" s="6"/>
      <c r="CW1348" s="6"/>
      <c r="CX1348" s="6"/>
      <c r="CY1348" s="6"/>
      <c r="CZ1348" s="6"/>
      <c r="DA1348" s="6"/>
      <c r="DB1348" s="6"/>
      <c r="DC1348" s="6"/>
      <c r="DD1348" s="6"/>
      <c r="DE1348" s="6"/>
      <c r="DF1348" s="6"/>
      <c r="DG1348" s="6"/>
      <c r="DH1348" s="6"/>
      <c r="DI1348" s="6"/>
      <c r="DJ1348" s="6"/>
      <c r="DK1348" s="6"/>
      <c r="DL1348" s="6"/>
      <c r="DM1348" s="6"/>
      <c r="DN1348" s="6"/>
      <c r="DO1348" s="6"/>
      <c r="DP1348" s="6"/>
      <c r="DQ1348" s="6"/>
      <c r="DR1348" s="6"/>
      <c r="DS1348" s="6"/>
      <c r="DT1348" s="6"/>
      <c r="DU1348" s="6"/>
      <c r="DV1348" s="6"/>
      <c r="DW1348" s="6"/>
      <c r="DX1348" s="6"/>
      <c r="DY1348" s="6"/>
      <c r="DZ1348" s="6"/>
      <c r="EA1348" s="6"/>
      <c r="EB1348" s="6"/>
      <c r="EC1348" s="6"/>
      <c r="ED1348" s="6"/>
      <c r="EE1348" s="6"/>
      <c r="EF1348" s="6"/>
      <c r="EG1348" s="6"/>
      <c r="EH1348" s="6"/>
      <c r="EI1348" s="6"/>
      <c r="EJ1348" s="6"/>
      <c r="EK1348" s="6"/>
      <c r="EL1348" s="6"/>
      <c r="EM1348" s="6"/>
      <c r="EN1348" s="6"/>
      <c r="EO1348" s="6"/>
      <c r="EP1348" s="6"/>
      <c r="EQ1348" s="6"/>
      <c r="ER1348" s="6"/>
      <c r="ES1348" s="6"/>
      <c r="ET1348" s="6"/>
      <c r="EU1348" s="6"/>
      <c r="EV1348" s="6"/>
      <c r="EW1348" s="6"/>
      <c r="EX1348" s="6"/>
      <c r="EY1348" s="6"/>
      <c r="EZ1348" s="6"/>
      <c r="FA1348" s="6"/>
      <c r="FB1348" s="6"/>
      <c r="FC1348" s="6"/>
      <c r="FD1348" s="6"/>
      <c r="FE1348" s="6"/>
      <c r="FF1348" s="6"/>
      <c r="FG1348" s="6"/>
      <c r="FH1348" s="6"/>
      <c r="FI1348" s="6"/>
      <c r="FJ1348" s="6"/>
      <c r="FK1348" s="6"/>
      <c r="FL1348" s="6"/>
      <c r="FM1348" s="6"/>
      <c r="FN1348" s="6"/>
      <c r="FO1348" s="6"/>
      <c r="FP1348" s="6"/>
      <c r="FQ1348" s="6"/>
      <c r="FR1348" s="6"/>
      <c r="FS1348" s="6"/>
      <c r="FT1348" s="6"/>
      <c r="FU1348" s="6"/>
      <c r="FV1348" s="6"/>
      <c r="FW1348" s="6"/>
      <c r="FX1348" s="6"/>
      <c r="FY1348" s="6"/>
      <c r="FZ1348" s="6"/>
      <c r="GA1348" s="6"/>
      <c r="GB1348" s="6"/>
      <c r="GC1348" s="6"/>
      <c r="GD1348" s="6"/>
      <c r="GE1348" s="6"/>
      <c r="GF1348" s="6"/>
      <c r="GG1348" s="6"/>
      <c r="GH1348" s="6"/>
      <c r="GI1348" s="6"/>
      <c r="GJ1348" s="6"/>
      <c r="GK1348" s="6"/>
      <c r="GL1348" s="6"/>
      <c r="GM1348" s="6"/>
      <c r="GN1348" s="6"/>
      <c r="GO1348" s="6"/>
      <c r="GP1348" s="6"/>
      <c r="GQ1348" s="6"/>
      <c r="GR1348" s="6"/>
      <c r="GS1348" s="6"/>
      <c r="GT1348" s="6"/>
      <c r="GU1348" s="6"/>
      <c r="GV1348" s="6"/>
      <c r="GW1348" s="6"/>
      <c r="GX1348" s="6"/>
      <c r="GY1348" s="6"/>
      <c r="GZ1348" s="6"/>
      <c r="HA1348" s="6"/>
      <c r="HB1348" s="6"/>
      <c r="HC1348" s="6"/>
      <c r="HD1348" s="6"/>
      <c r="HE1348" s="6"/>
      <c r="HF1348" s="6"/>
      <c r="HG1348" s="6"/>
      <c r="HH1348" s="6"/>
    </row>
    <row r="1349" spans="1:216" x14ac:dyDescent="0.3">
      <c r="A1349" s="8"/>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6"/>
      <c r="AR1349" s="6"/>
      <c r="AS1349" s="6"/>
      <c r="AT1349" s="6"/>
      <c r="AU1349" s="6"/>
      <c r="AV1349" s="6"/>
      <c r="AW1349" s="6"/>
      <c r="AX1349" s="6"/>
      <c r="AY1349" s="6"/>
      <c r="AZ1349" s="6"/>
      <c r="BA1349" s="6"/>
      <c r="BB1349" s="6"/>
      <c r="BC1349" s="6"/>
      <c r="BD1349" s="6"/>
      <c r="BE1349" s="6"/>
      <c r="BF1349" s="6"/>
      <c r="BG1349" s="6"/>
      <c r="BH1349" s="6"/>
      <c r="BI1349" s="6"/>
      <c r="BJ1349" s="6"/>
      <c r="BK1349" s="6"/>
      <c r="BL1349" s="6"/>
      <c r="BM1349" s="6"/>
      <c r="BN1349" s="6"/>
      <c r="BO1349" s="6"/>
      <c r="BP1349" s="6"/>
      <c r="BQ1349" s="6"/>
      <c r="BR1349" s="6"/>
      <c r="BS1349" s="6"/>
      <c r="BT1349" s="6"/>
      <c r="BU1349" s="6"/>
      <c r="BV1349" s="6"/>
      <c r="BW1349" s="6"/>
      <c r="BX1349" s="6"/>
      <c r="BY1349" s="6"/>
      <c r="BZ1349" s="6"/>
      <c r="CA1349" s="6"/>
      <c r="CB1349" s="6"/>
      <c r="CC1349" s="6"/>
      <c r="CD1349" s="6"/>
      <c r="CE1349" s="6"/>
      <c r="CF1349" s="6"/>
      <c r="CG1349" s="6"/>
      <c r="CH1349" s="6"/>
      <c r="CI1349" s="6"/>
      <c r="CJ1349" s="6"/>
      <c r="CK1349" s="6"/>
      <c r="CL1349" s="6"/>
      <c r="CM1349" s="6"/>
      <c r="CN1349" s="6"/>
      <c r="CO1349" s="6"/>
      <c r="CP1349" s="6"/>
      <c r="CQ1349" s="6"/>
      <c r="CR1349" s="6"/>
      <c r="CS1349" s="6"/>
      <c r="CT1349" s="6"/>
      <c r="CU1349" s="6"/>
      <c r="CV1349" s="6"/>
      <c r="CW1349" s="6"/>
      <c r="CX1349" s="6"/>
      <c r="CY1349" s="6"/>
      <c r="CZ1349" s="6"/>
      <c r="DA1349" s="6"/>
      <c r="DB1349" s="6"/>
      <c r="DC1349" s="6"/>
      <c r="DD1349" s="6"/>
      <c r="DE1349" s="6"/>
      <c r="DF1349" s="6"/>
      <c r="DG1349" s="6"/>
      <c r="DH1349" s="6"/>
      <c r="DI1349" s="6"/>
      <c r="DJ1349" s="6"/>
      <c r="DK1349" s="6"/>
      <c r="DL1349" s="6"/>
      <c r="DM1349" s="6"/>
      <c r="DN1349" s="6"/>
      <c r="DO1349" s="6"/>
      <c r="DP1349" s="6"/>
      <c r="DQ1349" s="6"/>
      <c r="DR1349" s="6"/>
      <c r="DS1349" s="6"/>
      <c r="DT1349" s="6"/>
      <c r="DU1349" s="6"/>
      <c r="DV1349" s="6"/>
      <c r="DW1349" s="6"/>
      <c r="DX1349" s="6"/>
      <c r="DY1349" s="6"/>
      <c r="DZ1349" s="6"/>
      <c r="EA1349" s="6"/>
      <c r="EB1349" s="6"/>
      <c r="EC1349" s="6"/>
      <c r="ED1349" s="6"/>
      <c r="EE1349" s="6"/>
      <c r="EF1349" s="6"/>
      <c r="EG1349" s="6"/>
      <c r="EH1349" s="6"/>
      <c r="EI1349" s="6"/>
      <c r="EJ1349" s="6"/>
      <c r="EK1349" s="6"/>
      <c r="EL1349" s="6"/>
      <c r="EM1349" s="6"/>
      <c r="EN1349" s="6"/>
      <c r="EO1349" s="6"/>
      <c r="EP1349" s="6"/>
      <c r="EQ1349" s="6"/>
      <c r="ER1349" s="6"/>
      <c r="ES1349" s="6"/>
      <c r="ET1349" s="6"/>
      <c r="EU1349" s="6"/>
      <c r="EV1349" s="6"/>
      <c r="EW1349" s="6"/>
      <c r="EX1349" s="6"/>
      <c r="EY1349" s="6"/>
      <c r="EZ1349" s="6"/>
      <c r="FA1349" s="6"/>
      <c r="FB1349" s="6"/>
      <c r="FC1349" s="6"/>
      <c r="FD1349" s="6"/>
      <c r="FE1349" s="6"/>
      <c r="FF1349" s="6"/>
      <c r="FG1349" s="6"/>
      <c r="FH1349" s="6"/>
      <c r="FI1349" s="6"/>
      <c r="FJ1349" s="6"/>
      <c r="FK1349" s="6"/>
      <c r="FL1349" s="6"/>
      <c r="FM1349" s="6"/>
      <c r="FN1349" s="6"/>
      <c r="FO1349" s="6"/>
      <c r="FP1349" s="6"/>
      <c r="FQ1349" s="6"/>
      <c r="FR1349" s="6"/>
      <c r="FS1349" s="6"/>
      <c r="FT1349" s="6"/>
      <c r="FU1349" s="6"/>
      <c r="FV1349" s="6"/>
      <c r="FW1349" s="6"/>
      <c r="FX1349" s="6"/>
      <c r="FY1349" s="6"/>
      <c r="FZ1349" s="6"/>
      <c r="GA1349" s="6"/>
      <c r="GB1349" s="6"/>
      <c r="GC1349" s="6"/>
      <c r="GD1349" s="6"/>
      <c r="GE1349" s="6"/>
      <c r="GF1349" s="6"/>
      <c r="GG1349" s="6"/>
      <c r="GH1349" s="6"/>
      <c r="GI1349" s="6"/>
      <c r="GJ1349" s="6"/>
      <c r="GK1349" s="6"/>
      <c r="GL1349" s="6"/>
      <c r="GM1349" s="6"/>
      <c r="GN1349" s="6"/>
      <c r="GO1349" s="6"/>
      <c r="GP1349" s="6"/>
      <c r="GQ1349" s="6"/>
      <c r="GR1349" s="6"/>
      <c r="GS1349" s="6"/>
      <c r="GT1349" s="6"/>
      <c r="GU1349" s="6"/>
      <c r="GV1349" s="6"/>
      <c r="GW1349" s="6"/>
      <c r="GX1349" s="6"/>
      <c r="GY1349" s="6"/>
      <c r="GZ1349" s="6"/>
      <c r="HA1349" s="6"/>
      <c r="HB1349" s="6"/>
      <c r="HC1349" s="6"/>
      <c r="HD1349" s="6"/>
      <c r="HE1349" s="6"/>
      <c r="HF1349" s="6"/>
      <c r="HG1349" s="6"/>
      <c r="HH1349" s="6"/>
    </row>
    <row r="1350" spans="1:216" x14ac:dyDescent="0.3">
      <c r="A1350" s="8"/>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6"/>
      <c r="AR1350" s="6"/>
      <c r="AS1350" s="6"/>
      <c r="AT1350" s="6"/>
      <c r="AU1350" s="6"/>
      <c r="AV1350" s="6"/>
      <c r="AW1350" s="6"/>
      <c r="AX1350" s="6"/>
      <c r="AY1350" s="6"/>
      <c r="AZ1350" s="6"/>
      <c r="BA1350" s="6"/>
      <c r="BB1350" s="6"/>
      <c r="BC1350" s="6"/>
      <c r="BD1350" s="6"/>
      <c r="BE1350" s="6"/>
      <c r="BF1350" s="6"/>
      <c r="BG1350" s="6"/>
      <c r="BH1350" s="6"/>
      <c r="BI1350" s="6"/>
      <c r="BJ1350" s="6"/>
      <c r="BK1350" s="6"/>
      <c r="BL1350" s="6"/>
      <c r="BM1350" s="6"/>
      <c r="BN1350" s="6"/>
      <c r="BO1350" s="6"/>
      <c r="BP1350" s="6"/>
      <c r="BQ1350" s="6"/>
      <c r="BR1350" s="6"/>
      <c r="BS1350" s="6"/>
      <c r="BT1350" s="6"/>
      <c r="BU1350" s="6"/>
      <c r="BV1350" s="6"/>
      <c r="BW1350" s="6"/>
      <c r="BX1350" s="6"/>
      <c r="BY1350" s="6"/>
      <c r="BZ1350" s="6"/>
      <c r="CA1350" s="6"/>
      <c r="CB1350" s="6"/>
      <c r="CC1350" s="6"/>
      <c r="CD1350" s="6"/>
      <c r="CE1350" s="6"/>
      <c r="CF1350" s="6"/>
      <c r="CG1350" s="6"/>
      <c r="CH1350" s="6"/>
      <c r="CI1350" s="6"/>
      <c r="CJ1350" s="6"/>
      <c r="CK1350" s="6"/>
      <c r="CL1350" s="6"/>
      <c r="CM1350" s="6"/>
      <c r="CN1350" s="6"/>
      <c r="CO1350" s="6"/>
      <c r="CP1350" s="6"/>
      <c r="CQ1350" s="6"/>
      <c r="CR1350" s="6"/>
      <c r="CS1350" s="6"/>
      <c r="CT1350" s="6"/>
      <c r="CU1350" s="6"/>
      <c r="CV1350" s="6"/>
      <c r="CW1350" s="6"/>
      <c r="CX1350" s="6"/>
      <c r="CY1350" s="6"/>
      <c r="CZ1350" s="6"/>
      <c r="DA1350" s="6"/>
      <c r="DB1350" s="6"/>
      <c r="DC1350" s="6"/>
      <c r="DD1350" s="6"/>
      <c r="DE1350" s="6"/>
      <c r="DF1350" s="6"/>
      <c r="DG1350" s="6"/>
      <c r="DH1350" s="6"/>
      <c r="DI1350" s="6"/>
      <c r="DJ1350" s="6"/>
      <c r="DK1350" s="6"/>
      <c r="DL1350" s="6"/>
      <c r="DM1350" s="6"/>
      <c r="DN1350" s="6"/>
      <c r="DO1350" s="6"/>
      <c r="DP1350" s="6"/>
      <c r="DQ1350" s="6"/>
      <c r="DR1350" s="6"/>
      <c r="DS1350" s="6"/>
      <c r="DT1350" s="6"/>
      <c r="DU1350" s="6"/>
      <c r="DV1350" s="6"/>
      <c r="DW1350" s="6"/>
      <c r="DX1350" s="6"/>
      <c r="DY1350" s="6"/>
      <c r="DZ1350" s="6"/>
      <c r="EA1350" s="6"/>
      <c r="EB1350" s="6"/>
      <c r="EC1350" s="6"/>
      <c r="ED1350" s="6"/>
      <c r="EE1350" s="6"/>
      <c r="EF1350" s="6"/>
      <c r="EG1350" s="6"/>
      <c r="EH1350" s="6"/>
      <c r="EI1350" s="6"/>
      <c r="EJ1350" s="6"/>
      <c r="EK1350" s="6"/>
      <c r="EL1350" s="6"/>
      <c r="EM1350" s="6"/>
      <c r="EN1350" s="6"/>
      <c r="EO1350" s="6"/>
      <c r="EP1350" s="6"/>
      <c r="EQ1350" s="6"/>
      <c r="ER1350" s="6"/>
      <c r="ES1350" s="6"/>
      <c r="ET1350" s="6"/>
      <c r="EU1350" s="6"/>
      <c r="EV1350" s="6"/>
      <c r="EW1350" s="6"/>
      <c r="EX1350" s="6"/>
      <c r="EY1350" s="6"/>
      <c r="EZ1350" s="6"/>
      <c r="FA1350" s="6"/>
      <c r="FB1350" s="6"/>
      <c r="FC1350" s="6"/>
      <c r="FD1350" s="6"/>
      <c r="FE1350" s="6"/>
      <c r="FF1350" s="6"/>
      <c r="FG1350" s="6"/>
      <c r="FH1350" s="6"/>
      <c r="FI1350" s="6"/>
      <c r="FJ1350" s="6"/>
      <c r="FK1350" s="6"/>
      <c r="FL1350" s="6"/>
      <c r="FM1350" s="6"/>
      <c r="FN1350" s="6"/>
      <c r="FO1350" s="6"/>
      <c r="FP1350" s="6"/>
      <c r="FQ1350" s="6"/>
      <c r="FR1350" s="6"/>
      <c r="FS1350" s="6"/>
      <c r="FT1350" s="6"/>
      <c r="FU1350" s="6"/>
      <c r="FV1350" s="6"/>
      <c r="FW1350" s="6"/>
      <c r="FX1350" s="6"/>
      <c r="FY1350" s="6"/>
      <c r="FZ1350" s="6"/>
      <c r="GA1350" s="6"/>
      <c r="GB1350" s="6"/>
      <c r="GC1350" s="6"/>
      <c r="GD1350" s="6"/>
      <c r="GE1350" s="6"/>
      <c r="GF1350" s="6"/>
      <c r="GG1350" s="6"/>
      <c r="GH1350" s="6"/>
      <c r="GI1350" s="6"/>
      <c r="GJ1350" s="6"/>
      <c r="GK1350" s="6"/>
      <c r="GL1350" s="6"/>
      <c r="GM1350" s="6"/>
      <c r="GN1350" s="6"/>
      <c r="GO1350" s="6"/>
      <c r="GP1350" s="6"/>
      <c r="GQ1350" s="6"/>
      <c r="GR1350" s="6"/>
      <c r="GS1350" s="6"/>
      <c r="GT1350" s="6"/>
      <c r="GU1350" s="6"/>
      <c r="GV1350" s="6"/>
      <c r="GW1350" s="6"/>
      <c r="GX1350" s="6"/>
      <c r="GY1350" s="6"/>
      <c r="GZ1350" s="6"/>
      <c r="HA1350" s="6"/>
      <c r="HB1350" s="6"/>
      <c r="HC1350" s="6"/>
      <c r="HD1350" s="6"/>
      <c r="HE1350" s="6"/>
      <c r="HF1350" s="6"/>
      <c r="HG1350" s="6"/>
      <c r="HH1350" s="6"/>
    </row>
    <row r="1351" spans="1:216" x14ac:dyDescent="0.3">
      <c r="A1351" s="8"/>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6"/>
      <c r="AR1351" s="6"/>
      <c r="AS1351" s="6"/>
      <c r="AT1351" s="6"/>
      <c r="AU1351" s="6"/>
      <c r="AV1351" s="6"/>
      <c r="AW1351" s="6"/>
      <c r="AX1351" s="6"/>
      <c r="AY1351" s="6"/>
      <c r="AZ1351" s="6"/>
      <c r="BA1351" s="6"/>
      <c r="BB1351" s="6"/>
      <c r="BC1351" s="6"/>
      <c r="BD1351" s="6"/>
      <c r="BE1351" s="6"/>
      <c r="BF1351" s="6"/>
      <c r="BG1351" s="6"/>
      <c r="BH1351" s="6"/>
      <c r="BI1351" s="6"/>
      <c r="BJ1351" s="6"/>
      <c r="BK1351" s="6"/>
      <c r="BL1351" s="6"/>
      <c r="BM1351" s="6"/>
      <c r="BN1351" s="6"/>
      <c r="BO1351" s="6"/>
      <c r="BP1351" s="6"/>
      <c r="BQ1351" s="6"/>
      <c r="BR1351" s="6"/>
      <c r="BS1351" s="6"/>
      <c r="BT1351" s="6"/>
      <c r="BU1351" s="6"/>
      <c r="BV1351" s="6"/>
      <c r="BW1351" s="6"/>
      <c r="BX1351" s="6"/>
      <c r="BY1351" s="6"/>
      <c r="BZ1351" s="6"/>
      <c r="CA1351" s="6"/>
      <c r="CB1351" s="6"/>
      <c r="CC1351" s="6"/>
      <c r="CD1351" s="6"/>
      <c r="CE1351" s="6"/>
      <c r="CF1351" s="6"/>
      <c r="CG1351" s="6"/>
      <c r="CH1351" s="6"/>
      <c r="CI1351" s="6"/>
      <c r="CJ1351" s="6"/>
      <c r="CK1351" s="6"/>
      <c r="CL1351" s="6"/>
      <c r="CM1351" s="6"/>
      <c r="CN1351" s="6"/>
      <c r="CO1351" s="6"/>
      <c r="CP1351" s="6"/>
      <c r="CQ1351" s="6"/>
      <c r="CR1351" s="6"/>
      <c r="CS1351" s="6"/>
      <c r="CT1351" s="6"/>
      <c r="CU1351" s="6"/>
      <c r="CV1351" s="6"/>
      <c r="CW1351" s="6"/>
      <c r="CX1351" s="6"/>
      <c r="CY1351" s="6"/>
      <c r="CZ1351" s="6"/>
      <c r="DA1351" s="6"/>
      <c r="DB1351" s="6"/>
      <c r="DC1351" s="6"/>
      <c r="DD1351" s="6"/>
      <c r="DE1351" s="6"/>
      <c r="DF1351" s="6"/>
      <c r="DG1351" s="6"/>
      <c r="DH1351" s="6"/>
      <c r="DI1351" s="6"/>
      <c r="DJ1351" s="6"/>
      <c r="DK1351" s="6"/>
      <c r="DL1351" s="6"/>
      <c r="DM1351" s="6"/>
      <c r="DN1351" s="6"/>
      <c r="DO1351" s="6"/>
      <c r="DP1351" s="6"/>
      <c r="DQ1351" s="6"/>
      <c r="DR1351" s="6"/>
      <c r="DS1351" s="6"/>
      <c r="DT1351" s="6"/>
      <c r="DU1351" s="6"/>
      <c r="DV1351" s="6"/>
      <c r="DW1351" s="6"/>
      <c r="DX1351" s="6"/>
      <c r="DY1351" s="6"/>
      <c r="DZ1351" s="6"/>
      <c r="EA1351" s="6"/>
      <c r="EB1351" s="6"/>
      <c r="EC1351" s="6"/>
      <c r="ED1351" s="6"/>
      <c r="EE1351" s="6"/>
      <c r="EF1351" s="6"/>
      <c r="EG1351" s="6"/>
      <c r="EH1351" s="6"/>
      <c r="EI1351" s="6"/>
      <c r="EJ1351" s="6"/>
      <c r="EK1351" s="6"/>
      <c r="EL1351" s="6"/>
      <c r="EM1351" s="6"/>
      <c r="EN1351" s="6"/>
      <c r="EO1351" s="6"/>
      <c r="EP1351" s="6"/>
      <c r="EQ1351" s="6"/>
      <c r="ER1351" s="6"/>
      <c r="ES1351" s="6"/>
      <c r="ET1351" s="6"/>
      <c r="EU1351" s="6"/>
      <c r="EV1351" s="6"/>
      <c r="EW1351" s="6"/>
      <c r="EX1351" s="6"/>
      <c r="EY1351" s="6"/>
      <c r="EZ1351" s="6"/>
      <c r="FA1351" s="6"/>
      <c r="FB1351" s="6"/>
      <c r="FC1351" s="6"/>
      <c r="FD1351" s="6"/>
      <c r="FE1351" s="6"/>
      <c r="FF1351" s="6"/>
      <c r="FG1351" s="6"/>
      <c r="FH1351" s="6"/>
      <c r="FI1351" s="6"/>
      <c r="FJ1351" s="6"/>
      <c r="FK1351" s="6"/>
      <c r="FL1351" s="6"/>
      <c r="FM1351" s="6"/>
      <c r="FN1351" s="6"/>
      <c r="FO1351" s="6"/>
      <c r="FP1351" s="6"/>
      <c r="FQ1351" s="6"/>
      <c r="FR1351" s="6"/>
      <c r="FS1351" s="6"/>
      <c r="FT1351" s="6"/>
      <c r="FU1351" s="6"/>
      <c r="FV1351" s="6"/>
      <c r="FW1351" s="6"/>
      <c r="FX1351" s="6"/>
      <c r="FY1351" s="6"/>
      <c r="FZ1351" s="6"/>
      <c r="GA1351" s="6"/>
      <c r="GB1351" s="6"/>
      <c r="GC1351" s="6"/>
      <c r="GD1351" s="6"/>
      <c r="GE1351" s="6"/>
      <c r="GF1351" s="6"/>
      <c r="GG1351" s="6"/>
      <c r="GH1351" s="6"/>
      <c r="GI1351" s="6"/>
      <c r="GJ1351" s="6"/>
      <c r="GK1351" s="6"/>
      <c r="GL1351" s="6"/>
      <c r="GM1351" s="6"/>
      <c r="GN1351" s="6"/>
      <c r="GO1351" s="6"/>
      <c r="GP1351" s="6"/>
      <c r="GQ1351" s="6"/>
      <c r="GR1351" s="6"/>
      <c r="GS1351" s="6"/>
      <c r="GT1351" s="6"/>
      <c r="GU1351" s="6"/>
      <c r="GV1351" s="6"/>
      <c r="GW1351" s="6"/>
      <c r="GX1351" s="6"/>
      <c r="GY1351" s="6"/>
      <c r="GZ1351" s="6"/>
      <c r="HA1351" s="6"/>
      <c r="HB1351" s="6"/>
      <c r="HC1351" s="6"/>
      <c r="HD1351" s="6"/>
      <c r="HE1351" s="6"/>
      <c r="HF1351" s="6"/>
      <c r="HG1351" s="6"/>
      <c r="HH1351" s="6"/>
    </row>
    <row r="1352" spans="1:216" x14ac:dyDescent="0.3">
      <c r="A1352" s="8"/>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6"/>
      <c r="AR1352" s="6"/>
      <c r="AS1352" s="6"/>
      <c r="AT1352" s="6"/>
      <c r="AU1352" s="6"/>
      <c r="AV1352" s="6"/>
      <c r="AW1352" s="6"/>
      <c r="AX1352" s="6"/>
      <c r="AY1352" s="6"/>
      <c r="AZ1352" s="6"/>
      <c r="BA1352" s="6"/>
      <c r="BB1352" s="6"/>
      <c r="BC1352" s="6"/>
      <c r="BD1352" s="6"/>
      <c r="BE1352" s="6"/>
      <c r="BF1352" s="6"/>
      <c r="BG1352" s="6"/>
      <c r="BH1352" s="6"/>
      <c r="BI1352" s="6"/>
      <c r="BJ1352" s="6"/>
      <c r="BK1352" s="6"/>
      <c r="BL1352" s="6"/>
      <c r="BM1352" s="6"/>
      <c r="BN1352" s="6"/>
      <c r="BO1352" s="6"/>
      <c r="BP1352" s="6"/>
      <c r="BQ1352" s="6"/>
      <c r="BR1352" s="6"/>
      <c r="BS1352" s="6"/>
      <c r="BT1352" s="6"/>
      <c r="BU1352" s="6"/>
      <c r="BV1352" s="6"/>
      <c r="BW1352" s="6"/>
      <c r="BX1352" s="6"/>
      <c r="BY1352" s="6"/>
      <c r="BZ1352" s="6"/>
      <c r="CA1352" s="6"/>
      <c r="CB1352" s="6"/>
      <c r="CC1352" s="6"/>
      <c r="CD1352" s="6"/>
      <c r="CE1352" s="6"/>
      <c r="CF1352" s="6"/>
      <c r="CG1352" s="6"/>
      <c r="CH1352" s="6"/>
      <c r="CI1352" s="6"/>
      <c r="CJ1352" s="6"/>
      <c r="CK1352" s="6"/>
      <c r="CL1352" s="6"/>
      <c r="CM1352" s="6"/>
      <c r="CN1352" s="6"/>
      <c r="CO1352" s="6"/>
      <c r="CP1352" s="6"/>
      <c r="CQ1352" s="6"/>
      <c r="CR1352" s="6"/>
      <c r="CS1352" s="6"/>
      <c r="CT1352" s="6"/>
      <c r="CU1352" s="6"/>
      <c r="CV1352" s="6"/>
      <c r="CW1352" s="6"/>
      <c r="CX1352" s="6"/>
      <c r="CY1352" s="6"/>
      <c r="CZ1352" s="6"/>
      <c r="DA1352" s="6"/>
      <c r="DB1352" s="6"/>
      <c r="DC1352" s="6"/>
      <c r="DD1352" s="6"/>
      <c r="DE1352" s="6"/>
      <c r="DF1352" s="6"/>
      <c r="DG1352" s="6"/>
      <c r="DH1352" s="6"/>
      <c r="DI1352" s="6"/>
      <c r="DJ1352" s="6"/>
      <c r="DK1352" s="6"/>
      <c r="DL1352" s="6"/>
      <c r="DM1352" s="6"/>
      <c r="DN1352" s="6"/>
      <c r="DO1352" s="6"/>
      <c r="DP1352" s="6"/>
      <c r="DQ1352" s="6"/>
      <c r="DR1352" s="6"/>
      <c r="DS1352" s="6"/>
      <c r="DT1352" s="6"/>
      <c r="DU1352" s="6"/>
      <c r="DV1352" s="6"/>
      <c r="DW1352" s="6"/>
      <c r="DX1352" s="6"/>
      <c r="DY1352" s="6"/>
      <c r="DZ1352" s="6"/>
      <c r="EA1352" s="6"/>
      <c r="EB1352" s="6"/>
      <c r="EC1352" s="6"/>
      <c r="ED1352" s="6"/>
      <c r="EE1352" s="6"/>
      <c r="EF1352" s="6"/>
      <c r="EG1352" s="6"/>
      <c r="EH1352" s="6"/>
      <c r="EI1352" s="6"/>
      <c r="EJ1352" s="6"/>
      <c r="EK1352" s="6"/>
      <c r="EL1352" s="6"/>
      <c r="EM1352" s="6"/>
      <c r="EN1352" s="6"/>
      <c r="EO1352" s="6"/>
      <c r="EP1352" s="6"/>
      <c r="EQ1352" s="6"/>
      <c r="ER1352" s="6"/>
      <c r="ES1352" s="6"/>
      <c r="ET1352" s="6"/>
      <c r="EU1352" s="6"/>
      <c r="EV1352" s="6"/>
      <c r="EW1352" s="6"/>
      <c r="EX1352" s="6"/>
      <c r="EY1352" s="6"/>
      <c r="EZ1352" s="6"/>
      <c r="FA1352" s="6"/>
      <c r="FB1352" s="6"/>
      <c r="FC1352" s="6"/>
      <c r="FD1352" s="6"/>
      <c r="FE1352" s="6"/>
      <c r="FF1352" s="6"/>
      <c r="FG1352" s="6"/>
      <c r="FH1352" s="6"/>
      <c r="FI1352" s="6"/>
      <c r="FJ1352" s="6"/>
      <c r="FK1352" s="6"/>
      <c r="FL1352" s="6"/>
      <c r="FM1352" s="6"/>
      <c r="FN1352" s="6"/>
      <c r="FO1352" s="6"/>
      <c r="FP1352" s="6"/>
      <c r="FQ1352" s="6"/>
      <c r="FR1352" s="6"/>
      <c r="FS1352" s="6"/>
      <c r="FT1352" s="6"/>
      <c r="FU1352" s="6"/>
      <c r="FV1352" s="6"/>
      <c r="FW1352" s="6"/>
      <c r="FX1352" s="6"/>
      <c r="FY1352" s="6"/>
      <c r="FZ1352" s="6"/>
      <c r="GA1352" s="6"/>
      <c r="GB1352" s="6"/>
      <c r="GC1352" s="6"/>
      <c r="GD1352" s="6"/>
      <c r="GE1352" s="6"/>
      <c r="GF1352" s="6"/>
      <c r="GG1352" s="6"/>
      <c r="GH1352" s="6"/>
      <c r="GI1352" s="6"/>
      <c r="GJ1352" s="6"/>
      <c r="GK1352" s="6"/>
      <c r="GL1352" s="6"/>
      <c r="GM1352" s="6"/>
      <c r="GN1352" s="6"/>
      <c r="GO1352" s="6"/>
      <c r="GP1352" s="6"/>
      <c r="GQ1352" s="6"/>
      <c r="GR1352" s="6"/>
      <c r="GS1352" s="6"/>
      <c r="GT1352" s="6"/>
      <c r="GU1352" s="6"/>
      <c r="GV1352" s="6"/>
      <c r="GW1352" s="6"/>
      <c r="GX1352" s="6"/>
      <c r="GY1352" s="6"/>
      <c r="GZ1352" s="6"/>
      <c r="HA1352" s="6"/>
      <c r="HB1352" s="6"/>
      <c r="HC1352" s="6"/>
      <c r="HD1352" s="6"/>
      <c r="HE1352" s="6"/>
      <c r="HF1352" s="6"/>
      <c r="HG1352" s="6"/>
      <c r="HH1352" s="6"/>
    </row>
    <row r="1353" spans="1:216" x14ac:dyDescent="0.3">
      <c r="A1353" s="8"/>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6"/>
      <c r="AR1353" s="6"/>
      <c r="AS1353" s="6"/>
      <c r="AT1353" s="6"/>
      <c r="AU1353" s="6"/>
      <c r="AV1353" s="6"/>
      <c r="AW1353" s="6"/>
      <c r="AX1353" s="6"/>
      <c r="AY1353" s="6"/>
      <c r="AZ1353" s="6"/>
      <c r="BA1353" s="6"/>
      <c r="BB1353" s="6"/>
      <c r="BC1353" s="6"/>
      <c r="BD1353" s="6"/>
      <c r="BE1353" s="6"/>
      <c r="BF1353" s="6"/>
      <c r="BG1353" s="6"/>
      <c r="BH1353" s="6"/>
      <c r="BI1353" s="6"/>
      <c r="BJ1353" s="6"/>
      <c r="BK1353" s="6"/>
      <c r="BL1353" s="6"/>
      <c r="BM1353" s="6"/>
      <c r="BN1353" s="6"/>
      <c r="BO1353" s="6"/>
      <c r="BP1353" s="6"/>
      <c r="BQ1353" s="6"/>
      <c r="BR1353" s="6"/>
      <c r="BS1353" s="6"/>
      <c r="BT1353" s="6"/>
      <c r="BU1353" s="6"/>
      <c r="BV1353" s="6"/>
      <c r="BW1353" s="6"/>
      <c r="BX1353" s="6"/>
      <c r="BY1353" s="6"/>
      <c r="BZ1353" s="6"/>
      <c r="CA1353" s="6"/>
      <c r="CB1353" s="6"/>
      <c r="CC1353" s="6"/>
      <c r="CD1353" s="6"/>
      <c r="CE1353" s="6"/>
      <c r="CF1353" s="6"/>
      <c r="CG1353" s="6"/>
      <c r="CH1353" s="6"/>
      <c r="CI1353" s="6"/>
      <c r="CJ1353" s="6"/>
      <c r="CK1353" s="6"/>
      <c r="CL1353" s="6"/>
      <c r="CM1353" s="6"/>
      <c r="CN1353" s="6"/>
      <c r="CO1353" s="6"/>
      <c r="CP1353" s="6"/>
      <c r="CQ1353" s="6"/>
      <c r="CR1353" s="6"/>
      <c r="CS1353" s="6"/>
      <c r="CT1353" s="6"/>
      <c r="CU1353" s="6"/>
      <c r="CV1353" s="6"/>
      <c r="CW1353" s="6"/>
      <c r="CX1353" s="6"/>
      <c r="CY1353" s="6"/>
      <c r="CZ1353" s="6"/>
      <c r="DA1353" s="6"/>
      <c r="DB1353" s="6"/>
      <c r="DC1353" s="6"/>
      <c r="DD1353" s="6"/>
      <c r="DE1353" s="6"/>
      <c r="DF1353" s="6"/>
      <c r="DG1353" s="6"/>
      <c r="DH1353" s="6"/>
      <c r="DI1353" s="6"/>
      <c r="DJ1353" s="6"/>
      <c r="DK1353" s="6"/>
      <c r="DL1353" s="6"/>
      <c r="DM1353" s="6"/>
      <c r="DN1353" s="6"/>
      <c r="DO1353" s="6"/>
      <c r="DP1353" s="6"/>
      <c r="DQ1353" s="6"/>
      <c r="DR1353" s="6"/>
      <c r="DS1353" s="6"/>
      <c r="DT1353" s="6"/>
      <c r="DU1353" s="6"/>
      <c r="DV1353" s="6"/>
      <c r="DW1353" s="6"/>
      <c r="DX1353" s="6"/>
      <c r="DY1353" s="6"/>
      <c r="DZ1353" s="6"/>
      <c r="EA1353" s="6"/>
      <c r="EB1353" s="6"/>
      <c r="EC1353" s="6"/>
      <c r="ED1353" s="6"/>
      <c r="EE1353" s="6"/>
      <c r="EF1353" s="6"/>
      <c r="EG1353" s="6"/>
      <c r="EH1353" s="6"/>
      <c r="EI1353" s="6"/>
      <c r="EJ1353" s="6"/>
      <c r="EK1353" s="6"/>
      <c r="EL1353" s="6"/>
      <c r="EM1353" s="6"/>
      <c r="EN1353" s="6"/>
      <c r="EO1353" s="6"/>
      <c r="EP1353" s="6"/>
      <c r="EQ1353" s="6"/>
      <c r="ER1353" s="6"/>
      <c r="ES1353" s="6"/>
      <c r="ET1353" s="6"/>
      <c r="EU1353" s="6"/>
      <c r="EV1353" s="6"/>
      <c r="EW1353" s="6"/>
      <c r="EX1353" s="6"/>
      <c r="EY1353" s="6"/>
      <c r="EZ1353" s="6"/>
      <c r="FA1353" s="6"/>
      <c r="FB1353" s="6"/>
      <c r="FC1353" s="6"/>
      <c r="FD1353" s="6"/>
      <c r="FE1353" s="6"/>
      <c r="FF1353" s="6"/>
      <c r="FG1353" s="6"/>
      <c r="FH1353" s="6"/>
      <c r="FI1353" s="6"/>
      <c r="FJ1353" s="6"/>
      <c r="FK1353" s="6"/>
      <c r="FL1353" s="6"/>
      <c r="FM1353" s="6"/>
      <c r="FN1353" s="6"/>
      <c r="FO1353" s="6"/>
      <c r="FP1353" s="6"/>
      <c r="FQ1353" s="6"/>
      <c r="FR1353" s="6"/>
      <c r="FS1353" s="6"/>
      <c r="FT1353" s="6"/>
      <c r="FU1353" s="6"/>
      <c r="FV1353" s="6"/>
      <c r="FW1353" s="6"/>
      <c r="FX1353" s="6"/>
      <c r="FY1353" s="6"/>
      <c r="FZ1353" s="6"/>
      <c r="GA1353" s="6"/>
      <c r="GB1353" s="6"/>
      <c r="GC1353" s="6"/>
      <c r="GD1353" s="6"/>
      <c r="GE1353" s="6"/>
      <c r="GF1353" s="6"/>
      <c r="GG1353" s="6"/>
      <c r="GH1353" s="6"/>
      <c r="GI1353" s="6"/>
      <c r="GJ1353" s="6"/>
      <c r="GK1353" s="6"/>
      <c r="GL1353" s="6"/>
      <c r="GM1353" s="6"/>
      <c r="GN1353" s="6"/>
      <c r="GO1353" s="6"/>
      <c r="GP1353" s="6"/>
      <c r="GQ1353" s="6"/>
      <c r="GR1353" s="6"/>
      <c r="GS1353" s="6"/>
      <c r="GT1353" s="6"/>
      <c r="GU1353" s="6"/>
      <c r="GV1353" s="6"/>
      <c r="GW1353" s="6"/>
      <c r="GX1353" s="6"/>
      <c r="GY1353" s="6"/>
      <c r="GZ1353" s="6"/>
      <c r="HA1353" s="6"/>
      <c r="HB1353" s="6"/>
      <c r="HC1353" s="6"/>
      <c r="HD1353" s="6"/>
      <c r="HE1353" s="6"/>
      <c r="HF1353" s="6"/>
      <c r="HG1353" s="6"/>
      <c r="HH1353" s="6"/>
    </row>
    <row r="1354" spans="1:216" x14ac:dyDescent="0.3">
      <c r="A1354" s="8"/>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6"/>
      <c r="AR1354" s="6"/>
      <c r="AS1354" s="6"/>
      <c r="AT1354" s="6"/>
      <c r="AU1354" s="6"/>
      <c r="AV1354" s="6"/>
      <c r="AW1354" s="6"/>
      <c r="AX1354" s="6"/>
      <c r="AY1354" s="6"/>
      <c r="AZ1354" s="6"/>
      <c r="BA1354" s="6"/>
      <c r="BB1354" s="6"/>
      <c r="BC1354" s="6"/>
      <c r="BD1354" s="6"/>
      <c r="BE1354" s="6"/>
      <c r="BF1354" s="6"/>
      <c r="BG1354" s="6"/>
      <c r="BH1354" s="6"/>
      <c r="BI1354" s="6"/>
      <c r="BJ1354" s="6"/>
      <c r="BK1354" s="6"/>
      <c r="BL1354" s="6"/>
      <c r="BM1354" s="6"/>
      <c r="BN1354" s="6"/>
      <c r="BO1354" s="6"/>
      <c r="BP1354" s="6"/>
      <c r="BQ1354" s="6"/>
      <c r="BR1354" s="6"/>
      <c r="BS1354" s="6"/>
      <c r="BT1354" s="6"/>
      <c r="BU1354" s="6"/>
      <c r="BV1354" s="6"/>
      <c r="BW1354" s="6"/>
      <c r="BX1354" s="6"/>
      <c r="BY1354" s="6"/>
      <c r="BZ1354" s="6"/>
      <c r="CA1354" s="6"/>
      <c r="CB1354" s="6"/>
      <c r="CC1354" s="6"/>
      <c r="CD1354" s="6"/>
      <c r="CE1354" s="6"/>
      <c r="CF1354" s="6"/>
      <c r="CG1354" s="6"/>
      <c r="CH1354" s="6"/>
      <c r="CI1354" s="6"/>
      <c r="CJ1354" s="6"/>
      <c r="CK1354" s="6"/>
      <c r="CL1354" s="6"/>
      <c r="CM1354" s="6"/>
      <c r="CN1354" s="6"/>
      <c r="CO1354" s="6"/>
      <c r="CP1354" s="6"/>
      <c r="CQ1354" s="6"/>
      <c r="CR1354" s="6"/>
      <c r="CS1354" s="6"/>
      <c r="CT1354" s="6"/>
      <c r="CU1354" s="6"/>
      <c r="CV1354" s="6"/>
      <c r="CW1354" s="6"/>
      <c r="CX1354" s="6"/>
      <c r="CY1354" s="6"/>
      <c r="CZ1354" s="6"/>
      <c r="DA1354" s="6"/>
      <c r="DB1354" s="6"/>
      <c r="DC1354" s="6"/>
      <c r="DD1354" s="6"/>
      <c r="DE1354" s="6"/>
      <c r="DF1354" s="6"/>
      <c r="DG1354" s="6"/>
      <c r="DH1354" s="6"/>
      <c r="DI1354" s="6"/>
      <c r="DJ1354" s="6"/>
      <c r="DK1354" s="6"/>
      <c r="DL1354" s="6"/>
      <c r="DM1354" s="6"/>
      <c r="DN1354" s="6"/>
      <c r="DO1354" s="6"/>
      <c r="DP1354" s="6"/>
      <c r="DQ1354" s="6"/>
      <c r="DR1354" s="6"/>
      <c r="DS1354" s="6"/>
      <c r="DT1354" s="6"/>
      <c r="DU1354" s="6"/>
      <c r="DV1354" s="6"/>
      <c r="DW1354" s="6"/>
      <c r="DX1354" s="6"/>
      <c r="DY1354" s="6"/>
      <c r="DZ1354" s="6"/>
      <c r="EA1354" s="6"/>
      <c r="EB1354" s="6"/>
      <c r="EC1354" s="6"/>
      <c r="ED1354" s="6"/>
      <c r="EE1354" s="6"/>
      <c r="EF1354" s="6"/>
      <c r="EG1354" s="6"/>
      <c r="EH1354" s="6"/>
      <c r="EI1354" s="6"/>
      <c r="EJ1354" s="6"/>
      <c r="EK1354" s="6"/>
      <c r="EL1354" s="6"/>
      <c r="EM1354" s="6"/>
      <c r="EN1354" s="6"/>
      <c r="EO1354" s="6"/>
      <c r="EP1354" s="6"/>
      <c r="EQ1354" s="6"/>
      <c r="ER1354" s="6"/>
      <c r="ES1354" s="6"/>
      <c r="ET1354" s="6"/>
      <c r="EU1354" s="6"/>
      <c r="EV1354" s="6"/>
      <c r="EW1354" s="6"/>
      <c r="EX1354" s="6"/>
      <c r="EY1354" s="6"/>
      <c r="EZ1354" s="6"/>
      <c r="FA1354" s="6"/>
      <c r="FB1354" s="6"/>
      <c r="FC1354" s="6"/>
      <c r="FD1354" s="6"/>
      <c r="FE1354" s="6"/>
      <c r="FF1354" s="6"/>
      <c r="FG1354" s="6"/>
      <c r="FH1354" s="6"/>
      <c r="FI1354" s="6"/>
      <c r="FJ1354" s="6"/>
      <c r="FK1354" s="6"/>
      <c r="FL1354" s="6"/>
      <c r="FM1354" s="6"/>
      <c r="FN1354" s="6"/>
      <c r="FO1354" s="6"/>
      <c r="FP1354" s="6"/>
      <c r="FQ1354" s="6"/>
      <c r="FR1354" s="6"/>
      <c r="FS1354" s="6"/>
      <c r="FT1354" s="6"/>
      <c r="FU1354" s="6"/>
      <c r="FV1354" s="6"/>
      <c r="FW1354" s="6"/>
      <c r="FX1354" s="6"/>
      <c r="FY1354" s="6"/>
      <c r="FZ1354" s="6"/>
      <c r="GA1354" s="6"/>
      <c r="GB1354" s="6"/>
      <c r="GC1354" s="6"/>
      <c r="GD1354" s="6"/>
      <c r="GE1354" s="6"/>
      <c r="GF1354" s="6"/>
      <c r="GG1354" s="6"/>
      <c r="GH1354" s="6"/>
      <c r="GI1354" s="6"/>
      <c r="GJ1354" s="6"/>
      <c r="GK1354" s="6"/>
      <c r="GL1354" s="6"/>
      <c r="GM1354" s="6"/>
      <c r="GN1354" s="6"/>
      <c r="GO1354" s="6"/>
      <c r="GP1354" s="6"/>
      <c r="GQ1354" s="6"/>
      <c r="GR1354" s="6"/>
      <c r="GS1354" s="6"/>
      <c r="GT1354" s="6"/>
      <c r="GU1354" s="6"/>
      <c r="GV1354" s="6"/>
      <c r="GW1354" s="6"/>
      <c r="GX1354" s="6"/>
      <c r="GY1354" s="6"/>
      <c r="GZ1354" s="6"/>
      <c r="HA1354" s="6"/>
      <c r="HB1354" s="6"/>
      <c r="HC1354" s="6"/>
      <c r="HD1354" s="6"/>
      <c r="HE1354" s="6"/>
      <c r="HF1354" s="6"/>
      <c r="HG1354" s="6"/>
      <c r="HH1354" s="6"/>
    </row>
    <row r="1355" spans="1:216" x14ac:dyDescent="0.3">
      <c r="A1355" s="8"/>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6"/>
      <c r="AR1355" s="6"/>
      <c r="AS1355" s="6"/>
      <c r="AT1355" s="6"/>
      <c r="AU1355" s="6"/>
      <c r="AV1355" s="6"/>
      <c r="AW1355" s="6"/>
      <c r="AX1355" s="6"/>
      <c r="AY1355" s="6"/>
      <c r="AZ1355" s="6"/>
      <c r="BA1355" s="6"/>
      <c r="BB1355" s="6"/>
      <c r="BC1355" s="6"/>
      <c r="BD1355" s="6"/>
      <c r="BE1355" s="6"/>
      <c r="BF1355" s="6"/>
      <c r="BG1355" s="6"/>
      <c r="BH1355" s="6"/>
      <c r="BI1355" s="6"/>
      <c r="BJ1355" s="6"/>
      <c r="BK1355" s="6"/>
      <c r="BL1355" s="6"/>
      <c r="BM1355" s="6"/>
      <c r="BN1355" s="6"/>
      <c r="BO1355" s="6"/>
      <c r="BP1355" s="6"/>
      <c r="BQ1355" s="6"/>
      <c r="BR1355" s="6"/>
      <c r="BS1355" s="6"/>
      <c r="BT1355" s="6"/>
      <c r="BU1355" s="6"/>
      <c r="BV1355" s="6"/>
      <c r="BW1355" s="6"/>
      <c r="BX1355" s="6"/>
      <c r="BY1355" s="6"/>
      <c r="BZ1355" s="6"/>
      <c r="CA1355" s="6"/>
      <c r="CB1355" s="6"/>
      <c r="CC1355" s="6"/>
      <c r="CD1355" s="6"/>
      <c r="CE1355" s="6"/>
      <c r="CF1355" s="6"/>
      <c r="CG1355" s="6"/>
      <c r="CH1355" s="6"/>
      <c r="CI1355" s="6"/>
      <c r="CJ1355" s="6"/>
      <c r="CK1355" s="6"/>
      <c r="CL1355" s="6"/>
      <c r="CM1355" s="6"/>
      <c r="CN1355" s="6"/>
      <c r="CO1355" s="6"/>
      <c r="CP1355" s="6"/>
      <c r="CQ1355" s="6"/>
      <c r="CR1355" s="6"/>
      <c r="CS1355" s="6"/>
      <c r="CT1355" s="6"/>
      <c r="CU1355" s="6"/>
      <c r="CV1355" s="6"/>
      <c r="CW1355" s="6"/>
      <c r="CX1355" s="6"/>
      <c r="CY1355" s="6"/>
      <c r="CZ1355" s="6"/>
      <c r="DA1355" s="6"/>
      <c r="DB1355" s="6"/>
      <c r="DC1355" s="6"/>
      <c r="DD1355" s="6"/>
      <c r="DE1355" s="6"/>
      <c r="DF1355" s="6"/>
      <c r="DG1355" s="6"/>
      <c r="DH1355" s="6"/>
      <c r="DI1355" s="6"/>
      <c r="DJ1355" s="6"/>
      <c r="DK1355" s="6"/>
      <c r="DL1355" s="6"/>
      <c r="DM1355" s="6"/>
      <c r="DN1355" s="6"/>
      <c r="DO1355" s="6"/>
      <c r="DP1355" s="6"/>
      <c r="DQ1355" s="6"/>
      <c r="DR1355" s="6"/>
      <c r="DS1355" s="6"/>
      <c r="DT1355" s="6"/>
      <c r="DU1355" s="6"/>
      <c r="DV1355" s="6"/>
      <c r="DW1355" s="6"/>
      <c r="DX1355" s="6"/>
      <c r="DY1355" s="6"/>
      <c r="DZ1355" s="6"/>
      <c r="EA1355" s="6"/>
      <c r="EB1355" s="6"/>
      <c r="EC1355" s="6"/>
      <c r="ED1355" s="6"/>
      <c r="EE1355" s="6"/>
      <c r="EF1355" s="6"/>
      <c r="EG1355" s="6"/>
      <c r="EH1355" s="6"/>
      <c r="EI1355" s="6"/>
      <c r="EJ1355" s="6"/>
      <c r="EK1355" s="6"/>
      <c r="EL1355" s="6"/>
      <c r="EM1355" s="6"/>
      <c r="EN1355" s="6"/>
      <c r="EO1355" s="6"/>
      <c r="EP1355" s="6"/>
      <c r="EQ1355" s="6"/>
      <c r="ER1355" s="6"/>
      <c r="ES1355" s="6"/>
      <c r="ET1355" s="6"/>
      <c r="EU1355" s="6"/>
      <c r="EV1355" s="6"/>
      <c r="EW1355" s="6"/>
      <c r="EX1355" s="6"/>
      <c r="EY1355" s="6"/>
      <c r="EZ1355" s="6"/>
      <c r="FA1355" s="6"/>
      <c r="FB1355" s="6"/>
      <c r="FC1355" s="6"/>
      <c r="FD1355" s="6"/>
      <c r="FE1355" s="6"/>
      <c r="FF1355" s="6"/>
      <c r="FG1355" s="6"/>
      <c r="FH1355" s="6"/>
      <c r="FI1355" s="6"/>
      <c r="FJ1355" s="6"/>
      <c r="FK1355" s="6"/>
      <c r="FL1355" s="6"/>
      <c r="FM1355" s="6"/>
      <c r="FN1355" s="6"/>
      <c r="FO1355" s="6"/>
      <c r="FP1355" s="6"/>
      <c r="FQ1355" s="6"/>
      <c r="FR1355" s="6"/>
      <c r="FS1355" s="6"/>
      <c r="FT1355" s="6"/>
      <c r="FU1355" s="6"/>
      <c r="FV1355" s="6"/>
      <c r="FW1355" s="6"/>
      <c r="FX1355" s="6"/>
      <c r="FY1355" s="6"/>
      <c r="FZ1355" s="6"/>
      <c r="GA1355" s="6"/>
      <c r="GB1355" s="6"/>
      <c r="GC1355" s="6"/>
      <c r="GD1355" s="6"/>
      <c r="GE1355" s="6"/>
      <c r="GF1355" s="6"/>
      <c r="GG1355" s="6"/>
      <c r="GH1355" s="6"/>
      <c r="GI1355" s="6"/>
      <c r="GJ1355" s="6"/>
      <c r="GK1355" s="6"/>
      <c r="GL1355" s="6"/>
      <c r="GM1355" s="6"/>
      <c r="GN1355" s="6"/>
      <c r="GO1355" s="6"/>
      <c r="GP1355" s="6"/>
      <c r="GQ1355" s="6"/>
      <c r="GR1355" s="6"/>
      <c r="GS1355" s="6"/>
      <c r="GT1355" s="6"/>
      <c r="GU1355" s="6"/>
      <c r="GV1355" s="6"/>
      <c r="GW1355" s="6"/>
      <c r="GX1355" s="6"/>
      <c r="GY1355" s="6"/>
      <c r="GZ1355" s="6"/>
      <c r="HA1355" s="6"/>
      <c r="HB1355" s="6"/>
      <c r="HC1355" s="6"/>
      <c r="HD1355" s="6"/>
      <c r="HE1355" s="6"/>
      <c r="HF1355" s="6"/>
      <c r="HG1355" s="6"/>
      <c r="HH1355" s="6"/>
    </row>
    <row r="1356" spans="1:216" x14ac:dyDescent="0.3">
      <c r="A1356" s="8"/>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6"/>
      <c r="AR1356" s="6"/>
      <c r="AS1356" s="6"/>
      <c r="AT1356" s="6"/>
      <c r="AU1356" s="6"/>
      <c r="AV1356" s="6"/>
      <c r="AW1356" s="6"/>
      <c r="AX1356" s="6"/>
      <c r="AY1356" s="6"/>
      <c r="AZ1356" s="6"/>
      <c r="BA1356" s="6"/>
      <c r="BB1356" s="6"/>
      <c r="BC1356" s="6"/>
      <c r="BD1356" s="6"/>
      <c r="BE1356" s="6"/>
      <c r="BF1356" s="6"/>
      <c r="BG1356" s="6"/>
      <c r="BH1356" s="6"/>
      <c r="BI1356" s="6"/>
      <c r="BJ1356" s="6"/>
      <c r="BK1356" s="6"/>
      <c r="BL1356" s="6"/>
      <c r="BM1356" s="6"/>
      <c r="BN1356" s="6"/>
      <c r="BO1356" s="6"/>
      <c r="BP1356" s="6"/>
      <c r="BQ1356" s="6"/>
      <c r="BR1356" s="6"/>
      <c r="BS1356" s="6"/>
      <c r="BT1356" s="6"/>
      <c r="BU1356" s="6"/>
      <c r="BV1356" s="6"/>
      <c r="BW1356" s="6"/>
      <c r="BX1356" s="6"/>
      <c r="BY1356" s="6"/>
      <c r="BZ1356" s="6"/>
      <c r="CA1356" s="6"/>
      <c r="CB1356" s="6"/>
      <c r="CC1356" s="6"/>
      <c r="CD1356" s="6"/>
      <c r="CE1356" s="6"/>
      <c r="CF1356" s="6"/>
      <c r="CG1356" s="6"/>
      <c r="CH1356" s="6"/>
      <c r="CI1356" s="6"/>
      <c r="CJ1356" s="6"/>
      <c r="CK1356" s="6"/>
      <c r="CL1356" s="6"/>
      <c r="CM1356" s="6"/>
      <c r="CN1356" s="6"/>
      <c r="CO1356" s="6"/>
      <c r="CP1356" s="6"/>
      <c r="CQ1356" s="6"/>
      <c r="CR1356" s="6"/>
      <c r="CS1356" s="6"/>
      <c r="CT1356" s="6"/>
      <c r="CU1356" s="6"/>
      <c r="CV1356" s="6"/>
      <c r="CW1356" s="6"/>
      <c r="CX1356" s="6"/>
      <c r="CY1356" s="6"/>
      <c r="CZ1356" s="6"/>
      <c r="DA1356" s="6"/>
      <c r="DB1356" s="6"/>
      <c r="DC1356" s="6"/>
      <c r="DD1356" s="6"/>
      <c r="DE1356" s="6"/>
      <c r="DF1356" s="6"/>
      <c r="DG1356" s="6"/>
      <c r="DH1356" s="6"/>
      <c r="DI1356" s="6"/>
      <c r="DJ1356" s="6"/>
      <c r="DK1356" s="6"/>
      <c r="DL1356" s="6"/>
      <c r="DM1356" s="6"/>
      <c r="DN1356" s="6"/>
      <c r="DO1356" s="6"/>
      <c r="DP1356" s="6"/>
      <c r="DQ1356" s="6"/>
      <c r="DR1356" s="6"/>
      <c r="DS1356" s="6"/>
      <c r="DT1356" s="6"/>
      <c r="DU1356" s="6"/>
      <c r="DV1356" s="6"/>
      <c r="DW1356" s="6"/>
      <c r="DX1356" s="6"/>
      <c r="DY1356" s="6"/>
      <c r="DZ1356" s="6"/>
      <c r="EA1356" s="6"/>
      <c r="EB1356" s="6"/>
      <c r="EC1356" s="6"/>
      <c r="ED1356" s="6"/>
      <c r="EE1356" s="6"/>
      <c r="EF1356" s="6"/>
      <c r="EG1356" s="6"/>
      <c r="EH1356" s="6"/>
      <c r="EI1356" s="6"/>
      <c r="EJ1356" s="6"/>
      <c r="EK1356" s="6"/>
      <c r="EL1356" s="6"/>
      <c r="EM1356" s="6"/>
      <c r="EN1356" s="6"/>
      <c r="EO1356" s="6"/>
      <c r="EP1356" s="6"/>
      <c r="EQ1356" s="6"/>
      <c r="ER1356" s="6"/>
      <c r="ES1356" s="6"/>
      <c r="ET1356" s="6"/>
      <c r="EU1356" s="6"/>
      <c r="EV1356" s="6"/>
      <c r="EW1356" s="6"/>
      <c r="EX1356" s="6"/>
      <c r="EY1356" s="6"/>
      <c r="EZ1356" s="6"/>
      <c r="FA1356" s="6"/>
      <c r="FB1356" s="6"/>
      <c r="FC1356" s="6"/>
      <c r="FD1356" s="6"/>
      <c r="FE1356" s="6"/>
      <c r="FF1356" s="6"/>
      <c r="FG1356" s="6"/>
      <c r="FH1356" s="6"/>
      <c r="FI1356" s="6"/>
      <c r="FJ1356" s="6"/>
      <c r="FK1356" s="6"/>
      <c r="FL1356" s="6"/>
      <c r="FM1356" s="6"/>
      <c r="FN1356" s="6"/>
      <c r="FO1356" s="6"/>
      <c r="FP1356" s="6"/>
      <c r="FQ1356" s="6"/>
      <c r="FR1356" s="6"/>
      <c r="FS1356" s="6"/>
      <c r="FT1356" s="6"/>
      <c r="FU1356" s="6"/>
      <c r="FV1356" s="6"/>
      <c r="FW1356" s="6"/>
      <c r="FX1356" s="6"/>
      <c r="FY1356" s="6"/>
      <c r="FZ1356" s="6"/>
      <c r="GA1356" s="6"/>
      <c r="GB1356" s="6"/>
      <c r="GC1356" s="6"/>
      <c r="GD1356" s="6"/>
      <c r="GE1356" s="6"/>
      <c r="GF1356" s="6"/>
      <c r="GG1356" s="6"/>
      <c r="GH1356" s="6"/>
      <c r="GI1356" s="6"/>
      <c r="GJ1356" s="6"/>
      <c r="GK1356" s="6"/>
      <c r="GL1356" s="6"/>
      <c r="GM1356" s="6"/>
      <c r="GN1356" s="6"/>
      <c r="GO1356" s="6"/>
      <c r="GP1356" s="6"/>
      <c r="GQ1356" s="6"/>
      <c r="GR1356" s="6"/>
      <c r="GS1356" s="6"/>
      <c r="GT1356" s="6"/>
      <c r="GU1356" s="6"/>
      <c r="GV1356" s="6"/>
      <c r="GW1356" s="6"/>
      <c r="GX1356" s="6"/>
      <c r="GY1356" s="6"/>
      <c r="GZ1356" s="6"/>
      <c r="HA1356" s="6"/>
      <c r="HB1356" s="6"/>
      <c r="HC1356" s="6"/>
      <c r="HD1356" s="6"/>
      <c r="HE1356" s="6"/>
      <c r="HF1356" s="6"/>
      <c r="HG1356" s="6"/>
      <c r="HH1356" s="6"/>
    </row>
    <row r="1357" spans="1:216" x14ac:dyDescent="0.3">
      <c r="A1357" s="8"/>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6"/>
      <c r="AR1357" s="6"/>
      <c r="AS1357" s="6"/>
      <c r="AT1357" s="6"/>
      <c r="AU1357" s="6"/>
      <c r="AV1357" s="6"/>
      <c r="AW1357" s="6"/>
      <c r="AX1357" s="6"/>
      <c r="AY1357" s="6"/>
      <c r="AZ1357" s="6"/>
      <c r="BA1357" s="6"/>
      <c r="BB1357" s="6"/>
      <c r="BC1357" s="6"/>
      <c r="BD1357" s="6"/>
      <c r="BE1357" s="6"/>
      <c r="BF1357" s="6"/>
      <c r="BG1357" s="6"/>
      <c r="BH1357" s="6"/>
      <c r="BI1357" s="6"/>
      <c r="BJ1357" s="6"/>
      <c r="BK1357" s="6"/>
      <c r="BL1357" s="6"/>
      <c r="BM1357" s="6"/>
      <c r="BN1357" s="6"/>
      <c r="BO1357" s="6"/>
      <c r="BP1357" s="6"/>
      <c r="BQ1357" s="6"/>
      <c r="BR1357" s="6"/>
      <c r="BS1357" s="6"/>
      <c r="BT1357" s="6"/>
      <c r="BU1357" s="6"/>
      <c r="BV1357" s="6"/>
      <c r="BW1357" s="6"/>
      <c r="BX1357" s="6"/>
      <c r="BY1357" s="6"/>
      <c r="BZ1357" s="6"/>
      <c r="CA1357" s="6"/>
      <c r="CB1357" s="6"/>
      <c r="CC1357" s="6"/>
      <c r="CD1357" s="6"/>
      <c r="CE1357" s="6"/>
      <c r="CF1357" s="6"/>
      <c r="CG1357" s="6"/>
      <c r="CH1357" s="6"/>
      <c r="CI1357" s="6"/>
      <c r="CJ1357" s="6"/>
      <c r="CK1357" s="6"/>
      <c r="CL1357" s="6"/>
      <c r="CM1357" s="6"/>
      <c r="CN1357" s="6"/>
      <c r="CO1357" s="6"/>
      <c r="CP1357" s="6"/>
      <c r="CQ1357" s="6"/>
      <c r="CR1357" s="6"/>
      <c r="CS1357" s="6"/>
      <c r="CT1357" s="6"/>
      <c r="CU1357" s="6"/>
      <c r="CV1357" s="6"/>
      <c r="CW1357" s="6"/>
      <c r="CX1357" s="6"/>
      <c r="CY1357" s="6"/>
      <c r="CZ1357" s="6"/>
      <c r="DA1357" s="6"/>
      <c r="DB1357" s="6"/>
      <c r="DC1357" s="6"/>
      <c r="DD1357" s="6"/>
      <c r="DE1357" s="6"/>
      <c r="DF1357" s="6"/>
      <c r="DG1357" s="6"/>
      <c r="DH1357" s="6"/>
      <c r="DI1357" s="6"/>
      <c r="DJ1357" s="6"/>
      <c r="DK1357" s="6"/>
      <c r="DL1357" s="6"/>
      <c r="DM1357" s="6"/>
      <c r="DN1357" s="6"/>
      <c r="DO1357" s="6"/>
      <c r="DP1357" s="6"/>
      <c r="DQ1357" s="6"/>
      <c r="DR1357" s="6"/>
      <c r="DS1357" s="6"/>
      <c r="DT1357" s="6"/>
      <c r="DU1357" s="6"/>
      <c r="DV1357" s="6"/>
      <c r="DW1357" s="6"/>
      <c r="DX1357" s="6"/>
      <c r="DY1357" s="6"/>
      <c r="DZ1357" s="6"/>
      <c r="EA1357" s="6"/>
      <c r="EB1357" s="6"/>
      <c r="EC1357" s="6"/>
      <c r="ED1357" s="6"/>
      <c r="EE1357" s="6"/>
      <c r="EF1357" s="6"/>
      <c r="EG1357" s="6"/>
      <c r="EH1357" s="6"/>
      <c r="EI1357" s="6"/>
      <c r="EJ1357" s="6"/>
      <c r="EK1357" s="6"/>
      <c r="EL1357" s="6"/>
      <c r="EM1357" s="6"/>
      <c r="EN1357" s="6"/>
      <c r="EO1357" s="6"/>
      <c r="EP1357" s="6"/>
      <c r="EQ1357" s="6"/>
      <c r="ER1357" s="6"/>
      <c r="ES1357" s="6"/>
      <c r="ET1357" s="6"/>
      <c r="EU1357" s="6"/>
      <c r="EV1357" s="6"/>
      <c r="EW1357" s="6"/>
      <c r="EX1357" s="6"/>
      <c r="EY1357" s="6"/>
      <c r="EZ1357" s="6"/>
      <c r="FA1357" s="6"/>
      <c r="FB1357" s="6"/>
      <c r="FC1357" s="6"/>
      <c r="FD1357" s="6"/>
      <c r="FE1357" s="6"/>
      <c r="FF1357" s="6"/>
      <c r="FG1357" s="6"/>
      <c r="FH1357" s="6"/>
      <c r="FI1357" s="6"/>
      <c r="FJ1357" s="6"/>
      <c r="FK1357" s="6"/>
      <c r="FL1357" s="6"/>
      <c r="FM1357" s="6"/>
      <c r="FN1357" s="6"/>
      <c r="FO1357" s="6"/>
      <c r="FP1357" s="6"/>
      <c r="FQ1357" s="6"/>
      <c r="FR1357" s="6"/>
      <c r="FS1357" s="6"/>
      <c r="FT1357" s="6"/>
      <c r="FU1357" s="6"/>
      <c r="FV1357" s="6"/>
      <c r="FW1357" s="6"/>
      <c r="FX1357" s="6"/>
      <c r="FY1357" s="6"/>
      <c r="FZ1357" s="6"/>
      <c r="GA1357" s="6"/>
      <c r="GB1357" s="6"/>
      <c r="GC1357" s="6"/>
      <c r="GD1357" s="6"/>
      <c r="GE1357" s="6"/>
      <c r="GF1357" s="6"/>
      <c r="GG1357" s="6"/>
      <c r="GH1357" s="6"/>
      <c r="GI1357" s="6"/>
      <c r="GJ1357" s="6"/>
      <c r="GK1357" s="6"/>
      <c r="GL1357" s="6"/>
      <c r="GM1357" s="6"/>
      <c r="GN1357" s="6"/>
      <c r="GO1357" s="6"/>
      <c r="GP1357" s="6"/>
      <c r="GQ1357" s="6"/>
      <c r="GR1357" s="6"/>
      <c r="GS1357" s="6"/>
      <c r="GT1357" s="6"/>
      <c r="GU1357" s="6"/>
      <c r="GV1357" s="6"/>
      <c r="GW1357" s="6"/>
      <c r="GX1357" s="6"/>
      <c r="GY1357" s="6"/>
      <c r="GZ1357" s="6"/>
      <c r="HA1357" s="6"/>
      <c r="HB1357" s="6"/>
      <c r="HC1357" s="6"/>
      <c r="HD1357" s="6"/>
      <c r="HE1357" s="6"/>
      <c r="HF1357" s="6"/>
      <c r="HG1357" s="6"/>
      <c r="HH1357" s="6"/>
    </row>
    <row r="1358" spans="1:216" x14ac:dyDescent="0.3">
      <c r="A1358" s="8"/>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6"/>
      <c r="AR1358" s="6"/>
      <c r="AS1358" s="6"/>
      <c r="AT1358" s="6"/>
      <c r="AU1358" s="6"/>
      <c r="AV1358" s="6"/>
      <c r="AW1358" s="6"/>
      <c r="AX1358" s="6"/>
      <c r="AY1358" s="6"/>
      <c r="AZ1358" s="6"/>
      <c r="BA1358" s="6"/>
      <c r="BB1358" s="6"/>
      <c r="BC1358" s="6"/>
      <c r="BD1358" s="6"/>
      <c r="BE1358" s="6"/>
      <c r="BF1358" s="6"/>
      <c r="BG1358" s="6"/>
      <c r="BH1358" s="6"/>
      <c r="BI1358" s="6"/>
      <c r="BJ1358" s="6"/>
      <c r="BK1358" s="6"/>
      <c r="BL1358" s="6"/>
      <c r="BM1358" s="6"/>
      <c r="BN1358" s="6"/>
      <c r="BO1358" s="6"/>
      <c r="BP1358" s="6"/>
      <c r="BQ1358" s="6"/>
      <c r="BR1358" s="6"/>
      <c r="BS1358" s="6"/>
      <c r="BT1358" s="6"/>
      <c r="BU1358" s="6"/>
      <c r="BV1358" s="6"/>
      <c r="BW1358" s="6"/>
      <c r="BX1358" s="6"/>
      <c r="BY1358" s="6"/>
      <c r="BZ1358" s="6"/>
      <c r="CA1358" s="6"/>
      <c r="CB1358" s="6"/>
      <c r="CC1358" s="6"/>
      <c r="CD1358" s="6"/>
      <c r="CE1358" s="6"/>
      <c r="CF1358" s="6"/>
      <c r="CG1358" s="6"/>
      <c r="CH1358" s="6"/>
      <c r="CI1358" s="6"/>
      <c r="CJ1358" s="6"/>
      <c r="CK1358" s="6"/>
      <c r="CL1358" s="6"/>
      <c r="CM1358" s="6"/>
      <c r="CN1358" s="6"/>
      <c r="CO1358" s="6"/>
      <c r="CP1358" s="6"/>
      <c r="CQ1358" s="6"/>
      <c r="CR1358" s="6"/>
      <c r="CS1358" s="6"/>
      <c r="CT1358" s="6"/>
      <c r="CU1358" s="6"/>
      <c r="CV1358" s="6"/>
      <c r="CW1358" s="6"/>
      <c r="CX1358" s="6"/>
      <c r="CY1358" s="6"/>
      <c r="CZ1358" s="6"/>
      <c r="DA1358" s="6"/>
      <c r="DB1358" s="6"/>
      <c r="DC1358" s="6"/>
      <c r="DD1358" s="6"/>
      <c r="DE1358" s="6"/>
      <c r="DF1358" s="6"/>
      <c r="DG1358" s="6"/>
      <c r="DH1358" s="6"/>
      <c r="DI1358" s="6"/>
      <c r="DJ1358" s="6"/>
      <c r="DK1358" s="6"/>
      <c r="DL1358" s="6"/>
      <c r="DM1358" s="6"/>
      <c r="DN1358" s="6"/>
      <c r="DO1358" s="6"/>
      <c r="DP1358" s="6"/>
      <c r="DQ1358" s="6"/>
      <c r="DR1358" s="6"/>
      <c r="DS1358" s="6"/>
      <c r="DT1358" s="6"/>
      <c r="DU1358" s="6"/>
      <c r="DV1358" s="6"/>
      <c r="DW1358" s="6"/>
      <c r="DX1358" s="6"/>
      <c r="DY1358" s="6"/>
      <c r="DZ1358" s="6"/>
      <c r="EA1358" s="6"/>
      <c r="EB1358" s="6"/>
      <c r="EC1358" s="6"/>
      <c r="ED1358" s="6"/>
      <c r="EE1358" s="6"/>
      <c r="EF1358" s="6"/>
      <c r="EG1358" s="6"/>
      <c r="EH1358" s="6"/>
      <c r="EI1358" s="6"/>
      <c r="EJ1358" s="6"/>
      <c r="EK1358" s="6"/>
      <c r="EL1358" s="6"/>
      <c r="EM1358" s="6"/>
      <c r="EN1358" s="6"/>
      <c r="EO1358" s="6"/>
      <c r="EP1358" s="6"/>
      <c r="EQ1358" s="6"/>
      <c r="ER1358" s="6"/>
      <c r="ES1358" s="6"/>
      <c r="ET1358" s="6"/>
      <c r="EU1358" s="6"/>
      <c r="EV1358" s="6"/>
      <c r="EW1358" s="6"/>
      <c r="EX1358" s="6"/>
      <c r="EY1358" s="6"/>
      <c r="EZ1358" s="6"/>
      <c r="FA1358" s="6"/>
      <c r="FB1358" s="6"/>
      <c r="FC1358" s="6"/>
      <c r="FD1358" s="6"/>
      <c r="FE1358" s="6"/>
      <c r="FF1358" s="6"/>
      <c r="FG1358" s="6"/>
      <c r="FH1358" s="6"/>
      <c r="FI1358" s="6"/>
      <c r="FJ1358" s="6"/>
      <c r="FK1358" s="6"/>
      <c r="FL1358" s="6"/>
      <c r="FM1358" s="6"/>
      <c r="FN1358" s="6"/>
      <c r="FO1358" s="6"/>
      <c r="FP1358" s="6"/>
      <c r="FQ1358" s="6"/>
      <c r="FR1358" s="6"/>
      <c r="FS1358" s="6"/>
      <c r="FT1358" s="6"/>
      <c r="FU1358" s="6"/>
      <c r="FV1358" s="6"/>
      <c r="FW1358" s="6"/>
      <c r="FX1358" s="6"/>
      <c r="FY1358" s="6"/>
      <c r="FZ1358" s="6"/>
      <c r="GA1358" s="6"/>
      <c r="GB1358" s="6"/>
      <c r="GC1358" s="6"/>
      <c r="GD1358" s="6"/>
      <c r="GE1358" s="6"/>
      <c r="GF1358" s="6"/>
      <c r="GG1358" s="6"/>
      <c r="GH1358" s="6"/>
      <c r="GI1358" s="6"/>
      <c r="GJ1358" s="6"/>
      <c r="GK1358" s="6"/>
      <c r="GL1358" s="6"/>
      <c r="GM1358" s="6"/>
      <c r="GN1358" s="6"/>
      <c r="GO1358" s="6"/>
      <c r="GP1358" s="6"/>
      <c r="GQ1358" s="6"/>
      <c r="GR1358" s="6"/>
      <c r="GS1358" s="6"/>
      <c r="GT1358" s="6"/>
      <c r="GU1358" s="6"/>
      <c r="GV1358" s="6"/>
      <c r="GW1358" s="6"/>
      <c r="GX1358" s="6"/>
      <c r="GY1358" s="6"/>
      <c r="GZ1358" s="6"/>
      <c r="HA1358" s="6"/>
      <c r="HB1358" s="6"/>
      <c r="HC1358" s="6"/>
      <c r="HD1358" s="6"/>
      <c r="HE1358" s="6"/>
      <c r="HF1358" s="6"/>
      <c r="HG1358" s="6"/>
      <c r="HH1358" s="6"/>
    </row>
    <row r="1359" spans="1:216" x14ac:dyDescent="0.3">
      <c r="A1359" s="8"/>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6"/>
      <c r="BF1359" s="6"/>
      <c r="BG1359" s="6"/>
      <c r="BH1359" s="6"/>
      <c r="BI1359" s="6"/>
      <c r="BJ1359" s="6"/>
      <c r="BK1359" s="6"/>
      <c r="BL1359" s="6"/>
      <c r="BM1359" s="6"/>
      <c r="BN1359" s="6"/>
      <c r="BO1359" s="6"/>
      <c r="BP1359" s="6"/>
      <c r="BQ1359" s="6"/>
      <c r="BR1359" s="6"/>
      <c r="BS1359" s="6"/>
      <c r="BT1359" s="6"/>
      <c r="BU1359" s="6"/>
      <c r="BV1359" s="6"/>
      <c r="BW1359" s="6"/>
      <c r="BX1359" s="6"/>
      <c r="BY1359" s="6"/>
      <c r="BZ1359" s="6"/>
      <c r="CA1359" s="6"/>
      <c r="CB1359" s="6"/>
      <c r="CC1359" s="6"/>
      <c r="CD1359" s="6"/>
      <c r="CE1359" s="6"/>
      <c r="CF1359" s="6"/>
      <c r="CG1359" s="6"/>
      <c r="CH1359" s="6"/>
      <c r="CI1359" s="6"/>
      <c r="CJ1359" s="6"/>
      <c r="CK1359" s="6"/>
      <c r="CL1359" s="6"/>
      <c r="CM1359" s="6"/>
      <c r="CN1359" s="6"/>
      <c r="CO1359" s="6"/>
      <c r="CP1359" s="6"/>
      <c r="CQ1359" s="6"/>
      <c r="CR1359" s="6"/>
      <c r="CS1359" s="6"/>
      <c r="CT1359" s="6"/>
      <c r="CU1359" s="6"/>
      <c r="CV1359" s="6"/>
      <c r="CW1359" s="6"/>
      <c r="CX1359" s="6"/>
      <c r="CY1359" s="6"/>
      <c r="CZ1359" s="6"/>
      <c r="DA1359" s="6"/>
      <c r="DB1359" s="6"/>
      <c r="DC1359" s="6"/>
      <c r="DD1359" s="6"/>
      <c r="DE1359" s="6"/>
      <c r="DF1359" s="6"/>
      <c r="DG1359" s="6"/>
      <c r="DH1359" s="6"/>
      <c r="DI1359" s="6"/>
      <c r="DJ1359" s="6"/>
      <c r="DK1359" s="6"/>
      <c r="DL1359" s="6"/>
      <c r="DM1359" s="6"/>
      <c r="DN1359" s="6"/>
      <c r="DO1359" s="6"/>
      <c r="DP1359" s="6"/>
      <c r="DQ1359" s="6"/>
      <c r="DR1359" s="6"/>
      <c r="DS1359" s="6"/>
      <c r="DT1359" s="6"/>
      <c r="DU1359" s="6"/>
      <c r="DV1359" s="6"/>
      <c r="DW1359" s="6"/>
      <c r="DX1359" s="6"/>
      <c r="DY1359" s="6"/>
      <c r="DZ1359" s="6"/>
      <c r="EA1359" s="6"/>
      <c r="EB1359" s="6"/>
      <c r="EC1359" s="6"/>
      <c r="ED1359" s="6"/>
      <c r="EE1359" s="6"/>
      <c r="EF1359" s="6"/>
      <c r="EG1359" s="6"/>
      <c r="EH1359" s="6"/>
      <c r="EI1359" s="6"/>
      <c r="EJ1359" s="6"/>
      <c r="EK1359" s="6"/>
      <c r="EL1359" s="6"/>
      <c r="EM1359" s="6"/>
      <c r="EN1359" s="6"/>
      <c r="EO1359" s="6"/>
      <c r="EP1359" s="6"/>
      <c r="EQ1359" s="6"/>
      <c r="ER1359" s="6"/>
      <c r="ES1359" s="6"/>
      <c r="ET1359" s="6"/>
      <c r="EU1359" s="6"/>
      <c r="EV1359" s="6"/>
      <c r="EW1359" s="6"/>
      <c r="EX1359" s="6"/>
      <c r="EY1359" s="6"/>
      <c r="EZ1359" s="6"/>
      <c r="FA1359" s="6"/>
      <c r="FB1359" s="6"/>
      <c r="FC1359" s="6"/>
      <c r="FD1359" s="6"/>
      <c r="FE1359" s="6"/>
      <c r="FF1359" s="6"/>
      <c r="FG1359" s="6"/>
      <c r="FH1359" s="6"/>
      <c r="FI1359" s="6"/>
      <c r="FJ1359" s="6"/>
      <c r="FK1359" s="6"/>
      <c r="FL1359" s="6"/>
      <c r="FM1359" s="6"/>
      <c r="FN1359" s="6"/>
      <c r="FO1359" s="6"/>
      <c r="FP1359" s="6"/>
      <c r="FQ1359" s="6"/>
      <c r="FR1359" s="6"/>
      <c r="FS1359" s="6"/>
      <c r="FT1359" s="6"/>
      <c r="FU1359" s="6"/>
      <c r="FV1359" s="6"/>
      <c r="FW1359" s="6"/>
      <c r="FX1359" s="6"/>
      <c r="FY1359" s="6"/>
      <c r="FZ1359" s="6"/>
      <c r="GA1359" s="6"/>
      <c r="GB1359" s="6"/>
      <c r="GC1359" s="6"/>
      <c r="GD1359" s="6"/>
      <c r="GE1359" s="6"/>
      <c r="GF1359" s="6"/>
      <c r="GG1359" s="6"/>
      <c r="GH1359" s="6"/>
      <c r="GI1359" s="6"/>
      <c r="GJ1359" s="6"/>
      <c r="GK1359" s="6"/>
      <c r="GL1359" s="6"/>
      <c r="GM1359" s="6"/>
      <c r="GN1359" s="6"/>
      <c r="GO1359" s="6"/>
      <c r="GP1359" s="6"/>
      <c r="GQ1359" s="6"/>
      <c r="GR1359" s="6"/>
      <c r="GS1359" s="6"/>
      <c r="GT1359" s="6"/>
      <c r="GU1359" s="6"/>
      <c r="GV1359" s="6"/>
      <c r="GW1359" s="6"/>
      <c r="GX1359" s="6"/>
      <c r="GY1359" s="6"/>
      <c r="GZ1359" s="6"/>
      <c r="HA1359" s="6"/>
      <c r="HB1359" s="6"/>
      <c r="HC1359" s="6"/>
      <c r="HD1359" s="6"/>
      <c r="HE1359" s="6"/>
      <c r="HF1359" s="6"/>
      <c r="HG1359" s="6"/>
      <c r="HH1359" s="6"/>
    </row>
    <row r="1360" spans="1:216" x14ac:dyDescent="0.3">
      <c r="A1360" s="8"/>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6"/>
      <c r="AR1360" s="6"/>
      <c r="AS1360" s="6"/>
      <c r="AT1360" s="6"/>
      <c r="AU1360" s="6"/>
      <c r="AV1360" s="6"/>
      <c r="AW1360" s="6"/>
      <c r="AX1360" s="6"/>
      <c r="AY1360" s="6"/>
      <c r="AZ1360" s="6"/>
      <c r="BA1360" s="6"/>
      <c r="BB1360" s="6"/>
      <c r="BC1360" s="6"/>
      <c r="BD1360" s="6"/>
      <c r="BE1360" s="6"/>
      <c r="BF1360" s="6"/>
      <c r="BG1360" s="6"/>
      <c r="BH1360" s="6"/>
      <c r="BI1360" s="6"/>
      <c r="BJ1360" s="6"/>
      <c r="BK1360" s="6"/>
      <c r="BL1360" s="6"/>
      <c r="BM1360" s="6"/>
      <c r="BN1360" s="6"/>
      <c r="BO1360" s="6"/>
      <c r="BP1360" s="6"/>
      <c r="BQ1360" s="6"/>
      <c r="BR1360" s="6"/>
      <c r="BS1360" s="6"/>
      <c r="BT1360" s="6"/>
      <c r="BU1360" s="6"/>
      <c r="BV1360" s="6"/>
      <c r="BW1360" s="6"/>
      <c r="BX1360" s="6"/>
      <c r="BY1360" s="6"/>
      <c r="BZ1360" s="6"/>
      <c r="CA1360" s="6"/>
      <c r="CB1360" s="6"/>
      <c r="CC1360" s="6"/>
      <c r="CD1360" s="6"/>
      <c r="CE1360" s="6"/>
      <c r="CF1360" s="6"/>
      <c r="CG1360" s="6"/>
      <c r="CH1360" s="6"/>
      <c r="CI1360" s="6"/>
      <c r="CJ1360" s="6"/>
      <c r="CK1360" s="6"/>
      <c r="CL1360" s="6"/>
      <c r="CM1360" s="6"/>
      <c r="CN1360" s="6"/>
      <c r="CO1360" s="6"/>
      <c r="CP1360" s="6"/>
      <c r="CQ1360" s="6"/>
      <c r="CR1360" s="6"/>
      <c r="CS1360" s="6"/>
      <c r="CT1360" s="6"/>
      <c r="CU1360" s="6"/>
      <c r="CV1360" s="6"/>
      <c r="CW1360" s="6"/>
      <c r="CX1360" s="6"/>
      <c r="CY1360" s="6"/>
      <c r="CZ1360" s="6"/>
      <c r="DA1360" s="6"/>
      <c r="DB1360" s="6"/>
      <c r="DC1360" s="6"/>
      <c r="DD1360" s="6"/>
      <c r="DE1360" s="6"/>
      <c r="DF1360" s="6"/>
      <c r="DG1360" s="6"/>
      <c r="DH1360" s="6"/>
      <c r="DI1360" s="6"/>
      <c r="DJ1360" s="6"/>
      <c r="DK1360" s="6"/>
      <c r="DL1360" s="6"/>
      <c r="DM1360" s="6"/>
      <c r="DN1360" s="6"/>
      <c r="DO1360" s="6"/>
      <c r="DP1360" s="6"/>
      <c r="DQ1360" s="6"/>
      <c r="DR1360" s="6"/>
      <c r="DS1360" s="6"/>
      <c r="DT1360" s="6"/>
      <c r="DU1360" s="6"/>
      <c r="DV1360" s="6"/>
      <c r="DW1360" s="6"/>
      <c r="DX1360" s="6"/>
      <c r="DY1360" s="6"/>
      <c r="DZ1360" s="6"/>
      <c r="EA1360" s="6"/>
      <c r="EB1360" s="6"/>
      <c r="EC1360" s="6"/>
      <c r="ED1360" s="6"/>
      <c r="EE1360" s="6"/>
      <c r="EF1360" s="6"/>
      <c r="EG1360" s="6"/>
      <c r="EH1360" s="6"/>
      <c r="EI1360" s="6"/>
      <c r="EJ1360" s="6"/>
      <c r="EK1360" s="6"/>
      <c r="EL1360" s="6"/>
      <c r="EM1360" s="6"/>
      <c r="EN1360" s="6"/>
      <c r="EO1360" s="6"/>
      <c r="EP1360" s="6"/>
      <c r="EQ1360" s="6"/>
      <c r="ER1360" s="6"/>
      <c r="ES1360" s="6"/>
      <c r="ET1360" s="6"/>
      <c r="EU1360" s="6"/>
      <c r="EV1360" s="6"/>
      <c r="EW1360" s="6"/>
      <c r="EX1360" s="6"/>
      <c r="EY1360" s="6"/>
      <c r="EZ1360" s="6"/>
      <c r="FA1360" s="6"/>
      <c r="FB1360" s="6"/>
      <c r="FC1360" s="6"/>
      <c r="FD1360" s="6"/>
      <c r="FE1360" s="6"/>
      <c r="FF1360" s="6"/>
      <c r="FG1360" s="6"/>
      <c r="FH1360" s="6"/>
      <c r="FI1360" s="6"/>
      <c r="FJ1360" s="6"/>
      <c r="FK1360" s="6"/>
      <c r="FL1360" s="6"/>
      <c r="FM1360" s="6"/>
      <c r="FN1360" s="6"/>
      <c r="FO1360" s="6"/>
      <c r="FP1360" s="6"/>
      <c r="FQ1360" s="6"/>
      <c r="FR1360" s="6"/>
      <c r="FS1360" s="6"/>
      <c r="FT1360" s="6"/>
      <c r="FU1360" s="6"/>
      <c r="FV1360" s="6"/>
      <c r="FW1360" s="6"/>
      <c r="FX1360" s="6"/>
      <c r="FY1360" s="6"/>
      <c r="FZ1360" s="6"/>
      <c r="GA1360" s="6"/>
      <c r="GB1360" s="6"/>
      <c r="GC1360" s="6"/>
      <c r="GD1360" s="6"/>
      <c r="GE1360" s="6"/>
      <c r="GF1360" s="6"/>
      <c r="GG1360" s="6"/>
      <c r="GH1360" s="6"/>
      <c r="GI1360" s="6"/>
      <c r="GJ1360" s="6"/>
      <c r="GK1360" s="6"/>
      <c r="GL1360" s="6"/>
      <c r="GM1360" s="6"/>
      <c r="GN1360" s="6"/>
      <c r="GO1360" s="6"/>
      <c r="GP1360" s="6"/>
      <c r="GQ1360" s="6"/>
      <c r="GR1360" s="6"/>
      <c r="GS1360" s="6"/>
      <c r="GT1360" s="6"/>
      <c r="GU1360" s="6"/>
      <c r="GV1360" s="6"/>
      <c r="GW1360" s="6"/>
      <c r="GX1360" s="6"/>
      <c r="GY1360" s="6"/>
      <c r="GZ1360" s="6"/>
      <c r="HA1360" s="6"/>
      <c r="HB1360" s="6"/>
      <c r="HC1360" s="6"/>
      <c r="HD1360" s="6"/>
      <c r="HE1360" s="6"/>
      <c r="HF1360" s="6"/>
      <c r="HG1360" s="6"/>
      <c r="HH1360" s="6"/>
    </row>
    <row r="1361" spans="1:216" x14ac:dyDescent="0.3">
      <c r="A1361" s="8"/>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6"/>
      <c r="AR1361" s="6"/>
      <c r="AS1361" s="6"/>
      <c r="AT1361" s="6"/>
      <c r="AU1361" s="6"/>
      <c r="AV1361" s="6"/>
      <c r="AW1361" s="6"/>
      <c r="AX1361" s="6"/>
      <c r="AY1361" s="6"/>
      <c r="AZ1361" s="6"/>
      <c r="BA1361" s="6"/>
      <c r="BB1361" s="6"/>
      <c r="BC1361" s="6"/>
      <c r="BD1361" s="6"/>
      <c r="BE1361" s="6"/>
      <c r="BF1361" s="6"/>
      <c r="BG1361" s="6"/>
      <c r="BH1361" s="6"/>
      <c r="BI1361" s="6"/>
      <c r="BJ1361" s="6"/>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6"/>
      <c r="CL1361" s="6"/>
      <c r="CM1361" s="6"/>
      <c r="CN1361" s="6"/>
      <c r="CO1361" s="6"/>
      <c r="CP1361" s="6"/>
      <c r="CQ1361" s="6"/>
      <c r="CR1361" s="6"/>
      <c r="CS1361" s="6"/>
      <c r="CT1361" s="6"/>
      <c r="CU1361" s="6"/>
      <c r="CV1361" s="6"/>
      <c r="CW1361" s="6"/>
      <c r="CX1361" s="6"/>
      <c r="CY1361" s="6"/>
      <c r="CZ1361" s="6"/>
      <c r="DA1361" s="6"/>
      <c r="DB1361" s="6"/>
      <c r="DC1361" s="6"/>
      <c r="DD1361" s="6"/>
      <c r="DE1361" s="6"/>
      <c r="DF1361" s="6"/>
      <c r="DG1361" s="6"/>
      <c r="DH1361" s="6"/>
      <c r="DI1361" s="6"/>
      <c r="DJ1361" s="6"/>
      <c r="DK1361" s="6"/>
      <c r="DL1361" s="6"/>
      <c r="DM1361" s="6"/>
      <c r="DN1361" s="6"/>
      <c r="DO1361" s="6"/>
      <c r="DP1361" s="6"/>
      <c r="DQ1361" s="6"/>
      <c r="DR1361" s="6"/>
      <c r="DS1361" s="6"/>
      <c r="DT1361" s="6"/>
      <c r="DU1361" s="6"/>
      <c r="DV1361" s="6"/>
      <c r="DW1361" s="6"/>
      <c r="DX1361" s="6"/>
      <c r="DY1361" s="6"/>
      <c r="DZ1361" s="6"/>
      <c r="EA1361" s="6"/>
      <c r="EB1361" s="6"/>
      <c r="EC1361" s="6"/>
      <c r="ED1361" s="6"/>
      <c r="EE1361" s="6"/>
      <c r="EF1361" s="6"/>
      <c r="EG1361" s="6"/>
      <c r="EH1361" s="6"/>
      <c r="EI1361" s="6"/>
      <c r="EJ1361" s="6"/>
      <c r="EK1361" s="6"/>
      <c r="EL1361" s="6"/>
      <c r="EM1361" s="6"/>
      <c r="EN1361" s="6"/>
      <c r="EO1361" s="6"/>
      <c r="EP1361" s="6"/>
      <c r="EQ1361" s="6"/>
      <c r="ER1361" s="6"/>
      <c r="ES1361" s="6"/>
      <c r="ET1361" s="6"/>
      <c r="EU1361" s="6"/>
      <c r="EV1361" s="6"/>
      <c r="EW1361" s="6"/>
      <c r="EX1361" s="6"/>
      <c r="EY1361" s="6"/>
      <c r="EZ1361" s="6"/>
      <c r="FA1361" s="6"/>
      <c r="FB1361" s="6"/>
      <c r="FC1361" s="6"/>
      <c r="FD1361" s="6"/>
      <c r="FE1361" s="6"/>
      <c r="FF1361" s="6"/>
      <c r="FG1361" s="6"/>
      <c r="FH1361" s="6"/>
      <c r="FI1361" s="6"/>
      <c r="FJ1361" s="6"/>
      <c r="FK1361" s="6"/>
      <c r="FL1361" s="6"/>
      <c r="FM1361" s="6"/>
      <c r="FN1361" s="6"/>
      <c r="FO1361" s="6"/>
      <c r="FP1361" s="6"/>
      <c r="FQ1361" s="6"/>
      <c r="FR1361" s="6"/>
      <c r="FS1361" s="6"/>
      <c r="FT1361" s="6"/>
      <c r="FU1361" s="6"/>
      <c r="FV1361" s="6"/>
      <c r="FW1361" s="6"/>
      <c r="FX1361" s="6"/>
      <c r="FY1361" s="6"/>
      <c r="FZ1361" s="6"/>
      <c r="GA1361" s="6"/>
      <c r="GB1361" s="6"/>
      <c r="GC1361" s="6"/>
      <c r="GD1361" s="6"/>
      <c r="GE1361" s="6"/>
      <c r="GF1361" s="6"/>
      <c r="GG1361" s="6"/>
      <c r="GH1361" s="6"/>
      <c r="GI1361" s="6"/>
      <c r="GJ1361" s="6"/>
      <c r="GK1361" s="6"/>
      <c r="GL1361" s="6"/>
      <c r="GM1361" s="6"/>
      <c r="GN1361" s="6"/>
      <c r="GO1361" s="6"/>
      <c r="GP1361" s="6"/>
      <c r="GQ1361" s="6"/>
      <c r="GR1361" s="6"/>
      <c r="GS1361" s="6"/>
      <c r="GT1361" s="6"/>
      <c r="GU1361" s="6"/>
      <c r="GV1361" s="6"/>
      <c r="GW1361" s="6"/>
      <c r="GX1361" s="6"/>
      <c r="GY1361" s="6"/>
      <c r="GZ1361" s="6"/>
      <c r="HA1361" s="6"/>
      <c r="HB1361" s="6"/>
      <c r="HC1361" s="6"/>
      <c r="HD1361" s="6"/>
      <c r="HE1361" s="6"/>
      <c r="HF1361" s="6"/>
      <c r="HG1361" s="6"/>
      <c r="HH1361" s="6"/>
    </row>
    <row r="1362" spans="1:216" x14ac:dyDescent="0.3">
      <c r="A1362" s="8"/>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6"/>
      <c r="AR1362" s="6"/>
      <c r="AS1362" s="6"/>
      <c r="AT1362" s="6"/>
      <c r="AU1362" s="6"/>
      <c r="AV1362" s="6"/>
      <c r="AW1362" s="6"/>
      <c r="AX1362" s="6"/>
      <c r="AY1362" s="6"/>
      <c r="AZ1362" s="6"/>
      <c r="BA1362" s="6"/>
      <c r="BB1362" s="6"/>
      <c r="BC1362" s="6"/>
      <c r="BD1362" s="6"/>
      <c r="BE1362" s="6"/>
      <c r="BF1362" s="6"/>
      <c r="BG1362" s="6"/>
      <c r="BH1362" s="6"/>
      <c r="BI1362" s="6"/>
      <c r="BJ1362" s="6"/>
      <c r="BK1362" s="6"/>
      <c r="BL1362" s="6"/>
      <c r="BM1362" s="6"/>
      <c r="BN1362" s="6"/>
      <c r="BO1362" s="6"/>
      <c r="BP1362" s="6"/>
      <c r="BQ1362" s="6"/>
      <c r="BR1362" s="6"/>
      <c r="BS1362" s="6"/>
      <c r="BT1362" s="6"/>
      <c r="BU1362" s="6"/>
      <c r="BV1362" s="6"/>
      <c r="BW1362" s="6"/>
      <c r="BX1362" s="6"/>
      <c r="BY1362" s="6"/>
      <c r="BZ1362" s="6"/>
      <c r="CA1362" s="6"/>
      <c r="CB1362" s="6"/>
      <c r="CC1362" s="6"/>
      <c r="CD1362" s="6"/>
      <c r="CE1362" s="6"/>
      <c r="CF1362" s="6"/>
      <c r="CG1362" s="6"/>
      <c r="CH1362" s="6"/>
      <c r="CI1362" s="6"/>
      <c r="CJ1362" s="6"/>
      <c r="CK1362" s="6"/>
      <c r="CL1362" s="6"/>
      <c r="CM1362" s="6"/>
      <c r="CN1362" s="6"/>
      <c r="CO1362" s="6"/>
      <c r="CP1362" s="6"/>
      <c r="CQ1362" s="6"/>
      <c r="CR1362" s="6"/>
      <c r="CS1362" s="6"/>
      <c r="CT1362" s="6"/>
      <c r="CU1362" s="6"/>
      <c r="CV1362" s="6"/>
      <c r="CW1362" s="6"/>
      <c r="CX1362" s="6"/>
      <c r="CY1362" s="6"/>
      <c r="CZ1362" s="6"/>
      <c r="DA1362" s="6"/>
      <c r="DB1362" s="6"/>
      <c r="DC1362" s="6"/>
      <c r="DD1362" s="6"/>
      <c r="DE1362" s="6"/>
      <c r="DF1362" s="6"/>
      <c r="DG1362" s="6"/>
      <c r="DH1362" s="6"/>
      <c r="DI1362" s="6"/>
      <c r="DJ1362" s="6"/>
      <c r="DK1362" s="6"/>
      <c r="DL1362" s="6"/>
      <c r="DM1362" s="6"/>
      <c r="DN1362" s="6"/>
      <c r="DO1362" s="6"/>
      <c r="DP1362" s="6"/>
      <c r="DQ1362" s="6"/>
      <c r="DR1362" s="6"/>
      <c r="DS1362" s="6"/>
      <c r="DT1362" s="6"/>
      <c r="DU1362" s="6"/>
      <c r="DV1362" s="6"/>
      <c r="DW1362" s="6"/>
      <c r="DX1362" s="6"/>
      <c r="DY1362" s="6"/>
      <c r="DZ1362" s="6"/>
      <c r="EA1362" s="6"/>
      <c r="EB1362" s="6"/>
      <c r="EC1362" s="6"/>
      <c r="ED1362" s="6"/>
      <c r="EE1362" s="6"/>
      <c r="EF1362" s="6"/>
      <c r="EG1362" s="6"/>
      <c r="EH1362" s="6"/>
      <c r="EI1362" s="6"/>
      <c r="EJ1362" s="6"/>
      <c r="EK1362" s="6"/>
      <c r="EL1362" s="6"/>
      <c r="EM1362" s="6"/>
      <c r="EN1362" s="6"/>
      <c r="EO1362" s="6"/>
      <c r="EP1362" s="6"/>
      <c r="EQ1362" s="6"/>
      <c r="ER1362" s="6"/>
      <c r="ES1362" s="6"/>
      <c r="ET1362" s="6"/>
      <c r="EU1362" s="6"/>
      <c r="EV1362" s="6"/>
      <c r="EW1362" s="6"/>
      <c r="EX1362" s="6"/>
      <c r="EY1362" s="6"/>
      <c r="EZ1362" s="6"/>
      <c r="FA1362" s="6"/>
      <c r="FB1362" s="6"/>
      <c r="FC1362" s="6"/>
      <c r="FD1362" s="6"/>
      <c r="FE1362" s="6"/>
      <c r="FF1362" s="6"/>
      <c r="FG1362" s="6"/>
      <c r="FH1362" s="6"/>
      <c r="FI1362" s="6"/>
      <c r="FJ1362" s="6"/>
      <c r="FK1362" s="6"/>
      <c r="FL1362" s="6"/>
      <c r="FM1362" s="6"/>
      <c r="FN1362" s="6"/>
      <c r="FO1362" s="6"/>
      <c r="FP1362" s="6"/>
      <c r="FQ1362" s="6"/>
      <c r="FR1362" s="6"/>
      <c r="FS1362" s="6"/>
      <c r="FT1362" s="6"/>
      <c r="FU1362" s="6"/>
      <c r="FV1362" s="6"/>
      <c r="FW1362" s="6"/>
      <c r="FX1362" s="6"/>
      <c r="FY1362" s="6"/>
      <c r="FZ1362" s="6"/>
      <c r="GA1362" s="6"/>
      <c r="GB1362" s="6"/>
      <c r="GC1362" s="6"/>
      <c r="GD1362" s="6"/>
      <c r="GE1362" s="6"/>
      <c r="GF1362" s="6"/>
      <c r="GG1362" s="6"/>
      <c r="GH1362" s="6"/>
      <c r="GI1362" s="6"/>
      <c r="GJ1362" s="6"/>
      <c r="GK1362" s="6"/>
      <c r="GL1362" s="6"/>
      <c r="GM1362" s="6"/>
      <c r="GN1362" s="6"/>
      <c r="GO1362" s="6"/>
      <c r="GP1362" s="6"/>
      <c r="GQ1362" s="6"/>
      <c r="GR1362" s="6"/>
      <c r="GS1362" s="6"/>
      <c r="GT1362" s="6"/>
      <c r="GU1362" s="6"/>
      <c r="GV1362" s="6"/>
      <c r="GW1362" s="6"/>
      <c r="GX1362" s="6"/>
      <c r="GY1362" s="6"/>
      <c r="GZ1362" s="6"/>
      <c r="HA1362" s="6"/>
      <c r="HB1362" s="6"/>
      <c r="HC1362" s="6"/>
      <c r="HD1362" s="6"/>
      <c r="HE1362" s="6"/>
      <c r="HF1362" s="6"/>
      <c r="HG1362" s="6"/>
      <c r="HH1362" s="6"/>
    </row>
    <row r="1363" spans="1:216" x14ac:dyDescent="0.3">
      <c r="A1363" s="8"/>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6"/>
      <c r="AR1363" s="6"/>
      <c r="AS1363" s="6"/>
      <c r="AT1363" s="6"/>
      <c r="AU1363" s="6"/>
      <c r="AV1363" s="6"/>
      <c r="AW1363" s="6"/>
      <c r="AX1363" s="6"/>
      <c r="AY1363" s="6"/>
      <c r="AZ1363" s="6"/>
      <c r="BA1363" s="6"/>
      <c r="BB1363" s="6"/>
      <c r="BC1363" s="6"/>
      <c r="BD1363" s="6"/>
      <c r="BE1363" s="6"/>
      <c r="BF1363" s="6"/>
      <c r="BG1363" s="6"/>
      <c r="BH1363" s="6"/>
      <c r="BI1363" s="6"/>
      <c r="BJ1363" s="6"/>
      <c r="BK1363" s="6"/>
      <c r="BL1363" s="6"/>
      <c r="BM1363" s="6"/>
      <c r="BN1363" s="6"/>
      <c r="BO1363" s="6"/>
      <c r="BP1363" s="6"/>
      <c r="BQ1363" s="6"/>
      <c r="BR1363" s="6"/>
      <c r="BS1363" s="6"/>
      <c r="BT1363" s="6"/>
      <c r="BU1363" s="6"/>
      <c r="BV1363" s="6"/>
      <c r="BW1363" s="6"/>
      <c r="BX1363" s="6"/>
      <c r="BY1363" s="6"/>
      <c r="BZ1363" s="6"/>
      <c r="CA1363" s="6"/>
      <c r="CB1363" s="6"/>
      <c r="CC1363" s="6"/>
      <c r="CD1363" s="6"/>
      <c r="CE1363" s="6"/>
      <c r="CF1363" s="6"/>
      <c r="CG1363" s="6"/>
      <c r="CH1363" s="6"/>
      <c r="CI1363" s="6"/>
      <c r="CJ1363" s="6"/>
      <c r="CK1363" s="6"/>
      <c r="CL1363" s="6"/>
      <c r="CM1363" s="6"/>
      <c r="CN1363" s="6"/>
      <c r="CO1363" s="6"/>
      <c r="CP1363" s="6"/>
      <c r="CQ1363" s="6"/>
      <c r="CR1363" s="6"/>
      <c r="CS1363" s="6"/>
      <c r="CT1363" s="6"/>
      <c r="CU1363" s="6"/>
      <c r="CV1363" s="6"/>
      <c r="CW1363" s="6"/>
      <c r="CX1363" s="6"/>
      <c r="CY1363" s="6"/>
      <c r="CZ1363" s="6"/>
      <c r="DA1363" s="6"/>
      <c r="DB1363" s="6"/>
      <c r="DC1363" s="6"/>
      <c r="DD1363" s="6"/>
      <c r="DE1363" s="6"/>
      <c r="DF1363" s="6"/>
      <c r="DG1363" s="6"/>
      <c r="DH1363" s="6"/>
      <c r="DI1363" s="6"/>
      <c r="DJ1363" s="6"/>
      <c r="DK1363" s="6"/>
      <c r="DL1363" s="6"/>
      <c r="DM1363" s="6"/>
      <c r="DN1363" s="6"/>
      <c r="DO1363" s="6"/>
      <c r="DP1363" s="6"/>
      <c r="DQ1363" s="6"/>
      <c r="DR1363" s="6"/>
      <c r="DS1363" s="6"/>
      <c r="DT1363" s="6"/>
      <c r="DU1363" s="6"/>
      <c r="DV1363" s="6"/>
      <c r="DW1363" s="6"/>
      <c r="DX1363" s="6"/>
      <c r="DY1363" s="6"/>
      <c r="DZ1363" s="6"/>
      <c r="EA1363" s="6"/>
      <c r="EB1363" s="6"/>
      <c r="EC1363" s="6"/>
      <c r="ED1363" s="6"/>
      <c r="EE1363" s="6"/>
      <c r="EF1363" s="6"/>
      <c r="EG1363" s="6"/>
      <c r="EH1363" s="6"/>
      <c r="EI1363" s="6"/>
      <c r="EJ1363" s="6"/>
      <c r="EK1363" s="6"/>
      <c r="EL1363" s="6"/>
      <c r="EM1363" s="6"/>
      <c r="EN1363" s="6"/>
      <c r="EO1363" s="6"/>
      <c r="EP1363" s="6"/>
      <c r="EQ1363" s="6"/>
      <c r="ER1363" s="6"/>
      <c r="ES1363" s="6"/>
      <c r="ET1363" s="6"/>
      <c r="EU1363" s="6"/>
      <c r="EV1363" s="6"/>
      <c r="EW1363" s="6"/>
      <c r="EX1363" s="6"/>
      <c r="EY1363" s="6"/>
      <c r="EZ1363" s="6"/>
      <c r="FA1363" s="6"/>
      <c r="FB1363" s="6"/>
      <c r="FC1363" s="6"/>
      <c r="FD1363" s="6"/>
      <c r="FE1363" s="6"/>
      <c r="FF1363" s="6"/>
      <c r="FG1363" s="6"/>
      <c r="FH1363" s="6"/>
      <c r="FI1363" s="6"/>
      <c r="FJ1363" s="6"/>
      <c r="FK1363" s="6"/>
      <c r="FL1363" s="6"/>
      <c r="FM1363" s="6"/>
      <c r="FN1363" s="6"/>
      <c r="FO1363" s="6"/>
      <c r="FP1363" s="6"/>
      <c r="FQ1363" s="6"/>
      <c r="FR1363" s="6"/>
      <c r="FS1363" s="6"/>
      <c r="FT1363" s="6"/>
      <c r="FU1363" s="6"/>
      <c r="FV1363" s="6"/>
      <c r="FW1363" s="6"/>
      <c r="FX1363" s="6"/>
      <c r="FY1363" s="6"/>
      <c r="FZ1363" s="6"/>
      <c r="GA1363" s="6"/>
      <c r="GB1363" s="6"/>
      <c r="GC1363" s="6"/>
      <c r="GD1363" s="6"/>
      <c r="GE1363" s="6"/>
      <c r="GF1363" s="6"/>
      <c r="GG1363" s="6"/>
      <c r="GH1363" s="6"/>
      <c r="GI1363" s="6"/>
      <c r="GJ1363" s="6"/>
      <c r="GK1363" s="6"/>
      <c r="GL1363" s="6"/>
      <c r="GM1363" s="6"/>
      <c r="GN1363" s="6"/>
      <c r="GO1363" s="6"/>
      <c r="GP1363" s="6"/>
      <c r="GQ1363" s="6"/>
      <c r="GR1363" s="6"/>
      <c r="GS1363" s="6"/>
      <c r="GT1363" s="6"/>
      <c r="GU1363" s="6"/>
      <c r="GV1363" s="6"/>
      <c r="GW1363" s="6"/>
      <c r="GX1363" s="6"/>
      <c r="GY1363" s="6"/>
      <c r="GZ1363" s="6"/>
      <c r="HA1363" s="6"/>
      <c r="HB1363" s="6"/>
      <c r="HC1363" s="6"/>
      <c r="HD1363" s="6"/>
      <c r="HE1363" s="6"/>
      <c r="HF1363" s="6"/>
      <c r="HG1363" s="6"/>
      <c r="HH1363" s="6"/>
    </row>
    <row r="1364" spans="1:216" x14ac:dyDescent="0.3">
      <c r="A1364" s="8"/>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6"/>
      <c r="AR1364" s="6"/>
      <c r="AS1364" s="6"/>
      <c r="AT1364" s="6"/>
      <c r="AU1364" s="6"/>
      <c r="AV1364" s="6"/>
      <c r="AW1364" s="6"/>
      <c r="AX1364" s="6"/>
      <c r="AY1364" s="6"/>
      <c r="AZ1364" s="6"/>
      <c r="BA1364" s="6"/>
      <c r="BB1364" s="6"/>
      <c r="BC1364" s="6"/>
      <c r="BD1364" s="6"/>
      <c r="BE1364" s="6"/>
      <c r="BF1364" s="6"/>
      <c r="BG1364" s="6"/>
      <c r="BH1364" s="6"/>
      <c r="BI1364" s="6"/>
      <c r="BJ1364" s="6"/>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6"/>
      <c r="CL1364" s="6"/>
      <c r="CM1364" s="6"/>
      <c r="CN1364" s="6"/>
      <c r="CO1364" s="6"/>
      <c r="CP1364" s="6"/>
      <c r="CQ1364" s="6"/>
      <c r="CR1364" s="6"/>
      <c r="CS1364" s="6"/>
      <c r="CT1364" s="6"/>
      <c r="CU1364" s="6"/>
      <c r="CV1364" s="6"/>
      <c r="CW1364" s="6"/>
      <c r="CX1364" s="6"/>
      <c r="CY1364" s="6"/>
      <c r="CZ1364" s="6"/>
      <c r="DA1364" s="6"/>
      <c r="DB1364" s="6"/>
      <c r="DC1364" s="6"/>
      <c r="DD1364" s="6"/>
      <c r="DE1364" s="6"/>
      <c r="DF1364" s="6"/>
      <c r="DG1364" s="6"/>
      <c r="DH1364" s="6"/>
      <c r="DI1364" s="6"/>
      <c r="DJ1364" s="6"/>
      <c r="DK1364" s="6"/>
      <c r="DL1364" s="6"/>
      <c r="DM1364" s="6"/>
      <c r="DN1364" s="6"/>
      <c r="DO1364" s="6"/>
      <c r="DP1364" s="6"/>
      <c r="DQ1364" s="6"/>
      <c r="DR1364" s="6"/>
      <c r="DS1364" s="6"/>
      <c r="DT1364" s="6"/>
      <c r="DU1364" s="6"/>
      <c r="DV1364" s="6"/>
      <c r="DW1364" s="6"/>
      <c r="DX1364" s="6"/>
      <c r="DY1364" s="6"/>
      <c r="DZ1364" s="6"/>
      <c r="EA1364" s="6"/>
      <c r="EB1364" s="6"/>
      <c r="EC1364" s="6"/>
      <c r="ED1364" s="6"/>
      <c r="EE1364" s="6"/>
      <c r="EF1364" s="6"/>
      <c r="EG1364" s="6"/>
      <c r="EH1364" s="6"/>
      <c r="EI1364" s="6"/>
      <c r="EJ1364" s="6"/>
      <c r="EK1364" s="6"/>
      <c r="EL1364" s="6"/>
      <c r="EM1364" s="6"/>
      <c r="EN1364" s="6"/>
      <c r="EO1364" s="6"/>
      <c r="EP1364" s="6"/>
      <c r="EQ1364" s="6"/>
      <c r="ER1364" s="6"/>
      <c r="ES1364" s="6"/>
      <c r="ET1364" s="6"/>
      <c r="EU1364" s="6"/>
      <c r="EV1364" s="6"/>
      <c r="EW1364" s="6"/>
      <c r="EX1364" s="6"/>
      <c r="EY1364" s="6"/>
      <c r="EZ1364" s="6"/>
      <c r="FA1364" s="6"/>
      <c r="FB1364" s="6"/>
      <c r="FC1364" s="6"/>
      <c r="FD1364" s="6"/>
      <c r="FE1364" s="6"/>
      <c r="FF1364" s="6"/>
      <c r="FG1364" s="6"/>
      <c r="FH1364" s="6"/>
      <c r="FI1364" s="6"/>
      <c r="FJ1364" s="6"/>
      <c r="FK1364" s="6"/>
      <c r="FL1364" s="6"/>
      <c r="FM1364" s="6"/>
      <c r="FN1364" s="6"/>
      <c r="FO1364" s="6"/>
      <c r="FP1364" s="6"/>
      <c r="FQ1364" s="6"/>
      <c r="FR1364" s="6"/>
      <c r="FS1364" s="6"/>
      <c r="FT1364" s="6"/>
      <c r="FU1364" s="6"/>
      <c r="FV1364" s="6"/>
      <c r="FW1364" s="6"/>
      <c r="FX1364" s="6"/>
      <c r="FY1364" s="6"/>
      <c r="FZ1364" s="6"/>
      <c r="GA1364" s="6"/>
      <c r="GB1364" s="6"/>
      <c r="GC1364" s="6"/>
      <c r="GD1364" s="6"/>
      <c r="GE1364" s="6"/>
      <c r="GF1364" s="6"/>
      <c r="GG1364" s="6"/>
      <c r="GH1364" s="6"/>
      <c r="GI1364" s="6"/>
      <c r="GJ1364" s="6"/>
      <c r="GK1364" s="6"/>
      <c r="GL1364" s="6"/>
      <c r="GM1364" s="6"/>
      <c r="GN1364" s="6"/>
      <c r="GO1364" s="6"/>
      <c r="GP1364" s="6"/>
      <c r="GQ1364" s="6"/>
      <c r="GR1364" s="6"/>
      <c r="GS1364" s="6"/>
      <c r="GT1364" s="6"/>
      <c r="GU1364" s="6"/>
      <c r="GV1364" s="6"/>
      <c r="GW1364" s="6"/>
      <c r="GX1364" s="6"/>
      <c r="GY1364" s="6"/>
      <c r="GZ1364" s="6"/>
      <c r="HA1364" s="6"/>
      <c r="HB1364" s="6"/>
      <c r="HC1364" s="6"/>
      <c r="HD1364" s="6"/>
      <c r="HE1364" s="6"/>
      <c r="HF1364" s="6"/>
      <c r="HG1364" s="6"/>
      <c r="HH1364" s="6"/>
    </row>
    <row r="1365" spans="1:216" x14ac:dyDescent="0.3">
      <c r="A1365" s="8"/>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6"/>
      <c r="AR1365" s="6"/>
      <c r="AS1365" s="6"/>
      <c r="AT1365" s="6"/>
      <c r="AU1365" s="6"/>
      <c r="AV1365" s="6"/>
      <c r="AW1365" s="6"/>
      <c r="AX1365" s="6"/>
      <c r="AY1365" s="6"/>
      <c r="AZ1365" s="6"/>
      <c r="BA1365" s="6"/>
      <c r="BB1365" s="6"/>
      <c r="BC1365" s="6"/>
      <c r="BD1365" s="6"/>
      <c r="BE1365" s="6"/>
      <c r="BF1365" s="6"/>
      <c r="BG1365" s="6"/>
      <c r="BH1365" s="6"/>
      <c r="BI1365" s="6"/>
      <c r="BJ1365" s="6"/>
      <c r="BK1365" s="6"/>
      <c r="BL1365" s="6"/>
      <c r="BM1365" s="6"/>
      <c r="BN1365" s="6"/>
      <c r="BO1365" s="6"/>
      <c r="BP1365" s="6"/>
      <c r="BQ1365" s="6"/>
      <c r="BR1365" s="6"/>
      <c r="BS1365" s="6"/>
      <c r="BT1365" s="6"/>
      <c r="BU1365" s="6"/>
      <c r="BV1365" s="6"/>
      <c r="BW1365" s="6"/>
      <c r="BX1365" s="6"/>
      <c r="BY1365" s="6"/>
      <c r="BZ1365" s="6"/>
      <c r="CA1365" s="6"/>
      <c r="CB1365" s="6"/>
      <c r="CC1365" s="6"/>
      <c r="CD1365" s="6"/>
      <c r="CE1365" s="6"/>
      <c r="CF1365" s="6"/>
      <c r="CG1365" s="6"/>
      <c r="CH1365" s="6"/>
      <c r="CI1365" s="6"/>
      <c r="CJ1365" s="6"/>
      <c r="CK1365" s="6"/>
      <c r="CL1365" s="6"/>
      <c r="CM1365" s="6"/>
      <c r="CN1365" s="6"/>
      <c r="CO1365" s="6"/>
      <c r="CP1365" s="6"/>
      <c r="CQ1365" s="6"/>
      <c r="CR1365" s="6"/>
      <c r="CS1365" s="6"/>
      <c r="CT1365" s="6"/>
      <c r="CU1365" s="6"/>
      <c r="CV1365" s="6"/>
      <c r="CW1365" s="6"/>
      <c r="CX1365" s="6"/>
      <c r="CY1365" s="6"/>
      <c r="CZ1365" s="6"/>
      <c r="DA1365" s="6"/>
      <c r="DB1365" s="6"/>
      <c r="DC1365" s="6"/>
      <c r="DD1365" s="6"/>
      <c r="DE1365" s="6"/>
      <c r="DF1365" s="6"/>
      <c r="DG1365" s="6"/>
      <c r="DH1365" s="6"/>
      <c r="DI1365" s="6"/>
      <c r="DJ1365" s="6"/>
      <c r="DK1365" s="6"/>
      <c r="DL1365" s="6"/>
      <c r="DM1365" s="6"/>
      <c r="DN1365" s="6"/>
      <c r="DO1365" s="6"/>
      <c r="DP1365" s="6"/>
      <c r="DQ1365" s="6"/>
      <c r="DR1365" s="6"/>
      <c r="DS1365" s="6"/>
      <c r="DT1365" s="6"/>
      <c r="DU1365" s="6"/>
      <c r="DV1365" s="6"/>
      <c r="DW1365" s="6"/>
      <c r="DX1365" s="6"/>
      <c r="DY1365" s="6"/>
      <c r="DZ1365" s="6"/>
      <c r="EA1365" s="6"/>
      <c r="EB1365" s="6"/>
      <c r="EC1365" s="6"/>
      <c r="ED1365" s="6"/>
      <c r="EE1365" s="6"/>
      <c r="EF1365" s="6"/>
      <c r="EG1365" s="6"/>
      <c r="EH1365" s="6"/>
      <c r="EI1365" s="6"/>
      <c r="EJ1365" s="6"/>
      <c r="EK1365" s="6"/>
      <c r="EL1365" s="6"/>
      <c r="EM1365" s="6"/>
      <c r="EN1365" s="6"/>
      <c r="EO1365" s="6"/>
      <c r="EP1365" s="6"/>
      <c r="EQ1365" s="6"/>
      <c r="ER1365" s="6"/>
      <c r="ES1365" s="6"/>
      <c r="ET1365" s="6"/>
      <c r="EU1365" s="6"/>
      <c r="EV1365" s="6"/>
      <c r="EW1365" s="6"/>
      <c r="EX1365" s="6"/>
      <c r="EY1365" s="6"/>
      <c r="EZ1365" s="6"/>
      <c r="FA1365" s="6"/>
      <c r="FB1365" s="6"/>
      <c r="FC1365" s="6"/>
      <c r="FD1365" s="6"/>
      <c r="FE1365" s="6"/>
      <c r="FF1365" s="6"/>
      <c r="FG1365" s="6"/>
      <c r="FH1365" s="6"/>
      <c r="FI1365" s="6"/>
      <c r="FJ1365" s="6"/>
      <c r="FK1365" s="6"/>
      <c r="FL1365" s="6"/>
      <c r="FM1365" s="6"/>
      <c r="FN1365" s="6"/>
      <c r="FO1365" s="6"/>
      <c r="FP1365" s="6"/>
      <c r="FQ1365" s="6"/>
      <c r="FR1365" s="6"/>
      <c r="FS1365" s="6"/>
      <c r="FT1365" s="6"/>
      <c r="FU1365" s="6"/>
      <c r="FV1365" s="6"/>
      <c r="FW1365" s="6"/>
      <c r="FX1365" s="6"/>
      <c r="FY1365" s="6"/>
      <c r="FZ1365" s="6"/>
      <c r="GA1365" s="6"/>
      <c r="GB1365" s="6"/>
      <c r="GC1365" s="6"/>
      <c r="GD1365" s="6"/>
      <c r="GE1365" s="6"/>
      <c r="GF1365" s="6"/>
      <c r="GG1365" s="6"/>
      <c r="GH1365" s="6"/>
      <c r="GI1365" s="6"/>
      <c r="GJ1365" s="6"/>
      <c r="GK1365" s="6"/>
      <c r="GL1365" s="6"/>
      <c r="GM1365" s="6"/>
      <c r="GN1365" s="6"/>
      <c r="GO1365" s="6"/>
      <c r="GP1365" s="6"/>
      <c r="GQ1365" s="6"/>
      <c r="GR1365" s="6"/>
      <c r="GS1365" s="6"/>
      <c r="GT1365" s="6"/>
      <c r="GU1365" s="6"/>
      <c r="GV1365" s="6"/>
      <c r="GW1365" s="6"/>
      <c r="GX1365" s="6"/>
      <c r="GY1365" s="6"/>
      <c r="GZ1365" s="6"/>
      <c r="HA1365" s="6"/>
      <c r="HB1365" s="6"/>
      <c r="HC1365" s="6"/>
      <c r="HD1365" s="6"/>
      <c r="HE1365" s="6"/>
      <c r="HF1365" s="6"/>
      <c r="HG1365" s="6"/>
      <c r="HH1365" s="6"/>
    </row>
    <row r="1366" spans="1:216" x14ac:dyDescent="0.3">
      <c r="A1366" s="8"/>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6"/>
      <c r="AR1366" s="6"/>
      <c r="AS1366" s="6"/>
      <c r="AT1366" s="6"/>
      <c r="AU1366" s="6"/>
      <c r="AV1366" s="6"/>
      <c r="AW1366" s="6"/>
      <c r="AX1366" s="6"/>
      <c r="AY1366" s="6"/>
      <c r="AZ1366" s="6"/>
      <c r="BA1366" s="6"/>
      <c r="BB1366" s="6"/>
      <c r="BC1366" s="6"/>
      <c r="BD1366" s="6"/>
      <c r="BE1366" s="6"/>
      <c r="BF1366" s="6"/>
      <c r="BG1366" s="6"/>
      <c r="BH1366" s="6"/>
      <c r="BI1366" s="6"/>
      <c r="BJ1366" s="6"/>
      <c r="BK1366" s="6"/>
      <c r="BL1366" s="6"/>
      <c r="BM1366" s="6"/>
      <c r="BN1366" s="6"/>
      <c r="BO1366" s="6"/>
      <c r="BP1366" s="6"/>
      <c r="BQ1366" s="6"/>
      <c r="BR1366" s="6"/>
      <c r="BS1366" s="6"/>
      <c r="BT1366" s="6"/>
      <c r="BU1366" s="6"/>
      <c r="BV1366" s="6"/>
      <c r="BW1366" s="6"/>
      <c r="BX1366" s="6"/>
      <c r="BY1366" s="6"/>
      <c r="BZ1366" s="6"/>
      <c r="CA1366" s="6"/>
      <c r="CB1366" s="6"/>
      <c r="CC1366" s="6"/>
      <c r="CD1366" s="6"/>
      <c r="CE1366" s="6"/>
      <c r="CF1366" s="6"/>
      <c r="CG1366" s="6"/>
      <c r="CH1366" s="6"/>
      <c r="CI1366" s="6"/>
      <c r="CJ1366" s="6"/>
      <c r="CK1366" s="6"/>
      <c r="CL1366" s="6"/>
      <c r="CM1366" s="6"/>
      <c r="CN1366" s="6"/>
      <c r="CO1366" s="6"/>
      <c r="CP1366" s="6"/>
      <c r="CQ1366" s="6"/>
      <c r="CR1366" s="6"/>
      <c r="CS1366" s="6"/>
      <c r="CT1366" s="6"/>
      <c r="CU1366" s="6"/>
      <c r="CV1366" s="6"/>
      <c r="CW1366" s="6"/>
      <c r="CX1366" s="6"/>
      <c r="CY1366" s="6"/>
      <c r="CZ1366" s="6"/>
      <c r="DA1366" s="6"/>
      <c r="DB1366" s="6"/>
      <c r="DC1366" s="6"/>
      <c r="DD1366" s="6"/>
      <c r="DE1366" s="6"/>
      <c r="DF1366" s="6"/>
      <c r="DG1366" s="6"/>
      <c r="DH1366" s="6"/>
      <c r="DI1366" s="6"/>
      <c r="DJ1366" s="6"/>
      <c r="DK1366" s="6"/>
      <c r="DL1366" s="6"/>
      <c r="DM1366" s="6"/>
      <c r="DN1366" s="6"/>
      <c r="DO1366" s="6"/>
      <c r="DP1366" s="6"/>
      <c r="DQ1366" s="6"/>
      <c r="DR1366" s="6"/>
      <c r="DS1366" s="6"/>
      <c r="DT1366" s="6"/>
      <c r="DU1366" s="6"/>
      <c r="DV1366" s="6"/>
      <c r="DW1366" s="6"/>
      <c r="DX1366" s="6"/>
      <c r="DY1366" s="6"/>
      <c r="DZ1366" s="6"/>
      <c r="EA1366" s="6"/>
      <c r="EB1366" s="6"/>
      <c r="EC1366" s="6"/>
      <c r="ED1366" s="6"/>
      <c r="EE1366" s="6"/>
      <c r="EF1366" s="6"/>
      <c r="EG1366" s="6"/>
      <c r="EH1366" s="6"/>
      <c r="EI1366" s="6"/>
      <c r="EJ1366" s="6"/>
      <c r="EK1366" s="6"/>
      <c r="EL1366" s="6"/>
      <c r="EM1366" s="6"/>
      <c r="EN1366" s="6"/>
      <c r="EO1366" s="6"/>
      <c r="EP1366" s="6"/>
      <c r="EQ1366" s="6"/>
      <c r="ER1366" s="6"/>
      <c r="ES1366" s="6"/>
      <c r="ET1366" s="6"/>
      <c r="EU1366" s="6"/>
      <c r="EV1366" s="6"/>
      <c r="EW1366" s="6"/>
      <c r="EX1366" s="6"/>
      <c r="EY1366" s="6"/>
      <c r="EZ1366" s="6"/>
      <c r="FA1366" s="6"/>
      <c r="FB1366" s="6"/>
      <c r="FC1366" s="6"/>
      <c r="FD1366" s="6"/>
      <c r="FE1366" s="6"/>
      <c r="FF1366" s="6"/>
      <c r="FG1366" s="6"/>
      <c r="FH1366" s="6"/>
      <c r="FI1366" s="6"/>
      <c r="FJ1366" s="6"/>
      <c r="FK1366" s="6"/>
      <c r="FL1366" s="6"/>
      <c r="FM1366" s="6"/>
      <c r="FN1366" s="6"/>
      <c r="FO1366" s="6"/>
      <c r="FP1366" s="6"/>
      <c r="FQ1366" s="6"/>
      <c r="FR1366" s="6"/>
      <c r="FS1366" s="6"/>
      <c r="FT1366" s="6"/>
      <c r="FU1366" s="6"/>
      <c r="FV1366" s="6"/>
      <c r="FW1366" s="6"/>
      <c r="FX1366" s="6"/>
      <c r="FY1366" s="6"/>
      <c r="FZ1366" s="6"/>
      <c r="GA1366" s="6"/>
      <c r="GB1366" s="6"/>
      <c r="GC1366" s="6"/>
      <c r="GD1366" s="6"/>
      <c r="GE1366" s="6"/>
      <c r="GF1366" s="6"/>
      <c r="GG1366" s="6"/>
      <c r="GH1366" s="6"/>
      <c r="GI1366" s="6"/>
      <c r="GJ1366" s="6"/>
      <c r="GK1366" s="6"/>
      <c r="GL1366" s="6"/>
      <c r="GM1366" s="6"/>
      <c r="GN1366" s="6"/>
      <c r="GO1366" s="6"/>
      <c r="GP1366" s="6"/>
      <c r="GQ1366" s="6"/>
      <c r="GR1366" s="6"/>
      <c r="GS1366" s="6"/>
      <c r="GT1366" s="6"/>
      <c r="GU1366" s="6"/>
      <c r="GV1366" s="6"/>
      <c r="GW1366" s="6"/>
      <c r="GX1366" s="6"/>
      <c r="GY1366" s="6"/>
      <c r="GZ1366" s="6"/>
      <c r="HA1366" s="6"/>
      <c r="HB1366" s="6"/>
      <c r="HC1366" s="6"/>
      <c r="HD1366" s="6"/>
      <c r="HE1366" s="6"/>
      <c r="HF1366" s="6"/>
      <c r="HG1366" s="6"/>
      <c r="HH1366" s="6"/>
    </row>
    <row r="1367" spans="1:216" x14ac:dyDescent="0.3">
      <c r="A1367" s="8"/>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6"/>
      <c r="AR1367" s="6"/>
      <c r="AS1367" s="6"/>
      <c r="AT1367" s="6"/>
      <c r="AU1367" s="6"/>
      <c r="AV1367" s="6"/>
      <c r="AW1367" s="6"/>
      <c r="AX1367" s="6"/>
      <c r="AY1367" s="6"/>
      <c r="AZ1367" s="6"/>
      <c r="BA1367" s="6"/>
      <c r="BB1367" s="6"/>
      <c r="BC1367" s="6"/>
      <c r="BD1367" s="6"/>
      <c r="BE1367" s="6"/>
      <c r="BF1367" s="6"/>
      <c r="BG1367" s="6"/>
      <c r="BH1367" s="6"/>
      <c r="BI1367" s="6"/>
      <c r="BJ1367" s="6"/>
      <c r="BK1367" s="6"/>
      <c r="BL1367" s="6"/>
      <c r="BM1367" s="6"/>
      <c r="BN1367" s="6"/>
      <c r="BO1367" s="6"/>
      <c r="BP1367" s="6"/>
      <c r="BQ1367" s="6"/>
      <c r="BR1367" s="6"/>
      <c r="BS1367" s="6"/>
      <c r="BT1367" s="6"/>
      <c r="BU1367" s="6"/>
      <c r="BV1367" s="6"/>
      <c r="BW1367" s="6"/>
      <c r="BX1367" s="6"/>
      <c r="BY1367" s="6"/>
      <c r="BZ1367" s="6"/>
      <c r="CA1367" s="6"/>
      <c r="CB1367" s="6"/>
      <c r="CC1367" s="6"/>
      <c r="CD1367" s="6"/>
      <c r="CE1367" s="6"/>
      <c r="CF1367" s="6"/>
      <c r="CG1367" s="6"/>
      <c r="CH1367" s="6"/>
      <c r="CI1367" s="6"/>
      <c r="CJ1367" s="6"/>
      <c r="CK1367" s="6"/>
      <c r="CL1367" s="6"/>
      <c r="CM1367" s="6"/>
      <c r="CN1367" s="6"/>
      <c r="CO1367" s="6"/>
      <c r="CP1367" s="6"/>
      <c r="CQ1367" s="6"/>
      <c r="CR1367" s="6"/>
      <c r="CS1367" s="6"/>
      <c r="CT1367" s="6"/>
      <c r="CU1367" s="6"/>
      <c r="CV1367" s="6"/>
      <c r="CW1367" s="6"/>
      <c r="CX1367" s="6"/>
      <c r="CY1367" s="6"/>
      <c r="CZ1367" s="6"/>
      <c r="DA1367" s="6"/>
      <c r="DB1367" s="6"/>
      <c r="DC1367" s="6"/>
      <c r="DD1367" s="6"/>
      <c r="DE1367" s="6"/>
      <c r="DF1367" s="6"/>
      <c r="DG1367" s="6"/>
      <c r="DH1367" s="6"/>
      <c r="DI1367" s="6"/>
      <c r="DJ1367" s="6"/>
      <c r="DK1367" s="6"/>
      <c r="DL1367" s="6"/>
      <c r="DM1367" s="6"/>
      <c r="DN1367" s="6"/>
      <c r="DO1367" s="6"/>
      <c r="DP1367" s="6"/>
      <c r="DQ1367" s="6"/>
      <c r="DR1367" s="6"/>
      <c r="DS1367" s="6"/>
      <c r="DT1367" s="6"/>
      <c r="DU1367" s="6"/>
      <c r="DV1367" s="6"/>
      <c r="DW1367" s="6"/>
      <c r="DX1367" s="6"/>
      <c r="DY1367" s="6"/>
      <c r="DZ1367" s="6"/>
      <c r="EA1367" s="6"/>
      <c r="EB1367" s="6"/>
      <c r="EC1367" s="6"/>
      <c r="ED1367" s="6"/>
      <c r="EE1367" s="6"/>
      <c r="EF1367" s="6"/>
      <c r="EG1367" s="6"/>
      <c r="EH1367" s="6"/>
      <c r="EI1367" s="6"/>
      <c r="EJ1367" s="6"/>
      <c r="EK1367" s="6"/>
      <c r="EL1367" s="6"/>
      <c r="EM1367" s="6"/>
      <c r="EN1367" s="6"/>
      <c r="EO1367" s="6"/>
      <c r="EP1367" s="6"/>
      <c r="EQ1367" s="6"/>
      <c r="ER1367" s="6"/>
      <c r="ES1367" s="6"/>
      <c r="ET1367" s="6"/>
      <c r="EU1367" s="6"/>
      <c r="EV1367" s="6"/>
      <c r="EW1367" s="6"/>
      <c r="EX1367" s="6"/>
      <c r="EY1367" s="6"/>
      <c r="EZ1367" s="6"/>
      <c r="FA1367" s="6"/>
      <c r="FB1367" s="6"/>
      <c r="FC1367" s="6"/>
      <c r="FD1367" s="6"/>
      <c r="FE1367" s="6"/>
      <c r="FF1367" s="6"/>
      <c r="FG1367" s="6"/>
      <c r="FH1367" s="6"/>
      <c r="FI1367" s="6"/>
      <c r="FJ1367" s="6"/>
      <c r="FK1367" s="6"/>
      <c r="FL1367" s="6"/>
      <c r="FM1367" s="6"/>
      <c r="FN1367" s="6"/>
      <c r="FO1367" s="6"/>
      <c r="FP1367" s="6"/>
      <c r="FQ1367" s="6"/>
      <c r="FR1367" s="6"/>
      <c r="FS1367" s="6"/>
      <c r="FT1367" s="6"/>
      <c r="FU1367" s="6"/>
      <c r="FV1367" s="6"/>
      <c r="FW1367" s="6"/>
      <c r="FX1367" s="6"/>
      <c r="FY1367" s="6"/>
      <c r="FZ1367" s="6"/>
      <c r="GA1367" s="6"/>
      <c r="GB1367" s="6"/>
      <c r="GC1367" s="6"/>
      <c r="GD1367" s="6"/>
      <c r="GE1367" s="6"/>
      <c r="GF1367" s="6"/>
      <c r="GG1367" s="6"/>
      <c r="GH1367" s="6"/>
      <c r="GI1367" s="6"/>
      <c r="GJ1367" s="6"/>
      <c r="GK1367" s="6"/>
      <c r="GL1367" s="6"/>
      <c r="GM1367" s="6"/>
      <c r="GN1367" s="6"/>
      <c r="GO1367" s="6"/>
      <c r="GP1367" s="6"/>
      <c r="GQ1367" s="6"/>
      <c r="GR1367" s="6"/>
      <c r="GS1367" s="6"/>
      <c r="GT1367" s="6"/>
      <c r="GU1367" s="6"/>
      <c r="GV1367" s="6"/>
      <c r="GW1367" s="6"/>
      <c r="GX1367" s="6"/>
      <c r="GY1367" s="6"/>
      <c r="GZ1367" s="6"/>
      <c r="HA1367" s="6"/>
      <c r="HB1367" s="6"/>
      <c r="HC1367" s="6"/>
      <c r="HD1367" s="6"/>
      <c r="HE1367" s="6"/>
      <c r="HF1367" s="6"/>
      <c r="HG1367" s="6"/>
      <c r="HH1367" s="6"/>
    </row>
    <row r="1368" spans="1:216" x14ac:dyDescent="0.3">
      <c r="A1368" s="8"/>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6"/>
      <c r="AR1368" s="6"/>
      <c r="AS1368" s="6"/>
      <c r="AT1368" s="6"/>
      <c r="AU1368" s="6"/>
      <c r="AV1368" s="6"/>
      <c r="AW1368" s="6"/>
      <c r="AX1368" s="6"/>
      <c r="AY1368" s="6"/>
      <c r="AZ1368" s="6"/>
      <c r="BA1368" s="6"/>
      <c r="BB1368" s="6"/>
      <c r="BC1368" s="6"/>
      <c r="BD1368" s="6"/>
      <c r="BE1368" s="6"/>
      <c r="BF1368" s="6"/>
      <c r="BG1368" s="6"/>
      <c r="BH1368" s="6"/>
      <c r="BI1368" s="6"/>
      <c r="BJ1368" s="6"/>
      <c r="BK1368" s="6"/>
      <c r="BL1368" s="6"/>
      <c r="BM1368" s="6"/>
      <c r="BN1368" s="6"/>
      <c r="BO1368" s="6"/>
      <c r="BP1368" s="6"/>
      <c r="BQ1368" s="6"/>
      <c r="BR1368" s="6"/>
      <c r="BS1368" s="6"/>
      <c r="BT1368" s="6"/>
      <c r="BU1368" s="6"/>
      <c r="BV1368" s="6"/>
      <c r="BW1368" s="6"/>
      <c r="BX1368" s="6"/>
      <c r="BY1368" s="6"/>
      <c r="BZ1368" s="6"/>
      <c r="CA1368" s="6"/>
      <c r="CB1368" s="6"/>
      <c r="CC1368" s="6"/>
      <c r="CD1368" s="6"/>
      <c r="CE1368" s="6"/>
      <c r="CF1368" s="6"/>
      <c r="CG1368" s="6"/>
      <c r="CH1368" s="6"/>
      <c r="CI1368" s="6"/>
      <c r="CJ1368" s="6"/>
      <c r="CK1368" s="6"/>
      <c r="CL1368" s="6"/>
      <c r="CM1368" s="6"/>
      <c r="CN1368" s="6"/>
      <c r="CO1368" s="6"/>
      <c r="CP1368" s="6"/>
      <c r="CQ1368" s="6"/>
      <c r="CR1368" s="6"/>
      <c r="CS1368" s="6"/>
      <c r="CT1368" s="6"/>
      <c r="CU1368" s="6"/>
      <c r="CV1368" s="6"/>
      <c r="CW1368" s="6"/>
      <c r="CX1368" s="6"/>
      <c r="CY1368" s="6"/>
      <c r="CZ1368" s="6"/>
      <c r="DA1368" s="6"/>
      <c r="DB1368" s="6"/>
      <c r="DC1368" s="6"/>
      <c r="DD1368" s="6"/>
      <c r="DE1368" s="6"/>
      <c r="DF1368" s="6"/>
      <c r="DG1368" s="6"/>
      <c r="DH1368" s="6"/>
      <c r="DI1368" s="6"/>
      <c r="DJ1368" s="6"/>
      <c r="DK1368" s="6"/>
      <c r="DL1368" s="6"/>
      <c r="DM1368" s="6"/>
      <c r="DN1368" s="6"/>
      <c r="DO1368" s="6"/>
      <c r="DP1368" s="6"/>
      <c r="DQ1368" s="6"/>
      <c r="DR1368" s="6"/>
      <c r="DS1368" s="6"/>
      <c r="DT1368" s="6"/>
      <c r="DU1368" s="6"/>
      <c r="DV1368" s="6"/>
      <c r="DW1368" s="6"/>
      <c r="DX1368" s="6"/>
      <c r="DY1368" s="6"/>
      <c r="DZ1368" s="6"/>
      <c r="EA1368" s="6"/>
      <c r="EB1368" s="6"/>
      <c r="EC1368" s="6"/>
      <c r="ED1368" s="6"/>
      <c r="EE1368" s="6"/>
      <c r="EF1368" s="6"/>
      <c r="EG1368" s="6"/>
      <c r="EH1368" s="6"/>
      <c r="EI1368" s="6"/>
      <c r="EJ1368" s="6"/>
      <c r="EK1368" s="6"/>
      <c r="EL1368" s="6"/>
      <c r="EM1368" s="6"/>
      <c r="EN1368" s="6"/>
      <c r="EO1368" s="6"/>
      <c r="EP1368" s="6"/>
      <c r="EQ1368" s="6"/>
      <c r="ER1368" s="6"/>
      <c r="ES1368" s="6"/>
      <c r="ET1368" s="6"/>
      <c r="EU1368" s="6"/>
      <c r="EV1368" s="6"/>
      <c r="EW1368" s="6"/>
      <c r="EX1368" s="6"/>
      <c r="EY1368" s="6"/>
      <c r="EZ1368" s="6"/>
      <c r="FA1368" s="6"/>
      <c r="FB1368" s="6"/>
      <c r="FC1368" s="6"/>
      <c r="FD1368" s="6"/>
      <c r="FE1368" s="6"/>
      <c r="FF1368" s="6"/>
      <c r="FG1368" s="6"/>
      <c r="FH1368" s="6"/>
      <c r="FI1368" s="6"/>
      <c r="FJ1368" s="6"/>
      <c r="FK1368" s="6"/>
      <c r="FL1368" s="6"/>
      <c r="FM1368" s="6"/>
      <c r="FN1368" s="6"/>
      <c r="FO1368" s="6"/>
      <c r="FP1368" s="6"/>
      <c r="FQ1368" s="6"/>
      <c r="FR1368" s="6"/>
      <c r="FS1368" s="6"/>
      <c r="FT1368" s="6"/>
      <c r="FU1368" s="6"/>
      <c r="FV1368" s="6"/>
      <c r="FW1368" s="6"/>
      <c r="FX1368" s="6"/>
      <c r="FY1368" s="6"/>
      <c r="FZ1368" s="6"/>
      <c r="GA1368" s="6"/>
      <c r="GB1368" s="6"/>
      <c r="GC1368" s="6"/>
      <c r="GD1368" s="6"/>
      <c r="GE1368" s="6"/>
      <c r="GF1368" s="6"/>
      <c r="GG1368" s="6"/>
      <c r="GH1368" s="6"/>
      <c r="GI1368" s="6"/>
      <c r="GJ1368" s="6"/>
      <c r="GK1368" s="6"/>
      <c r="GL1368" s="6"/>
      <c r="GM1368" s="6"/>
      <c r="GN1368" s="6"/>
      <c r="GO1368" s="6"/>
      <c r="GP1368" s="6"/>
      <c r="GQ1368" s="6"/>
      <c r="GR1368" s="6"/>
      <c r="GS1368" s="6"/>
      <c r="GT1368" s="6"/>
      <c r="GU1368" s="6"/>
      <c r="GV1368" s="6"/>
      <c r="GW1368" s="6"/>
      <c r="GX1368" s="6"/>
      <c r="GY1368" s="6"/>
      <c r="GZ1368" s="6"/>
      <c r="HA1368" s="6"/>
      <c r="HB1368" s="6"/>
      <c r="HC1368" s="6"/>
      <c r="HD1368" s="6"/>
      <c r="HE1368" s="6"/>
      <c r="HF1368" s="6"/>
      <c r="HG1368" s="6"/>
      <c r="HH1368" s="6"/>
    </row>
    <row r="1369" spans="1:216" x14ac:dyDescent="0.3">
      <c r="A1369" s="8"/>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6"/>
      <c r="AR1369" s="6"/>
      <c r="AS1369" s="6"/>
      <c r="AT1369" s="6"/>
      <c r="AU1369" s="6"/>
      <c r="AV1369" s="6"/>
      <c r="AW1369" s="6"/>
      <c r="AX1369" s="6"/>
      <c r="AY1369" s="6"/>
      <c r="AZ1369" s="6"/>
      <c r="BA1369" s="6"/>
      <c r="BB1369" s="6"/>
      <c r="BC1369" s="6"/>
      <c r="BD1369" s="6"/>
      <c r="BE1369" s="6"/>
      <c r="BF1369" s="6"/>
      <c r="BG1369" s="6"/>
      <c r="BH1369" s="6"/>
      <c r="BI1369" s="6"/>
      <c r="BJ1369" s="6"/>
      <c r="BK1369" s="6"/>
      <c r="BL1369" s="6"/>
      <c r="BM1369" s="6"/>
      <c r="BN1369" s="6"/>
      <c r="BO1369" s="6"/>
      <c r="BP1369" s="6"/>
      <c r="BQ1369" s="6"/>
      <c r="BR1369" s="6"/>
      <c r="BS1369" s="6"/>
      <c r="BT1369" s="6"/>
      <c r="BU1369" s="6"/>
      <c r="BV1369" s="6"/>
      <c r="BW1369" s="6"/>
      <c r="BX1369" s="6"/>
      <c r="BY1369" s="6"/>
      <c r="BZ1369" s="6"/>
      <c r="CA1369" s="6"/>
      <c r="CB1369" s="6"/>
      <c r="CC1369" s="6"/>
      <c r="CD1369" s="6"/>
      <c r="CE1369" s="6"/>
      <c r="CF1369" s="6"/>
      <c r="CG1369" s="6"/>
      <c r="CH1369" s="6"/>
      <c r="CI1369" s="6"/>
      <c r="CJ1369" s="6"/>
      <c r="CK1369" s="6"/>
      <c r="CL1369" s="6"/>
      <c r="CM1369" s="6"/>
      <c r="CN1369" s="6"/>
      <c r="CO1369" s="6"/>
      <c r="CP1369" s="6"/>
      <c r="CQ1369" s="6"/>
      <c r="CR1369" s="6"/>
      <c r="CS1369" s="6"/>
      <c r="CT1369" s="6"/>
      <c r="CU1369" s="6"/>
      <c r="CV1369" s="6"/>
      <c r="CW1369" s="6"/>
      <c r="CX1369" s="6"/>
      <c r="CY1369" s="6"/>
      <c r="CZ1369" s="6"/>
      <c r="DA1369" s="6"/>
      <c r="DB1369" s="6"/>
      <c r="DC1369" s="6"/>
      <c r="DD1369" s="6"/>
      <c r="DE1369" s="6"/>
      <c r="DF1369" s="6"/>
      <c r="DG1369" s="6"/>
      <c r="DH1369" s="6"/>
      <c r="DI1369" s="6"/>
      <c r="DJ1369" s="6"/>
      <c r="DK1369" s="6"/>
      <c r="DL1369" s="6"/>
      <c r="DM1369" s="6"/>
      <c r="DN1369" s="6"/>
      <c r="DO1369" s="6"/>
      <c r="DP1369" s="6"/>
      <c r="DQ1369" s="6"/>
      <c r="DR1369" s="6"/>
      <c r="DS1369" s="6"/>
      <c r="DT1369" s="6"/>
      <c r="DU1369" s="6"/>
      <c r="DV1369" s="6"/>
      <c r="DW1369" s="6"/>
      <c r="DX1369" s="6"/>
      <c r="DY1369" s="6"/>
      <c r="DZ1369" s="6"/>
      <c r="EA1369" s="6"/>
      <c r="EB1369" s="6"/>
      <c r="EC1369" s="6"/>
      <c r="ED1369" s="6"/>
      <c r="EE1369" s="6"/>
      <c r="EF1369" s="6"/>
      <c r="EG1369" s="6"/>
      <c r="EH1369" s="6"/>
      <c r="EI1369" s="6"/>
      <c r="EJ1369" s="6"/>
      <c r="EK1369" s="6"/>
      <c r="EL1369" s="6"/>
      <c r="EM1369" s="6"/>
      <c r="EN1369" s="6"/>
      <c r="EO1369" s="6"/>
      <c r="EP1369" s="6"/>
      <c r="EQ1369" s="6"/>
      <c r="ER1369" s="6"/>
      <c r="ES1369" s="6"/>
      <c r="ET1369" s="6"/>
      <c r="EU1369" s="6"/>
      <c r="EV1369" s="6"/>
      <c r="EW1369" s="6"/>
      <c r="EX1369" s="6"/>
      <c r="EY1369" s="6"/>
      <c r="EZ1369" s="6"/>
      <c r="FA1369" s="6"/>
      <c r="FB1369" s="6"/>
      <c r="FC1369" s="6"/>
      <c r="FD1369" s="6"/>
      <c r="FE1369" s="6"/>
      <c r="FF1369" s="6"/>
      <c r="FG1369" s="6"/>
      <c r="FH1369" s="6"/>
      <c r="FI1369" s="6"/>
      <c r="FJ1369" s="6"/>
      <c r="FK1369" s="6"/>
      <c r="FL1369" s="6"/>
      <c r="FM1369" s="6"/>
      <c r="FN1369" s="6"/>
      <c r="FO1369" s="6"/>
      <c r="FP1369" s="6"/>
      <c r="FQ1369" s="6"/>
      <c r="FR1369" s="6"/>
      <c r="FS1369" s="6"/>
      <c r="FT1369" s="6"/>
      <c r="FU1369" s="6"/>
      <c r="FV1369" s="6"/>
      <c r="FW1369" s="6"/>
      <c r="FX1369" s="6"/>
      <c r="FY1369" s="6"/>
      <c r="FZ1369" s="6"/>
      <c r="GA1369" s="6"/>
      <c r="GB1369" s="6"/>
      <c r="GC1369" s="6"/>
      <c r="GD1369" s="6"/>
      <c r="GE1369" s="6"/>
      <c r="GF1369" s="6"/>
      <c r="GG1369" s="6"/>
      <c r="GH1369" s="6"/>
      <c r="GI1369" s="6"/>
      <c r="GJ1369" s="6"/>
      <c r="GK1369" s="6"/>
      <c r="GL1369" s="6"/>
      <c r="GM1369" s="6"/>
      <c r="GN1369" s="6"/>
      <c r="GO1369" s="6"/>
      <c r="GP1369" s="6"/>
      <c r="GQ1369" s="6"/>
      <c r="GR1369" s="6"/>
      <c r="GS1369" s="6"/>
      <c r="GT1369" s="6"/>
      <c r="GU1369" s="6"/>
      <c r="GV1369" s="6"/>
      <c r="GW1369" s="6"/>
      <c r="GX1369" s="6"/>
      <c r="GY1369" s="6"/>
      <c r="GZ1369" s="6"/>
      <c r="HA1369" s="6"/>
      <c r="HB1369" s="6"/>
      <c r="HC1369" s="6"/>
      <c r="HD1369" s="6"/>
      <c r="HE1369" s="6"/>
      <c r="HF1369" s="6"/>
      <c r="HG1369" s="6"/>
      <c r="HH1369" s="6"/>
    </row>
    <row r="1370" spans="1:216" x14ac:dyDescent="0.3">
      <c r="A1370" s="8"/>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6"/>
      <c r="AR1370" s="6"/>
      <c r="AS1370" s="6"/>
      <c r="AT1370" s="6"/>
      <c r="AU1370" s="6"/>
      <c r="AV1370" s="6"/>
      <c r="AW1370" s="6"/>
      <c r="AX1370" s="6"/>
      <c r="AY1370" s="6"/>
      <c r="AZ1370" s="6"/>
      <c r="BA1370" s="6"/>
      <c r="BB1370" s="6"/>
      <c r="BC1370" s="6"/>
      <c r="BD1370" s="6"/>
      <c r="BE1370" s="6"/>
      <c r="BF1370" s="6"/>
      <c r="BG1370" s="6"/>
      <c r="BH1370" s="6"/>
      <c r="BI1370" s="6"/>
      <c r="BJ1370" s="6"/>
      <c r="BK1370" s="6"/>
      <c r="BL1370" s="6"/>
      <c r="BM1370" s="6"/>
      <c r="BN1370" s="6"/>
      <c r="BO1370" s="6"/>
      <c r="BP1370" s="6"/>
      <c r="BQ1370" s="6"/>
      <c r="BR1370" s="6"/>
      <c r="BS1370" s="6"/>
      <c r="BT1370" s="6"/>
      <c r="BU1370" s="6"/>
      <c r="BV1370" s="6"/>
      <c r="BW1370" s="6"/>
      <c r="BX1370" s="6"/>
      <c r="BY1370" s="6"/>
      <c r="BZ1370" s="6"/>
      <c r="CA1370" s="6"/>
      <c r="CB1370" s="6"/>
      <c r="CC1370" s="6"/>
      <c r="CD1370" s="6"/>
      <c r="CE1370" s="6"/>
      <c r="CF1370" s="6"/>
      <c r="CG1370" s="6"/>
      <c r="CH1370" s="6"/>
      <c r="CI1370" s="6"/>
      <c r="CJ1370" s="6"/>
      <c r="CK1370" s="6"/>
      <c r="CL1370" s="6"/>
      <c r="CM1370" s="6"/>
      <c r="CN1370" s="6"/>
      <c r="CO1370" s="6"/>
      <c r="CP1370" s="6"/>
      <c r="CQ1370" s="6"/>
      <c r="CR1370" s="6"/>
      <c r="CS1370" s="6"/>
      <c r="CT1370" s="6"/>
      <c r="CU1370" s="6"/>
      <c r="CV1370" s="6"/>
      <c r="CW1370" s="6"/>
      <c r="CX1370" s="6"/>
      <c r="CY1370" s="6"/>
      <c r="CZ1370" s="6"/>
      <c r="DA1370" s="6"/>
      <c r="DB1370" s="6"/>
      <c r="DC1370" s="6"/>
      <c r="DD1370" s="6"/>
      <c r="DE1370" s="6"/>
      <c r="DF1370" s="6"/>
      <c r="DG1370" s="6"/>
      <c r="DH1370" s="6"/>
      <c r="DI1370" s="6"/>
      <c r="DJ1370" s="6"/>
      <c r="DK1370" s="6"/>
      <c r="DL1370" s="6"/>
      <c r="DM1370" s="6"/>
      <c r="DN1370" s="6"/>
      <c r="DO1370" s="6"/>
      <c r="DP1370" s="6"/>
      <c r="DQ1370" s="6"/>
      <c r="DR1370" s="6"/>
      <c r="DS1370" s="6"/>
      <c r="DT1370" s="6"/>
      <c r="DU1370" s="6"/>
      <c r="DV1370" s="6"/>
      <c r="DW1370" s="6"/>
      <c r="DX1370" s="6"/>
      <c r="DY1370" s="6"/>
      <c r="DZ1370" s="6"/>
      <c r="EA1370" s="6"/>
      <c r="EB1370" s="6"/>
      <c r="EC1370" s="6"/>
      <c r="ED1370" s="6"/>
      <c r="EE1370" s="6"/>
      <c r="EF1370" s="6"/>
      <c r="EG1370" s="6"/>
      <c r="EH1370" s="6"/>
      <c r="EI1370" s="6"/>
      <c r="EJ1370" s="6"/>
      <c r="EK1370" s="6"/>
      <c r="EL1370" s="6"/>
      <c r="EM1370" s="6"/>
      <c r="EN1370" s="6"/>
      <c r="EO1370" s="6"/>
      <c r="EP1370" s="6"/>
      <c r="EQ1370" s="6"/>
      <c r="ER1370" s="6"/>
      <c r="ES1370" s="6"/>
      <c r="ET1370" s="6"/>
      <c r="EU1370" s="6"/>
      <c r="EV1370" s="6"/>
      <c r="EW1370" s="6"/>
      <c r="EX1370" s="6"/>
      <c r="EY1370" s="6"/>
      <c r="EZ1370" s="6"/>
      <c r="FA1370" s="6"/>
      <c r="FB1370" s="6"/>
      <c r="FC1370" s="6"/>
      <c r="FD1370" s="6"/>
      <c r="FE1370" s="6"/>
      <c r="FF1370" s="6"/>
      <c r="FG1370" s="6"/>
      <c r="FH1370" s="6"/>
      <c r="FI1370" s="6"/>
      <c r="FJ1370" s="6"/>
      <c r="FK1370" s="6"/>
      <c r="FL1370" s="6"/>
      <c r="FM1370" s="6"/>
      <c r="FN1370" s="6"/>
      <c r="FO1370" s="6"/>
      <c r="FP1370" s="6"/>
      <c r="FQ1370" s="6"/>
      <c r="FR1370" s="6"/>
      <c r="FS1370" s="6"/>
      <c r="FT1370" s="6"/>
      <c r="FU1370" s="6"/>
      <c r="FV1370" s="6"/>
      <c r="FW1370" s="6"/>
      <c r="FX1370" s="6"/>
      <c r="FY1370" s="6"/>
      <c r="FZ1370" s="6"/>
      <c r="GA1370" s="6"/>
      <c r="GB1370" s="6"/>
      <c r="GC1370" s="6"/>
      <c r="GD1370" s="6"/>
      <c r="GE1370" s="6"/>
      <c r="GF1370" s="6"/>
      <c r="GG1370" s="6"/>
      <c r="GH1370" s="6"/>
      <c r="GI1370" s="6"/>
      <c r="GJ1370" s="6"/>
      <c r="GK1370" s="6"/>
      <c r="GL1370" s="6"/>
      <c r="GM1370" s="6"/>
      <c r="GN1370" s="6"/>
      <c r="GO1370" s="6"/>
      <c r="GP1370" s="6"/>
      <c r="GQ1370" s="6"/>
      <c r="GR1370" s="6"/>
      <c r="GS1370" s="6"/>
      <c r="GT1370" s="6"/>
      <c r="GU1370" s="6"/>
      <c r="GV1370" s="6"/>
      <c r="GW1370" s="6"/>
      <c r="GX1370" s="6"/>
      <c r="GY1370" s="6"/>
      <c r="GZ1370" s="6"/>
      <c r="HA1370" s="6"/>
      <c r="HB1370" s="6"/>
      <c r="HC1370" s="6"/>
      <c r="HD1370" s="6"/>
      <c r="HE1370" s="6"/>
      <c r="HF1370" s="6"/>
      <c r="HG1370" s="6"/>
      <c r="HH1370" s="6"/>
    </row>
    <row r="1371" spans="1:216" x14ac:dyDescent="0.3">
      <c r="A1371" s="8"/>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6"/>
      <c r="AR1371" s="6"/>
      <c r="AS1371" s="6"/>
      <c r="AT1371" s="6"/>
      <c r="AU1371" s="6"/>
      <c r="AV1371" s="6"/>
      <c r="AW1371" s="6"/>
      <c r="AX1371" s="6"/>
      <c r="AY1371" s="6"/>
      <c r="AZ1371" s="6"/>
      <c r="BA1371" s="6"/>
      <c r="BB1371" s="6"/>
      <c r="BC1371" s="6"/>
      <c r="BD1371" s="6"/>
      <c r="BE1371" s="6"/>
      <c r="BF1371" s="6"/>
      <c r="BG1371" s="6"/>
      <c r="BH1371" s="6"/>
      <c r="BI1371" s="6"/>
      <c r="BJ1371" s="6"/>
      <c r="BK1371" s="6"/>
      <c r="BL1371" s="6"/>
      <c r="BM1371" s="6"/>
      <c r="BN1371" s="6"/>
      <c r="BO1371" s="6"/>
      <c r="BP1371" s="6"/>
      <c r="BQ1371" s="6"/>
      <c r="BR1371" s="6"/>
      <c r="BS1371" s="6"/>
      <c r="BT1371" s="6"/>
      <c r="BU1371" s="6"/>
      <c r="BV1371" s="6"/>
      <c r="BW1371" s="6"/>
      <c r="BX1371" s="6"/>
      <c r="BY1371" s="6"/>
      <c r="BZ1371" s="6"/>
      <c r="CA1371" s="6"/>
      <c r="CB1371" s="6"/>
      <c r="CC1371" s="6"/>
      <c r="CD1371" s="6"/>
      <c r="CE1371" s="6"/>
      <c r="CF1371" s="6"/>
      <c r="CG1371" s="6"/>
      <c r="CH1371" s="6"/>
      <c r="CI1371" s="6"/>
      <c r="CJ1371" s="6"/>
      <c r="CK1371" s="6"/>
      <c r="CL1371" s="6"/>
      <c r="CM1371" s="6"/>
      <c r="CN1371" s="6"/>
      <c r="CO1371" s="6"/>
      <c r="CP1371" s="6"/>
      <c r="CQ1371" s="6"/>
      <c r="CR1371" s="6"/>
      <c r="CS1371" s="6"/>
      <c r="CT1371" s="6"/>
      <c r="CU1371" s="6"/>
      <c r="CV1371" s="6"/>
      <c r="CW1371" s="6"/>
      <c r="CX1371" s="6"/>
      <c r="CY1371" s="6"/>
      <c r="CZ1371" s="6"/>
      <c r="DA1371" s="6"/>
      <c r="DB1371" s="6"/>
      <c r="DC1371" s="6"/>
      <c r="DD1371" s="6"/>
      <c r="DE1371" s="6"/>
      <c r="DF1371" s="6"/>
      <c r="DG1371" s="6"/>
      <c r="DH1371" s="6"/>
      <c r="DI1371" s="6"/>
      <c r="DJ1371" s="6"/>
      <c r="DK1371" s="6"/>
      <c r="DL1371" s="6"/>
      <c r="DM1371" s="6"/>
      <c r="DN1371" s="6"/>
      <c r="DO1371" s="6"/>
      <c r="DP1371" s="6"/>
      <c r="DQ1371" s="6"/>
      <c r="DR1371" s="6"/>
      <c r="DS1371" s="6"/>
      <c r="DT1371" s="6"/>
      <c r="DU1371" s="6"/>
      <c r="DV1371" s="6"/>
      <c r="DW1371" s="6"/>
      <c r="DX1371" s="6"/>
      <c r="DY1371" s="6"/>
      <c r="DZ1371" s="6"/>
      <c r="EA1371" s="6"/>
      <c r="EB1371" s="6"/>
      <c r="EC1371" s="6"/>
      <c r="ED1371" s="6"/>
      <c r="EE1371" s="6"/>
      <c r="EF1371" s="6"/>
      <c r="EG1371" s="6"/>
      <c r="EH1371" s="6"/>
      <c r="EI1371" s="6"/>
      <c r="EJ1371" s="6"/>
      <c r="EK1371" s="6"/>
      <c r="EL1371" s="6"/>
      <c r="EM1371" s="6"/>
      <c r="EN1371" s="6"/>
      <c r="EO1371" s="6"/>
      <c r="EP1371" s="6"/>
      <c r="EQ1371" s="6"/>
      <c r="ER1371" s="6"/>
      <c r="ES1371" s="6"/>
      <c r="ET1371" s="6"/>
      <c r="EU1371" s="6"/>
      <c r="EV1371" s="6"/>
      <c r="EW1371" s="6"/>
      <c r="EX1371" s="6"/>
      <c r="EY1371" s="6"/>
      <c r="EZ1371" s="6"/>
      <c r="FA1371" s="6"/>
      <c r="FB1371" s="6"/>
      <c r="FC1371" s="6"/>
      <c r="FD1371" s="6"/>
      <c r="FE1371" s="6"/>
      <c r="FF1371" s="6"/>
      <c r="FG1371" s="6"/>
      <c r="FH1371" s="6"/>
      <c r="FI1371" s="6"/>
      <c r="FJ1371" s="6"/>
      <c r="FK1371" s="6"/>
      <c r="FL1371" s="6"/>
      <c r="FM1371" s="6"/>
      <c r="FN1371" s="6"/>
      <c r="FO1371" s="6"/>
      <c r="FP1371" s="6"/>
      <c r="FQ1371" s="6"/>
      <c r="FR1371" s="6"/>
      <c r="FS1371" s="6"/>
      <c r="FT1371" s="6"/>
      <c r="FU1371" s="6"/>
      <c r="FV1371" s="6"/>
      <c r="FW1371" s="6"/>
      <c r="FX1371" s="6"/>
      <c r="FY1371" s="6"/>
      <c r="FZ1371" s="6"/>
      <c r="GA1371" s="6"/>
      <c r="GB1371" s="6"/>
      <c r="GC1371" s="6"/>
      <c r="GD1371" s="6"/>
      <c r="GE1371" s="6"/>
      <c r="GF1371" s="6"/>
      <c r="GG1371" s="6"/>
      <c r="GH1371" s="6"/>
      <c r="GI1371" s="6"/>
      <c r="GJ1371" s="6"/>
      <c r="GK1371" s="6"/>
      <c r="GL1371" s="6"/>
      <c r="GM1371" s="6"/>
      <c r="GN1371" s="6"/>
      <c r="GO1371" s="6"/>
      <c r="GP1371" s="6"/>
      <c r="GQ1371" s="6"/>
      <c r="GR1371" s="6"/>
      <c r="GS1371" s="6"/>
      <c r="GT1371" s="6"/>
      <c r="GU1371" s="6"/>
      <c r="GV1371" s="6"/>
      <c r="GW1371" s="6"/>
      <c r="GX1371" s="6"/>
      <c r="GY1371" s="6"/>
      <c r="GZ1371" s="6"/>
      <c r="HA1371" s="6"/>
      <c r="HB1371" s="6"/>
      <c r="HC1371" s="6"/>
      <c r="HD1371" s="6"/>
      <c r="HE1371" s="6"/>
      <c r="HF1371" s="6"/>
      <c r="HG1371" s="6"/>
      <c r="HH1371" s="6"/>
    </row>
    <row r="1372" spans="1:216" x14ac:dyDescent="0.3">
      <c r="A1372" s="8"/>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6"/>
      <c r="AR1372" s="6"/>
      <c r="AS1372" s="6"/>
      <c r="AT1372" s="6"/>
      <c r="AU1372" s="6"/>
      <c r="AV1372" s="6"/>
      <c r="AW1372" s="6"/>
      <c r="AX1372" s="6"/>
      <c r="AY1372" s="6"/>
      <c r="AZ1372" s="6"/>
      <c r="BA1372" s="6"/>
      <c r="BB1372" s="6"/>
      <c r="BC1372" s="6"/>
      <c r="BD1372" s="6"/>
      <c r="BE1372" s="6"/>
      <c r="BF1372" s="6"/>
      <c r="BG1372" s="6"/>
      <c r="BH1372" s="6"/>
      <c r="BI1372" s="6"/>
      <c r="BJ1372" s="6"/>
      <c r="BK1372" s="6"/>
      <c r="BL1372" s="6"/>
      <c r="BM1372" s="6"/>
      <c r="BN1372" s="6"/>
      <c r="BO1372" s="6"/>
      <c r="BP1372" s="6"/>
      <c r="BQ1372" s="6"/>
      <c r="BR1372" s="6"/>
      <c r="BS1372" s="6"/>
      <c r="BT1372" s="6"/>
      <c r="BU1372" s="6"/>
      <c r="BV1372" s="6"/>
      <c r="BW1372" s="6"/>
      <c r="BX1372" s="6"/>
      <c r="BY1372" s="6"/>
      <c r="BZ1372" s="6"/>
      <c r="CA1372" s="6"/>
      <c r="CB1372" s="6"/>
      <c r="CC1372" s="6"/>
      <c r="CD1372" s="6"/>
      <c r="CE1372" s="6"/>
      <c r="CF1372" s="6"/>
      <c r="CG1372" s="6"/>
      <c r="CH1372" s="6"/>
      <c r="CI1372" s="6"/>
      <c r="CJ1372" s="6"/>
      <c r="CK1372" s="6"/>
      <c r="CL1372" s="6"/>
      <c r="CM1372" s="6"/>
      <c r="CN1372" s="6"/>
      <c r="CO1372" s="6"/>
      <c r="CP1372" s="6"/>
      <c r="CQ1372" s="6"/>
      <c r="CR1372" s="6"/>
      <c r="CS1372" s="6"/>
      <c r="CT1372" s="6"/>
      <c r="CU1372" s="6"/>
      <c r="CV1372" s="6"/>
      <c r="CW1372" s="6"/>
      <c r="CX1372" s="6"/>
      <c r="CY1372" s="6"/>
      <c r="CZ1372" s="6"/>
      <c r="DA1372" s="6"/>
      <c r="DB1372" s="6"/>
      <c r="DC1372" s="6"/>
      <c r="DD1372" s="6"/>
      <c r="DE1372" s="6"/>
      <c r="DF1372" s="6"/>
      <c r="DG1372" s="6"/>
      <c r="DH1372" s="6"/>
      <c r="DI1372" s="6"/>
      <c r="DJ1372" s="6"/>
      <c r="DK1372" s="6"/>
      <c r="DL1372" s="6"/>
      <c r="DM1372" s="6"/>
      <c r="DN1372" s="6"/>
      <c r="DO1372" s="6"/>
      <c r="DP1372" s="6"/>
      <c r="DQ1372" s="6"/>
      <c r="DR1372" s="6"/>
      <c r="DS1372" s="6"/>
      <c r="DT1372" s="6"/>
      <c r="DU1372" s="6"/>
      <c r="DV1372" s="6"/>
      <c r="DW1372" s="6"/>
      <c r="DX1372" s="6"/>
      <c r="DY1372" s="6"/>
      <c r="DZ1372" s="6"/>
      <c r="EA1372" s="6"/>
      <c r="EB1372" s="6"/>
      <c r="EC1372" s="6"/>
      <c r="ED1372" s="6"/>
      <c r="EE1372" s="6"/>
      <c r="EF1372" s="6"/>
      <c r="EG1372" s="6"/>
      <c r="EH1372" s="6"/>
      <c r="EI1372" s="6"/>
      <c r="EJ1372" s="6"/>
      <c r="EK1372" s="6"/>
      <c r="EL1372" s="6"/>
      <c r="EM1372" s="6"/>
      <c r="EN1372" s="6"/>
      <c r="EO1372" s="6"/>
      <c r="EP1372" s="6"/>
      <c r="EQ1372" s="6"/>
      <c r="ER1372" s="6"/>
      <c r="ES1372" s="6"/>
      <c r="ET1372" s="6"/>
      <c r="EU1372" s="6"/>
      <c r="EV1372" s="6"/>
      <c r="EW1372" s="6"/>
      <c r="EX1372" s="6"/>
      <c r="EY1372" s="6"/>
      <c r="EZ1372" s="6"/>
      <c r="FA1372" s="6"/>
      <c r="FB1372" s="6"/>
      <c r="FC1372" s="6"/>
      <c r="FD1372" s="6"/>
      <c r="FE1372" s="6"/>
      <c r="FF1372" s="6"/>
      <c r="FG1372" s="6"/>
      <c r="FH1372" s="6"/>
      <c r="FI1372" s="6"/>
      <c r="FJ1372" s="6"/>
      <c r="FK1372" s="6"/>
      <c r="FL1372" s="6"/>
      <c r="FM1372" s="6"/>
      <c r="FN1372" s="6"/>
      <c r="FO1372" s="6"/>
      <c r="FP1372" s="6"/>
      <c r="FQ1372" s="6"/>
      <c r="FR1372" s="6"/>
      <c r="FS1372" s="6"/>
      <c r="FT1372" s="6"/>
      <c r="FU1372" s="6"/>
      <c r="FV1372" s="6"/>
      <c r="FW1372" s="6"/>
      <c r="FX1372" s="6"/>
      <c r="FY1372" s="6"/>
      <c r="FZ1372" s="6"/>
      <c r="GA1372" s="6"/>
      <c r="GB1372" s="6"/>
      <c r="GC1372" s="6"/>
      <c r="GD1372" s="6"/>
      <c r="GE1372" s="6"/>
      <c r="GF1372" s="6"/>
      <c r="GG1372" s="6"/>
      <c r="GH1372" s="6"/>
      <c r="GI1372" s="6"/>
      <c r="GJ1372" s="6"/>
      <c r="GK1372" s="6"/>
      <c r="GL1372" s="6"/>
      <c r="GM1372" s="6"/>
      <c r="GN1372" s="6"/>
      <c r="GO1372" s="6"/>
      <c r="GP1372" s="6"/>
      <c r="GQ1372" s="6"/>
      <c r="GR1372" s="6"/>
      <c r="GS1372" s="6"/>
      <c r="GT1372" s="6"/>
      <c r="GU1372" s="6"/>
      <c r="GV1372" s="6"/>
      <c r="GW1372" s="6"/>
      <c r="GX1372" s="6"/>
      <c r="GY1372" s="6"/>
      <c r="GZ1372" s="6"/>
      <c r="HA1372" s="6"/>
      <c r="HB1372" s="6"/>
      <c r="HC1372" s="6"/>
      <c r="HD1372" s="6"/>
      <c r="HE1372" s="6"/>
      <c r="HF1372" s="6"/>
      <c r="HG1372" s="6"/>
      <c r="HH1372" s="6"/>
    </row>
    <row r="1373" spans="1:216" x14ac:dyDescent="0.3">
      <c r="A1373" s="8"/>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6"/>
      <c r="AR1373" s="6"/>
      <c r="AS1373" s="6"/>
      <c r="AT1373" s="6"/>
      <c r="AU1373" s="6"/>
      <c r="AV1373" s="6"/>
      <c r="AW1373" s="6"/>
      <c r="AX1373" s="6"/>
      <c r="AY1373" s="6"/>
      <c r="AZ1373" s="6"/>
      <c r="BA1373" s="6"/>
      <c r="BB1373" s="6"/>
      <c r="BC1373" s="6"/>
      <c r="BD1373" s="6"/>
      <c r="BE1373" s="6"/>
      <c r="BF1373" s="6"/>
      <c r="BG1373" s="6"/>
      <c r="BH1373" s="6"/>
      <c r="BI1373" s="6"/>
      <c r="BJ1373" s="6"/>
      <c r="BK1373" s="6"/>
      <c r="BL1373" s="6"/>
      <c r="BM1373" s="6"/>
      <c r="BN1373" s="6"/>
      <c r="BO1373" s="6"/>
      <c r="BP1373" s="6"/>
      <c r="BQ1373" s="6"/>
      <c r="BR1373" s="6"/>
      <c r="BS1373" s="6"/>
      <c r="BT1373" s="6"/>
      <c r="BU1373" s="6"/>
      <c r="BV1373" s="6"/>
      <c r="BW1373" s="6"/>
      <c r="BX1373" s="6"/>
      <c r="BY1373" s="6"/>
      <c r="BZ1373" s="6"/>
      <c r="CA1373" s="6"/>
      <c r="CB1373" s="6"/>
      <c r="CC1373" s="6"/>
      <c r="CD1373" s="6"/>
      <c r="CE1373" s="6"/>
      <c r="CF1373" s="6"/>
      <c r="CG1373" s="6"/>
      <c r="CH1373" s="6"/>
      <c r="CI1373" s="6"/>
      <c r="CJ1373" s="6"/>
      <c r="CK1373" s="6"/>
      <c r="CL1373" s="6"/>
      <c r="CM1373" s="6"/>
      <c r="CN1373" s="6"/>
      <c r="CO1373" s="6"/>
      <c r="CP1373" s="6"/>
      <c r="CQ1373" s="6"/>
      <c r="CR1373" s="6"/>
      <c r="CS1373" s="6"/>
      <c r="CT1373" s="6"/>
      <c r="CU1373" s="6"/>
      <c r="CV1373" s="6"/>
      <c r="CW1373" s="6"/>
      <c r="CX1373" s="6"/>
      <c r="CY1373" s="6"/>
      <c r="CZ1373" s="6"/>
      <c r="DA1373" s="6"/>
      <c r="DB1373" s="6"/>
      <c r="DC1373" s="6"/>
      <c r="DD1373" s="6"/>
      <c r="DE1373" s="6"/>
      <c r="DF1373" s="6"/>
      <c r="DG1373" s="6"/>
      <c r="DH1373" s="6"/>
      <c r="DI1373" s="6"/>
      <c r="DJ1373" s="6"/>
      <c r="DK1373" s="6"/>
      <c r="DL1373" s="6"/>
      <c r="DM1373" s="6"/>
      <c r="DN1373" s="6"/>
      <c r="DO1373" s="6"/>
      <c r="DP1373" s="6"/>
      <c r="DQ1373" s="6"/>
      <c r="DR1373" s="6"/>
      <c r="DS1373" s="6"/>
      <c r="DT1373" s="6"/>
      <c r="DU1373" s="6"/>
      <c r="DV1373" s="6"/>
      <c r="DW1373" s="6"/>
      <c r="DX1373" s="6"/>
      <c r="DY1373" s="6"/>
      <c r="DZ1373" s="6"/>
      <c r="EA1373" s="6"/>
      <c r="EB1373" s="6"/>
      <c r="EC1373" s="6"/>
      <c r="ED1373" s="6"/>
      <c r="EE1373" s="6"/>
      <c r="EF1373" s="6"/>
      <c r="EG1373" s="6"/>
      <c r="EH1373" s="6"/>
      <c r="EI1373" s="6"/>
      <c r="EJ1373" s="6"/>
      <c r="EK1373" s="6"/>
      <c r="EL1373" s="6"/>
      <c r="EM1373" s="6"/>
      <c r="EN1373" s="6"/>
      <c r="EO1373" s="6"/>
      <c r="EP1373" s="6"/>
      <c r="EQ1373" s="6"/>
      <c r="ER1373" s="6"/>
      <c r="ES1373" s="6"/>
      <c r="ET1373" s="6"/>
      <c r="EU1373" s="6"/>
      <c r="EV1373" s="6"/>
      <c r="EW1373" s="6"/>
      <c r="EX1373" s="6"/>
      <c r="EY1373" s="6"/>
      <c r="EZ1373" s="6"/>
      <c r="FA1373" s="6"/>
      <c r="FB1373" s="6"/>
      <c r="FC1373" s="6"/>
      <c r="FD1373" s="6"/>
      <c r="FE1373" s="6"/>
      <c r="FF1373" s="6"/>
      <c r="FG1373" s="6"/>
      <c r="FH1373" s="6"/>
      <c r="FI1373" s="6"/>
      <c r="FJ1373" s="6"/>
      <c r="FK1373" s="6"/>
      <c r="FL1373" s="6"/>
      <c r="FM1373" s="6"/>
      <c r="FN1373" s="6"/>
      <c r="FO1373" s="6"/>
      <c r="FP1373" s="6"/>
      <c r="FQ1373" s="6"/>
      <c r="FR1373" s="6"/>
      <c r="FS1373" s="6"/>
      <c r="FT1373" s="6"/>
      <c r="FU1373" s="6"/>
      <c r="FV1373" s="6"/>
      <c r="FW1373" s="6"/>
      <c r="FX1373" s="6"/>
      <c r="FY1373" s="6"/>
      <c r="FZ1373" s="6"/>
      <c r="GA1373" s="6"/>
      <c r="GB1373" s="6"/>
      <c r="GC1373" s="6"/>
      <c r="GD1373" s="6"/>
      <c r="GE1373" s="6"/>
      <c r="GF1373" s="6"/>
      <c r="GG1373" s="6"/>
      <c r="GH1373" s="6"/>
      <c r="GI1373" s="6"/>
      <c r="GJ1373" s="6"/>
      <c r="GK1373" s="6"/>
      <c r="GL1373" s="6"/>
      <c r="GM1373" s="6"/>
      <c r="GN1373" s="6"/>
      <c r="GO1373" s="6"/>
      <c r="GP1373" s="6"/>
      <c r="GQ1373" s="6"/>
      <c r="GR1373" s="6"/>
      <c r="GS1373" s="6"/>
      <c r="GT1373" s="6"/>
      <c r="GU1373" s="6"/>
      <c r="GV1373" s="6"/>
      <c r="GW1373" s="6"/>
      <c r="GX1373" s="6"/>
      <c r="GY1373" s="6"/>
      <c r="GZ1373" s="6"/>
      <c r="HA1373" s="6"/>
      <c r="HB1373" s="6"/>
      <c r="HC1373" s="6"/>
      <c r="HD1373" s="6"/>
      <c r="HE1373" s="6"/>
      <c r="HF1373" s="6"/>
      <c r="HG1373" s="6"/>
      <c r="HH1373" s="6"/>
    </row>
    <row r="1374" spans="1:216" x14ac:dyDescent="0.3">
      <c r="A1374" s="8"/>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6"/>
      <c r="AR1374" s="6"/>
      <c r="AS1374" s="6"/>
      <c r="AT1374" s="6"/>
      <c r="AU1374" s="6"/>
      <c r="AV1374" s="6"/>
      <c r="AW1374" s="6"/>
      <c r="AX1374" s="6"/>
      <c r="AY1374" s="6"/>
      <c r="AZ1374" s="6"/>
      <c r="BA1374" s="6"/>
      <c r="BB1374" s="6"/>
      <c r="BC1374" s="6"/>
      <c r="BD1374" s="6"/>
      <c r="BE1374" s="6"/>
      <c r="BF1374" s="6"/>
      <c r="BG1374" s="6"/>
      <c r="BH1374" s="6"/>
      <c r="BI1374" s="6"/>
      <c r="BJ1374" s="6"/>
      <c r="BK1374" s="6"/>
      <c r="BL1374" s="6"/>
      <c r="BM1374" s="6"/>
      <c r="BN1374" s="6"/>
      <c r="BO1374" s="6"/>
      <c r="BP1374" s="6"/>
      <c r="BQ1374" s="6"/>
      <c r="BR1374" s="6"/>
      <c r="BS1374" s="6"/>
      <c r="BT1374" s="6"/>
      <c r="BU1374" s="6"/>
      <c r="BV1374" s="6"/>
      <c r="BW1374" s="6"/>
      <c r="BX1374" s="6"/>
      <c r="BY1374" s="6"/>
      <c r="BZ1374" s="6"/>
      <c r="CA1374" s="6"/>
      <c r="CB1374" s="6"/>
      <c r="CC1374" s="6"/>
      <c r="CD1374" s="6"/>
      <c r="CE1374" s="6"/>
      <c r="CF1374" s="6"/>
      <c r="CG1374" s="6"/>
      <c r="CH1374" s="6"/>
      <c r="CI1374" s="6"/>
      <c r="CJ1374" s="6"/>
      <c r="CK1374" s="6"/>
      <c r="CL1374" s="6"/>
      <c r="CM1374" s="6"/>
      <c r="CN1374" s="6"/>
      <c r="CO1374" s="6"/>
      <c r="CP1374" s="6"/>
      <c r="CQ1374" s="6"/>
      <c r="CR1374" s="6"/>
      <c r="CS1374" s="6"/>
      <c r="CT1374" s="6"/>
      <c r="CU1374" s="6"/>
      <c r="CV1374" s="6"/>
      <c r="CW1374" s="6"/>
      <c r="CX1374" s="6"/>
      <c r="CY1374" s="6"/>
      <c r="CZ1374" s="6"/>
      <c r="DA1374" s="6"/>
      <c r="DB1374" s="6"/>
      <c r="DC1374" s="6"/>
      <c r="DD1374" s="6"/>
      <c r="DE1374" s="6"/>
      <c r="DF1374" s="6"/>
      <c r="DG1374" s="6"/>
      <c r="DH1374" s="6"/>
      <c r="DI1374" s="6"/>
      <c r="DJ1374" s="6"/>
      <c r="DK1374" s="6"/>
      <c r="DL1374" s="6"/>
      <c r="DM1374" s="6"/>
      <c r="DN1374" s="6"/>
      <c r="DO1374" s="6"/>
      <c r="DP1374" s="6"/>
      <c r="DQ1374" s="6"/>
      <c r="DR1374" s="6"/>
      <c r="DS1374" s="6"/>
      <c r="DT1374" s="6"/>
      <c r="DU1374" s="6"/>
      <c r="DV1374" s="6"/>
      <c r="DW1374" s="6"/>
      <c r="DX1374" s="6"/>
      <c r="DY1374" s="6"/>
      <c r="DZ1374" s="6"/>
      <c r="EA1374" s="6"/>
      <c r="EB1374" s="6"/>
      <c r="EC1374" s="6"/>
      <c r="ED1374" s="6"/>
      <c r="EE1374" s="6"/>
      <c r="EF1374" s="6"/>
      <c r="EG1374" s="6"/>
      <c r="EH1374" s="6"/>
      <c r="EI1374" s="6"/>
      <c r="EJ1374" s="6"/>
      <c r="EK1374" s="6"/>
      <c r="EL1374" s="6"/>
      <c r="EM1374" s="6"/>
      <c r="EN1374" s="6"/>
      <c r="EO1374" s="6"/>
      <c r="EP1374" s="6"/>
      <c r="EQ1374" s="6"/>
      <c r="ER1374" s="6"/>
      <c r="ES1374" s="6"/>
      <c r="ET1374" s="6"/>
      <c r="EU1374" s="6"/>
      <c r="EV1374" s="6"/>
      <c r="EW1374" s="6"/>
      <c r="EX1374" s="6"/>
      <c r="EY1374" s="6"/>
      <c r="EZ1374" s="6"/>
      <c r="FA1374" s="6"/>
      <c r="FB1374" s="6"/>
      <c r="FC1374" s="6"/>
      <c r="FD1374" s="6"/>
      <c r="FE1374" s="6"/>
      <c r="FF1374" s="6"/>
      <c r="FG1374" s="6"/>
      <c r="FH1374" s="6"/>
      <c r="FI1374" s="6"/>
      <c r="FJ1374" s="6"/>
      <c r="FK1374" s="6"/>
      <c r="FL1374" s="6"/>
      <c r="FM1374" s="6"/>
      <c r="FN1374" s="6"/>
      <c r="FO1374" s="6"/>
      <c r="FP1374" s="6"/>
      <c r="FQ1374" s="6"/>
      <c r="FR1374" s="6"/>
      <c r="FS1374" s="6"/>
      <c r="FT1374" s="6"/>
      <c r="FU1374" s="6"/>
      <c r="FV1374" s="6"/>
      <c r="FW1374" s="6"/>
      <c r="FX1374" s="6"/>
      <c r="FY1374" s="6"/>
      <c r="FZ1374" s="6"/>
      <c r="GA1374" s="6"/>
      <c r="GB1374" s="6"/>
      <c r="GC1374" s="6"/>
      <c r="GD1374" s="6"/>
      <c r="GE1374" s="6"/>
      <c r="GF1374" s="6"/>
      <c r="GG1374" s="6"/>
      <c r="GH1374" s="6"/>
      <c r="GI1374" s="6"/>
      <c r="GJ1374" s="6"/>
      <c r="GK1374" s="6"/>
      <c r="GL1374" s="6"/>
      <c r="GM1374" s="6"/>
      <c r="GN1374" s="6"/>
      <c r="GO1374" s="6"/>
      <c r="GP1374" s="6"/>
      <c r="GQ1374" s="6"/>
      <c r="GR1374" s="6"/>
      <c r="GS1374" s="6"/>
      <c r="GT1374" s="6"/>
      <c r="GU1374" s="6"/>
      <c r="GV1374" s="6"/>
      <c r="GW1374" s="6"/>
      <c r="GX1374" s="6"/>
      <c r="GY1374" s="6"/>
      <c r="GZ1374" s="6"/>
      <c r="HA1374" s="6"/>
      <c r="HB1374" s="6"/>
      <c r="HC1374" s="6"/>
      <c r="HD1374" s="6"/>
      <c r="HE1374" s="6"/>
      <c r="HF1374" s="6"/>
      <c r="HG1374" s="6"/>
      <c r="HH1374" s="6"/>
    </row>
    <row r="1375" spans="1:216" x14ac:dyDescent="0.3">
      <c r="A1375" s="8"/>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6"/>
      <c r="AR1375" s="6"/>
      <c r="AS1375" s="6"/>
      <c r="AT1375" s="6"/>
      <c r="AU1375" s="6"/>
      <c r="AV1375" s="6"/>
      <c r="AW1375" s="6"/>
      <c r="AX1375" s="6"/>
      <c r="AY1375" s="6"/>
      <c r="AZ1375" s="6"/>
      <c r="BA1375" s="6"/>
      <c r="BB1375" s="6"/>
      <c r="BC1375" s="6"/>
      <c r="BD1375" s="6"/>
      <c r="BE1375" s="6"/>
      <c r="BF1375" s="6"/>
      <c r="BG1375" s="6"/>
      <c r="BH1375" s="6"/>
      <c r="BI1375" s="6"/>
      <c r="BJ1375" s="6"/>
      <c r="BK1375" s="6"/>
      <c r="BL1375" s="6"/>
      <c r="BM1375" s="6"/>
      <c r="BN1375" s="6"/>
      <c r="BO1375" s="6"/>
      <c r="BP1375" s="6"/>
      <c r="BQ1375" s="6"/>
      <c r="BR1375" s="6"/>
      <c r="BS1375" s="6"/>
      <c r="BT1375" s="6"/>
      <c r="BU1375" s="6"/>
      <c r="BV1375" s="6"/>
      <c r="BW1375" s="6"/>
      <c r="BX1375" s="6"/>
      <c r="BY1375" s="6"/>
      <c r="BZ1375" s="6"/>
      <c r="CA1375" s="6"/>
      <c r="CB1375" s="6"/>
      <c r="CC1375" s="6"/>
      <c r="CD1375" s="6"/>
      <c r="CE1375" s="6"/>
      <c r="CF1375" s="6"/>
      <c r="CG1375" s="6"/>
      <c r="CH1375" s="6"/>
      <c r="CI1375" s="6"/>
      <c r="CJ1375" s="6"/>
      <c r="CK1375" s="6"/>
      <c r="CL1375" s="6"/>
      <c r="CM1375" s="6"/>
      <c r="CN1375" s="6"/>
      <c r="CO1375" s="6"/>
      <c r="CP1375" s="6"/>
      <c r="CQ1375" s="6"/>
      <c r="CR1375" s="6"/>
      <c r="CS1375" s="6"/>
      <c r="CT1375" s="6"/>
      <c r="CU1375" s="6"/>
      <c r="CV1375" s="6"/>
      <c r="CW1375" s="6"/>
      <c r="CX1375" s="6"/>
      <c r="CY1375" s="6"/>
      <c r="CZ1375" s="6"/>
      <c r="DA1375" s="6"/>
      <c r="DB1375" s="6"/>
      <c r="DC1375" s="6"/>
      <c r="DD1375" s="6"/>
      <c r="DE1375" s="6"/>
      <c r="DF1375" s="6"/>
      <c r="DG1375" s="6"/>
      <c r="DH1375" s="6"/>
      <c r="DI1375" s="6"/>
      <c r="DJ1375" s="6"/>
      <c r="DK1375" s="6"/>
      <c r="DL1375" s="6"/>
      <c r="DM1375" s="6"/>
      <c r="DN1375" s="6"/>
      <c r="DO1375" s="6"/>
      <c r="DP1375" s="6"/>
      <c r="DQ1375" s="6"/>
      <c r="DR1375" s="6"/>
      <c r="DS1375" s="6"/>
      <c r="DT1375" s="6"/>
      <c r="DU1375" s="6"/>
      <c r="DV1375" s="6"/>
      <c r="DW1375" s="6"/>
      <c r="DX1375" s="6"/>
      <c r="DY1375" s="6"/>
      <c r="DZ1375" s="6"/>
      <c r="EA1375" s="6"/>
      <c r="EB1375" s="6"/>
      <c r="EC1375" s="6"/>
      <c r="ED1375" s="6"/>
      <c r="EE1375" s="6"/>
      <c r="EF1375" s="6"/>
      <c r="EG1375" s="6"/>
      <c r="EH1375" s="6"/>
      <c r="EI1375" s="6"/>
      <c r="EJ1375" s="6"/>
      <c r="EK1375" s="6"/>
      <c r="EL1375" s="6"/>
      <c r="EM1375" s="6"/>
      <c r="EN1375" s="6"/>
      <c r="EO1375" s="6"/>
      <c r="EP1375" s="6"/>
      <c r="EQ1375" s="6"/>
      <c r="ER1375" s="6"/>
      <c r="ES1375" s="6"/>
      <c r="ET1375" s="6"/>
      <c r="EU1375" s="6"/>
      <c r="EV1375" s="6"/>
      <c r="EW1375" s="6"/>
      <c r="EX1375" s="6"/>
      <c r="EY1375" s="6"/>
      <c r="EZ1375" s="6"/>
      <c r="FA1375" s="6"/>
      <c r="FB1375" s="6"/>
      <c r="FC1375" s="6"/>
      <c r="FD1375" s="6"/>
      <c r="FE1375" s="6"/>
      <c r="FF1375" s="6"/>
      <c r="FG1375" s="6"/>
      <c r="FH1375" s="6"/>
      <c r="FI1375" s="6"/>
      <c r="FJ1375" s="6"/>
      <c r="FK1375" s="6"/>
      <c r="FL1375" s="6"/>
      <c r="FM1375" s="6"/>
      <c r="FN1375" s="6"/>
      <c r="FO1375" s="6"/>
      <c r="FP1375" s="6"/>
      <c r="FQ1375" s="6"/>
      <c r="FR1375" s="6"/>
      <c r="FS1375" s="6"/>
      <c r="FT1375" s="6"/>
      <c r="FU1375" s="6"/>
      <c r="FV1375" s="6"/>
      <c r="FW1375" s="6"/>
      <c r="FX1375" s="6"/>
      <c r="FY1375" s="6"/>
      <c r="FZ1375" s="6"/>
      <c r="GA1375" s="6"/>
      <c r="GB1375" s="6"/>
      <c r="GC1375" s="6"/>
      <c r="GD1375" s="6"/>
      <c r="GE1375" s="6"/>
      <c r="GF1375" s="6"/>
      <c r="GG1375" s="6"/>
      <c r="GH1375" s="6"/>
      <c r="GI1375" s="6"/>
      <c r="GJ1375" s="6"/>
      <c r="GK1375" s="6"/>
      <c r="GL1375" s="6"/>
      <c r="GM1375" s="6"/>
      <c r="GN1375" s="6"/>
      <c r="GO1375" s="6"/>
      <c r="GP1375" s="6"/>
      <c r="GQ1375" s="6"/>
      <c r="GR1375" s="6"/>
      <c r="GS1375" s="6"/>
      <c r="GT1375" s="6"/>
      <c r="GU1375" s="6"/>
      <c r="GV1375" s="6"/>
      <c r="GW1375" s="6"/>
      <c r="GX1375" s="6"/>
      <c r="GY1375" s="6"/>
      <c r="GZ1375" s="6"/>
      <c r="HA1375" s="6"/>
      <c r="HB1375" s="6"/>
      <c r="HC1375" s="6"/>
      <c r="HD1375" s="6"/>
      <c r="HE1375" s="6"/>
      <c r="HF1375" s="6"/>
      <c r="HG1375" s="6"/>
      <c r="HH1375" s="6"/>
    </row>
    <row r="1376" spans="1:216" x14ac:dyDescent="0.3">
      <c r="A1376" s="8"/>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6"/>
      <c r="AR1376" s="6"/>
      <c r="AS1376" s="6"/>
      <c r="AT1376" s="6"/>
      <c r="AU1376" s="6"/>
      <c r="AV1376" s="6"/>
      <c r="AW1376" s="6"/>
      <c r="AX1376" s="6"/>
      <c r="AY1376" s="6"/>
      <c r="AZ1376" s="6"/>
      <c r="BA1376" s="6"/>
      <c r="BB1376" s="6"/>
      <c r="BC1376" s="6"/>
      <c r="BD1376" s="6"/>
      <c r="BE1376" s="6"/>
      <c r="BF1376" s="6"/>
      <c r="BG1376" s="6"/>
      <c r="BH1376" s="6"/>
      <c r="BI1376" s="6"/>
      <c r="BJ1376" s="6"/>
      <c r="BK1376" s="6"/>
      <c r="BL1376" s="6"/>
      <c r="BM1376" s="6"/>
      <c r="BN1376" s="6"/>
      <c r="BO1376" s="6"/>
      <c r="BP1376" s="6"/>
      <c r="BQ1376" s="6"/>
      <c r="BR1376" s="6"/>
      <c r="BS1376" s="6"/>
      <c r="BT1376" s="6"/>
      <c r="BU1376" s="6"/>
      <c r="BV1376" s="6"/>
      <c r="BW1376" s="6"/>
      <c r="BX1376" s="6"/>
      <c r="BY1376" s="6"/>
      <c r="BZ1376" s="6"/>
      <c r="CA1376" s="6"/>
      <c r="CB1376" s="6"/>
      <c r="CC1376" s="6"/>
      <c r="CD1376" s="6"/>
      <c r="CE1376" s="6"/>
      <c r="CF1376" s="6"/>
      <c r="CG1376" s="6"/>
      <c r="CH1376" s="6"/>
      <c r="CI1376" s="6"/>
      <c r="CJ1376" s="6"/>
      <c r="CK1376" s="6"/>
      <c r="CL1376" s="6"/>
      <c r="CM1376" s="6"/>
      <c r="CN1376" s="6"/>
      <c r="CO1376" s="6"/>
      <c r="CP1376" s="6"/>
      <c r="CQ1376" s="6"/>
      <c r="CR1376" s="6"/>
      <c r="CS1376" s="6"/>
      <c r="CT1376" s="6"/>
      <c r="CU1376" s="6"/>
      <c r="CV1376" s="6"/>
      <c r="CW1376" s="6"/>
      <c r="CX1376" s="6"/>
      <c r="CY1376" s="6"/>
      <c r="CZ1376" s="6"/>
      <c r="DA1376" s="6"/>
      <c r="DB1376" s="6"/>
      <c r="DC1376" s="6"/>
      <c r="DD1376" s="6"/>
      <c r="DE1376" s="6"/>
      <c r="DF1376" s="6"/>
      <c r="DG1376" s="6"/>
      <c r="DH1376" s="6"/>
      <c r="DI1376" s="6"/>
      <c r="DJ1376" s="6"/>
      <c r="DK1376" s="6"/>
      <c r="DL1376" s="6"/>
      <c r="DM1376" s="6"/>
      <c r="DN1376" s="6"/>
      <c r="DO1376" s="6"/>
      <c r="DP1376" s="6"/>
      <c r="DQ1376" s="6"/>
      <c r="DR1376" s="6"/>
      <c r="DS1376" s="6"/>
      <c r="DT1376" s="6"/>
      <c r="DU1376" s="6"/>
      <c r="DV1376" s="6"/>
      <c r="DW1376" s="6"/>
      <c r="DX1376" s="6"/>
      <c r="DY1376" s="6"/>
      <c r="DZ1376" s="6"/>
      <c r="EA1376" s="6"/>
      <c r="EB1376" s="6"/>
      <c r="EC1376" s="6"/>
      <c r="ED1376" s="6"/>
      <c r="EE1376" s="6"/>
      <c r="EF1376" s="6"/>
      <c r="EG1376" s="6"/>
      <c r="EH1376" s="6"/>
      <c r="EI1376" s="6"/>
      <c r="EJ1376" s="6"/>
      <c r="EK1376" s="6"/>
      <c r="EL1376" s="6"/>
      <c r="EM1376" s="6"/>
      <c r="EN1376" s="6"/>
      <c r="EO1376" s="6"/>
      <c r="EP1376" s="6"/>
      <c r="EQ1376" s="6"/>
      <c r="ER1376" s="6"/>
      <c r="ES1376" s="6"/>
      <c r="ET1376" s="6"/>
      <c r="EU1376" s="6"/>
      <c r="EV1376" s="6"/>
      <c r="EW1376" s="6"/>
      <c r="EX1376" s="6"/>
      <c r="EY1376" s="6"/>
      <c r="EZ1376" s="6"/>
      <c r="FA1376" s="6"/>
      <c r="FB1376" s="6"/>
      <c r="FC1376" s="6"/>
      <c r="FD1376" s="6"/>
      <c r="FE1376" s="6"/>
      <c r="FF1376" s="6"/>
      <c r="FG1376" s="6"/>
      <c r="FH1376" s="6"/>
      <c r="FI1376" s="6"/>
      <c r="FJ1376" s="6"/>
      <c r="FK1376" s="6"/>
      <c r="FL1376" s="6"/>
      <c r="FM1376" s="6"/>
      <c r="FN1376" s="6"/>
      <c r="FO1376" s="6"/>
      <c r="FP1376" s="6"/>
      <c r="FQ1376" s="6"/>
      <c r="FR1376" s="6"/>
      <c r="FS1376" s="6"/>
      <c r="FT1376" s="6"/>
      <c r="FU1376" s="6"/>
      <c r="FV1376" s="6"/>
      <c r="FW1376" s="6"/>
      <c r="FX1376" s="6"/>
      <c r="FY1376" s="6"/>
      <c r="FZ1376" s="6"/>
      <c r="GA1376" s="6"/>
      <c r="GB1376" s="6"/>
      <c r="GC1376" s="6"/>
      <c r="GD1376" s="6"/>
      <c r="GE1376" s="6"/>
      <c r="GF1376" s="6"/>
      <c r="GG1376" s="6"/>
      <c r="GH1376" s="6"/>
      <c r="GI1376" s="6"/>
      <c r="GJ1376" s="6"/>
      <c r="GK1376" s="6"/>
      <c r="GL1376" s="6"/>
      <c r="GM1376" s="6"/>
      <c r="GN1376" s="6"/>
      <c r="GO1376" s="6"/>
      <c r="GP1376" s="6"/>
      <c r="GQ1376" s="6"/>
      <c r="GR1376" s="6"/>
      <c r="GS1376" s="6"/>
      <c r="GT1376" s="6"/>
      <c r="GU1376" s="6"/>
      <c r="GV1376" s="6"/>
      <c r="GW1376" s="6"/>
      <c r="GX1376" s="6"/>
      <c r="GY1376" s="6"/>
      <c r="GZ1376" s="6"/>
      <c r="HA1376" s="6"/>
      <c r="HB1376" s="6"/>
      <c r="HC1376" s="6"/>
      <c r="HD1376" s="6"/>
      <c r="HE1376" s="6"/>
      <c r="HF1376" s="6"/>
      <c r="HG1376" s="6"/>
      <c r="HH1376" s="6"/>
    </row>
    <row r="1377" spans="1:216" x14ac:dyDescent="0.3">
      <c r="A1377" s="8"/>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6"/>
      <c r="AR1377" s="6"/>
      <c r="AS1377" s="6"/>
      <c r="AT1377" s="6"/>
      <c r="AU1377" s="6"/>
      <c r="AV1377" s="6"/>
      <c r="AW1377" s="6"/>
      <c r="AX1377" s="6"/>
      <c r="AY1377" s="6"/>
      <c r="AZ1377" s="6"/>
      <c r="BA1377" s="6"/>
      <c r="BB1377" s="6"/>
      <c r="BC1377" s="6"/>
      <c r="BD1377" s="6"/>
      <c r="BE1377" s="6"/>
      <c r="BF1377" s="6"/>
      <c r="BG1377" s="6"/>
      <c r="BH1377" s="6"/>
      <c r="BI1377" s="6"/>
      <c r="BJ1377" s="6"/>
      <c r="BK1377" s="6"/>
      <c r="BL1377" s="6"/>
      <c r="BM1377" s="6"/>
      <c r="BN1377" s="6"/>
      <c r="BO1377" s="6"/>
      <c r="BP1377" s="6"/>
      <c r="BQ1377" s="6"/>
      <c r="BR1377" s="6"/>
      <c r="BS1377" s="6"/>
      <c r="BT1377" s="6"/>
      <c r="BU1377" s="6"/>
      <c r="BV1377" s="6"/>
      <c r="BW1377" s="6"/>
      <c r="BX1377" s="6"/>
      <c r="BY1377" s="6"/>
      <c r="BZ1377" s="6"/>
      <c r="CA1377" s="6"/>
      <c r="CB1377" s="6"/>
      <c r="CC1377" s="6"/>
      <c r="CD1377" s="6"/>
      <c r="CE1377" s="6"/>
      <c r="CF1377" s="6"/>
      <c r="CG1377" s="6"/>
      <c r="CH1377" s="6"/>
      <c r="CI1377" s="6"/>
      <c r="CJ1377" s="6"/>
      <c r="CK1377" s="6"/>
      <c r="CL1377" s="6"/>
      <c r="CM1377" s="6"/>
      <c r="CN1377" s="6"/>
      <c r="CO1377" s="6"/>
      <c r="CP1377" s="6"/>
      <c r="CQ1377" s="6"/>
      <c r="CR1377" s="6"/>
      <c r="CS1377" s="6"/>
      <c r="CT1377" s="6"/>
      <c r="CU1377" s="6"/>
      <c r="CV1377" s="6"/>
      <c r="CW1377" s="6"/>
      <c r="CX1377" s="6"/>
      <c r="CY1377" s="6"/>
      <c r="CZ1377" s="6"/>
      <c r="DA1377" s="6"/>
      <c r="DB1377" s="6"/>
      <c r="DC1377" s="6"/>
      <c r="DD1377" s="6"/>
      <c r="DE1377" s="6"/>
      <c r="DF1377" s="6"/>
      <c r="DG1377" s="6"/>
      <c r="DH1377" s="6"/>
      <c r="DI1377" s="6"/>
      <c r="DJ1377" s="6"/>
      <c r="DK1377" s="6"/>
      <c r="DL1377" s="6"/>
      <c r="DM1377" s="6"/>
      <c r="DN1377" s="6"/>
      <c r="DO1377" s="6"/>
      <c r="DP1377" s="6"/>
      <c r="DQ1377" s="6"/>
      <c r="DR1377" s="6"/>
      <c r="DS1377" s="6"/>
      <c r="DT1377" s="6"/>
      <c r="DU1377" s="6"/>
      <c r="DV1377" s="6"/>
      <c r="DW1377" s="6"/>
      <c r="DX1377" s="6"/>
      <c r="DY1377" s="6"/>
      <c r="DZ1377" s="6"/>
      <c r="EA1377" s="6"/>
      <c r="EB1377" s="6"/>
      <c r="EC1377" s="6"/>
      <c r="ED1377" s="6"/>
      <c r="EE1377" s="6"/>
      <c r="EF1377" s="6"/>
      <c r="EG1377" s="6"/>
      <c r="EH1377" s="6"/>
      <c r="EI1377" s="6"/>
      <c r="EJ1377" s="6"/>
      <c r="EK1377" s="6"/>
      <c r="EL1377" s="6"/>
      <c r="EM1377" s="6"/>
      <c r="EN1377" s="6"/>
      <c r="EO1377" s="6"/>
      <c r="EP1377" s="6"/>
      <c r="EQ1377" s="6"/>
      <c r="ER1377" s="6"/>
      <c r="ES1377" s="6"/>
      <c r="ET1377" s="6"/>
      <c r="EU1377" s="6"/>
      <c r="EV1377" s="6"/>
      <c r="EW1377" s="6"/>
      <c r="EX1377" s="6"/>
      <c r="EY1377" s="6"/>
      <c r="EZ1377" s="6"/>
      <c r="FA1377" s="6"/>
      <c r="FB1377" s="6"/>
      <c r="FC1377" s="6"/>
      <c r="FD1377" s="6"/>
      <c r="FE1377" s="6"/>
      <c r="FF1377" s="6"/>
      <c r="FG1377" s="6"/>
      <c r="FH1377" s="6"/>
      <c r="FI1377" s="6"/>
      <c r="FJ1377" s="6"/>
      <c r="FK1377" s="6"/>
      <c r="FL1377" s="6"/>
      <c r="FM1377" s="6"/>
      <c r="FN1377" s="6"/>
      <c r="FO1377" s="6"/>
      <c r="FP1377" s="6"/>
      <c r="FQ1377" s="6"/>
      <c r="FR1377" s="6"/>
      <c r="FS1377" s="6"/>
      <c r="FT1377" s="6"/>
      <c r="FU1377" s="6"/>
      <c r="FV1377" s="6"/>
      <c r="FW1377" s="6"/>
      <c r="FX1377" s="6"/>
      <c r="FY1377" s="6"/>
      <c r="FZ1377" s="6"/>
      <c r="GA1377" s="6"/>
      <c r="GB1377" s="6"/>
      <c r="GC1377" s="6"/>
      <c r="GD1377" s="6"/>
      <c r="GE1377" s="6"/>
      <c r="GF1377" s="6"/>
      <c r="GG1377" s="6"/>
      <c r="GH1377" s="6"/>
      <c r="GI1377" s="6"/>
      <c r="GJ1377" s="6"/>
      <c r="GK1377" s="6"/>
      <c r="GL1377" s="6"/>
      <c r="GM1377" s="6"/>
      <c r="GN1377" s="6"/>
      <c r="GO1377" s="6"/>
      <c r="GP1377" s="6"/>
      <c r="GQ1377" s="6"/>
      <c r="GR1377" s="6"/>
      <c r="GS1377" s="6"/>
      <c r="GT1377" s="6"/>
      <c r="GU1377" s="6"/>
      <c r="GV1377" s="6"/>
      <c r="GW1377" s="6"/>
      <c r="GX1377" s="6"/>
      <c r="GY1377" s="6"/>
      <c r="GZ1377" s="6"/>
      <c r="HA1377" s="6"/>
      <c r="HB1377" s="6"/>
      <c r="HC1377" s="6"/>
      <c r="HD1377" s="6"/>
      <c r="HE1377" s="6"/>
      <c r="HF1377" s="6"/>
      <c r="HG1377" s="6"/>
      <c r="HH1377" s="6"/>
    </row>
    <row r="1378" spans="1:216" x14ac:dyDescent="0.3">
      <c r="A1378" s="8"/>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6"/>
      <c r="AR1378" s="6"/>
      <c r="AS1378" s="6"/>
      <c r="AT1378" s="6"/>
      <c r="AU1378" s="6"/>
      <c r="AV1378" s="6"/>
      <c r="AW1378" s="6"/>
      <c r="AX1378" s="6"/>
      <c r="AY1378" s="6"/>
      <c r="AZ1378" s="6"/>
      <c r="BA1378" s="6"/>
      <c r="BB1378" s="6"/>
      <c r="BC1378" s="6"/>
      <c r="BD1378" s="6"/>
      <c r="BE1378" s="6"/>
      <c r="BF1378" s="6"/>
      <c r="BG1378" s="6"/>
      <c r="BH1378" s="6"/>
      <c r="BI1378" s="6"/>
      <c r="BJ1378" s="6"/>
      <c r="BK1378" s="6"/>
      <c r="BL1378" s="6"/>
      <c r="BM1378" s="6"/>
      <c r="BN1378" s="6"/>
      <c r="BO1378" s="6"/>
      <c r="BP1378" s="6"/>
      <c r="BQ1378" s="6"/>
      <c r="BR1378" s="6"/>
      <c r="BS1378" s="6"/>
      <c r="BT1378" s="6"/>
      <c r="BU1378" s="6"/>
      <c r="BV1378" s="6"/>
      <c r="BW1378" s="6"/>
      <c r="BX1378" s="6"/>
      <c r="BY1378" s="6"/>
      <c r="BZ1378" s="6"/>
      <c r="CA1378" s="6"/>
      <c r="CB1378" s="6"/>
      <c r="CC1378" s="6"/>
      <c r="CD1378" s="6"/>
      <c r="CE1378" s="6"/>
      <c r="CF1378" s="6"/>
      <c r="CG1378" s="6"/>
      <c r="CH1378" s="6"/>
      <c r="CI1378" s="6"/>
      <c r="CJ1378" s="6"/>
      <c r="CK1378" s="6"/>
      <c r="CL1378" s="6"/>
      <c r="CM1378" s="6"/>
      <c r="CN1378" s="6"/>
      <c r="CO1378" s="6"/>
      <c r="CP1378" s="6"/>
      <c r="CQ1378" s="6"/>
      <c r="CR1378" s="6"/>
      <c r="CS1378" s="6"/>
      <c r="CT1378" s="6"/>
      <c r="CU1378" s="6"/>
      <c r="CV1378" s="6"/>
      <c r="CW1378" s="6"/>
      <c r="CX1378" s="6"/>
      <c r="CY1378" s="6"/>
      <c r="CZ1378" s="6"/>
      <c r="DA1378" s="6"/>
      <c r="DB1378" s="6"/>
      <c r="DC1378" s="6"/>
      <c r="DD1378" s="6"/>
      <c r="DE1378" s="6"/>
      <c r="DF1378" s="6"/>
      <c r="DG1378" s="6"/>
      <c r="DH1378" s="6"/>
      <c r="DI1378" s="6"/>
      <c r="DJ1378" s="6"/>
      <c r="DK1378" s="6"/>
      <c r="DL1378" s="6"/>
      <c r="DM1378" s="6"/>
      <c r="DN1378" s="6"/>
      <c r="DO1378" s="6"/>
      <c r="DP1378" s="6"/>
      <c r="DQ1378" s="6"/>
      <c r="DR1378" s="6"/>
      <c r="DS1378" s="6"/>
      <c r="DT1378" s="6"/>
      <c r="DU1378" s="6"/>
      <c r="DV1378" s="6"/>
      <c r="DW1378" s="6"/>
      <c r="DX1378" s="6"/>
      <c r="DY1378" s="6"/>
      <c r="DZ1378" s="6"/>
      <c r="EA1378" s="6"/>
      <c r="EB1378" s="6"/>
      <c r="EC1378" s="6"/>
      <c r="ED1378" s="6"/>
      <c r="EE1378" s="6"/>
      <c r="EF1378" s="6"/>
      <c r="EG1378" s="6"/>
      <c r="EH1378" s="6"/>
      <c r="EI1378" s="6"/>
      <c r="EJ1378" s="6"/>
      <c r="EK1378" s="6"/>
      <c r="EL1378" s="6"/>
      <c r="EM1378" s="6"/>
      <c r="EN1378" s="6"/>
      <c r="EO1378" s="6"/>
      <c r="EP1378" s="6"/>
      <c r="EQ1378" s="6"/>
      <c r="ER1378" s="6"/>
      <c r="ES1378" s="6"/>
      <c r="ET1378" s="6"/>
      <c r="EU1378" s="6"/>
      <c r="EV1378" s="6"/>
      <c r="EW1378" s="6"/>
      <c r="EX1378" s="6"/>
      <c r="EY1378" s="6"/>
      <c r="EZ1378" s="6"/>
      <c r="FA1378" s="6"/>
      <c r="FB1378" s="6"/>
      <c r="FC1378" s="6"/>
      <c r="FD1378" s="6"/>
      <c r="FE1378" s="6"/>
      <c r="FF1378" s="6"/>
      <c r="FG1378" s="6"/>
      <c r="FH1378" s="6"/>
      <c r="FI1378" s="6"/>
      <c r="FJ1378" s="6"/>
      <c r="FK1378" s="6"/>
      <c r="FL1378" s="6"/>
      <c r="FM1378" s="6"/>
      <c r="FN1378" s="6"/>
      <c r="FO1378" s="6"/>
      <c r="FP1378" s="6"/>
      <c r="FQ1378" s="6"/>
      <c r="FR1378" s="6"/>
      <c r="FS1378" s="6"/>
      <c r="FT1378" s="6"/>
      <c r="FU1378" s="6"/>
      <c r="FV1378" s="6"/>
      <c r="FW1378" s="6"/>
      <c r="FX1378" s="6"/>
      <c r="FY1378" s="6"/>
      <c r="FZ1378" s="6"/>
      <c r="GA1378" s="6"/>
      <c r="GB1378" s="6"/>
      <c r="GC1378" s="6"/>
      <c r="GD1378" s="6"/>
      <c r="GE1378" s="6"/>
      <c r="GF1378" s="6"/>
      <c r="GG1378" s="6"/>
      <c r="GH1378" s="6"/>
      <c r="GI1378" s="6"/>
      <c r="GJ1378" s="6"/>
      <c r="GK1378" s="6"/>
      <c r="GL1378" s="6"/>
      <c r="GM1378" s="6"/>
      <c r="GN1378" s="6"/>
      <c r="GO1378" s="6"/>
      <c r="GP1378" s="6"/>
      <c r="GQ1378" s="6"/>
      <c r="GR1378" s="6"/>
      <c r="GS1378" s="6"/>
      <c r="GT1378" s="6"/>
      <c r="GU1378" s="6"/>
      <c r="GV1378" s="6"/>
      <c r="GW1378" s="6"/>
      <c r="GX1378" s="6"/>
      <c r="GY1378" s="6"/>
      <c r="GZ1378" s="6"/>
      <c r="HA1378" s="6"/>
      <c r="HB1378" s="6"/>
      <c r="HC1378" s="6"/>
      <c r="HD1378" s="6"/>
      <c r="HE1378" s="6"/>
      <c r="HF1378" s="6"/>
      <c r="HG1378" s="6"/>
      <c r="HH1378" s="6"/>
    </row>
    <row r="1379" spans="1:216" x14ac:dyDescent="0.3">
      <c r="A1379" s="8"/>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6"/>
      <c r="AR1379" s="6"/>
      <c r="AS1379" s="6"/>
      <c r="AT1379" s="6"/>
      <c r="AU1379" s="6"/>
      <c r="AV1379" s="6"/>
      <c r="AW1379" s="6"/>
      <c r="AX1379" s="6"/>
      <c r="AY1379" s="6"/>
      <c r="AZ1379" s="6"/>
      <c r="BA1379" s="6"/>
      <c r="BB1379" s="6"/>
      <c r="BC1379" s="6"/>
      <c r="BD1379" s="6"/>
      <c r="BE1379" s="6"/>
      <c r="BF1379" s="6"/>
      <c r="BG1379" s="6"/>
      <c r="BH1379" s="6"/>
      <c r="BI1379" s="6"/>
      <c r="BJ1379" s="6"/>
      <c r="BK1379" s="6"/>
      <c r="BL1379" s="6"/>
      <c r="BM1379" s="6"/>
      <c r="BN1379" s="6"/>
      <c r="BO1379" s="6"/>
      <c r="BP1379" s="6"/>
      <c r="BQ1379" s="6"/>
      <c r="BR1379" s="6"/>
      <c r="BS1379" s="6"/>
      <c r="BT1379" s="6"/>
      <c r="BU1379" s="6"/>
      <c r="BV1379" s="6"/>
      <c r="BW1379" s="6"/>
      <c r="BX1379" s="6"/>
      <c r="BY1379" s="6"/>
      <c r="BZ1379" s="6"/>
      <c r="CA1379" s="6"/>
      <c r="CB1379" s="6"/>
      <c r="CC1379" s="6"/>
      <c r="CD1379" s="6"/>
      <c r="CE1379" s="6"/>
      <c r="CF1379" s="6"/>
      <c r="CG1379" s="6"/>
      <c r="CH1379" s="6"/>
      <c r="CI1379" s="6"/>
      <c r="CJ1379" s="6"/>
      <c r="CK1379" s="6"/>
      <c r="CL1379" s="6"/>
      <c r="CM1379" s="6"/>
      <c r="CN1379" s="6"/>
      <c r="CO1379" s="6"/>
      <c r="CP1379" s="6"/>
      <c r="CQ1379" s="6"/>
      <c r="CR1379" s="6"/>
      <c r="CS1379" s="6"/>
      <c r="CT1379" s="6"/>
      <c r="CU1379" s="6"/>
      <c r="CV1379" s="6"/>
      <c r="CW1379" s="6"/>
      <c r="CX1379" s="6"/>
      <c r="CY1379" s="6"/>
      <c r="CZ1379" s="6"/>
      <c r="DA1379" s="6"/>
      <c r="DB1379" s="6"/>
      <c r="DC1379" s="6"/>
      <c r="DD1379" s="6"/>
      <c r="DE1379" s="6"/>
      <c r="DF1379" s="6"/>
      <c r="DG1379" s="6"/>
      <c r="DH1379" s="6"/>
      <c r="DI1379" s="6"/>
      <c r="DJ1379" s="6"/>
      <c r="DK1379" s="6"/>
      <c r="DL1379" s="6"/>
      <c r="DM1379" s="6"/>
      <c r="DN1379" s="6"/>
      <c r="DO1379" s="6"/>
      <c r="DP1379" s="6"/>
      <c r="DQ1379" s="6"/>
      <c r="DR1379" s="6"/>
      <c r="DS1379" s="6"/>
      <c r="DT1379" s="6"/>
      <c r="DU1379" s="6"/>
      <c r="DV1379" s="6"/>
      <c r="DW1379" s="6"/>
      <c r="DX1379" s="6"/>
      <c r="DY1379" s="6"/>
      <c r="DZ1379" s="6"/>
      <c r="EA1379" s="6"/>
      <c r="EB1379" s="6"/>
      <c r="EC1379" s="6"/>
      <c r="ED1379" s="6"/>
      <c r="EE1379" s="6"/>
      <c r="EF1379" s="6"/>
      <c r="EG1379" s="6"/>
      <c r="EH1379" s="6"/>
      <c r="EI1379" s="6"/>
      <c r="EJ1379" s="6"/>
      <c r="EK1379" s="6"/>
      <c r="EL1379" s="6"/>
      <c r="EM1379" s="6"/>
      <c r="EN1379" s="6"/>
      <c r="EO1379" s="6"/>
      <c r="EP1379" s="6"/>
      <c r="EQ1379" s="6"/>
      <c r="ER1379" s="6"/>
      <c r="ES1379" s="6"/>
      <c r="ET1379" s="6"/>
      <c r="EU1379" s="6"/>
      <c r="EV1379" s="6"/>
      <c r="EW1379" s="6"/>
      <c r="EX1379" s="6"/>
      <c r="EY1379" s="6"/>
      <c r="EZ1379" s="6"/>
      <c r="FA1379" s="6"/>
      <c r="FB1379" s="6"/>
      <c r="FC1379" s="6"/>
      <c r="FD1379" s="6"/>
      <c r="FE1379" s="6"/>
      <c r="FF1379" s="6"/>
      <c r="FG1379" s="6"/>
      <c r="FH1379" s="6"/>
      <c r="FI1379" s="6"/>
      <c r="FJ1379" s="6"/>
      <c r="FK1379" s="6"/>
      <c r="FL1379" s="6"/>
      <c r="FM1379" s="6"/>
      <c r="FN1379" s="6"/>
      <c r="FO1379" s="6"/>
      <c r="FP1379" s="6"/>
      <c r="FQ1379" s="6"/>
      <c r="FR1379" s="6"/>
      <c r="FS1379" s="6"/>
      <c r="FT1379" s="6"/>
      <c r="FU1379" s="6"/>
      <c r="FV1379" s="6"/>
      <c r="FW1379" s="6"/>
      <c r="FX1379" s="6"/>
      <c r="FY1379" s="6"/>
      <c r="FZ1379" s="6"/>
      <c r="GA1379" s="6"/>
      <c r="GB1379" s="6"/>
      <c r="GC1379" s="6"/>
      <c r="GD1379" s="6"/>
      <c r="GE1379" s="6"/>
      <c r="GF1379" s="6"/>
      <c r="GG1379" s="6"/>
      <c r="GH1379" s="6"/>
      <c r="GI1379" s="6"/>
      <c r="GJ1379" s="6"/>
      <c r="GK1379" s="6"/>
      <c r="GL1379" s="6"/>
      <c r="GM1379" s="6"/>
      <c r="GN1379" s="6"/>
      <c r="GO1379" s="6"/>
      <c r="GP1379" s="6"/>
      <c r="GQ1379" s="6"/>
      <c r="GR1379" s="6"/>
      <c r="GS1379" s="6"/>
      <c r="GT1379" s="6"/>
      <c r="GU1379" s="6"/>
      <c r="GV1379" s="6"/>
      <c r="GW1379" s="6"/>
      <c r="GX1379" s="6"/>
      <c r="GY1379" s="6"/>
      <c r="GZ1379" s="6"/>
      <c r="HA1379" s="6"/>
      <c r="HB1379" s="6"/>
      <c r="HC1379" s="6"/>
      <c r="HD1379" s="6"/>
      <c r="HE1379" s="6"/>
      <c r="HF1379" s="6"/>
      <c r="HG1379" s="6"/>
      <c r="HH1379" s="6"/>
    </row>
    <row r="1380" spans="1:216" x14ac:dyDescent="0.3">
      <c r="A1380" s="8"/>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6"/>
      <c r="AR1380" s="6"/>
      <c r="AS1380" s="6"/>
      <c r="AT1380" s="6"/>
      <c r="AU1380" s="6"/>
      <c r="AV1380" s="6"/>
      <c r="AW1380" s="6"/>
      <c r="AX1380" s="6"/>
      <c r="AY1380" s="6"/>
      <c r="AZ1380" s="6"/>
      <c r="BA1380" s="6"/>
      <c r="BB1380" s="6"/>
      <c r="BC1380" s="6"/>
      <c r="BD1380" s="6"/>
      <c r="BE1380" s="6"/>
      <c r="BF1380" s="6"/>
      <c r="BG1380" s="6"/>
      <c r="BH1380" s="6"/>
      <c r="BI1380" s="6"/>
      <c r="BJ1380" s="6"/>
      <c r="BK1380" s="6"/>
      <c r="BL1380" s="6"/>
      <c r="BM1380" s="6"/>
      <c r="BN1380" s="6"/>
      <c r="BO1380" s="6"/>
      <c r="BP1380" s="6"/>
      <c r="BQ1380" s="6"/>
      <c r="BR1380" s="6"/>
      <c r="BS1380" s="6"/>
      <c r="BT1380" s="6"/>
      <c r="BU1380" s="6"/>
      <c r="BV1380" s="6"/>
      <c r="BW1380" s="6"/>
      <c r="BX1380" s="6"/>
      <c r="BY1380" s="6"/>
      <c r="BZ1380" s="6"/>
      <c r="CA1380" s="6"/>
      <c r="CB1380" s="6"/>
      <c r="CC1380" s="6"/>
      <c r="CD1380" s="6"/>
      <c r="CE1380" s="6"/>
      <c r="CF1380" s="6"/>
      <c r="CG1380" s="6"/>
      <c r="CH1380" s="6"/>
      <c r="CI1380" s="6"/>
      <c r="CJ1380" s="6"/>
      <c r="CK1380" s="6"/>
      <c r="CL1380" s="6"/>
      <c r="CM1380" s="6"/>
      <c r="CN1380" s="6"/>
      <c r="CO1380" s="6"/>
      <c r="CP1380" s="6"/>
      <c r="CQ1380" s="6"/>
      <c r="CR1380" s="6"/>
      <c r="CS1380" s="6"/>
      <c r="CT1380" s="6"/>
      <c r="CU1380" s="6"/>
      <c r="CV1380" s="6"/>
      <c r="CW1380" s="6"/>
      <c r="CX1380" s="6"/>
      <c r="CY1380" s="6"/>
      <c r="CZ1380" s="6"/>
      <c r="DA1380" s="6"/>
      <c r="DB1380" s="6"/>
      <c r="DC1380" s="6"/>
      <c r="DD1380" s="6"/>
      <c r="DE1380" s="6"/>
      <c r="DF1380" s="6"/>
      <c r="DG1380" s="6"/>
      <c r="DH1380" s="6"/>
      <c r="DI1380" s="6"/>
      <c r="DJ1380" s="6"/>
      <c r="DK1380" s="6"/>
      <c r="DL1380" s="6"/>
      <c r="DM1380" s="6"/>
      <c r="DN1380" s="6"/>
      <c r="DO1380" s="6"/>
      <c r="DP1380" s="6"/>
      <c r="DQ1380" s="6"/>
      <c r="DR1380" s="6"/>
      <c r="DS1380" s="6"/>
      <c r="DT1380" s="6"/>
      <c r="DU1380" s="6"/>
      <c r="DV1380" s="6"/>
      <c r="DW1380" s="6"/>
      <c r="DX1380" s="6"/>
      <c r="DY1380" s="6"/>
      <c r="DZ1380" s="6"/>
      <c r="EA1380" s="6"/>
      <c r="EB1380" s="6"/>
      <c r="EC1380" s="6"/>
      <c r="ED1380" s="6"/>
      <c r="EE1380" s="6"/>
      <c r="EF1380" s="6"/>
      <c r="EG1380" s="6"/>
      <c r="EH1380" s="6"/>
      <c r="EI1380" s="6"/>
      <c r="EJ1380" s="6"/>
      <c r="EK1380" s="6"/>
      <c r="EL1380" s="6"/>
      <c r="EM1380" s="6"/>
      <c r="EN1380" s="6"/>
      <c r="EO1380" s="6"/>
      <c r="EP1380" s="6"/>
      <c r="EQ1380" s="6"/>
      <c r="ER1380" s="6"/>
      <c r="ES1380" s="6"/>
      <c r="ET1380" s="6"/>
      <c r="EU1380" s="6"/>
      <c r="EV1380" s="6"/>
      <c r="EW1380" s="6"/>
      <c r="EX1380" s="6"/>
      <c r="EY1380" s="6"/>
      <c r="EZ1380" s="6"/>
      <c r="FA1380" s="6"/>
      <c r="FB1380" s="6"/>
      <c r="FC1380" s="6"/>
      <c r="FD1380" s="6"/>
      <c r="FE1380" s="6"/>
      <c r="FF1380" s="6"/>
      <c r="FG1380" s="6"/>
      <c r="FH1380" s="6"/>
      <c r="FI1380" s="6"/>
      <c r="FJ1380" s="6"/>
      <c r="FK1380" s="6"/>
      <c r="FL1380" s="6"/>
      <c r="FM1380" s="6"/>
      <c r="FN1380" s="6"/>
      <c r="FO1380" s="6"/>
      <c r="FP1380" s="6"/>
      <c r="FQ1380" s="6"/>
      <c r="FR1380" s="6"/>
      <c r="FS1380" s="6"/>
      <c r="FT1380" s="6"/>
      <c r="FU1380" s="6"/>
      <c r="FV1380" s="6"/>
      <c r="FW1380" s="6"/>
      <c r="FX1380" s="6"/>
      <c r="FY1380" s="6"/>
      <c r="FZ1380" s="6"/>
      <c r="GA1380" s="6"/>
      <c r="GB1380" s="6"/>
      <c r="GC1380" s="6"/>
      <c r="GD1380" s="6"/>
      <c r="GE1380" s="6"/>
      <c r="GF1380" s="6"/>
      <c r="GG1380" s="6"/>
      <c r="GH1380" s="6"/>
      <c r="GI1380" s="6"/>
      <c r="GJ1380" s="6"/>
      <c r="GK1380" s="6"/>
      <c r="GL1380" s="6"/>
      <c r="GM1380" s="6"/>
      <c r="GN1380" s="6"/>
      <c r="GO1380" s="6"/>
      <c r="GP1380" s="6"/>
      <c r="GQ1380" s="6"/>
      <c r="GR1380" s="6"/>
      <c r="GS1380" s="6"/>
      <c r="GT1380" s="6"/>
      <c r="GU1380" s="6"/>
      <c r="GV1380" s="6"/>
      <c r="GW1380" s="6"/>
      <c r="GX1380" s="6"/>
      <c r="GY1380" s="6"/>
      <c r="GZ1380" s="6"/>
      <c r="HA1380" s="6"/>
      <c r="HB1380" s="6"/>
      <c r="HC1380" s="6"/>
      <c r="HD1380" s="6"/>
      <c r="HE1380" s="6"/>
      <c r="HF1380" s="6"/>
      <c r="HG1380" s="6"/>
      <c r="HH1380" s="6"/>
    </row>
    <row r="1381" spans="1:216" x14ac:dyDescent="0.3">
      <c r="A1381" s="8"/>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6"/>
      <c r="AR1381" s="6"/>
      <c r="AS1381" s="6"/>
      <c r="AT1381" s="6"/>
      <c r="AU1381" s="6"/>
      <c r="AV1381" s="6"/>
      <c r="AW1381" s="6"/>
      <c r="AX1381" s="6"/>
      <c r="AY1381" s="6"/>
      <c r="AZ1381" s="6"/>
      <c r="BA1381" s="6"/>
      <c r="BB1381" s="6"/>
      <c r="BC1381" s="6"/>
      <c r="BD1381" s="6"/>
      <c r="BE1381" s="6"/>
      <c r="BF1381" s="6"/>
      <c r="BG1381" s="6"/>
      <c r="BH1381" s="6"/>
      <c r="BI1381" s="6"/>
      <c r="BJ1381" s="6"/>
      <c r="BK1381" s="6"/>
      <c r="BL1381" s="6"/>
      <c r="BM1381" s="6"/>
      <c r="BN1381" s="6"/>
      <c r="BO1381" s="6"/>
      <c r="BP1381" s="6"/>
      <c r="BQ1381" s="6"/>
      <c r="BR1381" s="6"/>
      <c r="BS1381" s="6"/>
      <c r="BT1381" s="6"/>
      <c r="BU1381" s="6"/>
      <c r="BV1381" s="6"/>
      <c r="BW1381" s="6"/>
      <c r="BX1381" s="6"/>
      <c r="BY1381" s="6"/>
      <c r="BZ1381" s="6"/>
      <c r="CA1381" s="6"/>
      <c r="CB1381" s="6"/>
      <c r="CC1381" s="6"/>
      <c r="CD1381" s="6"/>
      <c r="CE1381" s="6"/>
      <c r="CF1381" s="6"/>
      <c r="CG1381" s="6"/>
      <c r="CH1381" s="6"/>
      <c r="CI1381" s="6"/>
      <c r="CJ1381" s="6"/>
      <c r="CK1381" s="6"/>
      <c r="CL1381" s="6"/>
      <c r="CM1381" s="6"/>
      <c r="CN1381" s="6"/>
      <c r="CO1381" s="6"/>
      <c r="CP1381" s="6"/>
      <c r="CQ1381" s="6"/>
      <c r="CR1381" s="6"/>
      <c r="CS1381" s="6"/>
      <c r="CT1381" s="6"/>
      <c r="CU1381" s="6"/>
      <c r="CV1381" s="6"/>
      <c r="CW1381" s="6"/>
      <c r="CX1381" s="6"/>
      <c r="CY1381" s="6"/>
      <c r="CZ1381" s="6"/>
      <c r="DA1381" s="6"/>
      <c r="DB1381" s="6"/>
      <c r="DC1381" s="6"/>
      <c r="DD1381" s="6"/>
      <c r="DE1381" s="6"/>
      <c r="DF1381" s="6"/>
      <c r="DG1381" s="6"/>
      <c r="DH1381" s="6"/>
      <c r="DI1381" s="6"/>
      <c r="DJ1381" s="6"/>
      <c r="DK1381" s="6"/>
      <c r="DL1381" s="6"/>
      <c r="DM1381" s="6"/>
      <c r="DN1381" s="6"/>
      <c r="DO1381" s="6"/>
      <c r="DP1381" s="6"/>
      <c r="DQ1381" s="6"/>
      <c r="DR1381" s="6"/>
      <c r="DS1381" s="6"/>
      <c r="DT1381" s="6"/>
      <c r="DU1381" s="6"/>
      <c r="DV1381" s="6"/>
      <c r="DW1381" s="6"/>
      <c r="DX1381" s="6"/>
      <c r="DY1381" s="6"/>
      <c r="DZ1381" s="6"/>
      <c r="EA1381" s="6"/>
      <c r="EB1381" s="6"/>
      <c r="EC1381" s="6"/>
      <c r="ED1381" s="6"/>
      <c r="EE1381" s="6"/>
      <c r="EF1381" s="6"/>
      <c r="EG1381" s="6"/>
      <c r="EH1381" s="6"/>
      <c r="EI1381" s="6"/>
      <c r="EJ1381" s="6"/>
      <c r="EK1381" s="6"/>
      <c r="EL1381" s="6"/>
      <c r="EM1381" s="6"/>
      <c r="EN1381" s="6"/>
      <c r="EO1381" s="6"/>
      <c r="EP1381" s="6"/>
      <c r="EQ1381" s="6"/>
      <c r="ER1381" s="6"/>
      <c r="ES1381" s="6"/>
      <c r="ET1381" s="6"/>
      <c r="EU1381" s="6"/>
      <c r="EV1381" s="6"/>
      <c r="EW1381" s="6"/>
      <c r="EX1381" s="6"/>
      <c r="EY1381" s="6"/>
      <c r="EZ1381" s="6"/>
      <c r="FA1381" s="6"/>
      <c r="FB1381" s="6"/>
      <c r="FC1381" s="6"/>
      <c r="FD1381" s="6"/>
      <c r="FE1381" s="6"/>
      <c r="FF1381" s="6"/>
      <c r="FG1381" s="6"/>
      <c r="FH1381" s="6"/>
      <c r="FI1381" s="6"/>
      <c r="FJ1381" s="6"/>
      <c r="FK1381" s="6"/>
      <c r="FL1381" s="6"/>
      <c r="FM1381" s="6"/>
      <c r="FN1381" s="6"/>
      <c r="FO1381" s="6"/>
      <c r="FP1381" s="6"/>
      <c r="FQ1381" s="6"/>
      <c r="FR1381" s="6"/>
      <c r="FS1381" s="6"/>
      <c r="FT1381" s="6"/>
      <c r="FU1381" s="6"/>
      <c r="FV1381" s="6"/>
      <c r="FW1381" s="6"/>
      <c r="FX1381" s="6"/>
      <c r="FY1381" s="6"/>
      <c r="FZ1381" s="6"/>
      <c r="GA1381" s="6"/>
      <c r="GB1381" s="6"/>
      <c r="GC1381" s="6"/>
      <c r="GD1381" s="6"/>
      <c r="GE1381" s="6"/>
      <c r="GF1381" s="6"/>
      <c r="GG1381" s="6"/>
      <c r="GH1381" s="6"/>
      <c r="GI1381" s="6"/>
      <c r="GJ1381" s="6"/>
      <c r="GK1381" s="6"/>
      <c r="GL1381" s="6"/>
      <c r="GM1381" s="6"/>
      <c r="GN1381" s="6"/>
      <c r="GO1381" s="6"/>
      <c r="GP1381" s="6"/>
      <c r="GQ1381" s="6"/>
      <c r="GR1381" s="6"/>
      <c r="GS1381" s="6"/>
      <c r="GT1381" s="6"/>
      <c r="GU1381" s="6"/>
      <c r="GV1381" s="6"/>
      <c r="GW1381" s="6"/>
      <c r="GX1381" s="6"/>
      <c r="GY1381" s="6"/>
      <c r="GZ1381" s="6"/>
      <c r="HA1381" s="6"/>
      <c r="HB1381" s="6"/>
      <c r="HC1381" s="6"/>
      <c r="HD1381" s="6"/>
      <c r="HE1381" s="6"/>
      <c r="HF1381" s="6"/>
      <c r="HG1381" s="6"/>
      <c r="HH1381" s="6"/>
    </row>
    <row r="1382" spans="1:216" x14ac:dyDescent="0.3">
      <c r="A1382" s="8"/>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6"/>
      <c r="AR1382" s="6"/>
      <c r="AS1382" s="6"/>
      <c r="AT1382" s="6"/>
      <c r="AU1382" s="6"/>
      <c r="AV1382" s="6"/>
      <c r="AW1382" s="6"/>
      <c r="AX1382" s="6"/>
      <c r="AY1382" s="6"/>
      <c r="AZ1382" s="6"/>
      <c r="BA1382" s="6"/>
      <c r="BB1382" s="6"/>
      <c r="BC1382" s="6"/>
      <c r="BD1382" s="6"/>
      <c r="BE1382" s="6"/>
      <c r="BF1382" s="6"/>
      <c r="BG1382" s="6"/>
      <c r="BH1382" s="6"/>
      <c r="BI1382" s="6"/>
      <c r="BJ1382" s="6"/>
      <c r="BK1382" s="6"/>
      <c r="BL1382" s="6"/>
      <c r="BM1382" s="6"/>
      <c r="BN1382" s="6"/>
      <c r="BO1382" s="6"/>
      <c r="BP1382" s="6"/>
      <c r="BQ1382" s="6"/>
      <c r="BR1382" s="6"/>
      <c r="BS1382" s="6"/>
      <c r="BT1382" s="6"/>
      <c r="BU1382" s="6"/>
      <c r="BV1382" s="6"/>
      <c r="BW1382" s="6"/>
      <c r="BX1382" s="6"/>
      <c r="BY1382" s="6"/>
      <c r="BZ1382" s="6"/>
      <c r="CA1382" s="6"/>
      <c r="CB1382" s="6"/>
      <c r="CC1382" s="6"/>
      <c r="CD1382" s="6"/>
      <c r="CE1382" s="6"/>
      <c r="CF1382" s="6"/>
      <c r="CG1382" s="6"/>
      <c r="CH1382" s="6"/>
      <c r="CI1382" s="6"/>
      <c r="CJ1382" s="6"/>
      <c r="CK1382" s="6"/>
      <c r="CL1382" s="6"/>
      <c r="CM1382" s="6"/>
      <c r="CN1382" s="6"/>
      <c r="CO1382" s="6"/>
      <c r="CP1382" s="6"/>
      <c r="CQ1382" s="6"/>
      <c r="CR1382" s="6"/>
      <c r="CS1382" s="6"/>
      <c r="CT1382" s="6"/>
      <c r="CU1382" s="6"/>
      <c r="CV1382" s="6"/>
      <c r="CW1382" s="6"/>
      <c r="CX1382" s="6"/>
      <c r="CY1382" s="6"/>
      <c r="CZ1382" s="6"/>
      <c r="DA1382" s="6"/>
      <c r="DB1382" s="6"/>
      <c r="DC1382" s="6"/>
      <c r="DD1382" s="6"/>
      <c r="DE1382" s="6"/>
      <c r="DF1382" s="6"/>
      <c r="DG1382" s="6"/>
      <c r="DH1382" s="6"/>
      <c r="DI1382" s="6"/>
      <c r="DJ1382" s="6"/>
      <c r="DK1382" s="6"/>
      <c r="DL1382" s="6"/>
      <c r="DM1382" s="6"/>
      <c r="DN1382" s="6"/>
      <c r="DO1382" s="6"/>
      <c r="DP1382" s="6"/>
      <c r="DQ1382" s="6"/>
      <c r="DR1382" s="6"/>
      <c r="DS1382" s="6"/>
      <c r="DT1382" s="6"/>
      <c r="DU1382" s="6"/>
      <c r="DV1382" s="6"/>
      <c r="DW1382" s="6"/>
      <c r="DX1382" s="6"/>
      <c r="DY1382" s="6"/>
      <c r="DZ1382" s="6"/>
      <c r="EA1382" s="6"/>
      <c r="EB1382" s="6"/>
      <c r="EC1382" s="6"/>
      <c r="ED1382" s="6"/>
      <c r="EE1382" s="6"/>
      <c r="EF1382" s="6"/>
      <c r="EG1382" s="6"/>
      <c r="EH1382" s="6"/>
      <c r="EI1382" s="6"/>
      <c r="EJ1382" s="6"/>
      <c r="EK1382" s="6"/>
      <c r="EL1382" s="6"/>
      <c r="EM1382" s="6"/>
      <c r="EN1382" s="6"/>
      <c r="EO1382" s="6"/>
      <c r="EP1382" s="6"/>
      <c r="EQ1382" s="6"/>
      <c r="ER1382" s="6"/>
      <c r="ES1382" s="6"/>
      <c r="ET1382" s="6"/>
      <c r="EU1382" s="6"/>
      <c r="EV1382" s="6"/>
      <c r="EW1382" s="6"/>
      <c r="EX1382" s="6"/>
      <c r="EY1382" s="6"/>
      <c r="EZ1382" s="6"/>
      <c r="FA1382" s="6"/>
      <c r="FB1382" s="6"/>
      <c r="FC1382" s="6"/>
      <c r="FD1382" s="6"/>
      <c r="FE1382" s="6"/>
      <c r="FF1382" s="6"/>
      <c r="FG1382" s="6"/>
      <c r="FH1382" s="6"/>
      <c r="FI1382" s="6"/>
      <c r="FJ1382" s="6"/>
      <c r="FK1382" s="6"/>
      <c r="FL1382" s="6"/>
      <c r="FM1382" s="6"/>
      <c r="FN1382" s="6"/>
      <c r="FO1382" s="6"/>
      <c r="FP1382" s="6"/>
      <c r="FQ1382" s="6"/>
      <c r="FR1382" s="6"/>
      <c r="FS1382" s="6"/>
      <c r="FT1382" s="6"/>
      <c r="FU1382" s="6"/>
      <c r="FV1382" s="6"/>
      <c r="FW1382" s="6"/>
      <c r="FX1382" s="6"/>
      <c r="FY1382" s="6"/>
      <c r="FZ1382" s="6"/>
      <c r="GA1382" s="6"/>
      <c r="GB1382" s="6"/>
      <c r="GC1382" s="6"/>
      <c r="GD1382" s="6"/>
      <c r="GE1382" s="6"/>
      <c r="GF1382" s="6"/>
      <c r="GG1382" s="6"/>
      <c r="GH1382" s="6"/>
      <c r="GI1382" s="6"/>
      <c r="GJ1382" s="6"/>
      <c r="GK1382" s="6"/>
      <c r="GL1382" s="6"/>
      <c r="GM1382" s="6"/>
      <c r="GN1382" s="6"/>
      <c r="GO1382" s="6"/>
      <c r="GP1382" s="6"/>
      <c r="GQ1382" s="6"/>
      <c r="GR1382" s="6"/>
      <c r="GS1382" s="6"/>
      <c r="GT1382" s="6"/>
      <c r="GU1382" s="6"/>
      <c r="GV1382" s="6"/>
      <c r="GW1382" s="6"/>
      <c r="GX1382" s="6"/>
      <c r="GY1382" s="6"/>
      <c r="GZ1382" s="6"/>
      <c r="HA1382" s="6"/>
      <c r="HB1382" s="6"/>
      <c r="HC1382" s="6"/>
      <c r="HD1382" s="6"/>
      <c r="HE1382" s="6"/>
      <c r="HF1382" s="6"/>
      <c r="HG1382" s="6"/>
      <c r="HH1382" s="6"/>
    </row>
    <row r="1383" spans="1:216" x14ac:dyDescent="0.3">
      <c r="A1383" s="8"/>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6"/>
      <c r="AR1383" s="6"/>
      <c r="AS1383" s="6"/>
      <c r="AT1383" s="6"/>
      <c r="AU1383" s="6"/>
      <c r="AV1383" s="6"/>
      <c r="AW1383" s="6"/>
      <c r="AX1383" s="6"/>
      <c r="AY1383" s="6"/>
      <c r="AZ1383" s="6"/>
      <c r="BA1383" s="6"/>
      <c r="BB1383" s="6"/>
      <c r="BC1383" s="6"/>
      <c r="BD1383" s="6"/>
      <c r="BE1383" s="6"/>
      <c r="BF1383" s="6"/>
      <c r="BG1383" s="6"/>
      <c r="BH1383" s="6"/>
      <c r="BI1383" s="6"/>
      <c r="BJ1383" s="6"/>
      <c r="BK1383" s="6"/>
      <c r="BL1383" s="6"/>
      <c r="BM1383" s="6"/>
      <c r="BN1383" s="6"/>
      <c r="BO1383" s="6"/>
      <c r="BP1383" s="6"/>
      <c r="BQ1383" s="6"/>
      <c r="BR1383" s="6"/>
      <c r="BS1383" s="6"/>
      <c r="BT1383" s="6"/>
      <c r="BU1383" s="6"/>
      <c r="BV1383" s="6"/>
      <c r="BW1383" s="6"/>
      <c r="BX1383" s="6"/>
      <c r="BY1383" s="6"/>
      <c r="BZ1383" s="6"/>
      <c r="CA1383" s="6"/>
      <c r="CB1383" s="6"/>
      <c r="CC1383" s="6"/>
      <c r="CD1383" s="6"/>
      <c r="CE1383" s="6"/>
      <c r="CF1383" s="6"/>
      <c r="CG1383" s="6"/>
      <c r="CH1383" s="6"/>
      <c r="CI1383" s="6"/>
      <c r="CJ1383" s="6"/>
      <c r="CK1383" s="6"/>
      <c r="CL1383" s="6"/>
      <c r="CM1383" s="6"/>
      <c r="CN1383" s="6"/>
      <c r="CO1383" s="6"/>
      <c r="CP1383" s="6"/>
      <c r="CQ1383" s="6"/>
      <c r="CR1383" s="6"/>
      <c r="CS1383" s="6"/>
      <c r="CT1383" s="6"/>
      <c r="CU1383" s="6"/>
      <c r="CV1383" s="6"/>
      <c r="CW1383" s="6"/>
      <c r="CX1383" s="6"/>
      <c r="CY1383" s="6"/>
      <c r="CZ1383" s="6"/>
      <c r="DA1383" s="6"/>
      <c r="DB1383" s="6"/>
      <c r="DC1383" s="6"/>
      <c r="DD1383" s="6"/>
      <c r="DE1383" s="6"/>
      <c r="DF1383" s="6"/>
      <c r="DG1383" s="6"/>
      <c r="DH1383" s="6"/>
      <c r="DI1383" s="6"/>
      <c r="DJ1383" s="6"/>
      <c r="DK1383" s="6"/>
      <c r="DL1383" s="6"/>
      <c r="DM1383" s="6"/>
      <c r="DN1383" s="6"/>
      <c r="DO1383" s="6"/>
      <c r="DP1383" s="6"/>
      <c r="DQ1383" s="6"/>
      <c r="DR1383" s="6"/>
      <c r="DS1383" s="6"/>
      <c r="DT1383" s="6"/>
      <c r="DU1383" s="6"/>
      <c r="DV1383" s="6"/>
      <c r="DW1383" s="6"/>
      <c r="DX1383" s="6"/>
      <c r="DY1383" s="6"/>
      <c r="DZ1383" s="6"/>
      <c r="EA1383" s="6"/>
      <c r="EB1383" s="6"/>
      <c r="EC1383" s="6"/>
      <c r="ED1383" s="6"/>
      <c r="EE1383" s="6"/>
      <c r="EF1383" s="6"/>
      <c r="EG1383" s="6"/>
      <c r="EH1383" s="6"/>
      <c r="EI1383" s="6"/>
      <c r="EJ1383" s="6"/>
      <c r="EK1383" s="6"/>
      <c r="EL1383" s="6"/>
      <c r="EM1383" s="6"/>
      <c r="EN1383" s="6"/>
      <c r="EO1383" s="6"/>
      <c r="EP1383" s="6"/>
      <c r="EQ1383" s="6"/>
      <c r="ER1383" s="6"/>
      <c r="ES1383" s="6"/>
      <c r="ET1383" s="6"/>
      <c r="EU1383" s="6"/>
      <c r="EV1383" s="6"/>
      <c r="EW1383" s="6"/>
      <c r="EX1383" s="6"/>
      <c r="EY1383" s="6"/>
      <c r="EZ1383" s="6"/>
      <c r="FA1383" s="6"/>
      <c r="FB1383" s="6"/>
      <c r="FC1383" s="6"/>
      <c r="FD1383" s="6"/>
      <c r="FE1383" s="6"/>
      <c r="FF1383" s="6"/>
      <c r="FG1383" s="6"/>
      <c r="FH1383" s="6"/>
      <c r="FI1383" s="6"/>
      <c r="FJ1383" s="6"/>
      <c r="FK1383" s="6"/>
      <c r="FL1383" s="6"/>
      <c r="FM1383" s="6"/>
      <c r="FN1383" s="6"/>
      <c r="FO1383" s="6"/>
      <c r="FP1383" s="6"/>
      <c r="FQ1383" s="6"/>
      <c r="FR1383" s="6"/>
      <c r="FS1383" s="6"/>
      <c r="FT1383" s="6"/>
      <c r="FU1383" s="6"/>
      <c r="FV1383" s="6"/>
      <c r="FW1383" s="6"/>
      <c r="FX1383" s="6"/>
      <c r="FY1383" s="6"/>
      <c r="FZ1383" s="6"/>
      <c r="GA1383" s="6"/>
      <c r="GB1383" s="6"/>
      <c r="GC1383" s="6"/>
      <c r="GD1383" s="6"/>
      <c r="GE1383" s="6"/>
      <c r="GF1383" s="6"/>
      <c r="GG1383" s="6"/>
      <c r="GH1383" s="6"/>
      <c r="GI1383" s="6"/>
      <c r="GJ1383" s="6"/>
      <c r="GK1383" s="6"/>
      <c r="GL1383" s="6"/>
      <c r="GM1383" s="6"/>
      <c r="GN1383" s="6"/>
      <c r="GO1383" s="6"/>
      <c r="GP1383" s="6"/>
      <c r="GQ1383" s="6"/>
      <c r="GR1383" s="6"/>
      <c r="GS1383" s="6"/>
      <c r="GT1383" s="6"/>
      <c r="GU1383" s="6"/>
      <c r="GV1383" s="6"/>
      <c r="GW1383" s="6"/>
      <c r="GX1383" s="6"/>
      <c r="GY1383" s="6"/>
      <c r="GZ1383" s="6"/>
      <c r="HA1383" s="6"/>
      <c r="HB1383" s="6"/>
      <c r="HC1383" s="6"/>
      <c r="HD1383" s="6"/>
      <c r="HE1383" s="6"/>
      <c r="HF1383" s="6"/>
      <c r="HG1383" s="6"/>
      <c r="HH1383" s="6"/>
    </row>
    <row r="1384" spans="1:216" x14ac:dyDescent="0.3">
      <c r="A1384" s="8"/>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6"/>
      <c r="AR1384" s="6"/>
      <c r="AS1384" s="6"/>
      <c r="AT1384" s="6"/>
      <c r="AU1384" s="6"/>
      <c r="AV1384" s="6"/>
      <c r="AW1384" s="6"/>
      <c r="AX1384" s="6"/>
      <c r="AY1384" s="6"/>
      <c r="AZ1384" s="6"/>
      <c r="BA1384" s="6"/>
      <c r="BB1384" s="6"/>
      <c r="BC1384" s="6"/>
      <c r="BD1384" s="6"/>
      <c r="BE1384" s="6"/>
      <c r="BF1384" s="6"/>
      <c r="BG1384" s="6"/>
      <c r="BH1384" s="6"/>
      <c r="BI1384" s="6"/>
      <c r="BJ1384" s="6"/>
      <c r="BK1384" s="6"/>
      <c r="BL1384" s="6"/>
      <c r="BM1384" s="6"/>
      <c r="BN1384" s="6"/>
      <c r="BO1384" s="6"/>
      <c r="BP1384" s="6"/>
      <c r="BQ1384" s="6"/>
      <c r="BR1384" s="6"/>
      <c r="BS1384" s="6"/>
      <c r="BT1384" s="6"/>
      <c r="BU1384" s="6"/>
      <c r="BV1384" s="6"/>
      <c r="BW1384" s="6"/>
      <c r="BX1384" s="6"/>
      <c r="BY1384" s="6"/>
      <c r="BZ1384" s="6"/>
      <c r="CA1384" s="6"/>
      <c r="CB1384" s="6"/>
      <c r="CC1384" s="6"/>
      <c r="CD1384" s="6"/>
      <c r="CE1384" s="6"/>
      <c r="CF1384" s="6"/>
      <c r="CG1384" s="6"/>
      <c r="CH1384" s="6"/>
      <c r="CI1384" s="6"/>
      <c r="CJ1384" s="6"/>
      <c r="CK1384" s="6"/>
      <c r="CL1384" s="6"/>
      <c r="CM1384" s="6"/>
      <c r="CN1384" s="6"/>
      <c r="CO1384" s="6"/>
      <c r="CP1384" s="6"/>
      <c r="CQ1384" s="6"/>
      <c r="CR1384" s="6"/>
      <c r="CS1384" s="6"/>
      <c r="CT1384" s="6"/>
      <c r="CU1384" s="6"/>
      <c r="CV1384" s="6"/>
      <c r="CW1384" s="6"/>
      <c r="CX1384" s="6"/>
      <c r="CY1384" s="6"/>
      <c r="CZ1384" s="6"/>
      <c r="DA1384" s="6"/>
      <c r="DB1384" s="6"/>
      <c r="DC1384" s="6"/>
      <c r="DD1384" s="6"/>
      <c r="DE1384" s="6"/>
      <c r="DF1384" s="6"/>
      <c r="DG1384" s="6"/>
      <c r="DH1384" s="6"/>
      <c r="DI1384" s="6"/>
      <c r="DJ1384" s="6"/>
      <c r="DK1384" s="6"/>
      <c r="DL1384" s="6"/>
      <c r="DM1384" s="6"/>
      <c r="DN1384" s="6"/>
      <c r="DO1384" s="6"/>
      <c r="DP1384" s="6"/>
      <c r="DQ1384" s="6"/>
      <c r="DR1384" s="6"/>
      <c r="DS1384" s="6"/>
      <c r="DT1384" s="6"/>
      <c r="DU1384" s="6"/>
      <c r="DV1384" s="6"/>
      <c r="DW1384" s="6"/>
      <c r="DX1384" s="6"/>
      <c r="DY1384" s="6"/>
      <c r="DZ1384" s="6"/>
      <c r="EA1384" s="6"/>
      <c r="EB1384" s="6"/>
      <c r="EC1384" s="6"/>
      <c r="ED1384" s="6"/>
      <c r="EE1384" s="6"/>
      <c r="EF1384" s="6"/>
      <c r="EG1384" s="6"/>
      <c r="EH1384" s="6"/>
      <c r="EI1384" s="6"/>
      <c r="EJ1384" s="6"/>
      <c r="EK1384" s="6"/>
      <c r="EL1384" s="6"/>
      <c r="EM1384" s="6"/>
      <c r="EN1384" s="6"/>
      <c r="EO1384" s="6"/>
      <c r="EP1384" s="6"/>
      <c r="EQ1384" s="6"/>
      <c r="ER1384" s="6"/>
      <c r="ES1384" s="6"/>
      <c r="ET1384" s="6"/>
      <c r="EU1384" s="6"/>
      <c r="EV1384" s="6"/>
      <c r="EW1384" s="6"/>
      <c r="EX1384" s="6"/>
      <c r="EY1384" s="6"/>
      <c r="EZ1384" s="6"/>
      <c r="FA1384" s="6"/>
      <c r="FB1384" s="6"/>
      <c r="FC1384" s="6"/>
      <c r="FD1384" s="6"/>
      <c r="FE1384" s="6"/>
      <c r="FF1384" s="6"/>
      <c r="FG1384" s="6"/>
      <c r="FH1384" s="6"/>
      <c r="FI1384" s="6"/>
      <c r="FJ1384" s="6"/>
      <c r="FK1384" s="6"/>
      <c r="FL1384" s="6"/>
      <c r="FM1384" s="6"/>
      <c r="FN1384" s="6"/>
      <c r="FO1384" s="6"/>
      <c r="FP1384" s="6"/>
      <c r="FQ1384" s="6"/>
      <c r="FR1384" s="6"/>
      <c r="FS1384" s="6"/>
      <c r="FT1384" s="6"/>
      <c r="FU1384" s="6"/>
      <c r="FV1384" s="6"/>
      <c r="FW1384" s="6"/>
      <c r="FX1384" s="6"/>
      <c r="FY1384" s="6"/>
      <c r="FZ1384" s="6"/>
      <c r="GA1384" s="6"/>
      <c r="GB1384" s="6"/>
      <c r="GC1384" s="6"/>
      <c r="GD1384" s="6"/>
      <c r="GE1384" s="6"/>
      <c r="GF1384" s="6"/>
      <c r="GG1384" s="6"/>
      <c r="GH1384" s="6"/>
      <c r="GI1384" s="6"/>
      <c r="GJ1384" s="6"/>
      <c r="GK1384" s="6"/>
      <c r="GL1384" s="6"/>
      <c r="GM1384" s="6"/>
      <c r="GN1384" s="6"/>
      <c r="GO1384" s="6"/>
      <c r="GP1384" s="6"/>
      <c r="GQ1384" s="6"/>
      <c r="GR1384" s="6"/>
      <c r="GS1384" s="6"/>
      <c r="GT1384" s="6"/>
      <c r="GU1384" s="6"/>
      <c r="GV1384" s="6"/>
      <c r="GW1384" s="6"/>
      <c r="GX1384" s="6"/>
      <c r="GY1384" s="6"/>
      <c r="GZ1384" s="6"/>
      <c r="HA1384" s="6"/>
      <c r="HB1384" s="6"/>
      <c r="HC1384" s="6"/>
      <c r="HD1384" s="6"/>
      <c r="HE1384" s="6"/>
      <c r="HF1384" s="6"/>
      <c r="HG1384" s="6"/>
      <c r="HH1384" s="6"/>
    </row>
    <row r="1385" spans="1:216" x14ac:dyDescent="0.3">
      <c r="A1385" s="8"/>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6"/>
      <c r="AR1385" s="6"/>
      <c r="AS1385" s="6"/>
      <c r="AT1385" s="6"/>
      <c r="AU1385" s="6"/>
      <c r="AV1385" s="6"/>
      <c r="AW1385" s="6"/>
      <c r="AX1385" s="6"/>
      <c r="AY1385" s="6"/>
      <c r="AZ1385" s="6"/>
      <c r="BA1385" s="6"/>
      <c r="BB1385" s="6"/>
      <c r="BC1385" s="6"/>
      <c r="BD1385" s="6"/>
      <c r="BE1385" s="6"/>
      <c r="BF1385" s="6"/>
      <c r="BG1385" s="6"/>
      <c r="BH1385" s="6"/>
      <c r="BI1385" s="6"/>
      <c r="BJ1385" s="6"/>
      <c r="BK1385" s="6"/>
      <c r="BL1385" s="6"/>
      <c r="BM1385" s="6"/>
      <c r="BN1385" s="6"/>
      <c r="BO1385" s="6"/>
      <c r="BP1385" s="6"/>
      <c r="BQ1385" s="6"/>
      <c r="BR1385" s="6"/>
      <c r="BS1385" s="6"/>
      <c r="BT1385" s="6"/>
      <c r="BU1385" s="6"/>
      <c r="BV1385" s="6"/>
      <c r="BW1385" s="6"/>
      <c r="BX1385" s="6"/>
      <c r="BY1385" s="6"/>
      <c r="BZ1385" s="6"/>
      <c r="CA1385" s="6"/>
      <c r="CB1385" s="6"/>
      <c r="CC1385" s="6"/>
      <c r="CD1385" s="6"/>
      <c r="CE1385" s="6"/>
      <c r="CF1385" s="6"/>
      <c r="CG1385" s="6"/>
      <c r="CH1385" s="6"/>
      <c r="CI1385" s="6"/>
      <c r="CJ1385" s="6"/>
      <c r="CK1385" s="6"/>
      <c r="CL1385" s="6"/>
      <c r="CM1385" s="6"/>
      <c r="CN1385" s="6"/>
      <c r="CO1385" s="6"/>
      <c r="CP1385" s="6"/>
      <c r="CQ1385" s="6"/>
      <c r="CR1385" s="6"/>
      <c r="CS1385" s="6"/>
      <c r="CT1385" s="6"/>
      <c r="CU1385" s="6"/>
      <c r="CV1385" s="6"/>
      <c r="CW1385" s="6"/>
      <c r="CX1385" s="6"/>
      <c r="CY1385" s="6"/>
      <c r="CZ1385" s="6"/>
      <c r="DA1385" s="6"/>
      <c r="DB1385" s="6"/>
      <c r="DC1385" s="6"/>
      <c r="DD1385" s="6"/>
      <c r="DE1385" s="6"/>
      <c r="DF1385" s="6"/>
      <c r="DG1385" s="6"/>
      <c r="DH1385" s="6"/>
      <c r="DI1385" s="6"/>
      <c r="DJ1385" s="6"/>
      <c r="DK1385" s="6"/>
      <c r="DL1385" s="6"/>
      <c r="DM1385" s="6"/>
      <c r="DN1385" s="6"/>
      <c r="DO1385" s="6"/>
      <c r="DP1385" s="6"/>
      <c r="DQ1385" s="6"/>
      <c r="DR1385" s="6"/>
      <c r="DS1385" s="6"/>
      <c r="DT1385" s="6"/>
      <c r="DU1385" s="6"/>
      <c r="DV1385" s="6"/>
      <c r="DW1385" s="6"/>
      <c r="DX1385" s="6"/>
      <c r="DY1385" s="6"/>
      <c r="DZ1385" s="6"/>
      <c r="EA1385" s="6"/>
      <c r="EB1385" s="6"/>
      <c r="EC1385" s="6"/>
      <c r="ED1385" s="6"/>
      <c r="EE1385" s="6"/>
      <c r="EF1385" s="6"/>
      <c r="EG1385" s="6"/>
      <c r="EH1385" s="6"/>
      <c r="EI1385" s="6"/>
      <c r="EJ1385" s="6"/>
      <c r="EK1385" s="6"/>
      <c r="EL1385" s="6"/>
      <c r="EM1385" s="6"/>
      <c r="EN1385" s="6"/>
      <c r="EO1385" s="6"/>
      <c r="EP1385" s="6"/>
      <c r="EQ1385" s="6"/>
      <c r="ER1385" s="6"/>
      <c r="ES1385" s="6"/>
      <c r="ET1385" s="6"/>
      <c r="EU1385" s="6"/>
      <c r="EV1385" s="6"/>
      <c r="EW1385" s="6"/>
      <c r="EX1385" s="6"/>
      <c r="EY1385" s="6"/>
      <c r="EZ1385" s="6"/>
      <c r="FA1385" s="6"/>
      <c r="FB1385" s="6"/>
      <c r="FC1385" s="6"/>
      <c r="FD1385" s="6"/>
      <c r="FE1385" s="6"/>
      <c r="FF1385" s="6"/>
      <c r="FG1385" s="6"/>
      <c r="FH1385" s="6"/>
      <c r="FI1385" s="6"/>
      <c r="FJ1385" s="6"/>
      <c r="FK1385" s="6"/>
      <c r="FL1385" s="6"/>
      <c r="FM1385" s="6"/>
      <c r="FN1385" s="6"/>
      <c r="FO1385" s="6"/>
      <c r="FP1385" s="6"/>
      <c r="FQ1385" s="6"/>
      <c r="FR1385" s="6"/>
      <c r="FS1385" s="6"/>
      <c r="FT1385" s="6"/>
      <c r="FU1385" s="6"/>
      <c r="FV1385" s="6"/>
      <c r="FW1385" s="6"/>
      <c r="FX1385" s="6"/>
      <c r="FY1385" s="6"/>
      <c r="FZ1385" s="6"/>
      <c r="GA1385" s="6"/>
      <c r="GB1385" s="6"/>
      <c r="GC1385" s="6"/>
      <c r="GD1385" s="6"/>
      <c r="GE1385" s="6"/>
      <c r="GF1385" s="6"/>
      <c r="GG1385" s="6"/>
      <c r="GH1385" s="6"/>
      <c r="GI1385" s="6"/>
      <c r="GJ1385" s="6"/>
      <c r="GK1385" s="6"/>
      <c r="GL1385" s="6"/>
      <c r="GM1385" s="6"/>
      <c r="GN1385" s="6"/>
      <c r="GO1385" s="6"/>
      <c r="GP1385" s="6"/>
      <c r="GQ1385" s="6"/>
      <c r="GR1385" s="6"/>
      <c r="GS1385" s="6"/>
      <c r="GT1385" s="6"/>
      <c r="GU1385" s="6"/>
      <c r="GV1385" s="6"/>
      <c r="GW1385" s="6"/>
      <c r="GX1385" s="6"/>
      <c r="GY1385" s="6"/>
      <c r="GZ1385" s="6"/>
      <c r="HA1385" s="6"/>
      <c r="HB1385" s="6"/>
      <c r="HC1385" s="6"/>
      <c r="HD1385" s="6"/>
      <c r="HE1385" s="6"/>
      <c r="HF1385" s="6"/>
      <c r="HG1385" s="6"/>
      <c r="HH1385" s="6"/>
    </row>
    <row r="1386" spans="1:216" x14ac:dyDescent="0.3">
      <c r="A1386" s="8"/>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6"/>
      <c r="AR1386" s="6"/>
      <c r="AS1386" s="6"/>
      <c r="AT1386" s="6"/>
      <c r="AU1386" s="6"/>
      <c r="AV1386" s="6"/>
      <c r="AW1386" s="6"/>
      <c r="AX1386" s="6"/>
      <c r="AY1386" s="6"/>
      <c r="AZ1386" s="6"/>
      <c r="BA1386" s="6"/>
      <c r="BB1386" s="6"/>
      <c r="BC1386" s="6"/>
      <c r="BD1386" s="6"/>
      <c r="BE1386" s="6"/>
      <c r="BF1386" s="6"/>
      <c r="BG1386" s="6"/>
      <c r="BH1386" s="6"/>
      <c r="BI1386" s="6"/>
      <c r="BJ1386" s="6"/>
      <c r="BK1386" s="6"/>
      <c r="BL1386" s="6"/>
      <c r="BM1386" s="6"/>
      <c r="BN1386" s="6"/>
      <c r="BO1386" s="6"/>
      <c r="BP1386" s="6"/>
      <c r="BQ1386" s="6"/>
      <c r="BR1386" s="6"/>
      <c r="BS1386" s="6"/>
      <c r="BT1386" s="6"/>
      <c r="BU1386" s="6"/>
      <c r="BV1386" s="6"/>
      <c r="BW1386" s="6"/>
      <c r="BX1386" s="6"/>
      <c r="BY1386" s="6"/>
      <c r="BZ1386" s="6"/>
      <c r="CA1386" s="6"/>
      <c r="CB1386" s="6"/>
      <c r="CC1386" s="6"/>
      <c r="CD1386" s="6"/>
      <c r="CE1386" s="6"/>
      <c r="CF1386" s="6"/>
      <c r="CG1386" s="6"/>
      <c r="CH1386" s="6"/>
      <c r="CI1386" s="6"/>
      <c r="CJ1386" s="6"/>
      <c r="CK1386" s="6"/>
      <c r="CL1386" s="6"/>
      <c r="CM1386" s="6"/>
      <c r="CN1386" s="6"/>
      <c r="CO1386" s="6"/>
      <c r="CP1386" s="6"/>
      <c r="CQ1386" s="6"/>
      <c r="CR1386" s="6"/>
      <c r="CS1386" s="6"/>
      <c r="CT1386" s="6"/>
      <c r="CU1386" s="6"/>
      <c r="CV1386" s="6"/>
      <c r="CW1386" s="6"/>
      <c r="CX1386" s="6"/>
      <c r="CY1386" s="6"/>
      <c r="CZ1386" s="6"/>
      <c r="DA1386" s="6"/>
      <c r="DB1386" s="6"/>
      <c r="DC1386" s="6"/>
      <c r="DD1386" s="6"/>
      <c r="DE1386" s="6"/>
      <c r="DF1386" s="6"/>
      <c r="DG1386" s="6"/>
      <c r="DH1386" s="6"/>
      <c r="DI1386" s="6"/>
      <c r="DJ1386" s="6"/>
      <c r="DK1386" s="6"/>
      <c r="DL1386" s="6"/>
      <c r="DM1386" s="6"/>
      <c r="DN1386" s="6"/>
      <c r="DO1386" s="6"/>
      <c r="DP1386" s="6"/>
      <c r="DQ1386" s="6"/>
      <c r="DR1386" s="6"/>
      <c r="DS1386" s="6"/>
      <c r="DT1386" s="6"/>
      <c r="DU1386" s="6"/>
      <c r="DV1386" s="6"/>
      <c r="DW1386" s="6"/>
      <c r="DX1386" s="6"/>
      <c r="DY1386" s="6"/>
      <c r="DZ1386" s="6"/>
      <c r="EA1386" s="6"/>
      <c r="EB1386" s="6"/>
      <c r="EC1386" s="6"/>
      <c r="ED1386" s="6"/>
      <c r="EE1386" s="6"/>
      <c r="EF1386" s="6"/>
      <c r="EG1386" s="6"/>
      <c r="EH1386" s="6"/>
      <c r="EI1386" s="6"/>
      <c r="EJ1386" s="6"/>
      <c r="EK1386" s="6"/>
      <c r="EL1386" s="6"/>
      <c r="EM1386" s="6"/>
      <c r="EN1386" s="6"/>
      <c r="EO1386" s="6"/>
      <c r="EP1386" s="6"/>
      <c r="EQ1386" s="6"/>
      <c r="ER1386" s="6"/>
      <c r="ES1386" s="6"/>
      <c r="ET1386" s="6"/>
      <c r="EU1386" s="6"/>
      <c r="EV1386" s="6"/>
      <c r="EW1386" s="6"/>
      <c r="EX1386" s="6"/>
      <c r="EY1386" s="6"/>
      <c r="EZ1386" s="6"/>
      <c r="FA1386" s="6"/>
      <c r="FB1386" s="6"/>
      <c r="FC1386" s="6"/>
      <c r="FD1386" s="6"/>
      <c r="FE1386" s="6"/>
      <c r="FF1386" s="6"/>
      <c r="FG1386" s="6"/>
      <c r="FH1386" s="6"/>
      <c r="FI1386" s="6"/>
      <c r="FJ1386" s="6"/>
      <c r="FK1386" s="6"/>
      <c r="FL1386" s="6"/>
      <c r="FM1386" s="6"/>
      <c r="FN1386" s="6"/>
      <c r="FO1386" s="6"/>
      <c r="FP1386" s="6"/>
      <c r="FQ1386" s="6"/>
      <c r="FR1386" s="6"/>
      <c r="FS1386" s="6"/>
      <c r="FT1386" s="6"/>
      <c r="FU1386" s="6"/>
      <c r="FV1386" s="6"/>
      <c r="FW1386" s="6"/>
      <c r="FX1386" s="6"/>
      <c r="FY1386" s="6"/>
      <c r="FZ1386" s="6"/>
      <c r="GA1386" s="6"/>
      <c r="GB1386" s="6"/>
      <c r="GC1386" s="6"/>
      <c r="GD1386" s="6"/>
      <c r="GE1386" s="6"/>
      <c r="GF1386" s="6"/>
      <c r="GG1386" s="6"/>
      <c r="GH1386" s="6"/>
      <c r="GI1386" s="6"/>
      <c r="GJ1386" s="6"/>
      <c r="GK1386" s="6"/>
      <c r="GL1386" s="6"/>
      <c r="GM1386" s="6"/>
      <c r="GN1386" s="6"/>
      <c r="GO1386" s="6"/>
      <c r="GP1386" s="6"/>
      <c r="GQ1386" s="6"/>
      <c r="GR1386" s="6"/>
      <c r="GS1386" s="6"/>
      <c r="GT1386" s="6"/>
      <c r="GU1386" s="6"/>
      <c r="GV1386" s="6"/>
      <c r="GW1386" s="6"/>
      <c r="GX1386" s="6"/>
      <c r="GY1386" s="6"/>
      <c r="GZ1386" s="6"/>
      <c r="HA1386" s="6"/>
      <c r="HB1386" s="6"/>
      <c r="HC1386" s="6"/>
      <c r="HD1386" s="6"/>
      <c r="HE1386" s="6"/>
      <c r="HF1386" s="6"/>
      <c r="HG1386" s="6"/>
      <c r="HH1386" s="6"/>
    </row>
    <row r="1387" spans="1:216" x14ac:dyDescent="0.3">
      <c r="A1387" s="8"/>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6"/>
      <c r="AR1387" s="6"/>
      <c r="AS1387" s="6"/>
      <c r="AT1387" s="6"/>
      <c r="AU1387" s="6"/>
      <c r="AV1387" s="6"/>
      <c r="AW1387" s="6"/>
      <c r="AX1387" s="6"/>
      <c r="AY1387" s="6"/>
      <c r="AZ1387" s="6"/>
      <c r="BA1387" s="6"/>
      <c r="BB1387" s="6"/>
      <c r="BC1387" s="6"/>
      <c r="BD1387" s="6"/>
      <c r="BE1387" s="6"/>
      <c r="BF1387" s="6"/>
      <c r="BG1387" s="6"/>
      <c r="BH1387" s="6"/>
      <c r="BI1387" s="6"/>
      <c r="BJ1387" s="6"/>
      <c r="BK1387" s="6"/>
      <c r="BL1387" s="6"/>
      <c r="BM1387" s="6"/>
      <c r="BN1387" s="6"/>
      <c r="BO1387" s="6"/>
      <c r="BP1387" s="6"/>
      <c r="BQ1387" s="6"/>
      <c r="BR1387" s="6"/>
      <c r="BS1387" s="6"/>
      <c r="BT1387" s="6"/>
      <c r="BU1387" s="6"/>
      <c r="BV1387" s="6"/>
      <c r="BW1387" s="6"/>
      <c r="BX1387" s="6"/>
      <c r="BY1387" s="6"/>
      <c r="BZ1387" s="6"/>
      <c r="CA1387" s="6"/>
      <c r="CB1387" s="6"/>
      <c r="CC1387" s="6"/>
      <c r="CD1387" s="6"/>
      <c r="CE1387" s="6"/>
      <c r="CF1387" s="6"/>
      <c r="CG1387" s="6"/>
      <c r="CH1387" s="6"/>
      <c r="CI1387" s="6"/>
      <c r="CJ1387" s="6"/>
      <c r="CK1387" s="6"/>
      <c r="CL1387" s="6"/>
      <c r="CM1387" s="6"/>
      <c r="CN1387" s="6"/>
      <c r="CO1387" s="6"/>
      <c r="CP1387" s="6"/>
      <c r="CQ1387" s="6"/>
      <c r="CR1387" s="6"/>
      <c r="CS1387" s="6"/>
      <c r="CT1387" s="6"/>
      <c r="CU1387" s="6"/>
      <c r="CV1387" s="6"/>
      <c r="CW1387" s="6"/>
      <c r="CX1387" s="6"/>
      <c r="CY1387" s="6"/>
      <c r="CZ1387" s="6"/>
      <c r="DA1387" s="6"/>
      <c r="DB1387" s="6"/>
      <c r="DC1387" s="6"/>
      <c r="DD1387" s="6"/>
      <c r="DE1387" s="6"/>
      <c r="DF1387" s="6"/>
      <c r="DG1387" s="6"/>
      <c r="DH1387" s="6"/>
      <c r="DI1387" s="6"/>
      <c r="DJ1387" s="6"/>
      <c r="DK1387" s="6"/>
      <c r="DL1387" s="6"/>
      <c r="DM1387" s="6"/>
      <c r="DN1387" s="6"/>
      <c r="DO1387" s="6"/>
      <c r="DP1387" s="6"/>
      <c r="DQ1387" s="6"/>
      <c r="DR1387" s="6"/>
      <c r="DS1387" s="6"/>
      <c r="DT1387" s="6"/>
      <c r="DU1387" s="6"/>
      <c r="DV1387" s="6"/>
      <c r="DW1387" s="6"/>
      <c r="DX1387" s="6"/>
      <c r="DY1387" s="6"/>
      <c r="DZ1387" s="6"/>
      <c r="EA1387" s="6"/>
      <c r="EB1387" s="6"/>
      <c r="EC1387" s="6"/>
      <c r="ED1387" s="6"/>
      <c r="EE1387" s="6"/>
      <c r="EF1387" s="6"/>
      <c r="EG1387" s="6"/>
      <c r="EH1387" s="6"/>
      <c r="EI1387" s="6"/>
      <c r="EJ1387" s="6"/>
      <c r="EK1387" s="6"/>
      <c r="EL1387" s="6"/>
      <c r="EM1387" s="6"/>
      <c r="EN1387" s="6"/>
      <c r="EO1387" s="6"/>
      <c r="EP1387" s="6"/>
      <c r="EQ1387" s="6"/>
      <c r="ER1387" s="6"/>
      <c r="ES1387" s="6"/>
      <c r="ET1387" s="6"/>
      <c r="EU1387" s="6"/>
      <c r="EV1387" s="6"/>
      <c r="EW1387" s="6"/>
      <c r="EX1387" s="6"/>
      <c r="EY1387" s="6"/>
      <c r="EZ1387" s="6"/>
      <c r="FA1387" s="6"/>
      <c r="FB1387" s="6"/>
      <c r="FC1387" s="6"/>
      <c r="FD1387" s="6"/>
      <c r="FE1387" s="6"/>
      <c r="FF1387" s="6"/>
      <c r="FG1387" s="6"/>
      <c r="FH1387" s="6"/>
      <c r="FI1387" s="6"/>
      <c r="FJ1387" s="6"/>
      <c r="FK1387" s="6"/>
      <c r="FL1387" s="6"/>
      <c r="FM1387" s="6"/>
      <c r="FN1387" s="6"/>
      <c r="FO1387" s="6"/>
      <c r="FP1387" s="6"/>
      <c r="FQ1387" s="6"/>
      <c r="FR1387" s="6"/>
      <c r="FS1387" s="6"/>
      <c r="FT1387" s="6"/>
      <c r="FU1387" s="6"/>
      <c r="FV1387" s="6"/>
      <c r="FW1387" s="6"/>
      <c r="FX1387" s="6"/>
      <c r="FY1387" s="6"/>
      <c r="FZ1387" s="6"/>
      <c r="GA1387" s="6"/>
      <c r="GB1387" s="6"/>
      <c r="GC1387" s="6"/>
      <c r="GD1387" s="6"/>
      <c r="GE1387" s="6"/>
      <c r="GF1387" s="6"/>
      <c r="GG1387" s="6"/>
      <c r="GH1387" s="6"/>
      <c r="GI1387" s="6"/>
      <c r="GJ1387" s="6"/>
      <c r="GK1387" s="6"/>
      <c r="GL1387" s="6"/>
      <c r="GM1387" s="6"/>
      <c r="GN1387" s="6"/>
      <c r="GO1387" s="6"/>
      <c r="GP1387" s="6"/>
      <c r="GQ1387" s="6"/>
      <c r="GR1387" s="6"/>
      <c r="GS1387" s="6"/>
      <c r="GT1387" s="6"/>
      <c r="GU1387" s="6"/>
      <c r="GV1387" s="6"/>
      <c r="GW1387" s="6"/>
      <c r="GX1387" s="6"/>
      <c r="GY1387" s="6"/>
      <c r="GZ1387" s="6"/>
      <c r="HA1387" s="6"/>
      <c r="HB1387" s="6"/>
      <c r="HC1387" s="6"/>
      <c r="HD1387" s="6"/>
      <c r="HE1387" s="6"/>
      <c r="HF1387" s="6"/>
      <c r="HG1387" s="6"/>
      <c r="HH1387" s="6"/>
    </row>
    <row r="1388" spans="1:216" x14ac:dyDescent="0.3">
      <c r="A1388" s="8"/>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6"/>
      <c r="AR1388" s="6"/>
      <c r="AS1388" s="6"/>
      <c r="AT1388" s="6"/>
      <c r="AU1388" s="6"/>
      <c r="AV1388" s="6"/>
      <c r="AW1388" s="6"/>
      <c r="AX1388" s="6"/>
      <c r="AY1388" s="6"/>
      <c r="AZ1388" s="6"/>
      <c r="BA1388" s="6"/>
      <c r="BB1388" s="6"/>
      <c r="BC1388" s="6"/>
      <c r="BD1388" s="6"/>
      <c r="BE1388" s="6"/>
      <c r="BF1388" s="6"/>
      <c r="BG1388" s="6"/>
      <c r="BH1388" s="6"/>
      <c r="BI1388" s="6"/>
      <c r="BJ1388" s="6"/>
      <c r="BK1388" s="6"/>
      <c r="BL1388" s="6"/>
      <c r="BM1388" s="6"/>
      <c r="BN1388" s="6"/>
      <c r="BO1388" s="6"/>
      <c r="BP1388" s="6"/>
      <c r="BQ1388" s="6"/>
      <c r="BR1388" s="6"/>
      <c r="BS1388" s="6"/>
      <c r="BT1388" s="6"/>
      <c r="BU1388" s="6"/>
      <c r="BV1388" s="6"/>
      <c r="BW1388" s="6"/>
      <c r="BX1388" s="6"/>
      <c r="BY1388" s="6"/>
      <c r="BZ1388" s="6"/>
      <c r="CA1388" s="6"/>
      <c r="CB1388" s="6"/>
      <c r="CC1388" s="6"/>
      <c r="CD1388" s="6"/>
      <c r="CE1388" s="6"/>
      <c r="CF1388" s="6"/>
      <c r="CG1388" s="6"/>
      <c r="CH1388" s="6"/>
      <c r="CI1388" s="6"/>
      <c r="CJ1388" s="6"/>
      <c r="CK1388" s="6"/>
      <c r="CL1388" s="6"/>
      <c r="CM1388" s="6"/>
      <c r="CN1388" s="6"/>
      <c r="CO1388" s="6"/>
      <c r="CP1388" s="6"/>
      <c r="CQ1388" s="6"/>
      <c r="CR1388" s="6"/>
      <c r="CS1388" s="6"/>
      <c r="CT1388" s="6"/>
      <c r="CU1388" s="6"/>
      <c r="CV1388" s="6"/>
      <c r="CW1388" s="6"/>
      <c r="CX1388" s="6"/>
      <c r="CY1388" s="6"/>
      <c r="CZ1388" s="6"/>
      <c r="DA1388" s="6"/>
      <c r="DB1388" s="6"/>
      <c r="DC1388" s="6"/>
      <c r="DD1388" s="6"/>
      <c r="DE1388" s="6"/>
      <c r="DF1388" s="6"/>
      <c r="DG1388" s="6"/>
      <c r="DH1388" s="6"/>
      <c r="DI1388" s="6"/>
      <c r="DJ1388" s="6"/>
      <c r="DK1388" s="6"/>
      <c r="DL1388" s="6"/>
      <c r="DM1388" s="6"/>
      <c r="DN1388" s="6"/>
      <c r="DO1388" s="6"/>
      <c r="DP1388" s="6"/>
      <c r="DQ1388" s="6"/>
      <c r="DR1388" s="6"/>
      <c r="DS1388" s="6"/>
      <c r="DT1388" s="6"/>
      <c r="DU1388" s="6"/>
      <c r="DV1388" s="6"/>
      <c r="DW1388" s="6"/>
      <c r="DX1388" s="6"/>
      <c r="DY1388" s="6"/>
      <c r="DZ1388" s="6"/>
      <c r="EA1388" s="6"/>
      <c r="EB1388" s="6"/>
      <c r="EC1388" s="6"/>
      <c r="ED1388" s="6"/>
      <c r="EE1388" s="6"/>
      <c r="EF1388" s="6"/>
      <c r="EG1388" s="6"/>
      <c r="EH1388" s="6"/>
      <c r="EI1388" s="6"/>
      <c r="EJ1388" s="6"/>
      <c r="EK1388" s="6"/>
      <c r="EL1388" s="6"/>
      <c r="EM1388" s="6"/>
      <c r="EN1388" s="6"/>
      <c r="EO1388" s="6"/>
      <c r="EP1388" s="6"/>
      <c r="EQ1388" s="6"/>
      <c r="ER1388" s="6"/>
      <c r="ES1388" s="6"/>
      <c r="ET1388" s="6"/>
      <c r="EU1388" s="6"/>
      <c r="EV1388" s="6"/>
      <c r="EW1388" s="6"/>
      <c r="EX1388" s="6"/>
      <c r="EY1388" s="6"/>
      <c r="EZ1388" s="6"/>
      <c r="FA1388" s="6"/>
      <c r="FB1388" s="6"/>
      <c r="FC1388" s="6"/>
      <c r="FD1388" s="6"/>
      <c r="FE1388" s="6"/>
      <c r="FF1388" s="6"/>
      <c r="FG1388" s="6"/>
      <c r="FH1388" s="6"/>
      <c r="FI1388" s="6"/>
      <c r="FJ1388" s="6"/>
      <c r="FK1388" s="6"/>
      <c r="FL1388" s="6"/>
      <c r="FM1388" s="6"/>
      <c r="FN1388" s="6"/>
      <c r="FO1388" s="6"/>
      <c r="FP1388" s="6"/>
      <c r="FQ1388" s="6"/>
      <c r="FR1388" s="6"/>
      <c r="FS1388" s="6"/>
      <c r="FT1388" s="6"/>
      <c r="FU1388" s="6"/>
      <c r="FV1388" s="6"/>
      <c r="FW1388" s="6"/>
      <c r="FX1388" s="6"/>
      <c r="FY1388" s="6"/>
      <c r="FZ1388" s="6"/>
      <c r="GA1388" s="6"/>
      <c r="GB1388" s="6"/>
      <c r="GC1388" s="6"/>
      <c r="GD1388" s="6"/>
      <c r="GE1388" s="6"/>
      <c r="GF1388" s="6"/>
      <c r="GG1388" s="6"/>
      <c r="GH1388" s="6"/>
      <c r="GI1388" s="6"/>
      <c r="GJ1388" s="6"/>
      <c r="GK1388" s="6"/>
      <c r="GL1388" s="6"/>
      <c r="GM1388" s="6"/>
      <c r="GN1388" s="6"/>
      <c r="GO1388" s="6"/>
      <c r="GP1388" s="6"/>
      <c r="GQ1388" s="6"/>
      <c r="GR1388" s="6"/>
      <c r="GS1388" s="6"/>
      <c r="GT1388" s="6"/>
      <c r="GU1388" s="6"/>
      <c r="GV1388" s="6"/>
      <c r="GW1388" s="6"/>
      <c r="GX1388" s="6"/>
      <c r="GY1388" s="6"/>
      <c r="GZ1388" s="6"/>
      <c r="HA1388" s="6"/>
      <c r="HB1388" s="6"/>
      <c r="HC1388" s="6"/>
      <c r="HD1388" s="6"/>
      <c r="HE1388" s="6"/>
      <c r="HF1388" s="6"/>
      <c r="HG1388" s="6"/>
      <c r="HH1388" s="6"/>
    </row>
    <row r="1389" spans="1:216" x14ac:dyDescent="0.3">
      <c r="A1389" s="8"/>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6"/>
      <c r="AR1389" s="6"/>
      <c r="AS1389" s="6"/>
      <c r="AT1389" s="6"/>
      <c r="AU1389" s="6"/>
      <c r="AV1389" s="6"/>
      <c r="AW1389" s="6"/>
      <c r="AX1389" s="6"/>
      <c r="AY1389" s="6"/>
      <c r="AZ1389" s="6"/>
      <c r="BA1389" s="6"/>
      <c r="BB1389" s="6"/>
      <c r="BC1389" s="6"/>
      <c r="BD1389" s="6"/>
      <c r="BE1389" s="6"/>
      <c r="BF1389" s="6"/>
      <c r="BG1389" s="6"/>
      <c r="BH1389" s="6"/>
      <c r="BI1389" s="6"/>
      <c r="BJ1389" s="6"/>
      <c r="BK1389" s="6"/>
      <c r="BL1389" s="6"/>
      <c r="BM1389" s="6"/>
      <c r="BN1389" s="6"/>
      <c r="BO1389" s="6"/>
      <c r="BP1389" s="6"/>
      <c r="BQ1389" s="6"/>
      <c r="BR1389" s="6"/>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c r="CY1389" s="6"/>
      <c r="CZ1389" s="6"/>
      <c r="DA1389" s="6"/>
      <c r="DB1389" s="6"/>
      <c r="DC1389" s="6"/>
      <c r="DD1389" s="6"/>
      <c r="DE1389" s="6"/>
      <c r="DF1389" s="6"/>
      <c r="DG1389" s="6"/>
      <c r="DH1389" s="6"/>
      <c r="DI1389" s="6"/>
      <c r="DJ1389" s="6"/>
      <c r="DK1389" s="6"/>
      <c r="DL1389" s="6"/>
      <c r="DM1389" s="6"/>
      <c r="DN1389" s="6"/>
      <c r="DO1389" s="6"/>
      <c r="DP1389" s="6"/>
      <c r="DQ1389" s="6"/>
      <c r="DR1389" s="6"/>
      <c r="DS1389" s="6"/>
      <c r="DT1389" s="6"/>
      <c r="DU1389" s="6"/>
      <c r="DV1389" s="6"/>
      <c r="DW1389" s="6"/>
      <c r="DX1389" s="6"/>
      <c r="DY1389" s="6"/>
      <c r="DZ1389" s="6"/>
      <c r="EA1389" s="6"/>
      <c r="EB1389" s="6"/>
      <c r="EC1389" s="6"/>
      <c r="ED1389" s="6"/>
      <c r="EE1389" s="6"/>
      <c r="EF1389" s="6"/>
      <c r="EG1389" s="6"/>
      <c r="EH1389" s="6"/>
      <c r="EI1389" s="6"/>
      <c r="EJ1389" s="6"/>
      <c r="EK1389" s="6"/>
      <c r="EL1389" s="6"/>
      <c r="EM1389" s="6"/>
      <c r="EN1389" s="6"/>
      <c r="EO1389" s="6"/>
      <c r="EP1389" s="6"/>
      <c r="EQ1389" s="6"/>
      <c r="ER1389" s="6"/>
      <c r="ES1389" s="6"/>
      <c r="ET1389" s="6"/>
      <c r="EU1389" s="6"/>
      <c r="EV1389" s="6"/>
      <c r="EW1389" s="6"/>
      <c r="EX1389" s="6"/>
      <c r="EY1389" s="6"/>
      <c r="EZ1389" s="6"/>
      <c r="FA1389" s="6"/>
      <c r="FB1389" s="6"/>
      <c r="FC1389" s="6"/>
      <c r="FD1389" s="6"/>
      <c r="FE1389" s="6"/>
      <c r="FF1389" s="6"/>
      <c r="FG1389" s="6"/>
      <c r="FH1389" s="6"/>
      <c r="FI1389" s="6"/>
      <c r="FJ1389" s="6"/>
      <c r="FK1389" s="6"/>
      <c r="FL1389" s="6"/>
      <c r="FM1389" s="6"/>
      <c r="FN1389" s="6"/>
      <c r="FO1389" s="6"/>
      <c r="FP1389" s="6"/>
      <c r="FQ1389" s="6"/>
      <c r="FR1389" s="6"/>
      <c r="FS1389" s="6"/>
      <c r="FT1389" s="6"/>
      <c r="FU1389" s="6"/>
      <c r="FV1389" s="6"/>
      <c r="FW1389" s="6"/>
      <c r="FX1389" s="6"/>
      <c r="FY1389" s="6"/>
      <c r="FZ1389" s="6"/>
      <c r="GA1389" s="6"/>
      <c r="GB1389" s="6"/>
      <c r="GC1389" s="6"/>
      <c r="GD1389" s="6"/>
      <c r="GE1389" s="6"/>
      <c r="GF1389" s="6"/>
      <c r="GG1389" s="6"/>
      <c r="GH1389" s="6"/>
      <c r="GI1389" s="6"/>
      <c r="GJ1389" s="6"/>
      <c r="GK1389" s="6"/>
      <c r="GL1389" s="6"/>
      <c r="GM1389" s="6"/>
      <c r="GN1389" s="6"/>
      <c r="GO1389" s="6"/>
      <c r="GP1389" s="6"/>
      <c r="GQ1389" s="6"/>
      <c r="GR1389" s="6"/>
      <c r="GS1389" s="6"/>
      <c r="GT1389" s="6"/>
      <c r="GU1389" s="6"/>
      <c r="GV1389" s="6"/>
      <c r="GW1389" s="6"/>
      <c r="GX1389" s="6"/>
      <c r="GY1389" s="6"/>
      <c r="GZ1389" s="6"/>
      <c r="HA1389" s="6"/>
      <c r="HB1389" s="6"/>
      <c r="HC1389" s="6"/>
      <c r="HD1389" s="6"/>
      <c r="HE1389" s="6"/>
      <c r="HF1389" s="6"/>
      <c r="HG1389" s="6"/>
      <c r="HH1389" s="6"/>
    </row>
    <row r="1390" spans="1:216" x14ac:dyDescent="0.3">
      <c r="A1390" s="8"/>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6"/>
      <c r="AR1390" s="6"/>
      <c r="AS1390" s="6"/>
      <c r="AT1390" s="6"/>
      <c r="AU1390" s="6"/>
      <c r="AV1390" s="6"/>
      <c r="AW1390" s="6"/>
      <c r="AX1390" s="6"/>
      <c r="AY1390" s="6"/>
      <c r="AZ1390" s="6"/>
      <c r="BA1390" s="6"/>
      <c r="BB1390" s="6"/>
      <c r="BC1390" s="6"/>
      <c r="BD1390" s="6"/>
      <c r="BE1390" s="6"/>
      <c r="BF1390" s="6"/>
      <c r="BG1390" s="6"/>
      <c r="BH1390" s="6"/>
      <c r="BI1390" s="6"/>
      <c r="BJ1390" s="6"/>
      <c r="BK1390" s="6"/>
      <c r="BL1390" s="6"/>
      <c r="BM1390" s="6"/>
      <c r="BN1390" s="6"/>
      <c r="BO1390" s="6"/>
      <c r="BP1390" s="6"/>
      <c r="BQ1390" s="6"/>
      <c r="BR1390" s="6"/>
      <c r="BS1390" s="6"/>
      <c r="BT1390" s="6"/>
      <c r="BU1390" s="6"/>
      <c r="BV1390" s="6"/>
      <c r="BW1390" s="6"/>
      <c r="BX1390" s="6"/>
      <c r="BY1390" s="6"/>
      <c r="BZ1390" s="6"/>
      <c r="CA1390" s="6"/>
      <c r="CB1390" s="6"/>
      <c r="CC1390" s="6"/>
      <c r="CD1390" s="6"/>
      <c r="CE1390" s="6"/>
      <c r="CF1390" s="6"/>
      <c r="CG1390" s="6"/>
      <c r="CH1390" s="6"/>
      <c r="CI1390" s="6"/>
      <c r="CJ1390" s="6"/>
      <c r="CK1390" s="6"/>
      <c r="CL1390" s="6"/>
      <c r="CM1390" s="6"/>
      <c r="CN1390" s="6"/>
      <c r="CO1390" s="6"/>
      <c r="CP1390" s="6"/>
      <c r="CQ1390" s="6"/>
      <c r="CR1390" s="6"/>
      <c r="CS1390" s="6"/>
      <c r="CT1390" s="6"/>
      <c r="CU1390" s="6"/>
      <c r="CV1390" s="6"/>
      <c r="CW1390" s="6"/>
      <c r="CX1390" s="6"/>
      <c r="CY1390" s="6"/>
      <c r="CZ1390" s="6"/>
      <c r="DA1390" s="6"/>
      <c r="DB1390" s="6"/>
      <c r="DC1390" s="6"/>
      <c r="DD1390" s="6"/>
      <c r="DE1390" s="6"/>
      <c r="DF1390" s="6"/>
      <c r="DG1390" s="6"/>
      <c r="DH1390" s="6"/>
      <c r="DI1390" s="6"/>
      <c r="DJ1390" s="6"/>
      <c r="DK1390" s="6"/>
      <c r="DL1390" s="6"/>
      <c r="DM1390" s="6"/>
      <c r="DN1390" s="6"/>
      <c r="DO1390" s="6"/>
      <c r="DP1390" s="6"/>
      <c r="DQ1390" s="6"/>
      <c r="DR1390" s="6"/>
      <c r="DS1390" s="6"/>
      <c r="DT1390" s="6"/>
      <c r="DU1390" s="6"/>
      <c r="DV1390" s="6"/>
      <c r="DW1390" s="6"/>
      <c r="DX1390" s="6"/>
      <c r="DY1390" s="6"/>
      <c r="DZ1390" s="6"/>
      <c r="EA1390" s="6"/>
      <c r="EB1390" s="6"/>
      <c r="EC1390" s="6"/>
      <c r="ED1390" s="6"/>
      <c r="EE1390" s="6"/>
      <c r="EF1390" s="6"/>
      <c r="EG1390" s="6"/>
      <c r="EH1390" s="6"/>
      <c r="EI1390" s="6"/>
      <c r="EJ1390" s="6"/>
      <c r="EK1390" s="6"/>
      <c r="EL1390" s="6"/>
      <c r="EM1390" s="6"/>
      <c r="EN1390" s="6"/>
      <c r="EO1390" s="6"/>
      <c r="EP1390" s="6"/>
      <c r="EQ1390" s="6"/>
      <c r="ER1390" s="6"/>
      <c r="ES1390" s="6"/>
      <c r="ET1390" s="6"/>
      <c r="EU1390" s="6"/>
      <c r="EV1390" s="6"/>
      <c r="EW1390" s="6"/>
      <c r="EX1390" s="6"/>
      <c r="EY1390" s="6"/>
      <c r="EZ1390" s="6"/>
      <c r="FA1390" s="6"/>
      <c r="FB1390" s="6"/>
      <c r="FC1390" s="6"/>
      <c r="FD1390" s="6"/>
      <c r="FE1390" s="6"/>
      <c r="FF1390" s="6"/>
      <c r="FG1390" s="6"/>
      <c r="FH1390" s="6"/>
      <c r="FI1390" s="6"/>
      <c r="FJ1390" s="6"/>
      <c r="FK1390" s="6"/>
      <c r="FL1390" s="6"/>
      <c r="FM1390" s="6"/>
      <c r="FN1390" s="6"/>
      <c r="FO1390" s="6"/>
      <c r="FP1390" s="6"/>
      <c r="FQ1390" s="6"/>
      <c r="FR1390" s="6"/>
      <c r="FS1390" s="6"/>
      <c r="FT1390" s="6"/>
      <c r="FU1390" s="6"/>
      <c r="FV1390" s="6"/>
      <c r="FW1390" s="6"/>
      <c r="FX1390" s="6"/>
      <c r="FY1390" s="6"/>
      <c r="FZ1390" s="6"/>
      <c r="GA1390" s="6"/>
      <c r="GB1390" s="6"/>
      <c r="GC1390" s="6"/>
      <c r="GD1390" s="6"/>
      <c r="GE1390" s="6"/>
      <c r="GF1390" s="6"/>
      <c r="GG1390" s="6"/>
      <c r="GH1390" s="6"/>
      <c r="GI1390" s="6"/>
      <c r="GJ1390" s="6"/>
      <c r="GK1390" s="6"/>
      <c r="GL1390" s="6"/>
      <c r="GM1390" s="6"/>
      <c r="GN1390" s="6"/>
      <c r="GO1390" s="6"/>
      <c r="GP1390" s="6"/>
      <c r="GQ1390" s="6"/>
      <c r="GR1390" s="6"/>
      <c r="GS1390" s="6"/>
      <c r="GT1390" s="6"/>
      <c r="GU1390" s="6"/>
      <c r="GV1390" s="6"/>
      <c r="GW1390" s="6"/>
      <c r="GX1390" s="6"/>
      <c r="GY1390" s="6"/>
      <c r="GZ1390" s="6"/>
      <c r="HA1390" s="6"/>
      <c r="HB1390" s="6"/>
      <c r="HC1390" s="6"/>
      <c r="HD1390" s="6"/>
      <c r="HE1390" s="6"/>
      <c r="HF1390" s="6"/>
      <c r="HG1390" s="6"/>
      <c r="HH1390" s="6"/>
    </row>
    <row r="1391" spans="1:216" x14ac:dyDescent="0.3">
      <c r="A1391" s="8"/>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6"/>
      <c r="AR1391" s="6"/>
      <c r="AS1391" s="6"/>
      <c r="AT1391" s="6"/>
      <c r="AU1391" s="6"/>
      <c r="AV1391" s="6"/>
      <c r="AW1391" s="6"/>
      <c r="AX1391" s="6"/>
      <c r="AY1391" s="6"/>
      <c r="AZ1391" s="6"/>
      <c r="BA1391" s="6"/>
      <c r="BB1391" s="6"/>
      <c r="BC1391" s="6"/>
      <c r="BD1391" s="6"/>
      <c r="BE1391" s="6"/>
      <c r="BF1391" s="6"/>
      <c r="BG1391" s="6"/>
      <c r="BH1391" s="6"/>
      <c r="BI1391" s="6"/>
      <c r="BJ1391" s="6"/>
      <c r="BK1391" s="6"/>
      <c r="BL1391" s="6"/>
      <c r="BM1391" s="6"/>
      <c r="BN1391" s="6"/>
      <c r="BO1391" s="6"/>
      <c r="BP1391" s="6"/>
      <c r="BQ1391" s="6"/>
      <c r="BR1391" s="6"/>
      <c r="BS1391" s="6"/>
      <c r="BT1391" s="6"/>
      <c r="BU1391" s="6"/>
      <c r="BV1391" s="6"/>
      <c r="BW1391" s="6"/>
      <c r="BX1391" s="6"/>
      <c r="BY1391" s="6"/>
      <c r="BZ1391" s="6"/>
      <c r="CA1391" s="6"/>
      <c r="CB1391" s="6"/>
      <c r="CC1391" s="6"/>
      <c r="CD1391" s="6"/>
      <c r="CE1391" s="6"/>
      <c r="CF1391" s="6"/>
      <c r="CG1391" s="6"/>
      <c r="CH1391" s="6"/>
      <c r="CI1391" s="6"/>
      <c r="CJ1391" s="6"/>
      <c r="CK1391" s="6"/>
      <c r="CL1391" s="6"/>
      <c r="CM1391" s="6"/>
      <c r="CN1391" s="6"/>
      <c r="CO1391" s="6"/>
      <c r="CP1391" s="6"/>
      <c r="CQ1391" s="6"/>
      <c r="CR1391" s="6"/>
      <c r="CS1391" s="6"/>
      <c r="CT1391" s="6"/>
      <c r="CU1391" s="6"/>
      <c r="CV1391" s="6"/>
      <c r="CW1391" s="6"/>
      <c r="CX1391" s="6"/>
      <c r="CY1391" s="6"/>
      <c r="CZ1391" s="6"/>
      <c r="DA1391" s="6"/>
      <c r="DB1391" s="6"/>
      <c r="DC1391" s="6"/>
      <c r="DD1391" s="6"/>
      <c r="DE1391" s="6"/>
      <c r="DF1391" s="6"/>
      <c r="DG1391" s="6"/>
      <c r="DH1391" s="6"/>
      <c r="DI1391" s="6"/>
      <c r="DJ1391" s="6"/>
      <c r="DK1391" s="6"/>
      <c r="DL1391" s="6"/>
      <c r="DM1391" s="6"/>
      <c r="DN1391" s="6"/>
      <c r="DO1391" s="6"/>
      <c r="DP1391" s="6"/>
      <c r="DQ1391" s="6"/>
      <c r="DR1391" s="6"/>
      <c r="DS1391" s="6"/>
      <c r="DT1391" s="6"/>
      <c r="DU1391" s="6"/>
      <c r="DV1391" s="6"/>
      <c r="DW1391" s="6"/>
      <c r="DX1391" s="6"/>
      <c r="DY1391" s="6"/>
      <c r="DZ1391" s="6"/>
      <c r="EA1391" s="6"/>
      <c r="EB1391" s="6"/>
      <c r="EC1391" s="6"/>
      <c r="ED1391" s="6"/>
      <c r="EE1391" s="6"/>
      <c r="EF1391" s="6"/>
      <c r="EG1391" s="6"/>
      <c r="EH1391" s="6"/>
      <c r="EI1391" s="6"/>
      <c r="EJ1391" s="6"/>
      <c r="EK1391" s="6"/>
      <c r="EL1391" s="6"/>
      <c r="EM1391" s="6"/>
      <c r="EN1391" s="6"/>
      <c r="EO1391" s="6"/>
      <c r="EP1391" s="6"/>
      <c r="EQ1391" s="6"/>
      <c r="ER1391" s="6"/>
      <c r="ES1391" s="6"/>
      <c r="ET1391" s="6"/>
      <c r="EU1391" s="6"/>
      <c r="EV1391" s="6"/>
      <c r="EW1391" s="6"/>
      <c r="EX1391" s="6"/>
      <c r="EY1391" s="6"/>
      <c r="EZ1391" s="6"/>
      <c r="FA1391" s="6"/>
      <c r="FB1391" s="6"/>
      <c r="FC1391" s="6"/>
      <c r="FD1391" s="6"/>
      <c r="FE1391" s="6"/>
      <c r="FF1391" s="6"/>
      <c r="FG1391" s="6"/>
      <c r="FH1391" s="6"/>
      <c r="FI1391" s="6"/>
      <c r="FJ1391" s="6"/>
      <c r="FK1391" s="6"/>
      <c r="FL1391" s="6"/>
      <c r="FM1391" s="6"/>
      <c r="FN1391" s="6"/>
      <c r="FO1391" s="6"/>
      <c r="FP1391" s="6"/>
      <c r="FQ1391" s="6"/>
      <c r="FR1391" s="6"/>
      <c r="FS1391" s="6"/>
      <c r="FT1391" s="6"/>
      <c r="FU1391" s="6"/>
      <c r="FV1391" s="6"/>
      <c r="FW1391" s="6"/>
      <c r="FX1391" s="6"/>
      <c r="FY1391" s="6"/>
      <c r="FZ1391" s="6"/>
      <c r="GA1391" s="6"/>
      <c r="GB1391" s="6"/>
      <c r="GC1391" s="6"/>
      <c r="GD1391" s="6"/>
      <c r="GE1391" s="6"/>
      <c r="GF1391" s="6"/>
      <c r="GG1391" s="6"/>
      <c r="GH1391" s="6"/>
      <c r="GI1391" s="6"/>
      <c r="GJ1391" s="6"/>
      <c r="GK1391" s="6"/>
      <c r="GL1391" s="6"/>
      <c r="GM1391" s="6"/>
      <c r="GN1391" s="6"/>
      <c r="GO1391" s="6"/>
      <c r="GP1391" s="6"/>
      <c r="GQ1391" s="6"/>
      <c r="GR1391" s="6"/>
      <c r="GS1391" s="6"/>
      <c r="GT1391" s="6"/>
      <c r="GU1391" s="6"/>
      <c r="GV1391" s="6"/>
      <c r="GW1391" s="6"/>
      <c r="GX1391" s="6"/>
      <c r="GY1391" s="6"/>
      <c r="GZ1391" s="6"/>
      <c r="HA1391" s="6"/>
      <c r="HB1391" s="6"/>
      <c r="HC1391" s="6"/>
      <c r="HD1391" s="6"/>
      <c r="HE1391" s="6"/>
      <c r="HF1391" s="6"/>
      <c r="HG1391" s="6"/>
      <c r="HH1391" s="6"/>
    </row>
    <row r="1392" spans="1:216" x14ac:dyDescent="0.3">
      <c r="A1392" s="8"/>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6"/>
      <c r="AR1392" s="6"/>
      <c r="AS1392" s="6"/>
      <c r="AT1392" s="6"/>
      <c r="AU1392" s="6"/>
      <c r="AV1392" s="6"/>
      <c r="AW1392" s="6"/>
      <c r="AX1392" s="6"/>
      <c r="AY1392" s="6"/>
      <c r="AZ1392" s="6"/>
      <c r="BA1392" s="6"/>
      <c r="BB1392" s="6"/>
      <c r="BC1392" s="6"/>
      <c r="BD1392" s="6"/>
      <c r="BE1392" s="6"/>
      <c r="BF1392" s="6"/>
      <c r="BG1392" s="6"/>
      <c r="BH1392" s="6"/>
      <c r="BI1392" s="6"/>
      <c r="BJ1392" s="6"/>
      <c r="BK1392" s="6"/>
      <c r="BL1392" s="6"/>
      <c r="BM1392" s="6"/>
      <c r="BN1392" s="6"/>
      <c r="BO1392" s="6"/>
      <c r="BP1392" s="6"/>
      <c r="BQ1392" s="6"/>
      <c r="BR1392" s="6"/>
      <c r="BS1392" s="6"/>
      <c r="BT1392" s="6"/>
      <c r="BU1392" s="6"/>
      <c r="BV1392" s="6"/>
      <c r="BW1392" s="6"/>
      <c r="BX1392" s="6"/>
      <c r="BY1392" s="6"/>
      <c r="BZ1392" s="6"/>
      <c r="CA1392" s="6"/>
      <c r="CB1392" s="6"/>
      <c r="CC1392" s="6"/>
      <c r="CD1392" s="6"/>
      <c r="CE1392" s="6"/>
      <c r="CF1392" s="6"/>
      <c r="CG1392" s="6"/>
      <c r="CH1392" s="6"/>
      <c r="CI1392" s="6"/>
      <c r="CJ1392" s="6"/>
      <c r="CK1392" s="6"/>
      <c r="CL1392" s="6"/>
      <c r="CM1392" s="6"/>
      <c r="CN1392" s="6"/>
      <c r="CO1392" s="6"/>
      <c r="CP1392" s="6"/>
      <c r="CQ1392" s="6"/>
      <c r="CR1392" s="6"/>
      <c r="CS1392" s="6"/>
      <c r="CT1392" s="6"/>
      <c r="CU1392" s="6"/>
      <c r="CV1392" s="6"/>
      <c r="CW1392" s="6"/>
      <c r="CX1392" s="6"/>
      <c r="CY1392" s="6"/>
      <c r="CZ1392" s="6"/>
      <c r="DA1392" s="6"/>
      <c r="DB1392" s="6"/>
      <c r="DC1392" s="6"/>
      <c r="DD1392" s="6"/>
      <c r="DE1392" s="6"/>
      <c r="DF1392" s="6"/>
      <c r="DG1392" s="6"/>
      <c r="DH1392" s="6"/>
      <c r="DI1392" s="6"/>
      <c r="DJ1392" s="6"/>
      <c r="DK1392" s="6"/>
      <c r="DL1392" s="6"/>
      <c r="DM1392" s="6"/>
      <c r="DN1392" s="6"/>
      <c r="DO1392" s="6"/>
      <c r="DP1392" s="6"/>
      <c r="DQ1392" s="6"/>
      <c r="DR1392" s="6"/>
      <c r="DS1392" s="6"/>
      <c r="DT1392" s="6"/>
      <c r="DU1392" s="6"/>
      <c r="DV1392" s="6"/>
      <c r="DW1392" s="6"/>
      <c r="DX1392" s="6"/>
      <c r="DY1392" s="6"/>
      <c r="DZ1392" s="6"/>
      <c r="EA1392" s="6"/>
      <c r="EB1392" s="6"/>
      <c r="EC1392" s="6"/>
      <c r="ED1392" s="6"/>
      <c r="EE1392" s="6"/>
      <c r="EF1392" s="6"/>
      <c r="EG1392" s="6"/>
      <c r="EH1392" s="6"/>
      <c r="EI1392" s="6"/>
      <c r="EJ1392" s="6"/>
      <c r="EK1392" s="6"/>
      <c r="EL1392" s="6"/>
      <c r="EM1392" s="6"/>
      <c r="EN1392" s="6"/>
      <c r="EO1392" s="6"/>
      <c r="EP1392" s="6"/>
      <c r="EQ1392" s="6"/>
      <c r="ER1392" s="6"/>
      <c r="ES1392" s="6"/>
      <c r="ET1392" s="6"/>
      <c r="EU1392" s="6"/>
      <c r="EV1392" s="6"/>
      <c r="EW1392" s="6"/>
      <c r="EX1392" s="6"/>
      <c r="EY1392" s="6"/>
      <c r="EZ1392" s="6"/>
      <c r="FA1392" s="6"/>
      <c r="FB1392" s="6"/>
      <c r="FC1392" s="6"/>
      <c r="FD1392" s="6"/>
      <c r="FE1392" s="6"/>
      <c r="FF1392" s="6"/>
      <c r="FG1392" s="6"/>
      <c r="FH1392" s="6"/>
      <c r="FI1392" s="6"/>
      <c r="FJ1392" s="6"/>
      <c r="FK1392" s="6"/>
      <c r="FL1392" s="6"/>
      <c r="FM1392" s="6"/>
      <c r="FN1392" s="6"/>
      <c r="FO1392" s="6"/>
      <c r="FP1392" s="6"/>
      <c r="FQ1392" s="6"/>
      <c r="FR1392" s="6"/>
      <c r="FS1392" s="6"/>
      <c r="FT1392" s="6"/>
      <c r="FU1392" s="6"/>
      <c r="FV1392" s="6"/>
      <c r="FW1392" s="6"/>
      <c r="FX1392" s="6"/>
      <c r="FY1392" s="6"/>
      <c r="FZ1392" s="6"/>
      <c r="GA1392" s="6"/>
      <c r="GB1392" s="6"/>
      <c r="GC1392" s="6"/>
      <c r="GD1392" s="6"/>
      <c r="GE1392" s="6"/>
      <c r="GF1392" s="6"/>
      <c r="GG1392" s="6"/>
      <c r="GH1392" s="6"/>
      <c r="GI1392" s="6"/>
      <c r="GJ1392" s="6"/>
      <c r="GK1392" s="6"/>
      <c r="GL1392" s="6"/>
      <c r="GM1392" s="6"/>
      <c r="GN1392" s="6"/>
      <c r="GO1392" s="6"/>
      <c r="GP1392" s="6"/>
      <c r="GQ1392" s="6"/>
      <c r="GR1392" s="6"/>
      <c r="GS1392" s="6"/>
      <c r="GT1392" s="6"/>
      <c r="GU1392" s="6"/>
      <c r="GV1392" s="6"/>
      <c r="GW1392" s="6"/>
      <c r="GX1392" s="6"/>
      <c r="GY1392" s="6"/>
      <c r="GZ1392" s="6"/>
      <c r="HA1392" s="6"/>
      <c r="HB1392" s="6"/>
      <c r="HC1392" s="6"/>
      <c r="HD1392" s="6"/>
      <c r="HE1392" s="6"/>
      <c r="HF1392" s="6"/>
      <c r="HG1392" s="6"/>
      <c r="HH1392" s="6"/>
    </row>
    <row r="1393" spans="1:216" x14ac:dyDescent="0.3">
      <c r="A1393" s="8"/>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6"/>
      <c r="AR1393" s="6"/>
      <c r="AS1393" s="6"/>
      <c r="AT1393" s="6"/>
      <c r="AU1393" s="6"/>
      <c r="AV1393" s="6"/>
      <c r="AW1393" s="6"/>
      <c r="AX1393" s="6"/>
      <c r="AY1393" s="6"/>
      <c r="AZ1393" s="6"/>
      <c r="BA1393" s="6"/>
      <c r="BB1393" s="6"/>
      <c r="BC1393" s="6"/>
      <c r="BD1393" s="6"/>
      <c r="BE1393" s="6"/>
      <c r="BF1393" s="6"/>
      <c r="BG1393" s="6"/>
      <c r="BH1393" s="6"/>
      <c r="BI1393" s="6"/>
      <c r="BJ1393" s="6"/>
      <c r="BK1393" s="6"/>
      <c r="BL1393" s="6"/>
      <c r="BM1393" s="6"/>
      <c r="BN1393" s="6"/>
      <c r="BO1393" s="6"/>
      <c r="BP1393" s="6"/>
      <c r="BQ1393" s="6"/>
      <c r="BR1393" s="6"/>
      <c r="BS1393" s="6"/>
      <c r="BT1393" s="6"/>
      <c r="BU1393" s="6"/>
      <c r="BV1393" s="6"/>
      <c r="BW1393" s="6"/>
      <c r="BX1393" s="6"/>
      <c r="BY1393" s="6"/>
      <c r="BZ1393" s="6"/>
      <c r="CA1393" s="6"/>
      <c r="CB1393" s="6"/>
      <c r="CC1393" s="6"/>
      <c r="CD1393" s="6"/>
      <c r="CE1393" s="6"/>
      <c r="CF1393" s="6"/>
      <c r="CG1393" s="6"/>
      <c r="CH1393" s="6"/>
      <c r="CI1393" s="6"/>
      <c r="CJ1393" s="6"/>
      <c r="CK1393" s="6"/>
      <c r="CL1393" s="6"/>
      <c r="CM1393" s="6"/>
      <c r="CN1393" s="6"/>
      <c r="CO1393" s="6"/>
      <c r="CP1393" s="6"/>
      <c r="CQ1393" s="6"/>
      <c r="CR1393" s="6"/>
      <c r="CS1393" s="6"/>
      <c r="CT1393" s="6"/>
      <c r="CU1393" s="6"/>
      <c r="CV1393" s="6"/>
      <c r="CW1393" s="6"/>
      <c r="CX1393" s="6"/>
      <c r="CY1393" s="6"/>
      <c r="CZ1393" s="6"/>
      <c r="DA1393" s="6"/>
      <c r="DB1393" s="6"/>
      <c r="DC1393" s="6"/>
      <c r="DD1393" s="6"/>
      <c r="DE1393" s="6"/>
      <c r="DF1393" s="6"/>
      <c r="DG1393" s="6"/>
      <c r="DH1393" s="6"/>
      <c r="DI1393" s="6"/>
      <c r="DJ1393" s="6"/>
      <c r="DK1393" s="6"/>
      <c r="DL1393" s="6"/>
      <c r="DM1393" s="6"/>
      <c r="DN1393" s="6"/>
      <c r="DO1393" s="6"/>
      <c r="DP1393" s="6"/>
      <c r="DQ1393" s="6"/>
      <c r="DR1393" s="6"/>
      <c r="DS1393" s="6"/>
      <c r="DT1393" s="6"/>
      <c r="DU1393" s="6"/>
      <c r="DV1393" s="6"/>
      <c r="DW1393" s="6"/>
      <c r="DX1393" s="6"/>
      <c r="DY1393" s="6"/>
      <c r="DZ1393" s="6"/>
      <c r="EA1393" s="6"/>
      <c r="EB1393" s="6"/>
      <c r="EC1393" s="6"/>
      <c r="ED1393" s="6"/>
      <c r="EE1393" s="6"/>
      <c r="EF1393" s="6"/>
      <c r="EG1393" s="6"/>
      <c r="EH1393" s="6"/>
      <c r="EI1393" s="6"/>
      <c r="EJ1393" s="6"/>
      <c r="EK1393" s="6"/>
      <c r="EL1393" s="6"/>
      <c r="EM1393" s="6"/>
      <c r="EN1393" s="6"/>
      <c r="EO1393" s="6"/>
      <c r="EP1393" s="6"/>
      <c r="EQ1393" s="6"/>
      <c r="ER1393" s="6"/>
      <c r="ES1393" s="6"/>
      <c r="ET1393" s="6"/>
      <c r="EU1393" s="6"/>
      <c r="EV1393" s="6"/>
      <c r="EW1393" s="6"/>
      <c r="EX1393" s="6"/>
      <c r="EY1393" s="6"/>
      <c r="EZ1393" s="6"/>
      <c r="FA1393" s="6"/>
      <c r="FB1393" s="6"/>
      <c r="FC1393" s="6"/>
      <c r="FD1393" s="6"/>
      <c r="FE1393" s="6"/>
      <c r="FF1393" s="6"/>
      <c r="FG1393" s="6"/>
      <c r="FH1393" s="6"/>
      <c r="FI1393" s="6"/>
      <c r="FJ1393" s="6"/>
      <c r="FK1393" s="6"/>
      <c r="FL1393" s="6"/>
      <c r="FM1393" s="6"/>
      <c r="FN1393" s="6"/>
      <c r="FO1393" s="6"/>
      <c r="FP1393" s="6"/>
      <c r="FQ1393" s="6"/>
      <c r="FR1393" s="6"/>
      <c r="FS1393" s="6"/>
      <c r="FT1393" s="6"/>
      <c r="FU1393" s="6"/>
      <c r="FV1393" s="6"/>
      <c r="FW1393" s="6"/>
      <c r="FX1393" s="6"/>
      <c r="FY1393" s="6"/>
      <c r="FZ1393" s="6"/>
      <c r="GA1393" s="6"/>
      <c r="GB1393" s="6"/>
      <c r="GC1393" s="6"/>
      <c r="GD1393" s="6"/>
      <c r="GE1393" s="6"/>
      <c r="GF1393" s="6"/>
      <c r="GG1393" s="6"/>
      <c r="GH1393" s="6"/>
      <c r="GI1393" s="6"/>
      <c r="GJ1393" s="6"/>
      <c r="GK1393" s="6"/>
      <c r="GL1393" s="6"/>
      <c r="GM1393" s="6"/>
      <c r="GN1393" s="6"/>
      <c r="GO1393" s="6"/>
      <c r="GP1393" s="6"/>
      <c r="GQ1393" s="6"/>
      <c r="GR1393" s="6"/>
      <c r="GS1393" s="6"/>
      <c r="GT1393" s="6"/>
      <c r="GU1393" s="6"/>
      <c r="GV1393" s="6"/>
      <c r="GW1393" s="6"/>
      <c r="GX1393" s="6"/>
      <c r="GY1393" s="6"/>
      <c r="GZ1393" s="6"/>
      <c r="HA1393" s="6"/>
      <c r="HB1393" s="6"/>
      <c r="HC1393" s="6"/>
      <c r="HD1393" s="6"/>
      <c r="HE1393" s="6"/>
      <c r="HF1393" s="6"/>
      <c r="HG1393" s="6"/>
      <c r="HH1393" s="6"/>
    </row>
    <row r="1394" spans="1:216" x14ac:dyDescent="0.3">
      <c r="A1394" s="8"/>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6"/>
      <c r="AR1394" s="6"/>
      <c r="AS1394" s="6"/>
      <c r="AT1394" s="6"/>
      <c r="AU1394" s="6"/>
      <c r="AV1394" s="6"/>
      <c r="AW1394" s="6"/>
      <c r="AX1394" s="6"/>
      <c r="AY1394" s="6"/>
      <c r="AZ1394" s="6"/>
      <c r="BA1394" s="6"/>
      <c r="BB1394" s="6"/>
      <c r="BC1394" s="6"/>
      <c r="BD1394" s="6"/>
      <c r="BE1394" s="6"/>
      <c r="BF1394" s="6"/>
      <c r="BG1394" s="6"/>
      <c r="BH1394" s="6"/>
      <c r="BI1394" s="6"/>
      <c r="BJ1394" s="6"/>
      <c r="BK1394" s="6"/>
      <c r="BL1394" s="6"/>
      <c r="BM1394" s="6"/>
      <c r="BN1394" s="6"/>
      <c r="BO1394" s="6"/>
      <c r="BP1394" s="6"/>
      <c r="BQ1394" s="6"/>
      <c r="BR1394" s="6"/>
      <c r="BS1394" s="6"/>
      <c r="BT1394" s="6"/>
      <c r="BU1394" s="6"/>
      <c r="BV1394" s="6"/>
      <c r="BW1394" s="6"/>
      <c r="BX1394" s="6"/>
      <c r="BY1394" s="6"/>
      <c r="BZ1394" s="6"/>
      <c r="CA1394" s="6"/>
      <c r="CB1394" s="6"/>
      <c r="CC1394" s="6"/>
      <c r="CD1394" s="6"/>
      <c r="CE1394" s="6"/>
      <c r="CF1394" s="6"/>
      <c r="CG1394" s="6"/>
      <c r="CH1394" s="6"/>
      <c r="CI1394" s="6"/>
      <c r="CJ1394" s="6"/>
      <c r="CK1394" s="6"/>
      <c r="CL1394" s="6"/>
      <c r="CM1394" s="6"/>
      <c r="CN1394" s="6"/>
      <c r="CO1394" s="6"/>
      <c r="CP1394" s="6"/>
      <c r="CQ1394" s="6"/>
      <c r="CR1394" s="6"/>
      <c r="CS1394" s="6"/>
      <c r="CT1394" s="6"/>
      <c r="CU1394" s="6"/>
      <c r="CV1394" s="6"/>
      <c r="CW1394" s="6"/>
      <c r="CX1394" s="6"/>
      <c r="CY1394" s="6"/>
      <c r="CZ1394" s="6"/>
      <c r="DA1394" s="6"/>
      <c r="DB1394" s="6"/>
      <c r="DC1394" s="6"/>
      <c r="DD1394" s="6"/>
      <c r="DE1394" s="6"/>
      <c r="DF1394" s="6"/>
      <c r="DG1394" s="6"/>
      <c r="DH1394" s="6"/>
      <c r="DI1394" s="6"/>
      <c r="DJ1394" s="6"/>
      <c r="DK1394" s="6"/>
      <c r="DL1394" s="6"/>
      <c r="DM1394" s="6"/>
      <c r="DN1394" s="6"/>
      <c r="DO1394" s="6"/>
      <c r="DP1394" s="6"/>
      <c r="DQ1394" s="6"/>
      <c r="DR1394" s="6"/>
      <c r="DS1394" s="6"/>
      <c r="DT1394" s="6"/>
      <c r="DU1394" s="6"/>
      <c r="DV1394" s="6"/>
      <c r="DW1394" s="6"/>
      <c r="DX1394" s="6"/>
      <c r="DY1394" s="6"/>
      <c r="DZ1394" s="6"/>
      <c r="EA1394" s="6"/>
      <c r="EB1394" s="6"/>
      <c r="EC1394" s="6"/>
      <c r="ED1394" s="6"/>
      <c r="EE1394" s="6"/>
      <c r="EF1394" s="6"/>
      <c r="EG1394" s="6"/>
      <c r="EH1394" s="6"/>
      <c r="EI1394" s="6"/>
      <c r="EJ1394" s="6"/>
      <c r="EK1394" s="6"/>
      <c r="EL1394" s="6"/>
      <c r="EM1394" s="6"/>
      <c r="EN1394" s="6"/>
      <c r="EO1394" s="6"/>
      <c r="EP1394" s="6"/>
      <c r="EQ1394" s="6"/>
      <c r="ER1394" s="6"/>
      <c r="ES1394" s="6"/>
      <c r="ET1394" s="6"/>
      <c r="EU1394" s="6"/>
      <c r="EV1394" s="6"/>
      <c r="EW1394" s="6"/>
      <c r="EX1394" s="6"/>
      <c r="EY1394" s="6"/>
      <c r="EZ1394" s="6"/>
      <c r="FA1394" s="6"/>
      <c r="FB1394" s="6"/>
      <c r="FC1394" s="6"/>
      <c r="FD1394" s="6"/>
      <c r="FE1394" s="6"/>
      <c r="FF1394" s="6"/>
      <c r="FG1394" s="6"/>
      <c r="FH1394" s="6"/>
      <c r="FI1394" s="6"/>
      <c r="FJ1394" s="6"/>
      <c r="FK1394" s="6"/>
      <c r="FL1394" s="6"/>
      <c r="FM1394" s="6"/>
      <c r="FN1394" s="6"/>
      <c r="FO1394" s="6"/>
      <c r="FP1394" s="6"/>
      <c r="FQ1394" s="6"/>
      <c r="FR1394" s="6"/>
      <c r="FS1394" s="6"/>
      <c r="FT1394" s="6"/>
      <c r="FU1394" s="6"/>
      <c r="FV1394" s="6"/>
      <c r="FW1394" s="6"/>
      <c r="FX1394" s="6"/>
      <c r="FY1394" s="6"/>
      <c r="FZ1394" s="6"/>
      <c r="GA1394" s="6"/>
      <c r="GB1394" s="6"/>
      <c r="GC1394" s="6"/>
      <c r="GD1394" s="6"/>
      <c r="GE1394" s="6"/>
      <c r="GF1394" s="6"/>
      <c r="GG1394" s="6"/>
      <c r="GH1394" s="6"/>
      <c r="GI1394" s="6"/>
      <c r="GJ1394" s="6"/>
      <c r="GK1394" s="6"/>
      <c r="GL1394" s="6"/>
      <c r="GM1394" s="6"/>
      <c r="GN1394" s="6"/>
      <c r="GO1394" s="6"/>
      <c r="GP1394" s="6"/>
      <c r="GQ1394" s="6"/>
      <c r="GR1394" s="6"/>
      <c r="GS1394" s="6"/>
      <c r="GT1394" s="6"/>
      <c r="GU1394" s="6"/>
      <c r="GV1394" s="6"/>
      <c r="GW1394" s="6"/>
      <c r="GX1394" s="6"/>
      <c r="GY1394" s="6"/>
      <c r="GZ1394" s="6"/>
      <c r="HA1394" s="6"/>
      <c r="HB1394" s="6"/>
      <c r="HC1394" s="6"/>
      <c r="HD1394" s="6"/>
      <c r="HE1394" s="6"/>
      <c r="HF1394" s="6"/>
      <c r="HG1394" s="6"/>
      <c r="HH1394" s="6"/>
    </row>
    <row r="1395" spans="1:216" x14ac:dyDescent="0.3">
      <c r="A1395" s="8"/>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6"/>
      <c r="AR1395" s="6"/>
      <c r="AS1395" s="6"/>
      <c r="AT1395" s="6"/>
      <c r="AU1395" s="6"/>
      <c r="AV1395" s="6"/>
      <c r="AW1395" s="6"/>
      <c r="AX1395" s="6"/>
      <c r="AY1395" s="6"/>
      <c r="AZ1395" s="6"/>
      <c r="BA1395" s="6"/>
      <c r="BB1395" s="6"/>
      <c r="BC1395" s="6"/>
      <c r="BD1395" s="6"/>
      <c r="BE1395" s="6"/>
      <c r="BF1395" s="6"/>
      <c r="BG1395" s="6"/>
      <c r="BH1395" s="6"/>
      <c r="BI1395" s="6"/>
      <c r="BJ1395" s="6"/>
      <c r="BK1395" s="6"/>
      <c r="BL1395" s="6"/>
      <c r="BM1395" s="6"/>
      <c r="BN1395" s="6"/>
      <c r="BO1395" s="6"/>
      <c r="BP1395" s="6"/>
      <c r="BQ1395" s="6"/>
      <c r="BR1395" s="6"/>
      <c r="BS1395" s="6"/>
      <c r="BT1395" s="6"/>
      <c r="BU1395" s="6"/>
      <c r="BV1395" s="6"/>
      <c r="BW1395" s="6"/>
      <c r="BX1395" s="6"/>
      <c r="BY1395" s="6"/>
      <c r="BZ1395" s="6"/>
      <c r="CA1395" s="6"/>
      <c r="CB1395" s="6"/>
      <c r="CC1395" s="6"/>
      <c r="CD1395" s="6"/>
      <c r="CE1395" s="6"/>
      <c r="CF1395" s="6"/>
      <c r="CG1395" s="6"/>
      <c r="CH1395" s="6"/>
      <c r="CI1395" s="6"/>
      <c r="CJ1395" s="6"/>
      <c r="CK1395" s="6"/>
      <c r="CL1395" s="6"/>
      <c r="CM1395" s="6"/>
      <c r="CN1395" s="6"/>
      <c r="CO1395" s="6"/>
      <c r="CP1395" s="6"/>
      <c r="CQ1395" s="6"/>
      <c r="CR1395" s="6"/>
      <c r="CS1395" s="6"/>
      <c r="CT1395" s="6"/>
      <c r="CU1395" s="6"/>
      <c r="CV1395" s="6"/>
      <c r="CW1395" s="6"/>
      <c r="CX1395" s="6"/>
      <c r="CY1395" s="6"/>
      <c r="CZ1395" s="6"/>
      <c r="DA1395" s="6"/>
      <c r="DB1395" s="6"/>
      <c r="DC1395" s="6"/>
      <c r="DD1395" s="6"/>
      <c r="DE1395" s="6"/>
      <c r="DF1395" s="6"/>
      <c r="DG1395" s="6"/>
      <c r="DH1395" s="6"/>
      <c r="DI1395" s="6"/>
      <c r="DJ1395" s="6"/>
      <c r="DK1395" s="6"/>
      <c r="DL1395" s="6"/>
      <c r="DM1395" s="6"/>
      <c r="DN1395" s="6"/>
      <c r="DO1395" s="6"/>
      <c r="DP1395" s="6"/>
      <c r="DQ1395" s="6"/>
      <c r="DR1395" s="6"/>
      <c r="DS1395" s="6"/>
      <c r="DT1395" s="6"/>
      <c r="DU1395" s="6"/>
      <c r="DV1395" s="6"/>
      <c r="DW1395" s="6"/>
      <c r="DX1395" s="6"/>
      <c r="DY1395" s="6"/>
      <c r="DZ1395" s="6"/>
      <c r="EA1395" s="6"/>
      <c r="EB1395" s="6"/>
      <c r="EC1395" s="6"/>
      <c r="ED1395" s="6"/>
      <c r="EE1395" s="6"/>
      <c r="EF1395" s="6"/>
      <c r="EG1395" s="6"/>
      <c r="EH1395" s="6"/>
      <c r="EI1395" s="6"/>
      <c r="EJ1395" s="6"/>
      <c r="EK1395" s="6"/>
      <c r="EL1395" s="6"/>
      <c r="EM1395" s="6"/>
      <c r="EN1395" s="6"/>
      <c r="EO1395" s="6"/>
      <c r="EP1395" s="6"/>
      <c r="EQ1395" s="6"/>
      <c r="ER1395" s="6"/>
      <c r="ES1395" s="6"/>
      <c r="ET1395" s="6"/>
      <c r="EU1395" s="6"/>
      <c r="EV1395" s="6"/>
      <c r="EW1395" s="6"/>
      <c r="EX1395" s="6"/>
      <c r="EY1395" s="6"/>
      <c r="EZ1395" s="6"/>
      <c r="FA1395" s="6"/>
      <c r="FB1395" s="6"/>
      <c r="FC1395" s="6"/>
      <c r="FD1395" s="6"/>
      <c r="FE1395" s="6"/>
      <c r="FF1395" s="6"/>
      <c r="FG1395" s="6"/>
      <c r="FH1395" s="6"/>
      <c r="FI1395" s="6"/>
      <c r="FJ1395" s="6"/>
      <c r="FK1395" s="6"/>
      <c r="FL1395" s="6"/>
      <c r="FM1395" s="6"/>
      <c r="FN1395" s="6"/>
      <c r="FO1395" s="6"/>
      <c r="FP1395" s="6"/>
      <c r="FQ1395" s="6"/>
      <c r="FR1395" s="6"/>
      <c r="FS1395" s="6"/>
      <c r="FT1395" s="6"/>
      <c r="FU1395" s="6"/>
      <c r="FV1395" s="6"/>
      <c r="FW1395" s="6"/>
      <c r="FX1395" s="6"/>
      <c r="FY1395" s="6"/>
      <c r="FZ1395" s="6"/>
      <c r="GA1395" s="6"/>
      <c r="GB1395" s="6"/>
      <c r="GC1395" s="6"/>
      <c r="GD1395" s="6"/>
      <c r="GE1395" s="6"/>
      <c r="GF1395" s="6"/>
      <c r="GG1395" s="6"/>
      <c r="GH1395" s="6"/>
      <c r="GI1395" s="6"/>
      <c r="GJ1395" s="6"/>
      <c r="GK1395" s="6"/>
      <c r="GL1395" s="6"/>
      <c r="GM1395" s="6"/>
      <c r="GN1395" s="6"/>
      <c r="GO1395" s="6"/>
      <c r="GP1395" s="6"/>
      <c r="GQ1395" s="6"/>
      <c r="GR1395" s="6"/>
      <c r="GS1395" s="6"/>
      <c r="GT1395" s="6"/>
      <c r="GU1395" s="6"/>
      <c r="GV1395" s="6"/>
      <c r="GW1395" s="6"/>
      <c r="GX1395" s="6"/>
      <c r="GY1395" s="6"/>
      <c r="GZ1395" s="6"/>
      <c r="HA1395" s="6"/>
      <c r="HB1395" s="6"/>
      <c r="HC1395" s="6"/>
      <c r="HD1395" s="6"/>
      <c r="HE1395" s="6"/>
      <c r="HF1395" s="6"/>
      <c r="HG1395" s="6"/>
      <c r="HH1395" s="6"/>
    </row>
    <row r="1396" spans="1:216" x14ac:dyDescent="0.3">
      <c r="A1396" s="8"/>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6"/>
      <c r="AR1396" s="6"/>
      <c r="AS1396" s="6"/>
      <c r="AT1396" s="6"/>
      <c r="AU1396" s="6"/>
      <c r="AV1396" s="6"/>
      <c r="AW1396" s="6"/>
      <c r="AX1396" s="6"/>
      <c r="AY1396" s="6"/>
      <c r="AZ1396" s="6"/>
      <c r="BA1396" s="6"/>
      <c r="BB1396" s="6"/>
      <c r="BC1396" s="6"/>
      <c r="BD1396" s="6"/>
      <c r="BE1396" s="6"/>
      <c r="BF1396" s="6"/>
      <c r="BG1396" s="6"/>
      <c r="BH1396" s="6"/>
      <c r="BI1396" s="6"/>
      <c r="BJ1396" s="6"/>
      <c r="BK1396" s="6"/>
      <c r="BL1396" s="6"/>
      <c r="BM1396" s="6"/>
      <c r="BN1396" s="6"/>
      <c r="BO1396" s="6"/>
      <c r="BP1396" s="6"/>
      <c r="BQ1396" s="6"/>
      <c r="BR1396" s="6"/>
      <c r="BS1396" s="6"/>
      <c r="BT1396" s="6"/>
      <c r="BU1396" s="6"/>
      <c r="BV1396" s="6"/>
      <c r="BW1396" s="6"/>
      <c r="BX1396" s="6"/>
      <c r="BY1396" s="6"/>
      <c r="BZ1396" s="6"/>
      <c r="CA1396" s="6"/>
      <c r="CB1396" s="6"/>
      <c r="CC1396" s="6"/>
      <c r="CD1396" s="6"/>
      <c r="CE1396" s="6"/>
      <c r="CF1396" s="6"/>
      <c r="CG1396" s="6"/>
      <c r="CH1396" s="6"/>
      <c r="CI1396" s="6"/>
      <c r="CJ1396" s="6"/>
      <c r="CK1396" s="6"/>
      <c r="CL1396" s="6"/>
      <c r="CM1396" s="6"/>
      <c r="CN1396" s="6"/>
      <c r="CO1396" s="6"/>
      <c r="CP1396" s="6"/>
      <c r="CQ1396" s="6"/>
      <c r="CR1396" s="6"/>
      <c r="CS1396" s="6"/>
      <c r="CT1396" s="6"/>
      <c r="CU1396" s="6"/>
      <c r="CV1396" s="6"/>
      <c r="CW1396" s="6"/>
      <c r="CX1396" s="6"/>
      <c r="CY1396" s="6"/>
      <c r="CZ1396" s="6"/>
      <c r="DA1396" s="6"/>
      <c r="DB1396" s="6"/>
      <c r="DC1396" s="6"/>
      <c r="DD1396" s="6"/>
      <c r="DE1396" s="6"/>
      <c r="DF1396" s="6"/>
      <c r="DG1396" s="6"/>
      <c r="DH1396" s="6"/>
      <c r="DI1396" s="6"/>
      <c r="DJ1396" s="6"/>
      <c r="DK1396" s="6"/>
      <c r="DL1396" s="6"/>
      <c r="DM1396" s="6"/>
      <c r="DN1396" s="6"/>
      <c r="DO1396" s="6"/>
      <c r="DP1396" s="6"/>
      <c r="DQ1396" s="6"/>
      <c r="DR1396" s="6"/>
      <c r="DS1396" s="6"/>
      <c r="DT1396" s="6"/>
      <c r="DU1396" s="6"/>
      <c r="DV1396" s="6"/>
      <c r="DW1396" s="6"/>
      <c r="DX1396" s="6"/>
      <c r="DY1396" s="6"/>
      <c r="DZ1396" s="6"/>
      <c r="EA1396" s="6"/>
      <c r="EB1396" s="6"/>
      <c r="EC1396" s="6"/>
      <c r="ED1396" s="6"/>
      <c r="EE1396" s="6"/>
      <c r="EF1396" s="6"/>
      <c r="EG1396" s="6"/>
      <c r="EH1396" s="6"/>
      <c r="EI1396" s="6"/>
      <c r="EJ1396" s="6"/>
      <c r="EK1396" s="6"/>
      <c r="EL1396" s="6"/>
      <c r="EM1396" s="6"/>
      <c r="EN1396" s="6"/>
      <c r="EO1396" s="6"/>
      <c r="EP1396" s="6"/>
      <c r="EQ1396" s="6"/>
      <c r="ER1396" s="6"/>
      <c r="ES1396" s="6"/>
      <c r="ET1396" s="6"/>
      <c r="EU1396" s="6"/>
      <c r="EV1396" s="6"/>
      <c r="EW1396" s="6"/>
      <c r="EX1396" s="6"/>
      <c r="EY1396" s="6"/>
      <c r="EZ1396" s="6"/>
      <c r="FA1396" s="6"/>
      <c r="FB1396" s="6"/>
      <c r="FC1396" s="6"/>
      <c r="FD1396" s="6"/>
      <c r="FE1396" s="6"/>
      <c r="FF1396" s="6"/>
      <c r="FG1396" s="6"/>
      <c r="FH1396" s="6"/>
      <c r="FI1396" s="6"/>
      <c r="FJ1396" s="6"/>
      <c r="FK1396" s="6"/>
      <c r="FL1396" s="6"/>
      <c r="FM1396" s="6"/>
      <c r="FN1396" s="6"/>
      <c r="FO1396" s="6"/>
      <c r="FP1396" s="6"/>
      <c r="FQ1396" s="6"/>
      <c r="FR1396" s="6"/>
      <c r="FS1396" s="6"/>
      <c r="FT1396" s="6"/>
      <c r="FU1396" s="6"/>
      <c r="FV1396" s="6"/>
      <c r="FW1396" s="6"/>
      <c r="FX1396" s="6"/>
      <c r="FY1396" s="6"/>
      <c r="FZ1396" s="6"/>
      <c r="GA1396" s="6"/>
      <c r="GB1396" s="6"/>
      <c r="GC1396" s="6"/>
      <c r="GD1396" s="6"/>
      <c r="GE1396" s="6"/>
      <c r="GF1396" s="6"/>
      <c r="GG1396" s="6"/>
      <c r="GH1396" s="6"/>
      <c r="GI1396" s="6"/>
      <c r="GJ1396" s="6"/>
      <c r="GK1396" s="6"/>
      <c r="GL1396" s="6"/>
      <c r="GM1396" s="6"/>
      <c r="GN1396" s="6"/>
      <c r="GO1396" s="6"/>
      <c r="GP1396" s="6"/>
      <c r="GQ1396" s="6"/>
      <c r="GR1396" s="6"/>
      <c r="GS1396" s="6"/>
      <c r="GT1396" s="6"/>
      <c r="GU1396" s="6"/>
      <c r="GV1396" s="6"/>
      <c r="GW1396" s="6"/>
      <c r="GX1396" s="6"/>
      <c r="GY1396" s="6"/>
      <c r="GZ1396" s="6"/>
      <c r="HA1396" s="6"/>
      <c r="HB1396" s="6"/>
      <c r="HC1396" s="6"/>
      <c r="HD1396" s="6"/>
      <c r="HE1396" s="6"/>
      <c r="HF1396" s="6"/>
      <c r="HG1396" s="6"/>
      <c r="HH1396" s="6"/>
    </row>
    <row r="1397" spans="1:216" x14ac:dyDescent="0.3">
      <c r="A1397" s="8"/>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6"/>
      <c r="AR1397" s="6"/>
      <c r="AS1397" s="6"/>
      <c r="AT1397" s="6"/>
      <c r="AU1397" s="6"/>
      <c r="AV1397" s="6"/>
      <c r="AW1397" s="6"/>
      <c r="AX1397" s="6"/>
      <c r="AY1397" s="6"/>
      <c r="AZ1397" s="6"/>
      <c r="BA1397" s="6"/>
      <c r="BB1397" s="6"/>
      <c r="BC1397" s="6"/>
      <c r="BD1397" s="6"/>
      <c r="BE1397" s="6"/>
      <c r="BF1397" s="6"/>
      <c r="BG1397" s="6"/>
      <c r="BH1397" s="6"/>
      <c r="BI1397" s="6"/>
      <c r="BJ1397" s="6"/>
      <c r="BK1397" s="6"/>
      <c r="BL1397" s="6"/>
      <c r="BM1397" s="6"/>
      <c r="BN1397" s="6"/>
      <c r="BO1397" s="6"/>
      <c r="BP1397" s="6"/>
      <c r="BQ1397" s="6"/>
      <c r="BR1397" s="6"/>
      <c r="BS1397" s="6"/>
      <c r="BT1397" s="6"/>
      <c r="BU1397" s="6"/>
      <c r="BV1397" s="6"/>
      <c r="BW1397" s="6"/>
      <c r="BX1397" s="6"/>
      <c r="BY1397" s="6"/>
      <c r="BZ1397" s="6"/>
      <c r="CA1397" s="6"/>
      <c r="CB1397" s="6"/>
      <c r="CC1397" s="6"/>
      <c r="CD1397" s="6"/>
      <c r="CE1397" s="6"/>
      <c r="CF1397" s="6"/>
      <c r="CG1397" s="6"/>
      <c r="CH1397" s="6"/>
      <c r="CI1397" s="6"/>
      <c r="CJ1397" s="6"/>
      <c r="CK1397" s="6"/>
      <c r="CL1397" s="6"/>
      <c r="CM1397" s="6"/>
      <c r="CN1397" s="6"/>
      <c r="CO1397" s="6"/>
      <c r="CP1397" s="6"/>
      <c r="CQ1397" s="6"/>
      <c r="CR1397" s="6"/>
      <c r="CS1397" s="6"/>
      <c r="CT1397" s="6"/>
      <c r="CU1397" s="6"/>
      <c r="CV1397" s="6"/>
      <c r="CW1397" s="6"/>
      <c r="CX1397" s="6"/>
      <c r="CY1397" s="6"/>
      <c r="CZ1397" s="6"/>
      <c r="DA1397" s="6"/>
      <c r="DB1397" s="6"/>
      <c r="DC1397" s="6"/>
      <c r="DD1397" s="6"/>
      <c r="DE1397" s="6"/>
      <c r="DF1397" s="6"/>
      <c r="DG1397" s="6"/>
      <c r="DH1397" s="6"/>
      <c r="DI1397" s="6"/>
      <c r="DJ1397" s="6"/>
      <c r="DK1397" s="6"/>
      <c r="DL1397" s="6"/>
      <c r="DM1397" s="6"/>
      <c r="DN1397" s="6"/>
      <c r="DO1397" s="6"/>
      <c r="DP1397" s="6"/>
      <c r="DQ1397" s="6"/>
      <c r="DR1397" s="6"/>
      <c r="DS1397" s="6"/>
      <c r="DT1397" s="6"/>
      <c r="DU1397" s="6"/>
      <c r="DV1397" s="6"/>
      <c r="DW1397" s="6"/>
      <c r="DX1397" s="6"/>
      <c r="DY1397" s="6"/>
      <c r="DZ1397" s="6"/>
      <c r="EA1397" s="6"/>
      <c r="EB1397" s="6"/>
      <c r="EC1397" s="6"/>
      <c r="ED1397" s="6"/>
      <c r="EE1397" s="6"/>
      <c r="EF1397" s="6"/>
      <c r="EG1397" s="6"/>
      <c r="EH1397" s="6"/>
      <c r="EI1397" s="6"/>
      <c r="EJ1397" s="6"/>
      <c r="EK1397" s="6"/>
      <c r="EL1397" s="6"/>
      <c r="EM1397" s="6"/>
      <c r="EN1397" s="6"/>
      <c r="EO1397" s="6"/>
      <c r="EP1397" s="6"/>
      <c r="EQ1397" s="6"/>
      <c r="ER1397" s="6"/>
      <c r="ES1397" s="6"/>
      <c r="ET1397" s="6"/>
      <c r="EU1397" s="6"/>
      <c r="EV1397" s="6"/>
      <c r="EW1397" s="6"/>
      <c r="EX1397" s="6"/>
      <c r="EY1397" s="6"/>
      <c r="EZ1397" s="6"/>
      <c r="FA1397" s="6"/>
      <c r="FB1397" s="6"/>
      <c r="FC1397" s="6"/>
      <c r="FD1397" s="6"/>
      <c r="FE1397" s="6"/>
      <c r="FF1397" s="6"/>
      <c r="FG1397" s="6"/>
      <c r="FH1397" s="6"/>
      <c r="FI1397" s="6"/>
      <c r="FJ1397" s="6"/>
      <c r="FK1397" s="6"/>
      <c r="FL1397" s="6"/>
      <c r="FM1397" s="6"/>
      <c r="FN1397" s="6"/>
      <c r="FO1397" s="6"/>
      <c r="FP1397" s="6"/>
      <c r="FQ1397" s="6"/>
      <c r="FR1397" s="6"/>
      <c r="FS1397" s="6"/>
      <c r="FT1397" s="6"/>
      <c r="FU1397" s="6"/>
      <c r="FV1397" s="6"/>
      <c r="FW1397" s="6"/>
      <c r="FX1397" s="6"/>
      <c r="FY1397" s="6"/>
      <c r="FZ1397" s="6"/>
      <c r="GA1397" s="6"/>
      <c r="GB1397" s="6"/>
      <c r="GC1397" s="6"/>
      <c r="GD1397" s="6"/>
      <c r="GE1397" s="6"/>
      <c r="GF1397" s="6"/>
      <c r="GG1397" s="6"/>
      <c r="GH1397" s="6"/>
      <c r="GI1397" s="6"/>
      <c r="GJ1397" s="6"/>
      <c r="GK1397" s="6"/>
      <c r="GL1397" s="6"/>
      <c r="GM1397" s="6"/>
      <c r="GN1397" s="6"/>
      <c r="GO1397" s="6"/>
      <c r="GP1397" s="6"/>
      <c r="GQ1397" s="6"/>
      <c r="GR1397" s="6"/>
      <c r="GS1397" s="6"/>
      <c r="GT1397" s="6"/>
      <c r="GU1397" s="6"/>
      <c r="GV1397" s="6"/>
      <c r="GW1397" s="6"/>
      <c r="GX1397" s="6"/>
      <c r="GY1397" s="6"/>
      <c r="GZ1397" s="6"/>
      <c r="HA1397" s="6"/>
      <c r="HB1397" s="6"/>
      <c r="HC1397" s="6"/>
      <c r="HD1397" s="6"/>
      <c r="HE1397" s="6"/>
      <c r="HF1397" s="6"/>
      <c r="HG1397" s="6"/>
      <c r="HH1397" s="6"/>
    </row>
    <row r="1398" spans="1:216" x14ac:dyDescent="0.3">
      <c r="A1398" s="8"/>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6"/>
      <c r="AR1398" s="6"/>
      <c r="AS1398" s="6"/>
      <c r="AT1398" s="6"/>
      <c r="AU1398" s="6"/>
      <c r="AV1398" s="6"/>
      <c r="AW1398" s="6"/>
      <c r="AX1398" s="6"/>
      <c r="AY1398" s="6"/>
      <c r="AZ1398" s="6"/>
      <c r="BA1398" s="6"/>
      <c r="BB1398" s="6"/>
      <c r="BC1398" s="6"/>
      <c r="BD1398" s="6"/>
      <c r="BE1398" s="6"/>
      <c r="BF1398" s="6"/>
      <c r="BG1398" s="6"/>
      <c r="BH1398" s="6"/>
      <c r="BI1398" s="6"/>
      <c r="BJ1398" s="6"/>
      <c r="BK1398" s="6"/>
      <c r="BL1398" s="6"/>
      <c r="BM1398" s="6"/>
      <c r="BN1398" s="6"/>
      <c r="BO1398" s="6"/>
      <c r="BP1398" s="6"/>
      <c r="BQ1398" s="6"/>
      <c r="BR1398" s="6"/>
      <c r="BS1398" s="6"/>
      <c r="BT1398" s="6"/>
      <c r="BU1398" s="6"/>
      <c r="BV1398" s="6"/>
      <c r="BW1398" s="6"/>
      <c r="BX1398" s="6"/>
      <c r="BY1398" s="6"/>
      <c r="BZ1398" s="6"/>
      <c r="CA1398" s="6"/>
      <c r="CB1398" s="6"/>
      <c r="CC1398" s="6"/>
      <c r="CD1398" s="6"/>
      <c r="CE1398" s="6"/>
      <c r="CF1398" s="6"/>
      <c r="CG1398" s="6"/>
      <c r="CH1398" s="6"/>
      <c r="CI1398" s="6"/>
      <c r="CJ1398" s="6"/>
      <c r="CK1398" s="6"/>
      <c r="CL1398" s="6"/>
      <c r="CM1398" s="6"/>
      <c r="CN1398" s="6"/>
      <c r="CO1398" s="6"/>
      <c r="CP1398" s="6"/>
      <c r="CQ1398" s="6"/>
      <c r="CR1398" s="6"/>
      <c r="CS1398" s="6"/>
      <c r="CT1398" s="6"/>
      <c r="CU1398" s="6"/>
      <c r="CV1398" s="6"/>
      <c r="CW1398" s="6"/>
      <c r="CX1398" s="6"/>
      <c r="CY1398" s="6"/>
      <c r="CZ1398" s="6"/>
      <c r="DA1398" s="6"/>
      <c r="DB1398" s="6"/>
      <c r="DC1398" s="6"/>
      <c r="DD1398" s="6"/>
      <c r="DE1398" s="6"/>
      <c r="DF1398" s="6"/>
      <c r="DG1398" s="6"/>
      <c r="DH1398" s="6"/>
      <c r="DI1398" s="6"/>
      <c r="DJ1398" s="6"/>
      <c r="DK1398" s="6"/>
      <c r="DL1398" s="6"/>
      <c r="DM1398" s="6"/>
      <c r="DN1398" s="6"/>
      <c r="DO1398" s="6"/>
      <c r="DP1398" s="6"/>
      <c r="DQ1398" s="6"/>
      <c r="DR1398" s="6"/>
      <c r="DS1398" s="6"/>
      <c r="DT1398" s="6"/>
      <c r="DU1398" s="6"/>
      <c r="DV1398" s="6"/>
      <c r="DW1398" s="6"/>
      <c r="DX1398" s="6"/>
      <c r="DY1398" s="6"/>
      <c r="DZ1398" s="6"/>
      <c r="EA1398" s="6"/>
      <c r="EB1398" s="6"/>
      <c r="EC1398" s="6"/>
      <c r="ED1398" s="6"/>
      <c r="EE1398" s="6"/>
      <c r="EF1398" s="6"/>
      <c r="EG1398" s="6"/>
      <c r="EH1398" s="6"/>
      <c r="EI1398" s="6"/>
      <c r="EJ1398" s="6"/>
      <c r="EK1398" s="6"/>
      <c r="EL1398" s="6"/>
      <c r="EM1398" s="6"/>
      <c r="EN1398" s="6"/>
      <c r="EO1398" s="6"/>
      <c r="EP1398" s="6"/>
      <c r="EQ1398" s="6"/>
      <c r="ER1398" s="6"/>
      <c r="ES1398" s="6"/>
      <c r="ET1398" s="6"/>
      <c r="EU1398" s="6"/>
      <c r="EV1398" s="6"/>
      <c r="EW1398" s="6"/>
      <c r="EX1398" s="6"/>
      <c r="EY1398" s="6"/>
      <c r="EZ1398" s="6"/>
      <c r="FA1398" s="6"/>
      <c r="FB1398" s="6"/>
      <c r="FC1398" s="6"/>
      <c r="FD1398" s="6"/>
      <c r="FE1398" s="6"/>
      <c r="FF1398" s="6"/>
      <c r="FG1398" s="6"/>
      <c r="FH1398" s="6"/>
      <c r="FI1398" s="6"/>
      <c r="FJ1398" s="6"/>
      <c r="FK1398" s="6"/>
      <c r="FL1398" s="6"/>
      <c r="FM1398" s="6"/>
      <c r="FN1398" s="6"/>
      <c r="FO1398" s="6"/>
      <c r="FP1398" s="6"/>
      <c r="FQ1398" s="6"/>
      <c r="FR1398" s="6"/>
      <c r="FS1398" s="6"/>
      <c r="FT1398" s="6"/>
      <c r="FU1398" s="6"/>
      <c r="FV1398" s="6"/>
      <c r="FW1398" s="6"/>
      <c r="FX1398" s="6"/>
      <c r="FY1398" s="6"/>
      <c r="FZ1398" s="6"/>
      <c r="GA1398" s="6"/>
      <c r="GB1398" s="6"/>
      <c r="GC1398" s="6"/>
      <c r="GD1398" s="6"/>
      <c r="GE1398" s="6"/>
      <c r="GF1398" s="6"/>
      <c r="GG1398" s="6"/>
      <c r="GH1398" s="6"/>
      <c r="GI1398" s="6"/>
      <c r="GJ1398" s="6"/>
      <c r="GK1398" s="6"/>
      <c r="GL1398" s="6"/>
      <c r="GM1398" s="6"/>
      <c r="GN1398" s="6"/>
      <c r="GO1398" s="6"/>
      <c r="GP1398" s="6"/>
      <c r="GQ1398" s="6"/>
      <c r="GR1398" s="6"/>
      <c r="GS1398" s="6"/>
      <c r="GT1398" s="6"/>
      <c r="GU1398" s="6"/>
      <c r="GV1398" s="6"/>
      <c r="GW1398" s="6"/>
      <c r="GX1398" s="6"/>
      <c r="GY1398" s="6"/>
      <c r="GZ1398" s="6"/>
      <c r="HA1398" s="6"/>
      <c r="HB1398" s="6"/>
      <c r="HC1398" s="6"/>
      <c r="HD1398" s="6"/>
      <c r="HE1398" s="6"/>
      <c r="HF1398" s="6"/>
      <c r="HG1398" s="6"/>
      <c r="HH1398" s="6"/>
    </row>
    <row r="1399" spans="1:216" x14ac:dyDescent="0.3">
      <c r="A1399" s="8"/>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c r="AX1399" s="6"/>
      <c r="AY1399" s="6"/>
      <c r="AZ1399" s="6"/>
      <c r="BA1399" s="6"/>
      <c r="BB1399" s="6"/>
      <c r="BC1399" s="6"/>
      <c r="BD1399" s="6"/>
      <c r="BE1399" s="6"/>
      <c r="BF1399" s="6"/>
      <c r="BG1399" s="6"/>
      <c r="BH1399" s="6"/>
      <c r="BI1399" s="6"/>
      <c r="BJ1399" s="6"/>
      <c r="BK1399" s="6"/>
      <c r="BL1399" s="6"/>
      <c r="BM1399" s="6"/>
      <c r="BN1399" s="6"/>
      <c r="BO1399" s="6"/>
      <c r="BP1399" s="6"/>
      <c r="BQ1399" s="6"/>
      <c r="BR1399" s="6"/>
      <c r="BS1399" s="6"/>
      <c r="BT1399" s="6"/>
      <c r="BU1399" s="6"/>
      <c r="BV1399" s="6"/>
      <c r="BW1399" s="6"/>
      <c r="BX1399" s="6"/>
      <c r="BY1399" s="6"/>
      <c r="BZ1399" s="6"/>
      <c r="CA1399" s="6"/>
      <c r="CB1399" s="6"/>
      <c r="CC1399" s="6"/>
      <c r="CD1399" s="6"/>
      <c r="CE1399" s="6"/>
      <c r="CF1399" s="6"/>
      <c r="CG1399" s="6"/>
      <c r="CH1399" s="6"/>
      <c r="CI1399" s="6"/>
      <c r="CJ1399" s="6"/>
      <c r="CK1399" s="6"/>
      <c r="CL1399" s="6"/>
      <c r="CM1399" s="6"/>
      <c r="CN1399" s="6"/>
      <c r="CO1399" s="6"/>
      <c r="CP1399" s="6"/>
      <c r="CQ1399" s="6"/>
      <c r="CR1399" s="6"/>
      <c r="CS1399" s="6"/>
      <c r="CT1399" s="6"/>
      <c r="CU1399" s="6"/>
      <c r="CV1399" s="6"/>
      <c r="CW1399" s="6"/>
      <c r="CX1399" s="6"/>
      <c r="CY1399" s="6"/>
      <c r="CZ1399" s="6"/>
      <c r="DA1399" s="6"/>
      <c r="DB1399" s="6"/>
      <c r="DC1399" s="6"/>
      <c r="DD1399" s="6"/>
      <c r="DE1399" s="6"/>
      <c r="DF1399" s="6"/>
      <c r="DG1399" s="6"/>
      <c r="DH1399" s="6"/>
      <c r="DI1399" s="6"/>
      <c r="DJ1399" s="6"/>
      <c r="DK1399" s="6"/>
      <c r="DL1399" s="6"/>
      <c r="DM1399" s="6"/>
      <c r="DN1399" s="6"/>
      <c r="DO1399" s="6"/>
      <c r="DP1399" s="6"/>
      <c r="DQ1399" s="6"/>
      <c r="DR1399" s="6"/>
      <c r="DS1399" s="6"/>
      <c r="DT1399" s="6"/>
      <c r="DU1399" s="6"/>
      <c r="DV1399" s="6"/>
      <c r="DW1399" s="6"/>
      <c r="DX1399" s="6"/>
      <c r="DY1399" s="6"/>
      <c r="DZ1399" s="6"/>
      <c r="EA1399" s="6"/>
      <c r="EB1399" s="6"/>
      <c r="EC1399" s="6"/>
      <c r="ED1399" s="6"/>
      <c r="EE1399" s="6"/>
      <c r="EF1399" s="6"/>
      <c r="EG1399" s="6"/>
      <c r="EH1399" s="6"/>
      <c r="EI1399" s="6"/>
      <c r="EJ1399" s="6"/>
      <c r="EK1399" s="6"/>
      <c r="EL1399" s="6"/>
      <c r="EM1399" s="6"/>
      <c r="EN1399" s="6"/>
      <c r="EO1399" s="6"/>
      <c r="EP1399" s="6"/>
      <c r="EQ1399" s="6"/>
      <c r="ER1399" s="6"/>
      <c r="ES1399" s="6"/>
      <c r="ET1399" s="6"/>
      <c r="EU1399" s="6"/>
      <c r="EV1399" s="6"/>
      <c r="EW1399" s="6"/>
      <c r="EX1399" s="6"/>
      <c r="EY1399" s="6"/>
      <c r="EZ1399" s="6"/>
      <c r="FA1399" s="6"/>
      <c r="FB1399" s="6"/>
      <c r="FC1399" s="6"/>
      <c r="FD1399" s="6"/>
      <c r="FE1399" s="6"/>
      <c r="FF1399" s="6"/>
      <c r="FG1399" s="6"/>
      <c r="FH1399" s="6"/>
      <c r="FI1399" s="6"/>
      <c r="FJ1399" s="6"/>
      <c r="FK1399" s="6"/>
      <c r="FL1399" s="6"/>
      <c r="FM1399" s="6"/>
      <c r="FN1399" s="6"/>
      <c r="FO1399" s="6"/>
      <c r="FP1399" s="6"/>
      <c r="FQ1399" s="6"/>
      <c r="FR1399" s="6"/>
      <c r="FS1399" s="6"/>
      <c r="FT1399" s="6"/>
      <c r="FU1399" s="6"/>
      <c r="FV1399" s="6"/>
      <c r="FW1399" s="6"/>
      <c r="FX1399" s="6"/>
      <c r="FY1399" s="6"/>
      <c r="FZ1399" s="6"/>
      <c r="GA1399" s="6"/>
      <c r="GB1399" s="6"/>
      <c r="GC1399" s="6"/>
      <c r="GD1399" s="6"/>
      <c r="GE1399" s="6"/>
      <c r="GF1399" s="6"/>
      <c r="GG1399" s="6"/>
      <c r="GH1399" s="6"/>
      <c r="GI1399" s="6"/>
      <c r="GJ1399" s="6"/>
      <c r="GK1399" s="6"/>
      <c r="GL1399" s="6"/>
      <c r="GM1399" s="6"/>
      <c r="GN1399" s="6"/>
      <c r="GO1399" s="6"/>
      <c r="GP1399" s="6"/>
      <c r="GQ1399" s="6"/>
      <c r="GR1399" s="6"/>
      <c r="GS1399" s="6"/>
      <c r="GT1399" s="6"/>
      <c r="GU1399" s="6"/>
      <c r="GV1399" s="6"/>
      <c r="GW1399" s="6"/>
      <c r="GX1399" s="6"/>
      <c r="GY1399" s="6"/>
      <c r="GZ1399" s="6"/>
      <c r="HA1399" s="6"/>
      <c r="HB1399" s="6"/>
      <c r="HC1399" s="6"/>
      <c r="HD1399" s="6"/>
      <c r="HE1399" s="6"/>
      <c r="HF1399" s="6"/>
      <c r="HG1399" s="6"/>
      <c r="HH1399" s="6"/>
    </row>
    <row r="1400" spans="1:216" x14ac:dyDescent="0.3">
      <c r="A1400" s="8"/>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c r="AX1400" s="6"/>
      <c r="AY1400" s="6"/>
      <c r="AZ1400" s="6"/>
      <c r="BA1400" s="6"/>
      <c r="BB1400" s="6"/>
      <c r="BC1400" s="6"/>
      <c r="BD1400" s="6"/>
      <c r="BE1400" s="6"/>
      <c r="BF1400" s="6"/>
      <c r="BG1400" s="6"/>
      <c r="BH1400" s="6"/>
      <c r="BI1400" s="6"/>
      <c r="BJ1400" s="6"/>
      <c r="BK1400" s="6"/>
      <c r="BL1400" s="6"/>
      <c r="BM1400" s="6"/>
      <c r="BN1400" s="6"/>
      <c r="BO1400" s="6"/>
      <c r="BP1400" s="6"/>
      <c r="BQ1400" s="6"/>
      <c r="BR1400" s="6"/>
      <c r="BS1400" s="6"/>
      <c r="BT1400" s="6"/>
      <c r="BU1400" s="6"/>
      <c r="BV1400" s="6"/>
      <c r="BW1400" s="6"/>
      <c r="BX1400" s="6"/>
      <c r="BY1400" s="6"/>
      <c r="BZ1400" s="6"/>
      <c r="CA1400" s="6"/>
      <c r="CB1400" s="6"/>
      <c r="CC1400" s="6"/>
      <c r="CD1400" s="6"/>
      <c r="CE1400" s="6"/>
      <c r="CF1400" s="6"/>
      <c r="CG1400" s="6"/>
      <c r="CH1400" s="6"/>
      <c r="CI1400" s="6"/>
      <c r="CJ1400" s="6"/>
      <c r="CK1400" s="6"/>
      <c r="CL1400" s="6"/>
      <c r="CM1400" s="6"/>
      <c r="CN1400" s="6"/>
      <c r="CO1400" s="6"/>
      <c r="CP1400" s="6"/>
      <c r="CQ1400" s="6"/>
      <c r="CR1400" s="6"/>
      <c r="CS1400" s="6"/>
      <c r="CT1400" s="6"/>
      <c r="CU1400" s="6"/>
      <c r="CV1400" s="6"/>
      <c r="CW1400" s="6"/>
      <c r="CX1400" s="6"/>
      <c r="CY1400" s="6"/>
      <c r="CZ1400" s="6"/>
      <c r="DA1400" s="6"/>
      <c r="DB1400" s="6"/>
      <c r="DC1400" s="6"/>
      <c r="DD1400" s="6"/>
      <c r="DE1400" s="6"/>
      <c r="DF1400" s="6"/>
      <c r="DG1400" s="6"/>
      <c r="DH1400" s="6"/>
      <c r="DI1400" s="6"/>
      <c r="DJ1400" s="6"/>
      <c r="DK1400" s="6"/>
      <c r="DL1400" s="6"/>
      <c r="DM1400" s="6"/>
      <c r="DN1400" s="6"/>
      <c r="DO1400" s="6"/>
      <c r="DP1400" s="6"/>
      <c r="DQ1400" s="6"/>
      <c r="DR1400" s="6"/>
      <c r="DS1400" s="6"/>
      <c r="DT1400" s="6"/>
      <c r="DU1400" s="6"/>
      <c r="DV1400" s="6"/>
      <c r="DW1400" s="6"/>
      <c r="DX1400" s="6"/>
      <c r="DY1400" s="6"/>
      <c r="DZ1400" s="6"/>
      <c r="EA1400" s="6"/>
      <c r="EB1400" s="6"/>
      <c r="EC1400" s="6"/>
      <c r="ED1400" s="6"/>
      <c r="EE1400" s="6"/>
      <c r="EF1400" s="6"/>
      <c r="EG1400" s="6"/>
      <c r="EH1400" s="6"/>
      <c r="EI1400" s="6"/>
      <c r="EJ1400" s="6"/>
      <c r="EK1400" s="6"/>
      <c r="EL1400" s="6"/>
      <c r="EM1400" s="6"/>
      <c r="EN1400" s="6"/>
      <c r="EO1400" s="6"/>
      <c r="EP1400" s="6"/>
      <c r="EQ1400" s="6"/>
      <c r="ER1400" s="6"/>
      <c r="ES1400" s="6"/>
      <c r="ET1400" s="6"/>
      <c r="EU1400" s="6"/>
      <c r="EV1400" s="6"/>
      <c r="EW1400" s="6"/>
      <c r="EX1400" s="6"/>
      <c r="EY1400" s="6"/>
      <c r="EZ1400" s="6"/>
      <c r="FA1400" s="6"/>
      <c r="FB1400" s="6"/>
      <c r="FC1400" s="6"/>
      <c r="FD1400" s="6"/>
      <c r="FE1400" s="6"/>
      <c r="FF1400" s="6"/>
      <c r="FG1400" s="6"/>
      <c r="FH1400" s="6"/>
      <c r="FI1400" s="6"/>
      <c r="FJ1400" s="6"/>
      <c r="FK1400" s="6"/>
      <c r="FL1400" s="6"/>
      <c r="FM1400" s="6"/>
      <c r="FN1400" s="6"/>
      <c r="FO1400" s="6"/>
      <c r="FP1400" s="6"/>
      <c r="FQ1400" s="6"/>
      <c r="FR1400" s="6"/>
      <c r="FS1400" s="6"/>
      <c r="FT1400" s="6"/>
      <c r="FU1400" s="6"/>
      <c r="FV1400" s="6"/>
      <c r="FW1400" s="6"/>
      <c r="FX1400" s="6"/>
      <c r="FY1400" s="6"/>
      <c r="FZ1400" s="6"/>
      <c r="GA1400" s="6"/>
      <c r="GB1400" s="6"/>
      <c r="GC1400" s="6"/>
      <c r="GD1400" s="6"/>
      <c r="GE1400" s="6"/>
      <c r="GF1400" s="6"/>
      <c r="GG1400" s="6"/>
      <c r="GH1400" s="6"/>
      <c r="GI1400" s="6"/>
      <c r="GJ1400" s="6"/>
      <c r="GK1400" s="6"/>
      <c r="GL1400" s="6"/>
      <c r="GM1400" s="6"/>
      <c r="GN1400" s="6"/>
      <c r="GO1400" s="6"/>
      <c r="GP1400" s="6"/>
      <c r="GQ1400" s="6"/>
      <c r="GR1400" s="6"/>
      <c r="GS1400" s="6"/>
      <c r="GT1400" s="6"/>
      <c r="GU1400" s="6"/>
      <c r="GV1400" s="6"/>
      <c r="GW1400" s="6"/>
      <c r="GX1400" s="6"/>
      <c r="GY1400" s="6"/>
      <c r="GZ1400" s="6"/>
      <c r="HA1400" s="6"/>
      <c r="HB1400" s="6"/>
      <c r="HC1400" s="6"/>
      <c r="HD1400" s="6"/>
      <c r="HE1400" s="6"/>
      <c r="HF1400" s="6"/>
      <c r="HG1400" s="6"/>
      <c r="HH1400" s="6"/>
    </row>
    <row r="1401" spans="1:216" x14ac:dyDescent="0.3">
      <c r="A1401" s="8"/>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6"/>
      <c r="BI1401" s="6"/>
      <c r="BJ1401" s="6"/>
      <c r="BK1401" s="6"/>
      <c r="BL1401" s="6"/>
      <c r="BM1401" s="6"/>
      <c r="BN1401" s="6"/>
      <c r="BO1401" s="6"/>
      <c r="BP1401" s="6"/>
      <c r="BQ1401" s="6"/>
      <c r="BR1401" s="6"/>
      <c r="BS1401" s="6"/>
      <c r="BT1401" s="6"/>
      <c r="BU1401" s="6"/>
      <c r="BV1401" s="6"/>
      <c r="BW1401" s="6"/>
      <c r="BX1401" s="6"/>
      <c r="BY1401" s="6"/>
      <c r="BZ1401" s="6"/>
      <c r="CA1401" s="6"/>
      <c r="CB1401" s="6"/>
      <c r="CC1401" s="6"/>
      <c r="CD1401" s="6"/>
      <c r="CE1401" s="6"/>
      <c r="CF1401" s="6"/>
      <c r="CG1401" s="6"/>
      <c r="CH1401" s="6"/>
      <c r="CI1401" s="6"/>
      <c r="CJ1401" s="6"/>
      <c r="CK1401" s="6"/>
      <c r="CL1401" s="6"/>
      <c r="CM1401" s="6"/>
      <c r="CN1401" s="6"/>
      <c r="CO1401" s="6"/>
      <c r="CP1401" s="6"/>
      <c r="CQ1401" s="6"/>
      <c r="CR1401" s="6"/>
      <c r="CS1401" s="6"/>
      <c r="CT1401" s="6"/>
      <c r="CU1401" s="6"/>
      <c r="CV1401" s="6"/>
      <c r="CW1401" s="6"/>
      <c r="CX1401" s="6"/>
      <c r="CY1401" s="6"/>
      <c r="CZ1401" s="6"/>
      <c r="DA1401" s="6"/>
      <c r="DB1401" s="6"/>
      <c r="DC1401" s="6"/>
      <c r="DD1401" s="6"/>
      <c r="DE1401" s="6"/>
      <c r="DF1401" s="6"/>
      <c r="DG1401" s="6"/>
      <c r="DH1401" s="6"/>
      <c r="DI1401" s="6"/>
      <c r="DJ1401" s="6"/>
      <c r="DK1401" s="6"/>
      <c r="DL1401" s="6"/>
      <c r="DM1401" s="6"/>
      <c r="DN1401" s="6"/>
      <c r="DO1401" s="6"/>
      <c r="DP1401" s="6"/>
      <c r="DQ1401" s="6"/>
      <c r="DR1401" s="6"/>
      <c r="DS1401" s="6"/>
      <c r="DT1401" s="6"/>
      <c r="DU1401" s="6"/>
      <c r="DV1401" s="6"/>
      <c r="DW1401" s="6"/>
      <c r="DX1401" s="6"/>
      <c r="DY1401" s="6"/>
      <c r="DZ1401" s="6"/>
      <c r="EA1401" s="6"/>
      <c r="EB1401" s="6"/>
      <c r="EC1401" s="6"/>
      <c r="ED1401" s="6"/>
      <c r="EE1401" s="6"/>
      <c r="EF1401" s="6"/>
      <c r="EG1401" s="6"/>
      <c r="EH1401" s="6"/>
      <c r="EI1401" s="6"/>
      <c r="EJ1401" s="6"/>
      <c r="EK1401" s="6"/>
      <c r="EL1401" s="6"/>
      <c r="EM1401" s="6"/>
      <c r="EN1401" s="6"/>
      <c r="EO1401" s="6"/>
      <c r="EP1401" s="6"/>
      <c r="EQ1401" s="6"/>
      <c r="ER1401" s="6"/>
      <c r="ES1401" s="6"/>
      <c r="ET1401" s="6"/>
      <c r="EU1401" s="6"/>
      <c r="EV1401" s="6"/>
      <c r="EW1401" s="6"/>
      <c r="EX1401" s="6"/>
      <c r="EY1401" s="6"/>
      <c r="EZ1401" s="6"/>
      <c r="FA1401" s="6"/>
      <c r="FB1401" s="6"/>
      <c r="FC1401" s="6"/>
      <c r="FD1401" s="6"/>
      <c r="FE1401" s="6"/>
      <c r="FF1401" s="6"/>
      <c r="FG1401" s="6"/>
      <c r="FH1401" s="6"/>
      <c r="FI1401" s="6"/>
      <c r="FJ1401" s="6"/>
      <c r="FK1401" s="6"/>
      <c r="FL1401" s="6"/>
      <c r="FM1401" s="6"/>
      <c r="FN1401" s="6"/>
      <c r="FO1401" s="6"/>
      <c r="FP1401" s="6"/>
      <c r="FQ1401" s="6"/>
      <c r="FR1401" s="6"/>
      <c r="FS1401" s="6"/>
      <c r="FT1401" s="6"/>
      <c r="FU1401" s="6"/>
      <c r="FV1401" s="6"/>
      <c r="FW1401" s="6"/>
      <c r="FX1401" s="6"/>
      <c r="FY1401" s="6"/>
      <c r="FZ1401" s="6"/>
      <c r="GA1401" s="6"/>
      <c r="GB1401" s="6"/>
      <c r="GC1401" s="6"/>
      <c r="GD1401" s="6"/>
      <c r="GE1401" s="6"/>
      <c r="GF1401" s="6"/>
      <c r="GG1401" s="6"/>
      <c r="GH1401" s="6"/>
      <c r="GI1401" s="6"/>
      <c r="GJ1401" s="6"/>
      <c r="GK1401" s="6"/>
      <c r="GL1401" s="6"/>
      <c r="GM1401" s="6"/>
      <c r="GN1401" s="6"/>
      <c r="GO1401" s="6"/>
      <c r="GP1401" s="6"/>
      <c r="GQ1401" s="6"/>
      <c r="GR1401" s="6"/>
      <c r="GS1401" s="6"/>
      <c r="GT1401" s="6"/>
      <c r="GU1401" s="6"/>
      <c r="GV1401" s="6"/>
      <c r="GW1401" s="6"/>
      <c r="GX1401" s="6"/>
      <c r="GY1401" s="6"/>
      <c r="GZ1401" s="6"/>
      <c r="HA1401" s="6"/>
      <c r="HB1401" s="6"/>
      <c r="HC1401" s="6"/>
      <c r="HD1401" s="6"/>
      <c r="HE1401" s="6"/>
      <c r="HF1401" s="6"/>
      <c r="HG1401" s="6"/>
      <c r="HH1401" s="6"/>
    </row>
    <row r="1402" spans="1:216" x14ac:dyDescent="0.3">
      <c r="A1402" s="8"/>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6"/>
      <c r="AR1402" s="6"/>
      <c r="AS1402" s="6"/>
      <c r="AT1402" s="6"/>
      <c r="AU1402" s="6"/>
      <c r="AV1402" s="6"/>
      <c r="AW1402" s="6"/>
      <c r="AX1402" s="6"/>
      <c r="AY1402" s="6"/>
      <c r="AZ1402" s="6"/>
      <c r="BA1402" s="6"/>
      <c r="BB1402" s="6"/>
      <c r="BC1402" s="6"/>
      <c r="BD1402" s="6"/>
      <c r="BE1402" s="6"/>
      <c r="BF1402" s="6"/>
      <c r="BG1402" s="6"/>
      <c r="BH1402" s="6"/>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6"/>
      <c r="CL1402" s="6"/>
      <c r="CM1402" s="6"/>
      <c r="CN1402" s="6"/>
      <c r="CO1402" s="6"/>
      <c r="CP1402" s="6"/>
      <c r="CQ1402" s="6"/>
      <c r="CR1402" s="6"/>
      <c r="CS1402" s="6"/>
      <c r="CT1402" s="6"/>
      <c r="CU1402" s="6"/>
      <c r="CV1402" s="6"/>
      <c r="CW1402" s="6"/>
      <c r="CX1402" s="6"/>
      <c r="CY1402" s="6"/>
      <c r="CZ1402" s="6"/>
      <c r="DA1402" s="6"/>
      <c r="DB1402" s="6"/>
      <c r="DC1402" s="6"/>
      <c r="DD1402" s="6"/>
      <c r="DE1402" s="6"/>
      <c r="DF1402" s="6"/>
      <c r="DG1402" s="6"/>
      <c r="DH1402" s="6"/>
      <c r="DI1402" s="6"/>
      <c r="DJ1402" s="6"/>
      <c r="DK1402" s="6"/>
      <c r="DL1402" s="6"/>
      <c r="DM1402" s="6"/>
      <c r="DN1402" s="6"/>
      <c r="DO1402" s="6"/>
      <c r="DP1402" s="6"/>
      <c r="DQ1402" s="6"/>
      <c r="DR1402" s="6"/>
      <c r="DS1402" s="6"/>
      <c r="DT1402" s="6"/>
      <c r="DU1402" s="6"/>
      <c r="DV1402" s="6"/>
      <c r="DW1402" s="6"/>
      <c r="DX1402" s="6"/>
      <c r="DY1402" s="6"/>
      <c r="DZ1402" s="6"/>
      <c r="EA1402" s="6"/>
      <c r="EB1402" s="6"/>
      <c r="EC1402" s="6"/>
      <c r="ED1402" s="6"/>
      <c r="EE1402" s="6"/>
      <c r="EF1402" s="6"/>
      <c r="EG1402" s="6"/>
      <c r="EH1402" s="6"/>
      <c r="EI1402" s="6"/>
      <c r="EJ1402" s="6"/>
      <c r="EK1402" s="6"/>
      <c r="EL1402" s="6"/>
      <c r="EM1402" s="6"/>
      <c r="EN1402" s="6"/>
      <c r="EO1402" s="6"/>
      <c r="EP1402" s="6"/>
      <c r="EQ1402" s="6"/>
      <c r="ER1402" s="6"/>
      <c r="ES1402" s="6"/>
      <c r="ET1402" s="6"/>
      <c r="EU1402" s="6"/>
      <c r="EV1402" s="6"/>
      <c r="EW1402" s="6"/>
      <c r="EX1402" s="6"/>
      <c r="EY1402" s="6"/>
      <c r="EZ1402" s="6"/>
      <c r="FA1402" s="6"/>
      <c r="FB1402" s="6"/>
      <c r="FC1402" s="6"/>
      <c r="FD1402" s="6"/>
      <c r="FE1402" s="6"/>
      <c r="FF1402" s="6"/>
      <c r="FG1402" s="6"/>
      <c r="FH1402" s="6"/>
      <c r="FI1402" s="6"/>
      <c r="FJ1402" s="6"/>
      <c r="FK1402" s="6"/>
      <c r="FL1402" s="6"/>
      <c r="FM1402" s="6"/>
      <c r="FN1402" s="6"/>
      <c r="FO1402" s="6"/>
      <c r="FP1402" s="6"/>
      <c r="FQ1402" s="6"/>
      <c r="FR1402" s="6"/>
      <c r="FS1402" s="6"/>
      <c r="FT1402" s="6"/>
      <c r="FU1402" s="6"/>
      <c r="FV1402" s="6"/>
      <c r="FW1402" s="6"/>
      <c r="FX1402" s="6"/>
      <c r="FY1402" s="6"/>
      <c r="FZ1402" s="6"/>
      <c r="GA1402" s="6"/>
      <c r="GB1402" s="6"/>
      <c r="GC1402" s="6"/>
      <c r="GD1402" s="6"/>
      <c r="GE1402" s="6"/>
      <c r="GF1402" s="6"/>
      <c r="GG1402" s="6"/>
      <c r="GH1402" s="6"/>
      <c r="GI1402" s="6"/>
      <c r="GJ1402" s="6"/>
      <c r="GK1402" s="6"/>
      <c r="GL1402" s="6"/>
      <c r="GM1402" s="6"/>
      <c r="GN1402" s="6"/>
      <c r="GO1402" s="6"/>
      <c r="GP1402" s="6"/>
      <c r="GQ1402" s="6"/>
      <c r="GR1402" s="6"/>
      <c r="GS1402" s="6"/>
      <c r="GT1402" s="6"/>
      <c r="GU1402" s="6"/>
      <c r="GV1402" s="6"/>
      <c r="GW1402" s="6"/>
      <c r="GX1402" s="6"/>
      <c r="GY1402" s="6"/>
      <c r="GZ1402" s="6"/>
      <c r="HA1402" s="6"/>
      <c r="HB1402" s="6"/>
      <c r="HC1402" s="6"/>
      <c r="HD1402" s="6"/>
      <c r="HE1402" s="6"/>
      <c r="HF1402" s="6"/>
      <c r="HG1402" s="6"/>
      <c r="HH1402" s="6"/>
    </row>
    <row r="1403" spans="1:216" x14ac:dyDescent="0.3">
      <c r="A1403" s="8"/>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6"/>
      <c r="AR1403" s="6"/>
      <c r="AS1403" s="6"/>
      <c r="AT1403" s="6"/>
      <c r="AU1403" s="6"/>
      <c r="AV1403" s="6"/>
      <c r="AW1403" s="6"/>
      <c r="AX1403" s="6"/>
      <c r="AY1403" s="6"/>
      <c r="AZ1403" s="6"/>
      <c r="BA1403" s="6"/>
      <c r="BB1403" s="6"/>
      <c r="BC1403" s="6"/>
      <c r="BD1403" s="6"/>
      <c r="BE1403" s="6"/>
      <c r="BF1403" s="6"/>
      <c r="BG1403" s="6"/>
      <c r="BH1403" s="6"/>
      <c r="BI1403" s="6"/>
      <c r="BJ1403" s="6"/>
      <c r="BK1403" s="6"/>
      <c r="BL1403" s="6"/>
      <c r="BM1403" s="6"/>
      <c r="BN1403" s="6"/>
      <c r="BO1403" s="6"/>
      <c r="BP1403" s="6"/>
      <c r="BQ1403" s="6"/>
      <c r="BR1403" s="6"/>
      <c r="BS1403" s="6"/>
      <c r="BT1403" s="6"/>
      <c r="BU1403" s="6"/>
      <c r="BV1403" s="6"/>
      <c r="BW1403" s="6"/>
      <c r="BX1403" s="6"/>
      <c r="BY1403" s="6"/>
      <c r="BZ1403" s="6"/>
      <c r="CA1403" s="6"/>
      <c r="CB1403" s="6"/>
      <c r="CC1403" s="6"/>
      <c r="CD1403" s="6"/>
      <c r="CE1403" s="6"/>
      <c r="CF1403" s="6"/>
      <c r="CG1403" s="6"/>
      <c r="CH1403" s="6"/>
      <c r="CI1403" s="6"/>
      <c r="CJ1403" s="6"/>
      <c r="CK1403" s="6"/>
      <c r="CL1403" s="6"/>
      <c r="CM1403" s="6"/>
      <c r="CN1403" s="6"/>
      <c r="CO1403" s="6"/>
      <c r="CP1403" s="6"/>
      <c r="CQ1403" s="6"/>
      <c r="CR1403" s="6"/>
      <c r="CS1403" s="6"/>
      <c r="CT1403" s="6"/>
      <c r="CU1403" s="6"/>
      <c r="CV1403" s="6"/>
      <c r="CW1403" s="6"/>
      <c r="CX1403" s="6"/>
      <c r="CY1403" s="6"/>
      <c r="CZ1403" s="6"/>
      <c r="DA1403" s="6"/>
      <c r="DB1403" s="6"/>
      <c r="DC1403" s="6"/>
      <c r="DD1403" s="6"/>
      <c r="DE1403" s="6"/>
      <c r="DF1403" s="6"/>
      <c r="DG1403" s="6"/>
      <c r="DH1403" s="6"/>
      <c r="DI1403" s="6"/>
      <c r="DJ1403" s="6"/>
      <c r="DK1403" s="6"/>
      <c r="DL1403" s="6"/>
      <c r="DM1403" s="6"/>
      <c r="DN1403" s="6"/>
      <c r="DO1403" s="6"/>
      <c r="DP1403" s="6"/>
      <c r="DQ1403" s="6"/>
      <c r="DR1403" s="6"/>
      <c r="DS1403" s="6"/>
      <c r="DT1403" s="6"/>
      <c r="DU1403" s="6"/>
      <c r="DV1403" s="6"/>
      <c r="DW1403" s="6"/>
      <c r="DX1403" s="6"/>
      <c r="DY1403" s="6"/>
      <c r="DZ1403" s="6"/>
      <c r="EA1403" s="6"/>
      <c r="EB1403" s="6"/>
      <c r="EC1403" s="6"/>
      <c r="ED1403" s="6"/>
      <c r="EE1403" s="6"/>
      <c r="EF1403" s="6"/>
      <c r="EG1403" s="6"/>
      <c r="EH1403" s="6"/>
      <c r="EI1403" s="6"/>
      <c r="EJ1403" s="6"/>
      <c r="EK1403" s="6"/>
      <c r="EL1403" s="6"/>
      <c r="EM1403" s="6"/>
      <c r="EN1403" s="6"/>
      <c r="EO1403" s="6"/>
      <c r="EP1403" s="6"/>
      <c r="EQ1403" s="6"/>
      <c r="ER1403" s="6"/>
      <c r="ES1403" s="6"/>
      <c r="ET1403" s="6"/>
      <c r="EU1403" s="6"/>
      <c r="EV1403" s="6"/>
      <c r="EW1403" s="6"/>
      <c r="EX1403" s="6"/>
      <c r="EY1403" s="6"/>
      <c r="EZ1403" s="6"/>
      <c r="FA1403" s="6"/>
      <c r="FB1403" s="6"/>
      <c r="FC1403" s="6"/>
      <c r="FD1403" s="6"/>
      <c r="FE1403" s="6"/>
      <c r="FF1403" s="6"/>
      <c r="FG1403" s="6"/>
      <c r="FH1403" s="6"/>
      <c r="FI1403" s="6"/>
      <c r="FJ1403" s="6"/>
      <c r="FK1403" s="6"/>
      <c r="FL1403" s="6"/>
      <c r="FM1403" s="6"/>
      <c r="FN1403" s="6"/>
      <c r="FO1403" s="6"/>
      <c r="FP1403" s="6"/>
      <c r="FQ1403" s="6"/>
      <c r="FR1403" s="6"/>
      <c r="FS1403" s="6"/>
      <c r="FT1403" s="6"/>
      <c r="FU1403" s="6"/>
      <c r="FV1403" s="6"/>
      <c r="FW1403" s="6"/>
      <c r="FX1403" s="6"/>
      <c r="FY1403" s="6"/>
      <c r="FZ1403" s="6"/>
      <c r="GA1403" s="6"/>
      <c r="GB1403" s="6"/>
      <c r="GC1403" s="6"/>
      <c r="GD1403" s="6"/>
      <c r="GE1403" s="6"/>
      <c r="GF1403" s="6"/>
      <c r="GG1403" s="6"/>
      <c r="GH1403" s="6"/>
      <c r="GI1403" s="6"/>
      <c r="GJ1403" s="6"/>
      <c r="GK1403" s="6"/>
      <c r="GL1403" s="6"/>
      <c r="GM1403" s="6"/>
      <c r="GN1403" s="6"/>
      <c r="GO1403" s="6"/>
      <c r="GP1403" s="6"/>
      <c r="GQ1403" s="6"/>
      <c r="GR1403" s="6"/>
      <c r="GS1403" s="6"/>
      <c r="GT1403" s="6"/>
      <c r="GU1403" s="6"/>
      <c r="GV1403" s="6"/>
      <c r="GW1403" s="6"/>
      <c r="GX1403" s="6"/>
      <c r="GY1403" s="6"/>
      <c r="GZ1403" s="6"/>
      <c r="HA1403" s="6"/>
      <c r="HB1403" s="6"/>
      <c r="HC1403" s="6"/>
      <c r="HD1403" s="6"/>
      <c r="HE1403" s="6"/>
      <c r="HF1403" s="6"/>
      <c r="HG1403" s="6"/>
      <c r="HH1403" s="6"/>
    </row>
    <row r="1404" spans="1:216" x14ac:dyDescent="0.3">
      <c r="A1404" s="8"/>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6"/>
      <c r="AR1404" s="6"/>
      <c r="AS1404" s="6"/>
      <c r="AT1404" s="6"/>
      <c r="AU1404" s="6"/>
      <c r="AV1404" s="6"/>
      <c r="AW1404" s="6"/>
      <c r="AX1404" s="6"/>
      <c r="AY1404" s="6"/>
      <c r="AZ1404" s="6"/>
      <c r="BA1404" s="6"/>
      <c r="BB1404" s="6"/>
      <c r="BC1404" s="6"/>
      <c r="BD1404" s="6"/>
      <c r="BE1404" s="6"/>
      <c r="BF1404" s="6"/>
      <c r="BG1404" s="6"/>
      <c r="BH1404" s="6"/>
      <c r="BI1404" s="6"/>
      <c r="BJ1404" s="6"/>
      <c r="BK1404" s="6"/>
      <c r="BL1404" s="6"/>
      <c r="BM1404" s="6"/>
      <c r="BN1404" s="6"/>
      <c r="BO1404" s="6"/>
      <c r="BP1404" s="6"/>
      <c r="BQ1404" s="6"/>
      <c r="BR1404" s="6"/>
      <c r="BS1404" s="6"/>
      <c r="BT1404" s="6"/>
      <c r="BU1404" s="6"/>
      <c r="BV1404" s="6"/>
      <c r="BW1404" s="6"/>
      <c r="BX1404" s="6"/>
      <c r="BY1404" s="6"/>
      <c r="BZ1404" s="6"/>
      <c r="CA1404" s="6"/>
      <c r="CB1404" s="6"/>
      <c r="CC1404" s="6"/>
      <c r="CD1404" s="6"/>
      <c r="CE1404" s="6"/>
      <c r="CF1404" s="6"/>
      <c r="CG1404" s="6"/>
      <c r="CH1404" s="6"/>
      <c r="CI1404" s="6"/>
      <c r="CJ1404" s="6"/>
      <c r="CK1404" s="6"/>
      <c r="CL1404" s="6"/>
      <c r="CM1404" s="6"/>
      <c r="CN1404" s="6"/>
      <c r="CO1404" s="6"/>
      <c r="CP1404" s="6"/>
      <c r="CQ1404" s="6"/>
      <c r="CR1404" s="6"/>
      <c r="CS1404" s="6"/>
      <c r="CT1404" s="6"/>
      <c r="CU1404" s="6"/>
      <c r="CV1404" s="6"/>
      <c r="CW1404" s="6"/>
      <c r="CX1404" s="6"/>
      <c r="CY1404" s="6"/>
      <c r="CZ1404" s="6"/>
      <c r="DA1404" s="6"/>
      <c r="DB1404" s="6"/>
      <c r="DC1404" s="6"/>
      <c r="DD1404" s="6"/>
      <c r="DE1404" s="6"/>
      <c r="DF1404" s="6"/>
      <c r="DG1404" s="6"/>
      <c r="DH1404" s="6"/>
      <c r="DI1404" s="6"/>
      <c r="DJ1404" s="6"/>
      <c r="DK1404" s="6"/>
      <c r="DL1404" s="6"/>
      <c r="DM1404" s="6"/>
      <c r="DN1404" s="6"/>
      <c r="DO1404" s="6"/>
      <c r="DP1404" s="6"/>
      <c r="DQ1404" s="6"/>
      <c r="DR1404" s="6"/>
      <c r="DS1404" s="6"/>
      <c r="DT1404" s="6"/>
      <c r="DU1404" s="6"/>
      <c r="DV1404" s="6"/>
      <c r="DW1404" s="6"/>
      <c r="DX1404" s="6"/>
      <c r="DY1404" s="6"/>
      <c r="DZ1404" s="6"/>
      <c r="EA1404" s="6"/>
      <c r="EB1404" s="6"/>
      <c r="EC1404" s="6"/>
      <c r="ED1404" s="6"/>
      <c r="EE1404" s="6"/>
      <c r="EF1404" s="6"/>
      <c r="EG1404" s="6"/>
      <c r="EH1404" s="6"/>
      <c r="EI1404" s="6"/>
      <c r="EJ1404" s="6"/>
      <c r="EK1404" s="6"/>
      <c r="EL1404" s="6"/>
      <c r="EM1404" s="6"/>
      <c r="EN1404" s="6"/>
      <c r="EO1404" s="6"/>
      <c r="EP1404" s="6"/>
      <c r="EQ1404" s="6"/>
      <c r="ER1404" s="6"/>
      <c r="ES1404" s="6"/>
      <c r="ET1404" s="6"/>
      <c r="EU1404" s="6"/>
      <c r="EV1404" s="6"/>
      <c r="EW1404" s="6"/>
      <c r="EX1404" s="6"/>
      <c r="EY1404" s="6"/>
      <c r="EZ1404" s="6"/>
      <c r="FA1404" s="6"/>
      <c r="FB1404" s="6"/>
      <c r="FC1404" s="6"/>
      <c r="FD1404" s="6"/>
      <c r="FE1404" s="6"/>
      <c r="FF1404" s="6"/>
      <c r="FG1404" s="6"/>
      <c r="FH1404" s="6"/>
      <c r="FI1404" s="6"/>
      <c r="FJ1404" s="6"/>
      <c r="FK1404" s="6"/>
      <c r="FL1404" s="6"/>
      <c r="FM1404" s="6"/>
      <c r="FN1404" s="6"/>
      <c r="FO1404" s="6"/>
      <c r="FP1404" s="6"/>
      <c r="FQ1404" s="6"/>
      <c r="FR1404" s="6"/>
      <c r="FS1404" s="6"/>
      <c r="FT1404" s="6"/>
      <c r="FU1404" s="6"/>
      <c r="FV1404" s="6"/>
      <c r="FW1404" s="6"/>
      <c r="FX1404" s="6"/>
      <c r="FY1404" s="6"/>
      <c r="FZ1404" s="6"/>
      <c r="GA1404" s="6"/>
      <c r="GB1404" s="6"/>
      <c r="GC1404" s="6"/>
      <c r="GD1404" s="6"/>
      <c r="GE1404" s="6"/>
      <c r="GF1404" s="6"/>
      <c r="GG1404" s="6"/>
      <c r="GH1404" s="6"/>
      <c r="GI1404" s="6"/>
      <c r="GJ1404" s="6"/>
      <c r="GK1404" s="6"/>
      <c r="GL1404" s="6"/>
      <c r="GM1404" s="6"/>
      <c r="GN1404" s="6"/>
      <c r="GO1404" s="6"/>
      <c r="GP1404" s="6"/>
      <c r="GQ1404" s="6"/>
      <c r="GR1404" s="6"/>
      <c r="GS1404" s="6"/>
      <c r="GT1404" s="6"/>
      <c r="GU1404" s="6"/>
      <c r="GV1404" s="6"/>
      <c r="GW1404" s="6"/>
      <c r="GX1404" s="6"/>
      <c r="GY1404" s="6"/>
      <c r="GZ1404" s="6"/>
      <c r="HA1404" s="6"/>
      <c r="HB1404" s="6"/>
      <c r="HC1404" s="6"/>
      <c r="HD1404" s="6"/>
      <c r="HE1404" s="6"/>
      <c r="HF1404" s="6"/>
      <c r="HG1404" s="6"/>
      <c r="HH1404" s="6"/>
    </row>
    <row r="1405" spans="1:216" x14ac:dyDescent="0.3">
      <c r="A1405" s="8"/>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6"/>
      <c r="AR1405" s="6"/>
      <c r="AS1405" s="6"/>
      <c r="AT1405" s="6"/>
      <c r="AU1405" s="6"/>
      <c r="AV1405" s="6"/>
      <c r="AW1405" s="6"/>
      <c r="AX1405" s="6"/>
      <c r="AY1405" s="6"/>
      <c r="AZ1405" s="6"/>
      <c r="BA1405" s="6"/>
      <c r="BB1405" s="6"/>
      <c r="BC1405" s="6"/>
      <c r="BD1405" s="6"/>
      <c r="BE1405" s="6"/>
      <c r="BF1405" s="6"/>
      <c r="BG1405" s="6"/>
      <c r="BH1405" s="6"/>
      <c r="BI1405" s="6"/>
      <c r="BJ1405" s="6"/>
      <c r="BK1405" s="6"/>
      <c r="BL1405" s="6"/>
      <c r="BM1405" s="6"/>
      <c r="BN1405" s="6"/>
      <c r="BO1405" s="6"/>
      <c r="BP1405" s="6"/>
      <c r="BQ1405" s="6"/>
      <c r="BR1405" s="6"/>
      <c r="BS1405" s="6"/>
      <c r="BT1405" s="6"/>
      <c r="BU1405" s="6"/>
      <c r="BV1405" s="6"/>
      <c r="BW1405" s="6"/>
      <c r="BX1405" s="6"/>
      <c r="BY1405" s="6"/>
      <c r="BZ1405" s="6"/>
      <c r="CA1405" s="6"/>
      <c r="CB1405" s="6"/>
      <c r="CC1405" s="6"/>
      <c r="CD1405" s="6"/>
      <c r="CE1405" s="6"/>
      <c r="CF1405" s="6"/>
      <c r="CG1405" s="6"/>
      <c r="CH1405" s="6"/>
      <c r="CI1405" s="6"/>
      <c r="CJ1405" s="6"/>
      <c r="CK1405" s="6"/>
      <c r="CL1405" s="6"/>
      <c r="CM1405" s="6"/>
      <c r="CN1405" s="6"/>
      <c r="CO1405" s="6"/>
      <c r="CP1405" s="6"/>
      <c r="CQ1405" s="6"/>
      <c r="CR1405" s="6"/>
      <c r="CS1405" s="6"/>
      <c r="CT1405" s="6"/>
      <c r="CU1405" s="6"/>
      <c r="CV1405" s="6"/>
      <c r="CW1405" s="6"/>
      <c r="CX1405" s="6"/>
      <c r="CY1405" s="6"/>
      <c r="CZ1405" s="6"/>
      <c r="DA1405" s="6"/>
      <c r="DB1405" s="6"/>
      <c r="DC1405" s="6"/>
      <c r="DD1405" s="6"/>
      <c r="DE1405" s="6"/>
      <c r="DF1405" s="6"/>
      <c r="DG1405" s="6"/>
      <c r="DH1405" s="6"/>
      <c r="DI1405" s="6"/>
      <c r="DJ1405" s="6"/>
      <c r="DK1405" s="6"/>
      <c r="DL1405" s="6"/>
      <c r="DM1405" s="6"/>
      <c r="DN1405" s="6"/>
      <c r="DO1405" s="6"/>
      <c r="DP1405" s="6"/>
      <c r="DQ1405" s="6"/>
      <c r="DR1405" s="6"/>
      <c r="DS1405" s="6"/>
      <c r="DT1405" s="6"/>
      <c r="DU1405" s="6"/>
      <c r="DV1405" s="6"/>
      <c r="DW1405" s="6"/>
      <c r="DX1405" s="6"/>
      <c r="DY1405" s="6"/>
      <c r="DZ1405" s="6"/>
      <c r="EA1405" s="6"/>
      <c r="EB1405" s="6"/>
      <c r="EC1405" s="6"/>
      <c r="ED1405" s="6"/>
      <c r="EE1405" s="6"/>
      <c r="EF1405" s="6"/>
      <c r="EG1405" s="6"/>
      <c r="EH1405" s="6"/>
      <c r="EI1405" s="6"/>
      <c r="EJ1405" s="6"/>
      <c r="EK1405" s="6"/>
      <c r="EL1405" s="6"/>
      <c r="EM1405" s="6"/>
      <c r="EN1405" s="6"/>
      <c r="EO1405" s="6"/>
      <c r="EP1405" s="6"/>
      <c r="EQ1405" s="6"/>
      <c r="ER1405" s="6"/>
      <c r="ES1405" s="6"/>
      <c r="ET1405" s="6"/>
      <c r="EU1405" s="6"/>
      <c r="EV1405" s="6"/>
      <c r="EW1405" s="6"/>
      <c r="EX1405" s="6"/>
      <c r="EY1405" s="6"/>
      <c r="EZ1405" s="6"/>
      <c r="FA1405" s="6"/>
      <c r="FB1405" s="6"/>
      <c r="FC1405" s="6"/>
      <c r="FD1405" s="6"/>
      <c r="FE1405" s="6"/>
      <c r="FF1405" s="6"/>
      <c r="FG1405" s="6"/>
      <c r="FH1405" s="6"/>
      <c r="FI1405" s="6"/>
      <c r="FJ1405" s="6"/>
      <c r="FK1405" s="6"/>
      <c r="FL1405" s="6"/>
      <c r="FM1405" s="6"/>
      <c r="FN1405" s="6"/>
      <c r="FO1405" s="6"/>
      <c r="FP1405" s="6"/>
      <c r="FQ1405" s="6"/>
      <c r="FR1405" s="6"/>
      <c r="FS1405" s="6"/>
      <c r="FT1405" s="6"/>
      <c r="FU1405" s="6"/>
      <c r="FV1405" s="6"/>
      <c r="FW1405" s="6"/>
      <c r="FX1405" s="6"/>
      <c r="FY1405" s="6"/>
      <c r="FZ1405" s="6"/>
      <c r="GA1405" s="6"/>
      <c r="GB1405" s="6"/>
      <c r="GC1405" s="6"/>
      <c r="GD1405" s="6"/>
      <c r="GE1405" s="6"/>
      <c r="GF1405" s="6"/>
      <c r="GG1405" s="6"/>
      <c r="GH1405" s="6"/>
      <c r="GI1405" s="6"/>
      <c r="GJ1405" s="6"/>
      <c r="GK1405" s="6"/>
      <c r="GL1405" s="6"/>
      <c r="GM1405" s="6"/>
      <c r="GN1405" s="6"/>
      <c r="GO1405" s="6"/>
      <c r="GP1405" s="6"/>
      <c r="GQ1405" s="6"/>
      <c r="GR1405" s="6"/>
      <c r="GS1405" s="6"/>
      <c r="GT1405" s="6"/>
      <c r="GU1405" s="6"/>
      <c r="GV1405" s="6"/>
      <c r="GW1405" s="6"/>
      <c r="GX1405" s="6"/>
      <c r="GY1405" s="6"/>
      <c r="GZ1405" s="6"/>
      <c r="HA1405" s="6"/>
      <c r="HB1405" s="6"/>
      <c r="HC1405" s="6"/>
      <c r="HD1405" s="6"/>
      <c r="HE1405" s="6"/>
      <c r="HF1405" s="6"/>
      <c r="HG1405" s="6"/>
      <c r="HH1405" s="6"/>
    </row>
    <row r="1406" spans="1:216" x14ac:dyDescent="0.3">
      <c r="A1406" s="8"/>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6"/>
      <c r="AR1406" s="6"/>
      <c r="AS1406" s="6"/>
      <c r="AT1406" s="6"/>
      <c r="AU1406" s="6"/>
      <c r="AV1406" s="6"/>
      <c r="AW1406" s="6"/>
      <c r="AX1406" s="6"/>
      <c r="AY1406" s="6"/>
      <c r="AZ1406" s="6"/>
      <c r="BA1406" s="6"/>
      <c r="BB1406" s="6"/>
      <c r="BC1406" s="6"/>
      <c r="BD1406" s="6"/>
      <c r="BE1406" s="6"/>
      <c r="BF1406" s="6"/>
      <c r="BG1406" s="6"/>
      <c r="BH1406" s="6"/>
      <c r="BI1406" s="6"/>
      <c r="BJ1406" s="6"/>
      <c r="BK1406" s="6"/>
      <c r="BL1406" s="6"/>
      <c r="BM1406" s="6"/>
      <c r="BN1406" s="6"/>
      <c r="BO1406" s="6"/>
      <c r="BP1406" s="6"/>
      <c r="BQ1406" s="6"/>
      <c r="BR1406" s="6"/>
      <c r="BS1406" s="6"/>
      <c r="BT1406" s="6"/>
      <c r="BU1406" s="6"/>
      <c r="BV1406" s="6"/>
      <c r="BW1406" s="6"/>
      <c r="BX1406" s="6"/>
      <c r="BY1406" s="6"/>
      <c r="BZ1406" s="6"/>
      <c r="CA1406" s="6"/>
      <c r="CB1406" s="6"/>
      <c r="CC1406" s="6"/>
      <c r="CD1406" s="6"/>
      <c r="CE1406" s="6"/>
      <c r="CF1406" s="6"/>
      <c r="CG1406" s="6"/>
      <c r="CH1406" s="6"/>
      <c r="CI1406" s="6"/>
      <c r="CJ1406" s="6"/>
      <c r="CK1406" s="6"/>
      <c r="CL1406" s="6"/>
      <c r="CM1406" s="6"/>
      <c r="CN1406" s="6"/>
      <c r="CO1406" s="6"/>
      <c r="CP1406" s="6"/>
      <c r="CQ1406" s="6"/>
      <c r="CR1406" s="6"/>
      <c r="CS1406" s="6"/>
      <c r="CT1406" s="6"/>
      <c r="CU1406" s="6"/>
      <c r="CV1406" s="6"/>
      <c r="CW1406" s="6"/>
      <c r="CX1406" s="6"/>
      <c r="CY1406" s="6"/>
      <c r="CZ1406" s="6"/>
      <c r="DA1406" s="6"/>
      <c r="DB1406" s="6"/>
      <c r="DC1406" s="6"/>
      <c r="DD1406" s="6"/>
      <c r="DE1406" s="6"/>
      <c r="DF1406" s="6"/>
      <c r="DG1406" s="6"/>
      <c r="DH1406" s="6"/>
      <c r="DI1406" s="6"/>
      <c r="DJ1406" s="6"/>
      <c r="DK1406" s="6"/>
      <c r="DL1406" s="6"/>
      <c r="DM1406" s="6"/>
      <c r="DN1406" s="6"/>
      <c r="DO1406" s="6"/>
      <c r="DP1406" s="6"/>
      <c r="DQ1406" s="6"/>
      <c r="DR1406" s="6"/>
      <c r="DS1406" s="6"/>
      <c r="DT1406" s="6"/>
      <c r="DU1406" s="6"/>
      <c r="DV1406" s="6"/>
      <c r="DW1406" s="6"/>
      <c r="DX1406" s="6"/>
      <c r="DY1406" s="6"/>
      <c r="DZ1406" s="6"/>
      <c r="EA1406" s="6"/>
      <c r="EB1406" s="6"/>
      <c r="EC1406" s="6"/>
      <c r="ED1406" s="6"/>
      <c r="EE1406" s="6"/>
      <c r="EF1406" s="6"/>
      <c r="EG1406" s="6"/>
      <c r="EH1406" s="6"/>
      <c r="EI1406" s="6"/>
      <c r="EJ1406" s="6"/>
      <c r="EK1406" s="6"/>
      <c r="EL1406" s="6"/>
      <c r="EM1406" s="6"/>
      <c r="EN1406" s="6"/>
      <c r="EO1406" s="6"/>
      <c r="EP1406" s="6"/>
      <c r="EQ1406" s="6"/>
      <c r="ER1406" s="6"/>
      <c r="ES1406" s="6"/>
      <c r="ET1406" s="6"/>
      <c r="EU1406" s="6"/>
      <c r="EV1406" s="6"/>
      <c r="EW1406" s="6"/>
      <c r="EX1406" s="6"/>
      <c r="EY1406" s="6"/>
      <c r="EZ1406" s="6"/>
      <c r="FA1406" s="6"/>
      <c r="FB1406" s="6"/>
      <c r="FC1406" s="6"/>
      <c r="FD1406" s="6"/>
      <c r="FE1406" s="6"/>
      <c r="FF1406" s="6"/>
      <c r="FG1406" s="6"/>
      <c r="FH1406" s="6"/>
      <c r="FI1406" s="6"/>
      <c r="FJ1406" s="6"/>
      <c r="FK1406" s="6"/>
      <c r="FL1406" s="6"/>
      <c r="FM1406" s="6"/>
      <c r="FN1406" s="6"/>
      <c r="FO1406" s="6"/>
      <c r="FP1406" s="6"/>
      <c r="FQ1406" s="6"/>
      <c r="FR1406" s="6"/>
      <c r="FS1406" s="6"/>
      <c r="FT1406" s="6"/>
      <c r="FU1406" s="6"/>
      <c r="FV1406" s="6"/>
      <c r="FW1406" s="6"/>
      <c r="FX1406" s="6"/>
      <c r="FY1406" s="6"/>
      <c r="FZ1406" s="6"/>
      <c r="GA1406" s="6"/>
      <c r="GB1406" s="6"/>
      <c r="GC1406" s="6"/>
      <c r="GD1406" s="6"/>
      <c r="GE1406" s="6"/>
      <c r="GF1406" s="6"/>
      <c r="GG1406" s="6"/>
      <c r="GH1406" s="6"/>
      <c r="GI1406" s="6"/>
      <c r="GJ1406" s="6"/>
      <c r="GK1406" s="6"/>
      <c r="GL1406" s="6"/>
      <c r="GM1406" s="6"/>
      <c r="GN1406" s="6"/>
      <c r="GO1406" s="6"/>
      <c r="GP1406" s="6"/>
      <c r="GQ1406" s="6"/>
      <c r="GR1406" s="6"/>
      <c r="GS1406" s="6"/>
      <c r="GT1406" s="6"/>
      <c r="GU1406" s="6"/>
      <c r="GV1406" s="6"/>
      <c r="GW1406" s="6"/>
      <c r="GX1406" s="6"/>
      <c r="GY1406" s="6"/>
      <c r="GZ1406" s="6"/>
      <c r="HA1406" s="6"/>
      <c r="HB1406" s="6"/>
      <c r="HC1406" s="6"/>
      <c r="HD1406" s="6"/>
      <c r="HE1406" s="6"/>
      <c r="HF1406" s="6"/>
      <c r="HG1406" s="6"/>
      <c r="HH1406" s="6"/>
    </row>
    <row r="1407" spans="1:216" x14ac:dyDescent="0.3">
      <c r="A1407" s="8"/>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6"/>
      <c r="AR1407" s="6"/>
      <c r="AS1407" s="6"/>
      <c r="AT1407" s="6"/>
      <c r="AU1407" s="6"/>
      <c r="AV1407" s="6"/>
      <c r="AW1407" s="6"/>
      <c r="AX1407" s="6"/>
      <c r="AY1407" s="6"/>
      <c r="AZ1407" s="6"/>
      <c r="BA1407" s="6"/>
      <c r="BB1407" s="6"/>
      <c r="BC1407" s="6"/>
      <c r="BD1407" s="6"/>
      <c r="BE1407" s="6"/>
      <c r="BF1407" s="6"/>
      <c r="BG1407" s="6"/>
      <c r="BH1407" s="6"/>
      <c r="BI1407" s="6"/>
      <c r="BJ1407" s="6"/>
      <c r="BK1407" s="6"/>
      <c r="BL1407" s="6"/>
      <c r="BM1407" s="6"/>
      <c r="BN1407" s="6"/>
      <c r="BO1407" s="6"/>
      <c r="BP1407" s="6"/>
      <c r="BQ1407" s="6"/>
      <c r="BR1407" s="6"/>
      <c r="BS1407" s="6"/>
      <c r="BT1407" s="6"/>
      <c r="BU1407" s="6"/>
      <c r="BV1407" s="6"/>
      <c r="BW1407" s="6"/>
      <c r="BX1407" s="6"/>
      <c r="BY1407" s="6"/>
      <c r="BZ1407" s="6"/>
      <c r="CA1407" s="6"/>
      <c r="CB1407" s="6"/>
      <c r="CC1407" s="6"/>
      <c r="CD1407" s="6"/>
      <c r="CE1407" s="6"/>
      <c r="CF1407" s="6"/>
      <c r="CG1407" s="6"/>
      <c r="CH1407" s="6"/>
      <c r="CI1407" s="6"/>
      <c r="CJ1407" s="6"/>
      <c r="CK1407" s="6"/>
      <c r="CL1407" s="6"/>
      <c r="CM1407" s="6"/>
      <c r="CN1407" s="6"/>
      <c r="CO1407" s="6"/>
      <c r="CP1407" s="6"/>
      <c r="CQ1407" s="6"/>
      <c r="CR1407" s="6"/>
      <c r="CS1407" s="6"/>
      <c r="CT1407" s="6"/>
      <c r="CU1407" s="6"/>
      <c r="CV1407" s="6"/>
      <c r="CW1407" s="6"/>
      <c r="CX1407" s="6"/>
      <c r="CY1407" s="6"/>
      <c r="CZ1407" s="6"/>
      <c r="DA1407" s="6"/>
      <c r="DB1407" s="6"/>
      <c r="DC1407" s="6"/>
      <c r="DD1407" s="6"/>
      <c r="DE1407" s="6"/>
      <c r="DF1407" s="6"/>
      <c r="DG1407" s="6"/>
      <c r="DH1407" s="6"/>
      <c r="DI1407" s="6"/>
      <c r="DJ1407" s="6"/>
      <c r="DK1407" s="6"/>
      <c r="DL1407" s="6"/>
      <c r="DM1407" s="6"/>
      <c r="DN1407" s="6"/>
      <c r="DO1407" s="6"/>
      <c r="DP1407" s="6"/>
      <c r="DQ1407" s="6"/>
      <c r="DR1407" s="6"/>
      <c r="DS1407" s="6"/>
      <c r="DT1407" s="6"/>
      <c r="DU1407" s="6"/>
      <c r="DV1407" s="6"/>
      <c r="DW1407" s="6"/>
      <c r="DX1407" s="6"/>
      <c r="DY1407" s="6"/>
      <c r="DZ1407" s="6"/>
      <c r="EA1407" s="6"/>
      <c r="EB1407" s="6"/>
      <c r="EC1407" s="6"/>
      <c r="ED1407" s="6"/>
      <c r="EE1407" s="6"/>
      <c r="EF1407" s="6"/>
      <c r="EG1407" s="6"/>
      <c r="EH1407" s="6"/>
      <c r="EI1407" s="6"/>
      <c r="EJ1407" s="6"/>
      <c r="EK1407" s="6"/>
      <c r="EL1407" s="6"/>
      <c r="EM1407" s="6"/>
      <c r="EN1407" s="6"/>
      <c r="EO1407" s="6"/>
      <c r="EP1407" s="6"/>
      <c r="EQ1407" s="6"/>
      <c r="ER1407" s="6"/>
      <c r="ES1407" s="6"/>
      <c r="ET1407" s="6"/>
      <c r="EU1407" s="6"/>
      <c r="EV1407" s="6"/>
      <c r="EW1407" s="6"/>
      <c r="EX1407" s="6"/>
      <c r="EY1407" s="6"/>
      <c r="EZ1407" s="6"/>
      <c r="FA1407" s="6"/>
      <c r="FB1407" s="6"/>
      <c r="FC1407" s="6"/>
      <c r="FD1407" s="6"/>
      <c r="FE1407" s="6"/>
      <c r="FF1407" s="6"/>
      <c r="FG1407" s="6"/>
      <c r="FH1407" s="6"/>
      <c r="FI1407" s="6"/>
      <c r="FJ1407" s="6"/>
      <c r="FK1407" s="6"/>
      <c r="FL1407" s="6"/>
      <c r="FM1407" s="6"/>
      <c r="FN1407" s="6"/>
      <c r="FO1407" s="6"/>
      <c r="FP1407" s="6"/>
      <c r="FQ1407" s="6"/>
      <c r="FR1407" s="6"/>
      <c r="FS1407" s="6"/>
      <c r="FT1407" s="6"/>
      <c r="FU1407" s="6"/>
      <c r="FV1407" s="6"/>
      <c r="FW1407" s="6"/>
      <c r="FX1407" s="6"/>
      <c r="FY1407" s="6"/>
      <c r="FZ1407" s="6"/>
      <c r="GA1407" s="6"/>
      <c r="GB1407" s="6"/>
      <c r="GC1407" s="6"/>
      <c r="GD1407" s="6"/>
      <c r="GE1407" s="6"/>
      <c r="GF1407" s="6"/>
      <c r="GG1407" s="6"/>
      <c r="GH1407" s="6"/>
      <c r="GI1407" s="6"/>
      <c r="GJ1407" s="6"/>
      <c r="GK1407" s="6"/>
      <c r="GL1407" s="6"/>
      <c r="GM1407" s="6"/>
      <c r="GN1407" s="6"/>
      <c r="GO1407" s="6"/>
      <c r="GP1407" s="6"/>
      <c r="GQ1407" s="6"/>
      <c r="GR1407" s="6"/>
      <c r="GS1407" s="6"/>
      <c r="GT1407" s="6"/>
      <c r="GU1407" s="6"/>
      <c r="GV1407" s="6"/>
      <c r="GW1407" s="6"/>
      <c r="GX1407" s="6"/>
      <c r="GY1407" s="6"/>
      <c r="GZ1407" s="6"/>
      <c r="HA1407" s="6"/>
      <c r="HB1407" s="6"/>
      <c r="HC1407" s="6"/>
      <c r="HD1407" s="6"/>
      <c r="HE1407" s="6"/>
      <c r="HF1407" s="6"/>
      <c r="HG1407" s="6"/>
      <c r="HH1407" s="6"/>
    </row>
    <row r="1408" spans="1:216" x14ac:dyDescent="0.3">
      <c r="A1408" s="8"/>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6"/>
      <c r="AR1408" s="6"/>
      <c r="AS1408" s="6"/>
      <c r="AT1408" s="6"/>
      <c r="AU1408" s="6"/>
      <c r="AV1408" s="6"/>
      <c r="AW1408" s="6"/>
      <c r="AX1408" s="6"/>
      <c r="AY1408" s="6"/>
      <c r="AZ1408" s="6"/>
      <c r="BA1408" s="6"/>
      <c r="BB1408" s="6"/>
      <c r="BC1408" s="6"/>
      <c r="BD1408" s="6"/>
      <c r="BE1408" s="6"/>
      <c r="BF1408" s="6"/>
      <c r="BG1408" s="6"/>
      <c r="BH1408" s="6"/>
      <c r="BI1408" s="6"/>
      <c r="BJ1408" s="6"/>
      <c r="BK1408" s="6"/>
      <c r="BL1408" s="6"/>
      <c r="BM1408" s="6"/>
      <c r="BN1408" s="6"/>
      <c r="BO1408" s="6"/>
      <c r="BP1408" s="6"/>
      <c r="BQ1408" s="6"/>
      <c r="BR1408" s="6"/>
      <c r="BS1408" s="6"/>
      <c r="BT1408" s="6"/>
      <c r="BU1408" s="6"/>
      <c r="BV1408" s="6"/>
      <c r="BW1408" s="6"/>
      <c r="BX1408" s="6"/>
      <c r="BY1408" s="6"/>
      <c r="BZ1408" s="6"/>
      <c r="CA1408" s="6"/>
      <c r="CB1408" s="6"/>
      <c r="CC1408" s="6"/>
      <c r="CD1408" s="6"/>
      <c r="CE1408" s="6"/>
      <c r="CF1408" s="6"/>
      <c r="CG1408" s="6"/>
      <c r="CH1408" s="6"/>
      <c r="CI1408" s="6"/>
      <c r="CJ1408" s="6"/>
      <c r="CK1408" s="6"/>
      <c r="CL1408" s="6"/>
      <c r="CM1408" s="6"/>
      <c r="CN1408" s="6"/>
      <c r="CO1408" s="6"/>
      <c r="CP1408" s="6"/>
      <c r="CQ1408" s="6"/>
      <c r="CR1408" s="6"/>
      <c r="CS1408" s="6"/>
      <c r="CT1408" s="6"/>
      <c r="CU1408" s="6"/>
      <c r="CV1408" s="6"/>
      <c r="CW1408" s="6"/>
      <c r="CX1408" s="6"/>
      <c r="CY1408" s="6"/>
      <c r="CZ1408" s="6"/>
      <c r="DA1408" s="6"/>
      <c r="DB1408" s="6"/>
      <c r="DC1408" s="6"/>
      <c r="DD1408" s="6"/>
      <c r="DE1408" s="6"/>
      <c r="DF1408" s="6"/>
      <c r="DG1408" s="6"/>
      <c r="DH1408" s="6"/>
      <c r="DI1408" s="6"/>
      <c r="DJ1408" s="6"/>
      <c r="DK1408" s="6"/>
      <c r="DL1408" s="6"/>
      <c r="DM1408" s="6"/>
      <c r="DN1408" s="6"/>
      <c r="DO1408" s="6"/>
      <c r="DP1408" s="6"/>
      <c r="DQ1408" s="6"/>
      <c r="DR1408" s="6"/>
      <c r="DS1408" s="6"/>
      <c r="DT1408" s="6"/>
      <c r="DU1408" s="6"/>
      <c r="DV1408" s="6"/>
      <c r="DW1408" s="6"/>
      <c r="DX1408" s="6"/>
      <c r="DY1408" s="6"/>
      <c r="DZ1408" s="6"/>
      <c r="EA1408" s="6"/>
      <c r="EB1408" s="6"/>
      <c r="EC1408" s="6"/>
      <c r="ED1408" s="6"/>
      <c r="EE1408" s="6"/>
      <c r="EF1408" s="6"/>
      <c r="EG1408" s="6"/>
      <c r="EH1408" s="6"/>
      <c r="EI1408" s="6"/>
      <c r="EJ1408" s="6"/>
      <c r="EK1408" s="6"/>
      <c r="EL1408" s="6"/>
      <c r="EM1408" s="6"/>
      <c r="EN1408" s="6"/>
      <c r="EO1408" s="6"/>
      <c r="EP1408" s="6"/>
      <c r="EQ1408" s="6"/>
      <c r="ER1408" s="6"/>
      <c r="ES1408" s="6"/>
      <c r="ET1408" s="6"/>
      <c r="EU1408" s="6"/>
      <c r="EV1408" s="6"/>
      <c r="EW1408" s="6"/>
      <c r="EX1408" s="6"/>
      <c r="EY1408" s="6"/>
      <c r="EZ1408" s="6"/>
      <c r="FA1408" s="6"/>
      <c r="FB1408" s="6"/>
      <c r="FC1408" s="6"/>
      <c r="FD1408" s="6"/>
      <c r="FE1408" s="6"/>
      <c r="FF1408" s="6"/>
      <c r="FG1408" s="6"/>
      <c r="FH1408" s="6"/>
      <c r="FI1408" s="6"/>
      <c r="FJ1408" s="6"/>
      <c r="FK1408" s="6"/>
      <c r="FL1408" s="6"/>
      <c r="FM1408" s="6"/>
      <c r="FN1408" s="6"/>
      <c r="FO1408" s="6"/>
      <c r="FP1408" s="6"/>
      <c r="FQ1408" s="6"/>
      <c r="FR1408" s="6"/>
      <c r="FS1408" s="6"/>
      <c r="FT1408" s="6"/>
      <c r="FU1408" s="6"/>
      <c r="FV1408" s="6"/>
      <c r="FW1408" s="6"/>
      <c r="FX1408" s="6"/>
      <c r="FY1408" s="6"/>
      <c r="FZ1408" s="6"/>
      <c r="GA1408" s="6"/>
      <c r="GB1408" s="6"/>
      <c r="GC1408" s="6"/>
      <c r="GD1408" s="6"/>
      <c r="GE1408" s="6"/>
      <c r="GF1408" s="6"/>
      <c r="GG1408" s="6"/>
      <c r="GH1408" s="6"/>
      <c r="GI1408" s="6"/>
      <c r="GJ1408" s="6"/>
      <c r="GK1408" s="6"/>
      <c r="GL1408" s="6"/>
      <c r="GM1408" s="6"/>
      <c r="GN1408" s="6"/>
      <c r="GO1408" s="6"/>
      <c r="GP1408" s="6"/>
      <c r="GQ1408" s="6"/>
      <c r="GR1408" s="6"/>
      <c r="GS1408" s="6"/>
      <c r="GT1408" s="6"/>
      <c r="GU1408" s="6"/>
      <c r="GV1408" s="6"/>
      <c r="GW1408" s="6"/>
      <c r="GX1408" s="6"/>
      <c r="GY1408" s="6"/>
      <c r="GZ1408" s="6"/>
      <c r="HA1408" s="6"/>
      <c r="HB1408" s="6"/>
      <c r="HC1408" s="6"/>
      <c r="HD1408" s="6"/>
      <c r="HE1408" s="6"/>
      <c r="HF1408" s="6"/>
      <c r="HG1408" s="6"/>
      <c r="HH1408" s="6"/>
    </row>
    <row r="1409" spans="1:216" x14ac:dyDescent="0.3">
      <c r="A1409" s="8"/>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6"/>
      <c r="AR1409" s="6"/>
      <c r="AS1409" s="6"/>
      <c r="AT1409" s="6"/>
      <c r="AU1409" s="6"/>
      <c r="AV1409" s="6"/>
      <c r="AW1409" s="6"/>
      <c r="AX1409" s="6"/>
      <c r="AY1409" s="6"/>
      <c r="AZ1409" s="6"/>
      <c r="BA1409" s="6"/>
      <c r="BB1409" s="6"/>
      <c r="BC1409" s="6"/>
      <c r="BD1409" s="6"/>
      <c r="BE1409" s="6"/>
      <c r="BF1409" s="6"/>
      <c r="BG1409" s="6"/>
      <c r="BH1409" s="6"/>
      <c r="BI1409" s="6"/>
      <c r="BJ1409" s="6"/>
      <c r="BK1409" s="6"/>
      <c r="BL1409" s="6"/>
      <c r="BM1409" s="6"/>
      <c r="BN1409" s="6"/>
      <c r="BO1409" s="6"/>
      <c r="BP1409" s="6"/>
      <c r="BQ1409" s="6"/>
      <c r="BR1409" s="6"/>
      <c r="BS1409" s="6"/>
      <c r="BT1409" s="6"/>
      <c r="BU1409" s="6"/>
      <c r="BV1409" s="6"/>
      <c r="BW1409" s="6"/>
      <c r="BX1409" s="6"/>
      <c r="BY1409" s="6"/>
      <c r="BZ1409" s="6"/>
      <c r="CA1409" s="6"/>
      <c r="CB1409" s="6"/>
      <c r="CC1409" s="6"/>
      <c r="CD1409" s="6"/>
      <c r="CE1409" s="6"/>
      <c r="CF1409" s="6"/>
      <c r="CG1409" s="6"/>
      <c r="CH1409" s="6"/>
      <c r="CI1409" s="6"/>
      <c r="CJ1409" s="6"/>
      <c r="CK1409" s="6"/>
      <c r="CL1409" s="6"/>
      <c r="CM1409" s="6"/>
      <c r="CN1409" s="6"/>
      <c r="CO1409" s="6"/>
      <c r="CP1409" s="6"/>
      <c r="CQ1409" s="6"/>
      <c r="CR1409" s="6"/>
      <c r="CS1409" s="6"/>
      <c r="CT1409" s="6"/>
      <c r="CU1409" s="6"/>
      <c r="CV1409" s="6"/>
      <c r="CW1409" s="6"/>
      <c r="CX1409" s="6"/>
      <c r="CY1409" s="6"/>
      <c r="CZ1409" s="6"/>
      <c r="DA1409" s="6"/>
      <c r="DB1409" s="6"/>
      <c r="DC1409" s="6"/>
      <c r="DD1409" s="6"/>
      <c r="DE1409" s="6"/>
      <c r="DF1409" s="6"/>
      <c r="DG1409" s="6"/>
      <c r="DH1409" s="6"/>
      <c r="DI1409" s="6"/>
      <c r="DJ1409" s="6"/>
      <c r="DK1409" s="6"/>
      <c r="DL1409" s="6"/>
      <c r="DM1409" s="6"/>
      <c r="DN1409" s="6"/>
      <c r="DO1409" s="6"/>
      <c r="DP1409" s="6"/>
      <c r="DQ1409" s="6"/>
      <c r="DR1409" s="6"/>
      <c r="DS1409" s="6"/>
      <c r="DT1409" s="6"/>
      <c r="DU1409" s="6"/>
      <c r="DV1409" s="6"/>
      <c r="DW1409" s="6"/>
      <c r="DX1409" s="6"/>
      <c r="DY1409" s="6"/>
      <c r="DZ1409" s="6"/>
      <c r="EA1409" s="6"/>
      <c r="EB1409" s="6"/>
      <c r="EC1409" s="6"/>
      <c r="ED1409" s="6"/>
      <c r="EE1409" s="6"/>
      <c r="EF1409" s="6"/>
      <c r="EG1409" s="6"/>
      <c r="EH1409" s="6"/>
      <c r="EI1409" s="6"/>
      <c r="EJ1409" s="6"/>
      <c r="EK1409" s="6"/>
      <c r="EL1409" s="6"/>
      <c r="EM1409" s="6"/>
      <c r="EN1409" s="6"/>
      <c r="EO1409" s="6"/>
      <c r="EP1409" s="6"/>
      <c r="EQ1409" s="6"/>
      <c r="ER1409" s="6"/>
      <c r="ES1409" s="6"/>
      <c r="ET1409" s="6"/>
      <c r="EU1409" s="6"/>
      <c r="EV1409" s="6"/>
      <c r="EW1409" s="6"/>
      <c r="EX1409" s="6"/>
      <c r="EY1409" s="6"/>
      <c r="EZ1409" s="6"/>
      <c r="FA1409" s="6"/>
      <c r="FB1409" s="6"/>
      <c r="FC1409" s="6"/>
      <c r="FD1409" s="6"/>
      <c r="FE1409" s="6"/>
      <c r="FF1409" s="6"/>
      <c r="FG1409" s="6"/>
      <c r="FH1409" s="6"/>
      <c r="FI1409" s="6"/>
      <c r="FJ1409" s="6"/>
      <c r="FK1409" s="6"/>
      <c r="FL1409" s="6"/>
      <c r="FM1409" s="6"/>
      <c r="FN1409" s="6"/>
      <c r="FO1409" s="6"/>
      <c r="FP1409" s="6"/>
      <c r="FQ1409" s="6"/>
      <c r="FR1409" s="6"/>
      <c r="FS1409" s="6"/>
      <c r="FT1409" s="6"/>
      <c r="FU1409" s="6"/>
      <c r="FV1409" s="6"/>
      <c r="FW1409" s="6"/>
      <c r="FX1409" s="6"/>
      <c r="FY1409" s="6"/>
      <c r="FZ1409" s="6"/>
      <c r="GA1409" s="6"/>
      <c r="GB1409" s="6"/>
      <c r="GC1409" s="6"/>
      <c r="GD1409" s="6"/>
      <c r="GE1409" s="6"/>
      <c r="GF1409" s="6"/>
      <c r="GG1409" s="6"/>
      <c r="GH1409" s="6"/>
      <c r="GI1409" s="6"/>
      <c r="GJ1409" s="6"/>
      <c r="GK1409" s="6"/>
      <c r="GL1409" s="6"/>
      <c r="GM1409" s="6"/>
      <c r="GN1409" s="6"/>
      <c r="GO1409" s="6"/>
      <c r="GP1409" s="6"/>
      <c r="GQ1409" s="6"/>
      <c r="GR1409" s="6"/>
      <c r="GS1409" s="6"/>
      <c r="GT1409" s="6"/>
      <c r="GU1409" s="6"/>
      <c r="GV1409" s="6"/>
      <c r="GW1409" s="6"/>
      <c r="GX1409" s="6"/>
      <c r="GY1409" s="6"/>
      <c r="GZ1409" s="6"/>
      <c r="HA1409" s="6"/>
      <c r="HB1409" s="6"/>
      <c r="HC1409" s="6"/>
      <c r="HD1409" s="6"/>
      <c r="HE1409" s="6"/>
      <c r="HF1409" s="6"/>
      <c r="HG1409" s="6"/>
      <c r="HH1409" s="6"/>
    </row>
    <row r="1410" spans="1:216" x14ac:dyDescent="0.3">
      <c r="A1410" s="8"/>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6"/>
      <c r="AR1410" s="6"/>
      <c r="AS1410" s="6"/>
      <c r="AT1410" s="6"/>
      <c r="AU1410" s="6"/>
      <c r="AV1410" s="6"/>
      <c r="AW1410" s="6"/>
      <c r="AX1410" s="6"/>
      <c r="AY1410" s="6"/>
      <c r="AZ1410" s="6"/>
      <c r="BA1410" s="6"/>
      <c r="BB1410" s="6"/>
      <c r="BC1410" s="6"/>
      <c r="BD1410" s="6"/>
      <c r="BE1410" s="6"/>
      <c r="BF1410" s="6"/>
      <c r="BG1410" s="6"/>
      <c r="BH1410" s="6"/>
      <c r="BI1410" s="6"/>
      <c r="BJ1410" s="6"/>
      <c r="BK1410" s="6"/>
      <c r="BL1410" s="6"/>
      <c r="BM1410" s="6"/>
      <c r="BN1410" s="6"/>
      <c r="BO1410" s="6"/>
      <c r="BP1410" s="6"/>
      <c r="BQ1410" s="6"/>
      <c r="BR1410" s="6"/>
      <c r="BS1410" s="6"/>
      <c r="BT1410" s="6"/>
      <c r="BU1410" s="6"/>
      <c r="BV1410" s="6"/>
      <c r="BW1410" s="6"/>
      <c r="BX1410" s="6"/>
      <c r="BY1410" s="6"/>
      <c r="BZ1410" s="6"/>
      <c r="CA1410" s="6"/>
      <c r="CB1410" s="6"/>
      <c r="CC1410" s="6"/>
      <c r="CD1410" s="6"/>
      <c r="CE1410" s="6"/>
      <c r="CF1410" s="6"/>
      <c r="CG1410" s="6"/>
      <c r="CH1410" s="6"/>
      <c r="CI1410" s="6"/>
      <c r="CJ1410" s="6"/>
      <c r="CK1410" s="6"/>
      <c r="CL1410" s="6"/>
      <c r="CM1410" s="6"/>
      <c r="CN1410" s="6"/>
      <c r="CO1410" s="6"/>
      <c r="CP1410" s="6"/>
      <c r="CQ1410" s="6"/>
      <c r="CR1410" s="6"/>
      <c r="CS1410" s="6"/>
      <c r="CT1410" s="6"/>
      <c r="CU1410" s="6"/>
      <c r="CV1410" s="6"/>
      <c r="CW1410" s="6"/>
      <c r="CX1410" s="6"/>
      <c r="CY1410" s="6"/>
      <c r="CZ1410" s="6"/>
      <c r="DA1410" s="6"/>
      <c r="DB1410" s="6"/>
      <c r="DC1410" s="6"/>
      <c r="DD1410" s="6"/>
      <c r="DE1410" s="6"/>
      <c r="DF1410" s="6"/>
      <c r="DG1410" s="6"/>
      <c r="DH1410" s="6"/>
      <c r="DI1410" s="6"/>
      <c r="DJ1410" s="6"/>
      <c r="DK1410" s="6"/>
      <c r="DL1410" s="6"/>
      <c r="DM1410" s="6"/>
      <c r="DN1410" s="6"/>
      <c r="DO1410" s="6"/>
      <c r="DP1410" s="6"/>
      <c r="DQ1410" s="6"/>
      <c r="DR1410" s="6"/>
      <c r="DS1410" s="6"/>
      <c r="DT1410" s="6"/>
      <c r="DU1410" s="6"/>
      <c r="DV1410" s="6"/>
      <c r="DW1410" s="6"/>
      <c r="DX1410" s="6"/>
      <c r="DY1410" s="6"/>
      <c r="DZ1410" s="6"/>
      <c r="EA1410" s="6"/>
      <c r="EB1410" s="6"/>
      <c r="EC1410" s="6"/>
      <c r="ED1410" s="6"/>
      <c r="EE1410" s="6"/>
      <c r="EF1410" s="6"/>
      <c r="EG1410" s="6"/>
      <c r="EH1410" s="6"/>
      <c r="EI1410" s="6"/>
      <c r="EJ1410" s="6"/>
      <c r="EK1410" s="6"/>
      <c r="EL1410" s="6"/>
      <c r="EM1410" s="6"/>
      <c r="EN1410" s="6"/>
      <c r="EO1410" s="6"/>
      <c r="EP1410" s="6"/>
      <c r="EQ1410" s="6"/>
      <c r="ER1410" s="6"/>
      <c r="ES1410" s="6"/>
      <c r="ET1410" s="6"/>
      <c r="EU1410" s="6"/>
      <c r="EV1410" s="6"/>
      <c r="EW1410" s="6"/>
      <c r="EX1410" s="6"/>
      <c r="EY1410" s="6"/>
      <c r="EZ1410" s="6"/>
      <c r="FA1410" s="6"/>
      <c r="FB1410" s="6"/>
      <c r="FC1410" s="6"/>
      <c r="FD1410" s="6"/>
      <c r="FE1410" s="6"/>
      <c r="FF1410" s="6"/>
      <c r="FG1410" s="6"/>
      <c r="FH1410" s="6"/>
      <c r="FI1410" s="6"/>
      <c r="FJ1410" s="6"/>
      <c r="FK1410" s="6"/>
      <c r="FL1410" s="6"/>
      <c r="FM1410" s="6"/>
      <c r="FN1410" s="6"/>
      <c r="FO1410" s="6"/>
      <c r="FP1410" s="6"/>
      <c r="FQ1410" s="6"/>
      <c r="FR1410" s="6"/>
      <c r="FS1410" s="6"/>
      <c r="FT1410" s="6"/>
      <c r="FU1410" s="6"/>
      <c r="FV1410" s="6"/>
      <c r="FW1410" s="6"/>
      <c r="FX1410" s="6"/>
      <c r="FY1410" s="6"/>
      <c r="FZ1410" s="6"/>
      <c r="GA1410" s="6"/>
      <c r="GB1410" s="6"/>
      <c r="GC1410" s="6"/>
      <c r="GD1410" s="6"/>
      <c r="GE1410" s="6"/>
      <c r="GF1410" s="6"/>
      <c r="GG1410" s="6"/>
      <c r="GH1410" s="6"/>
      <c r="GI1410" s="6"/>
      <c r="GJ1410" s="6"/>
      <c r="GK1410" s="6"/>
      <c r="GL1410" s="6"/>
      <c r="GM1410" s="6"/>
      <c r="GN1410" s="6"/>
      <c r="GO1410" s="6"/>
      <c r="GP1410" s="6"/>
      <c r="GQ1410" s="6"/>
      <c r="GR1410" s="6"/>
      <c r="GS1410" s="6"/>
      <c r="GT1410" s="6"/>
      <c r="GU1410" s="6"/>
      <c r="GV1410" s="6"/>
      <c r="GW1410" s="6"/>
      <c r="GX1410" s="6"/>
      <c r="GY1410" s="6"/>
      <c r="GZ1410" s="6"/>
      <c r="HA1410" s="6"/>
      <c r="HB1410" s="6"/>
      <c r="HC1410" s="6"/>
      <c r="HD1410" s="6"/>
      <c r="HE1410" s="6"/>
      <c r="HF1410" s="6"/>
      <c r="HG1410" s="6"/>
      <c r="HH1410" s="6"/>
    </row>
    <row r="1411" spans="1:216" x14ac:dyDescent="0.3">
      <c r="A1411" s="8"/>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6"/>
      <c r="AR1411" s="6"/>
      <c r="AS1411" s="6"/>
      <c r="AT1411" s="6"/>
      <c r="AU1411" s="6"/>
      <c r="AV1411" s="6"/>
      <c r="AW1411" s="6"/>
      <c r="AX1411" s="6"/>
      <c r="AY1411" s="6"/>
      <c r="AZ1411" s="6"/>
      <c r="BA1411" s="6"/>
      <c r="BB1411" s="6"/>
      <c r="BC1411" s="6"/>
      <c r="BD1411" s="6"/>
      <c r="BE1411" s="6"/>
      <c r="BF1411" s="6"/>
      <c r="BG1411" s="6"/>
      <c r="BH1411" s="6"/>
      <c r="BI1411" s="6"/>
      <c r="BJ1411" s="6"/>
      <c r="BK1411" s="6"/>
      <c r="BL1411" s="6"/>
      <c r="BM1411" s="6"/>
      <c r="BN1411" s="6"/>
      <c r="BO1411" s="6"/>
      <c r="BP1411" s="6"/>
      <c r="BQ1411" s="6"/>
      <c r="BR1411" s="6"/>
      <c r="BS1411" s="6"/>
      <c r="BT1411" s="6"/>
      <c r="BU1411" s="6"/>
      <c r="BV1411" s="6"/>
      <c r="BW1411" s="6"/>
      <c r="BX1411" s="6"/>
      <c r="BY1411" s="6"/>
      <c r="BZ1411" s="6"/>
      <c r="CA1411" s="6"/>
      <c r="CB1411" s="6"/>
      <c r="CC1411" s="6"/>
      <c r="CD1411" s="6"/>
      <c r="CE1411" s="6"/>
      <c r="CF1411" s="6"/>
      <c r="CG1411" s="6"/>
      <c r="CH1411" s="6"/>
      <c r="CI1411" s="6"/>
      <c r="CJ1411" s="6"/>
      <c r="CK1411" s="6"/>
      <c r="CL1411" s="6"/>
      <c r="CM1411" s="6"/>
      <c r="CN1411" s="6"/>
      <c r="CO1411" s="6"/>
      <c r="CP1411" s="6"/>
      <c r="CQ1411" s="6"/>
      <c r="CR1411" s="6"/>
      <c r="CS1411" s="6"/>
      <c r="CT1411" s="6"/>
      <c r="CU1411" s="6"/>
      <c r="CV1411" s="6"/>
      <c r="CW1411" s="6"/>
      <c r="CX1411" s="6"/>
      <c r="CY1411" s="6"/>
      <c r="CZ1411" s="6"/>
      <c r="DA1411" s="6"/>
      <c r="DB1411" s="6"/>
      <c r="DC1411" s="6"/>
      <c r="DD1411" s="6"/>
      <c r="DE1411" s="6"/>
      <c r="DF1411" s="6"/>
      <c r="DG1411" s="6"/>
      <c r="DH1411" s="6"/>
      <c r="DI1411" s="6"/>
      <c r="DJ1411" s="6"/>
      <c r="DK1411" s="6"/>
      <c r="DL1411" s="6"/>
      <c r="DM1411" s="6"/>
      <c r="DN1411" s="6"/>
      <c r="DO1411" s="6"/>
      <c r="DP1411" s="6"/>
      <c r="DQ1411" s="6"/>
      <c r="DR1411" s="6"/>
      <c r="DS1411" s="6"/>
      <c r="DT1411" s="6"/>
      <c r="DU1411" s="6"/>
      <c r="DV1411" s="6"/>
      <c r="DW1411" s="6"/>
      <c r="DX1411" s="6"/>
      <c r="DY1411" s="6"/>
      <c r="DZ1411" s="6"/>
      <c r="EA1411" s="6"/>
      <c r="EB1411" s="6"/>
      <c r="EC1411" s="6"/>
      <c r="ED1411" s="6"/>
      <c r="EE1411" s="6"/>
      <c r="EF1411" s="6"/>
      <c r="EG1411" s="6"/>
      <c r="EH1411" s="6"/>
      <c r="EI1411" s="6"/>
      <c r="EJ1411" s="6"/>
      <c r="EK1411" s="6"/>
      <c r="EL1411" s="6"/>
      <c r="EM1411" s="6"/>
      <c r="EN1411" s="6"/>
      <c r="EO1411" s="6"/>
      <c r="EP1411" s="6"/>
      <c r="EQ1411" s="6"/>
      <c r="ER1411" s="6"/>
      <c r="ES1411" s="6"/>
      <c r="ET1411" s="6"/>
      <c r="EU1411" s="6"/>
      <c r="EV1411" s="6"/>
      <c r="EW1411" s="6"/>
      <c r="EX1411" s="6"/>
      <c r="EY1411" s="6"/>
      <c r="EZ1411" s="6"/>
      <c r="FA1411" s="6"/>
      <c r="FB1411" s="6"/>
      <c r="FC1411" s="6"/>
      <c r="FD1411" s="6"/>
      <c r="FE1411" s="6"/>
      <c r="FF1411" s="6"/>
      <c r="FG1411" s="6"/>
      <c r="FH1411" s="6"/>
      <c r="FI1411" s="6"/>
      <c r="FJ1411" s="6"/>
      <c r="FK1411" s="6"/>
      <c r="FL1411" s="6"/>
      <c r="FM1411" s="6"/>
      <c r="FN1411" s="6"/>
      <c r="FO1411" s="6"/>
      <c r="FP1411" s="6"/>
      <c r="FQ1411" s="6"/>
      <c r="FR1411" s="6"/>
      <c r="FS1411" s="6"/>
      <c r="FT1411" s="6"/>
      <c r="FU1411" s="6"/>
      <c r="FV1411" s="6"/>
      <c r="FW1411" s="6"/>
      <c r="FX1411" s="6"/>
      <c r="FY1411" s="6"/>
      <c r="FZ1411" s="6"/>
      <c r="GA1411" s="6"/>
      <c r="GB1411" s="6"/>
      <c r="GC1411" s="6"/>
      <c r="GD1411" s="6"/>
      <c r="GE1411" s="6"/>
      <c r="GF1411" s="6"/>
      <c r="GG1411" s="6"/>
      <c r="GH1411" s="6"/>
      <c r="GI1411" s="6"/>
      <c r="GJ1411" s="6"/>
      <c r="GK1411" s="6"/>
      <c r="GL1411" s="6"/>
      <c r="GM1411" s="6"/>
      <c r="GN1411" s="6"/>
      <c r="GO1411" s="6"/>
      <c r="GP1411" s="6"/>
      <c r="GQ1411" s="6"/>
      <c r="GR1411" s="6"/>
      <c r="GS1411" s="6"/>
      <c r="GT1411" s="6"/>
      <c r="GU1411" s="6"/>
      <c r="GV1411" s="6"/>
      <c r="GW1411" s="6"/>
      <c r="GX1411" s="6"/>
      <c r="GY1411" s="6"/>
      <c r="GZ1411" s="6"/>
      <c r="HA1411" s="6"/>
      <c r="HB1411" s="6"/>
      <c r="HC1411" s="6"/>
      <c r="HD1411" s="6"/>
      <c r="HE1411" s="6"/>
      <c r="HF1411" s="6"/>
      <c r="HG1411" s="6"/>
      <c r="HH1411" s="6"/>
    </row>
    <row r="1412" spans="1:216" x14ac:dyDescent="0.3">
      <c r="A1412" s="8"/>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6"/>
      <c r="AR1412" s="6"/>
      <c r="AS1412" s="6"/>
      <c r="AT1412" s="6"/>
      <c r="AU1412" s="6"/>
      <c r="AV1412" s="6"/>
      <c r="AW1412" s="6"/>
      <c r="AX1412" s="6"/>
      <c r="AY1412" s="6"/>
      <c r="AZ1412" s="6"/>
      <c r="BA1412" s="6"/>
      <c r="BB1412" s="6"/>
      <c r="BC1412" s="6"/>
      <c r="BD1412" s="6"/>
      <c r="BE1412" s="6"/>
      <c r="BF1412" s="6"/>
      <c r="BG1412" s="6"/>
      <c r="BH1412" s="6"/>
      <c r="BI1412" s="6"/>
      <c r="BJ1412" s="6"/>
      <c r="BK1412" s="6"/>
      <c r="BL1412" s="6"/>
      <c r="BM1412" s="6"/>
      <c r="BN1412" s="6"/>
      <c r="BO1412" s="6"/>
      <c r="BP1412" s="6"/>
      <c r="BQ1412" s="6"/>
      <c r="BR1412" s="6"/>
      <c r="BS1412" s="6"/>
      <c r="BT1412" s="6"/>
      <c r="BU1412" s="6"/>
      <c r="BV1412" s="6"/>
      <c r="BW1412" s="6"/>
      <c r="BX1412" s="6"/>
      <c r="BY1412" s="6"/>
      <c r="BZ1412" s="6"/>
      <c r="CA1412" s="6"/>
      <c r="CB1412" s="6"/>
      <c r="CC1412" s="6"/>
      <c r="CD1412" s="6"/>
      <c r="CE1412" s="6"/>
      <c r="CF1412" s="6"/>
      <c r="CG1412" s="6"/>
      <c r="CH1412" s="6"/>
      <c r="CI1412" s="6"/>
      <c r="CJ1412" s="6"/>
      <c r="CK1412" s="6"/>
      <c r="CL1412" s="6"/>
      <c r="CM1412" s="6"/>
      <c r="CN1412" s="6"/>
      <c r="CO1412" s="6"/>
      <c r="CP1412" s="6"/>
      <c r="CQ1412" s="6"/>
      <c r="CR1412" s="6"/>
      <c r="CS1412" s="6"/>
      <c r="CT1412" s="6"/>
      <c r="CU1412" s="6"/>
      <c r="CV1412" s="6"/>
      <c r="CW1412" s="6"/>
      <c r="CX1412" s="6"/>
      <c r="CY1412" s="6"/>
      <c r="CZ1412" s="6"/>
      <c r="DA1412" s="6"/>
      <c r="DB1412" s="6"/>
      <c r="DC1412" s="6"/>
      <c r="DD1412" s="6"/>
      <c r="DE1412" s="6"/>
      <c r="DF1412" s="6"/>
      <c r="DG1412" s="6"/>
      <c r="DH1412" s="6"/>
      <c r="DI1412" s="6"/>
      <c r="DJ1412" s="6"/>
      <c r="DK1412" s="6"/>
      <c r="DL1412" s="6"/>
      <c r="DM1412" s="6"/>
      <c r="DN1412" s="6"/>
      <c r="DO1412" s="6"/>
      <c r="DP1412" s="6"/>
      <c r="DQ1412" s="6"/>
      <c r="DR1412" s="6"/>
      <c r="DS1412" s="6"/>
      <c r="DT1412" s="6"/>
      <c r="DU1412" s="6"/>
      <c r="DV1412" s="6"/>
      <c r="DW1412" s="6"/>
      <c r="DX1412" s="6"/>
      <c r="DY1412" s="6"/>
      <c r="DZ1412" s="6"/>
      <c r="EA1412" s="6"/>
      <c r="EB1412" s="6"/>
      <c r="EC1412" s="6"/>
      <c r="ED1412" s="6"/>
      <c r="EE1412" s="6"/>
      <c r="EF1412" s="6"/>
      <c r="EG1412" s="6"/>
      <c r="EH1412" s="6"/>
      <c r="EI1412" s="6"/>
      <c r="EJ1412" s="6"/>
      <c r="EK1412" s="6"/>
      <c r="EL1412" s="6"/>
      <c r="EM1412" s="6"/>
      <c r="EN1412" s="6"/>
      <c r="EO1412" s="6"/>
      <c r="EP1412" s="6"/>
      <c r="EQ1412" s="6"/>
      <c r="ER1412" s="6"/>
      <c r="ES1412" s="6"/>
      <c r="ET1412" s="6"/>
      <c r="EU1412" s="6"/>
      <c r="EV1412" s="6"/>
      <c r="EW1412" s="6"/>
      <c r="EX1412" s="6"/>
      <c r="EY1412" s="6"/>
      <c r="EZ1412" s="6"/>
      <c r="FA1412" s="6"/>
      <c r="FB1412" s="6"/>
      <c r="FC1412" s="6"/>
      <c r="FD1412" s="6"/>
      <c r="FE1412" s="6"/>
      <c r="FF1412" s="6"/>
      <c r="FG1412" s="6"/>
      <c r="FH1412" s="6"/>
      <c r="FI1412" s="6"/>
      <c r="FJ1412" s="6"/>
      <c r="FK1412" s="6"/>
      <c r="FL1412" s="6"/>
      <c r="FM1412" s="6"/>
      <c r="FN1412" s="6"/>
      <c r="FO1412" s="6"/>
      <c r="FP1412" s="6"/>
      <c r="FQ1412" s="6"/>
      <c r="FR1412" s="6"/>
      <c r="FS1412" s="6"/>
      <c r="FT1412" s="6"/>
      <c r="FU1412" s="6"/>
      <c r="FV1412" s="6"/>
      <c r="FW1412" s="6"/>
      <c r="FX1412" s="6"/>
      <c r="FY1412" s="6"/>
      <c r="FZ1412" s="6"/>
      <c r="GA1412" s="6"/>
      <c r="GB1412" s="6"/>
      <c r="GC1412" s="6"/>
      <c r="GD1412" s="6"/>
      <c r="GE1412" s="6"/>
      <c r="GF1412" s="6"/>
      <c r="GG1412" s="6"/>
      <c r="GH1412" s="6"/>
      <c r="GI1412" s="6"/>
      <c r="GJ1412" s="6"/>
      <c r="GK1412" s="6"/>
      <c r="GL1412" s="6"/>
      <c r="GM1412" s="6"/>
      <c r="GN1412" s="6"/>
      <c r="GO1412" s="6"/>
      <c r="GP1412" s="6"/>
      <c r="GQ1412" s="6"/>
      <c r="GR1412" s="6"/>
      <c r="GS1412" s="6"/>
      <c r="GT1412" s="6"/>
      <c r="GU1412" s="6"/>
      <c r="GV1412" s="6"/>
      <c r="GW1412" s="6"/>
      <c r="GX1412" s="6"/>
      <c r="GY1412" s="6"/>
      <c r="GZ1412" s="6"/>
      <c r="HA1412" s="6"/>
      <c r="HB1412" s="6"/>
      <c r="HC1412" s="6"/>
      <c r="HD1412" s="6"/>
      <c r="HE1412" s="6"/>
      <c r="HF1412" s="6"/>
      <c r="HG1412" s="6"/>
      <c r="HH1412" s="6"/>
    </row>
    <row r="1413" spans="1:216" x14ac:dyDescent="0.3">
      <c r="A1413" s="8"/>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6"/>
      <c r="AR1413" s="6"/>
      <c r="AS1413" s="6"/>
      <c r="AT1413" s="6"/>
      <c r="AU1413" s="6"/>
      <c r="AV1413" s="6"/>
      <c r="AW1413" s="6"/>
      <c r="AX1413" s="6"/>
      <c r="AY1413" s="6"/>
      <c r="AZ1413" s="6"/>
      <c r="BA1413" s="6"/>
      <c r="BB1413" s="6"/>
      <c r="BC1413" s="6"/>
      <c r="BD1413" s="6"/>
      <c r="BE1413" s="6"/>
      <c r="BF1413" s="6"/>
      <c r="BG1413" s="6"/>
      <c r="BH1413" s="6"/>
      <c r="BI1413" s="6"/>
      <c r="BJ1413" s="6"/>
      <c r="BK1413" s="6"/>
      <c r="BL1413" s="6"/>
      <c r="BM1413" s="6"/>
      <c r="BN1413" s="6"/>
      <c r="BO1413" s="6"/>
      <c r="BP1413" s="6"/>
      <c r="BQ1413" s="6"/>
      <c r="BR1413" s="6"/>
      <c r="BS1413" s="6"/>
      <c r="BT1413" s="6"/>
      <c r="BU1413" s="6"/>
      <c r="BV1413" s="6"/>
      <c r="BW1413" s="6"/>
      <c r="BX1413" s="6"/>
      <c r="BY1413" s="6"/>
      <c r="BZ1413" s="6"/>
      <c r="CA1413" s="6"/>
      <c r="CB1413" s="6"/>
      <c r="CC1413" s="6"/>
      <c r="CD1413" s="6"/>
      <c r="CE1413" s="6"/>
      <c r="CF1413" s="6"/>
      <c r="CG1413" s="6"/>
      <c r="CH1413" s="6"/>
      <c r="CI1413" s="6"/>
      <c r="CJ1413" s="6"/>
      <c r="CK1413" s="6"/>
      <c r="CL1413" s="6"/>
      <c r="CM1413" s="6"/>
      <c r="CN1413" s="6"/>
      <c r="CO1413" s="6"/>
      <c r="CP1413" s="6"/>
      <c r="CQ1413" s="6"/>
      <c r="CR1413" s="6"/>
      <c r="CS1413" s="6"/>
      <c r="CT1413" s="6"/>
      <c r="CU1413" s="6"/>
      <c r="CV1413" s="6"/>
      <c r="CW1413" s="6"/>
      <c r="CX1413" s="6"/>
      <c r="CY1413" s="6"/>
      <c r="CZ1413" s="6"/>
      <c r="DA1413" s="6"/>
      <c r="DB1413" s="6"/>
      <c r="DC1413" s="6"/>
      <c r="DD1413" s="6"/>
      <c r="DE1413" s="6"/>
      <c r="DF1413" s="6"/>
      <c r="DG1413" s="6"/>
      <c r="DH1413" s="6"/>
      <c r="DI1413" s="6"/>
      <c r="DJ1413" s="6"/>
      <c r="DK1413" s="6"/>
      <c r="DL1413" s="6"/>
      <c r="DM1413" s="6"/>
      <c r="DN1413" s="6"/>
      <c r="DO1413" s="6"/>
      <c r="DP1413" s="6"/>
      <c r="DQ1413" s="6"/>
      <c r="DR1413" s="6"/>
      <c r="DS1413" s="6"/>
      <c r="DT1413" s="6"/>
      <c r="DU1413" s="6"/>
      <c r="DV1413" s="6"/>
      <c r="DW1413" s="6"/>
      <c r="DX1413" s="6"/>
      <c r="DY1413" s="6"/>
      <c r="DZ1413" s="6"/>
      <c r="EA1413" s="6"/>
      <c r="EB1413" s="6"/>
      <c r="EC1413" s="6"/>
      <c r="ED1413" s="6"/>
      <c r="EE1413" s="6"/>
      <c r="EF1413" s="6"/>
      <c r="EG1413" s="6"/>
      <c r="EH1413" s="6"/>
      <c r="EI1413" s="6"/>
      <c r="EJ1413" s="6"/>
      <c r="EK1413" s="6"/>
      <c r="EL1413" s="6"/>
      <c r="EM1413" s="6"/>
      <c r="EN1413" s="6"/>
      <c r="EO1413" s="6"/>
      <c r="EP1413" s="6"/>
      <c r="EQ1413" s="6"/>
      <c r="ER1413" s="6"/>
      <c r="ES1413" s="6"/>
      <c r="ET1413" s="6"/>
      <c r="EU1413" s="6"/>
      <c r="EV1413" s="6"/>
      <c r="EW1413" s="6"/>
      <c r="EX1413" s="6"/>
      <c r="EY1413" s="6"/>
      <c r="EZ1413" s="6"/>
      <c r="FA1413" s="6"/>
      <c r="FB1413" s="6"/>
      <c r="FC1413" s="6"/>
      <c r="FD1413" s="6"/>
      <c r="FE1413" s="6"/>
      <c r="FF1413" s="6"/>
      <c r="FG1413" s="6"/>
      <c r="FH1413" s="6"/>
      <c r="FI1413" s="6"/>
      <c r="FJ1413" s="6"/>
      <c r="FK1413" s="6"/>
      <c r="FL1413" s="6"/>
      <c r="FM1413" s="6"/>
      <c r="FN1413" s="6"/>
      <c r="FO1413" s="6"/>
      <c r="FP1413" s="6"/>
      <c r="FQ1413" s="6"/>
      <c r="FR1413" s="6"/>
      <c r="FS1413" s="6"/>
      <c r="FT1413" s="6"/>
      <c r="FU1413" s="6"/>
      <c r="FV1413" s="6"/>
      <c r="FW1413" s="6"/>
      <c r="FX1413" s="6"/>
      <c r="FY1413" s="6"/>
      <c r="FZ1413" s="6"/>
      <c r="GA1413" s="6"/>
      <c r="GB1413" s="6"/>
      <c r="GC1413" s="6"/>
      <c r="GD1413" s="6"/>
      <c r="GE1413" s="6"/>
      <c r="GF1413" s="6"/>
      <c r="GG1413" s="6"/>
      <c r="GH1413" s="6"/>
      <c r="GI1413" s="6"/>
      <c r="GJ1413" s="6"/>
      <c r="GK1413" s="6"/>
      <c r="GL1413" s="6"/>
      <c r="GM1413" s="6"/>
      <c r="GN1413" s="6"/>
      <c r="GO1413" s="6"/>
      <c r="GP1413" s="6"/>
      <c r="GQ1413" s="6"/>
      <c r="GR1413" s="6"/>
      <c r="GS1413" s="6"/>
      <c r="GT1413" s="6"/>
      <c r="GU1413" s="6"/>
      <c r="GV1413" s="6"/>
      <c r="GW1413" s="6"/>
      <c r="GX1413" s="6"/>
      <c r="GY1413" s="6"/>
      <c r="GZ1413" s="6"/>
      <c r="HA1413" s="6"/>
      <c r="HB1413" s="6"/>
      <c r="HC1413" s="6"/>
      <c r="HD1413" s="6"/>
      <c r="HE1413" s="6"/>
      <c r="HF1413" s="6"/>
      <c r="HG1413" s="6"/>
      <c r="HH1413" s="6"/>
    </row>
    <row r="1414" spans="1:216" x14ac:dyDescent="0.3">
      <c r="A1414" s="8"/>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6"/>
      <c r="AR1414" s="6"/>
      <c r="AS1414" s="6"/>
      <c r="AT1414" s="6"/>
      <c r="AU1414" s="6"/>
      <c r="AV1414" s="6"/>
      <c r="AW1414" s="6"/>
      <c r="AX1414" s="6"/>
      <c r="AY1414" s="6"/>
      <c r="AZ1414" s="6"/>
      <c r="BA1414" s="6"/>
      <c r="BB1414" s="6"/>
      <c r="BC1414" s="6"/>
      <c r="BD1414" s="6"/>
      <c r="BE1414" s="6"/>
      <c r="BF1414" s="6"/>
      <c r="BG1414" s="6"/>
      <c r="BH1414" s="6"/>
      <c r="BI1414" s="6"/>
      <c r="BJ1414" s="6"/>
      <c r="BK1414" s="6"/>
      <c r="BL1414" s="6"/>
      <c r="BM1414" s="6"/>
      <c r="BN1414" s="6"/>
      <c r="BO1414" s="6"/>
      <c r="BP1414" s="6"/>
      <c r="BQ1414" s="6"/>
      <c r="BR1414" s="6"/>
      <c r="BS1414" s="6"/>
      <c r="BT1414" s="6"/>
      <c r="BU1414" s="6"/>
      <c r="BV1414" s="6"/>
      <c r="BW1414" s="6"/>
      <c r="BX1414" s="6"/>
      <c r="BY1414" s="6"/>
      <c r="BZ1414" s="6"/>
      <c r="CA1414" s="6"/>
      <c r="CB1414" s="6"/>
      <c r="CC1414" s="6"/>
      <c r="CD1414" s="6"/>
      <c r="CE1414" s="6"/>
      <c r="CF1414" s="6"/>
      <c r="CG1414" s="6"/>
      <c r="CH1414" s="6"/>
      <c r="CI1414" s="6"/>
      <c r="CJ1414" s="6"/>
      <c r="CK1414" s="6"/>
      <c r="CL1414" s="6"/>
      <c r="CM1414" s="6"/>
      <c r="CN1414" s="6"/>
      <c r="CO1414" s="6"/>
      <c r="CP1414" s="6"/>
      <c r="CQ1414" s="6"/>
      <c r="CR1414" s="6"/>
      <c r="CS1414" s="6"/>
      <c r="CT1414" s="6"/>
      <c r="CU1414" s="6"/>
      <c r="CV1414" s="6"/>
      <c r="CW1414" s="6"/>
      <c r="CX1414" s="6"/>
      <c r="CY1414" s="6"/>
      <c r="CZ1414" s="6"/>
      <c r="DA1414" s="6"/>
      <c r="DB1414" s="6"/>
      <c r="DC1414" s="6"/>
      <c r="DD1414" s="6"/>
      <c r="DE1414" s="6"/>
      <c r="DF1414" s="6"/>
      <c r="DG1414" s="6"/>
      <c r="DH1414" s="6"/>
      <c r="DI1414" s="6"/>
      <c r="DJ1414" s="6"/>
      <c r="DK1414" s="6"/>
      <c r="DL1414" s="6"/>
      <c r="DM1414" s="6"/>
      <c r="DN1414" s="6"/>
      <c r="DO1414" s="6"/>
      <c r="DP1414" s="6"/>
      <c r="DQ1414" s="6"/>
      <c r="DR1414" s="6"/>
      <c r="DS1414" s="6"/>
      <c r="DT1414" s="6"/>
      <c r="DU1414" s="6"/>
      <c r="DV1414" s="6"/>
      <c r="DW1414" s="6"/>
      <c r="DX1414" s="6"/>
      <c r="DY1414" s="6"/>
      <c r="DZ1414" s="6"/>
      <c r="EA1414" s="6"/>
      <c r="EB1414" s="6"/>
      <c r="EC1414" s="6"/>
      <c r="ED1414" s="6"/>
      <c r="EE1414" s="6"/>
      <c r="EF1414" s="6"/>
      <c r="EG1414" s="6"/>
      <c r="EH1414" s="6"/>
      <c r="EI1414" s="6"/>
      <c r="EJ1414" s="6"/>
      <c r="EK1414" s="6"/>
      <c r="EL1414" s="6"/>
      <c r="EM1414" s="6"/>
      <c r="EN1414" s="6"/>
      <c r="EO1414" s="6"/>
      <c r="EP1414" s="6"/>
      <c r="EQ1414" s="6"/>
      <c r="ER1414" s="6"/>
      <c r="ES1414" s="6"/>
      <c r="ET1414" s="6"/>
      <c r="EU1414" s="6"/>
      <c r="EV1414" s="6"/>
      <c r="EW1414" s="6"/>
      <c r="EX1414" s="6"/>
      <c r="EY1414" s="6"/>
      <c r="EZ1414" s="6"/>
      <c r="FA1414" s="6"/>
      <c r="FB1414" s="6"/>
      <c r="FC1414" s="6"/>
      <c r="FD1414" s="6"/>
      <c r="FE1414" s="6"/>
      <c r="FF1414" s="6"/>
      <c r="FG1414" s="6"/>
      <c r="FH1414" s="6"/>
      <c r="FI1414" s="6"/>
      <c r="FJ1414" s="6"/>
      <c r="FK1414" s="6"/>
      <c r="FL1414" s="6"/>
      <c r="FM1414" s="6"/>
      <c r="FN1414" s="6"/>
      <c r="FO1414" s="6"/>
      <c r="FP1414" s="6"/>
      <c r="FQ1414" s="6"/>
      <c r="FR1414" s="6"/>
      <c r="FS1414" s="6"/>
      <c r="FT1414" s="6"/>
      <c r="FU1414" s="6"/>
      <c r="FV1414" s="6"/>
      <c r="FW1414" s="6"/>
      <c r="FX1414" s="6"/>
      <c r="FY1414" s="6"/>
      <c r="FZ1414" s="6"/>
      <c r="GA1414" s="6"/>
      <c r="GB1414" s="6"/>
      <c r="GC1414" s="6"/>
      <c r="GD1414" s="6"/>
      <c r="GE1414" s="6"/>
      <c r="GF1414" s="6"/>
      <c r="GG1414" s="6"/>
      <c r="GH1414" s="6"/>
      <c r="GI1414" s="6"/>
      <c r="GJ1414" s="6"/>
      <c r="GK1414" s="6"/>
      <c r="GL1414" s="6"/>
      <c r="GM1414" s="6"/>
      <c r="GN1414" s="6"/>
      <c r="GO1414" s="6"/>
      <c r="GP1414" s="6"/>
      <c r="GQ1414" s="6"/>
      <c r="GR1414" s="6"/>
      <c r="GS1414" s="6"/>
      <c r="GT1414" s="6"/>
      <c r="GU1414" s="6"/>
      <c r="GV1414" s="6"/>
      <c r="GW1414" s="6"/>
      <c r="GX1414" s="6"/>
      <c r="GY1414" s="6"/>
      <c r="GZ1414" s="6"/>
      <c r="HA1414" s="6"/>
      <c r="HB1414" s="6"/>
      <c r="HC1414" s="6"/>
      <c r="HD1414" s="6"/>
      <c r="HE1414" s="6"/>
      <c r="HF1414" s="6"/>
      <c r="HG1414" s="6"/>
      <c r="HH1414" s="6"/>
    </row>
    <row r="1415" spans="1:216" x14ac:dyDescent="0.3">
      <c r="A1415" s="8"/>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6"/>
      <c r="AR1415" s="6"/>
      <c r="AS1415" s="6"/>
      <c r="AT1415" s="6"/>
      <c r="AU1415" s="6"/>
      <c r="AV1415" s="6"/>
      <c r="AW1415" s="6"/>
      <c r="AX1415" s="6"/>
      <c r="AY1415" s="6"/>
      <c r="AZ1415" s="6"/>
      <c r="BA1415" s="6"/>
      <c r="BB1415" s="6"/>
      <c r="BC1415" s="6"/>
      <c r="BD1415" s="6"/>
      <c r="BE1415" s="6"/>
      <c r="BF1415" s="6"/>
      <c r="BG1415" s="6"/>
      <c r="BH1415" s="6"/>
      <c r="BI1415" s="6"/>
      <c r="BJ1415" s="6"/>
      <c r="BK1415" s="6"/>
      <c r="BL1415" s="6"/>
      <c r="BM1415" s="6"/>
      <c r="BN1415" s="6"/>
      <c r="BO1415" s="6"/>
      <c r="BP1415" s="6"/>
      <c r="BQ1415" s="6"/>
      <c r="BR1415" s="6"/>
      <c r="BS1415" s="6"/>
      <c r="BT1415" s="6"/>
      <c r="BU1415" s="6"/>
      <c r="BV1415" s="6"/>
      <c r="BW1415" s="6"/>
      <c r="BX1415" s="6"/>
      <c r="BY1415" s="6"/>
      <c r="BZ1415" s="6"/>
      <c r="CA1415" s="6"/>
      <c r="CB1415" s="6"/>
      <c r="CC1415" s="6"/>
      <c r="CD1415" s="6"/>
      <c r="CE1415" s="6"/>
      <c r="CF1415" s="6"/>
      <c r="CG1415" s="6"/>
      <c r="CH1415" s="6"/>
      <c r="CI1415" s="6"/>
      <c r="CJ1415" s="6"/>
      <c r="CK1415" s="6"/>
      <c r="CL1415" s="6"/>
      <c r="CM1415" s="6"/>
      <c r="CN1415" s="6"/>
      <c r="CO1415" s="6"/>
      <c r="CP1415" s="6"/>
      <c r="CQ1415" s="6"/>
      <c r="CR1415" s="6"/>
      <c r="CS1415" s="6"/>
      <c r="CT1415" s="6"/>
      <c r="CU1415" s="6"/>
      <c r="CV1415" s="6"/>
      <c r="CW1415" s="6"/>
      <c r="CX1415" s="6"/>
      <c r="CY1415" s="6"/>
      <c r="CZ1415" s="6"/>
      <c r="DA1415" s="6"/>
      <c r="DB1415" s="6"/>
      <c r="DC1415" s="6"/>
      <c r="DD1415" s="6"/>
      <c r="DE1415" s="6"/>
      <c r="DF1415" s="6"/>
      <c r="DG1415" s="6"/>
      <c r="DH1415" s="6"/>
      <c r="DI1415" s="6"/>
      <c r="DJ1415" s="6"/>
      <c r="DK1415" s="6"/>
      <c r="DL1415" s="6"/>
      <c r="DM1415" s="6"/>
      <c r="DN1415" s="6"/>
      <c r="DO1415" s="6"/>
      <c r="DP1415" s="6"/>
      <c r="DQ1415" s="6"/>
      <c r="DR1415" s="6"/>
      <c r="DS1415" s="6"/>
      <c r="DT1415" s="6"/>
      <c r="DU1415" s="6"/>
      <c r="DV1415" s="6"/>
      <c r="DW1415" s="6"/>
      <c r="DX1415" s="6"/>
      <c r="DY1415" s="6"/>
      <c r="DZ1415" s="6"/>
      <c r="EA1415" s="6"/>
      <c r="EB1415" s="6"/>
      <c r="EC1415" s="6"/>
      <c r="ED1415" s="6"/>
      <c r="EE1415" s="6"/>
      <c r="EF1415" s="6"/>
      <c r="EG1415" s="6"/>
      <c r="EH1415" s="6"/>
      <c r="EI1415" s="6"/>
      <c r="EJ1415" s="6"/>
      <c r="EK1415" s="6"/>
      <c r="EL1415" s="6"/>
      <c r="EM1415" s="6"/>
      <c r="EN1415" s="6"/>
      <c r="EO1415" s="6"/>
      <c r="EP1415" s="6"/>
      <c r="EQ1415" s="6"/>
      <c r="ER1415" s="6"/>
      <c r="ES1415" s="6"/>
      <c r="ET1415" s="6"/>
      <c r="EU1415" s="6"/>
      <c r="EV1415" s="6"/>
      <c r="EW1415" s="6"/>
      <c r="EX1415" s="6"/>
      <c r="EY1415" s="6"/>
      <c r="EZ1415" s="6"/>
      <c r="FA1415" s="6"/>
      <c r="FB1415" s="6"/>
      <c r="FC1415" s="6"/>
      <c r="FD1415" s="6"/>
      <c r="FE1415" s="6"/>
      <c r="FF1415" s="6"/>
      <c r="FG1415" s="6"/>
      <c r="FH1415" s="6"/>
      <c r="FI1415" s="6"/>
      <c r="FJ1415" s="6"/>
      <c r="FK1415" s="6"/>
      <c r="FL1415" s="6"/>
      <c r="FM1415" s="6"/>
      <c r="FN1415" s="6"/>
      <c r="FO1415" s="6"/>
      <c r="FP1415" s="6"/>
      <c r="FQ1415" s="6"/>
      <c r="FR1415" s="6"/>
      <c r="FS1415" s="6"/>
      <c r="FT1415" s="6"/>
      <c r="FU1415" s="6"/>
      <c r="FV1415" s="6"/>
      <c r="FW1415" s="6"/>
      <c r="FX1415" s="6"/>
      <c r="FY1415" s="6"/>
      <c r="FZ1415" s="6"/>
      <c r="GA1415" s="6"/>
      <c r="GB1415" s="6"/>
      <c r="GC1415" s="6"/>
      <c r="GD1415" s="6"/>
      <c r="GE1415" s="6"/>
      <c r="GF1415" s="6"/>
      <c r="GG1415" s="6"/>
      <c r="GH1415" s="6"/>
      <c r="GI1415" s="6"/>
      <c r="GJ1415" s="6"/>
      <c r="GK1415" s="6"/>
      <c r="GL1415" s="6"/>
      <c r="GM1415" s="6"/>
      <c r="GN1415" s="6"/>
      <c r="GO1415" s="6"/>
      <c r="GP1415" s="6"/>
      <c r="GQ1415" s="6"/>
      <c r="GR1415" s="6"/>
      <c r="GS1415" s="6"/>
      <c r="GT1415" s="6"/>
      <c r="GU1415" s="6"/>
      <c r="GV1415" s="6"/>
      <c r="GW1415" s="6"/>
      <c r="GX1415" s="6"/>
      <c r="GY1415" s="6"/>
      <c r="GZ1415" s="6"/>
      <c r="HA1415" s="6"/>
      <c r="HB1415" s="6"/>
      <c r="HC1415" s="6"/>
      <c r="HD1415" s="6"/>
      <c r="HE1415" s="6"/>
      <c r="HF1415" s="6"/>
      <c r="HG1415" s="6"/>
      <c r="HH1415" s="6"/>
    </row>
    <row r="1416" spans="1:216" x14ac:dyDescent="0.3">
      <c r="A1416" s="8"/>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6"/>
      <c r="AR1416" s="6"/>
      <c r="AS1416" s="6"/>
      <c r="AT1416" s="6"/>
      <c r="AU1416" s="6"/>
      <c r="AV1416" s="6"/>
      <c r="AW1416" s="6"/>
      <c r="AX1416" s="6"/>
      <c r="AY1416" s="6"/>
      <c r="AZ1416" s="6"/>
      <c r="BA1416" s="6"/>
      <c r="BB1416" s="6"/>
      <c r="BC1416" s="6"/>
      <c r="BD1416" s="6"/>
      <c r="BE1416" s="6"/>
      <c r="BF1416" s="6"/>
      <c r="BG1416" s="6"/>
      <c r="BH1416" s="6"/>
      <c r="BI1416" s="6"/>
      <c r="BJ1416" s="6"/>
      <c r="BK1416" s="6"/>
      <c r="BL1416" s="6"/>
      <c r="BM1416" s="6"/>
      <c r="BN1416" s="6"/>
      <c r="BO1416" s="6"/>
      <c r="BP1416" s="6"/>
      <c r="BQ1416" s="6"/>
      <c r="BR1416" s="6"/>
      <c r="BS1416" s="6"/>
      <c r="BT1416" s="6"/>
      <c r="BU1416" s="6"/>
      <c r="BV1416" s="6"/>
      <c r="BW1416" s="6"/>
      <c r="BX1416" s="6"/>
      <c r="BY1416" s="6"/>
      <c r="BZ1416" s="6"/>
      <c r="CA1416" s="6"/>
      <c r="CB1416" s="6"/>
      <c r="CC1416" s="6"/>
      <c r="CD1416" s="6"/>
      <c r="CE1416" s="6"/>
      <c r="CF1416" s="6"/>
      <c r="CG1416" s="6"/>
      <c r="CH1416" s="6"/>
      <c r="CI1416" s="6"/>
      <c r="CJ1416" s="6"/>
      <c r="CK1416" s="6"/>
      <c r="CL1416" s="6"/>
      <c r="CM1416" s="6"/>
      <c r="CN1416" s="6"/>
      <c r="CO1416" s="6"/>
      <c r="CP1416" s="6"/>
      <c r="CQ1416" s="6"/>
      <c r="CR1416" s="6"/>
      <c r="CS1416" s="6"/>
      <c r="CT1416" s="6"/>
      <c r="CU1416" s="6"/>
      <c r="CV1416" s="6"/>
      <c r="CW1416" s="6"/>
      <c r="CX1416" s="6"/>
      <c r="CY1416" s="6"/>
      <c r="CZ1416" s="6"/>
      <c r="DA1416" s="6"/>
      <c r="DB1416" s="6"/>
      <c r="DC1416" s="6"/>
      <c r="DD1416" s="6"/>
      <c r="DE1416" s="6"/>
      <c r="DF1416" s="6"/>
      <c r="DG1416" s="6"/>
      <c r="DH1416" s="6"/>
      <c r="DI1416" s="6"/>
      <c r="DJ1416" s="6"/>
      <c r="DK1416" s="6"/>
      <c r="DL1416" s="6"/>
      <c r="DM1416" s="6"/>
      <c r="DN1416" s="6"/>
      <c r="DO1416" s="6"/>
      <c r="DP1416" s="6"/>
      <c r="DQ1416" s="6"/>
      <c r="DR1416" s="6"/>
      <c r="DS1416" s="6"/>
      <c r="DT1416" s="6"/>
      <c r="DU1416" s="6"/>
      <c r="DV1416" s="6"/>
      <c r="DW1416" s="6"/>
      <c r="DX1416" s="6"/>
      <c r="DY1416" s="6"/>
      <c r="DZ1416" s="6"/>
      <c r="EA1416" s="6"/>
      <c r="EB1416" s="6"/>
      <c r="EC1416" s="6"/>
      <c r="ED1416" s="6"/>
      <c r="EE1416" s="6"/>
      <c r="EF1416" s="6"/>
      <c r="EG1416" s="6"/>
      <c r="EH1416" s="6"/>
      <c r="EI1416" s="6"/>
      <c r="EJ1416" s="6"/>
      <c r="EK1416" s="6"/>
      <c r="EL1416" s="6"/>
      <c r="EM1416" s="6"/>
      <c r="EN1416" s="6"/>
      <c r="EO1416" s="6"/>
      <c r="EP1416" s="6"/>
      <c r="EQ1416" s="6"/>
      <c r="ER1416" s="6"/>
      <c r="ES1416" s="6"/>
      <c r="ET1416" s="6"/>
      <c r="EU1416" s="6"/>
      <c r="EV1416" s="6"/>
      <c r="EW1416" s="6"/>
      <c r="EX1416" s="6"/>
      <c r="EY1416" s="6"/>
      <c r="EZ1416" s="6"/>
      <c r="FA1416" s="6"/>
      <c r="FB1416" s="6"/>
      <c r="FC1416" s="6"/>
      <c r="FD1416" s="6"/>
      <c r="FE1416" s="6"/>
      <c r="FF1416" s="6"/>
      <c r="FG1416" s="6"/>
      <c r="FH1416" s="6"/>
      <c r="FI1416" s="6"/>
      <c r="FJ1416" s="6"/>
      <c r="FK1416" s="6"/>
      <c r="FL1416" s="6"/>
      <c r="FM1416" s="6"/>
      <c r="FN1416" s="6"/>
      <c r="FO1416" s="6"/>
      <c r="FP1416" s="6"/>
      <c r="FQ1416" s="6"/>
      <c r="FR1416" s="6"/>
      <c r="FS1416" s="6"/>
      <c r="FT1416" s="6"/>
      <c r="FU1416" s="6"/>
      <c r="FV1416" s="6"/>
      <c r="FW1416" s="6"/>
      <c r="FX1416" s="6"/>
      <c r="FY1416" s="6"/>
      <c r="FZ1416" s="6"/>
      <c r="GA1416" s="6"/>
      <c r="GB1416" s="6"/>
      <c r="GC1416" s="6"/>
      <c r="GD1416" s="6"/>
      <c r="GE1416" s="6"/>
      <c r="GF1416" s="6"/>
      <c r="GG1416" s="6"/>
      <c r="GH1416" s="6"/>
      <c r="GI1416" s="6"/>
      <c r="GJ1416" s="6"/>
      <c r="GK1416" s="6"/>
      <c r="GL1416" s="6"/>
      <c r="GM1416" s="6"/>
      <c r="GN1416" s="6"/>
      <c r="GO1416" s="6"/>
      <c r="GP1416" s="6"/>
      <c r="GQ1416" s="6"/>
      <c r="GR1416" s="6"/>
      <c r="GS1416" s="6"/>
      <c r="GT1416" s="6"/>
      <c r="GU1416" s="6"/>
      <c r="GV1416" s="6"/>
      <c r="GW1416" s="6"/>
      <c r="GX1416" s="6"/>
      <c r="GY1416" s="6"/>
      <c r="GZ1416" s="6"/>
      <c r="HA1416" s="6"/>
      <c r="HB1416" s="6"/>
      <c r="HC1416" s="6"/>
      <c r="HD1416" s="6"/>
      <c r="HE1416" s="6"/>
      <c r="HF1416" s="6"/>
      <c r="HG1416" s="6"/>
      <c r="HH1416" s="6"/>
    </row>
    <row r="1417" spans="1:216" x14ac:dyDescent="0.3">
      <c r="A1417" s="8"/>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6"/>
      <c r="AR1417" s="6"/>
      <c r="AS1417" s="6"/>
      <c r="AT1417" s="6"/>
      <c r="AU1417" s="6"/>
      <c r="AV1417" s="6"/>
      <c r="AW1417" s="6"/>
      <c r="AX1417" s="6"/>
      <c r="AY1417" s="6"/>
      <c r="AZ1417" s="6"/>
      <c r="BA1417" s="6"/>
      <c r="BB1417" s="6"/>
      <c r="BC1417" s="6"/>
      <c r="BD1417" s="6"/>
      <c r="BE1417" s="6"/>
      <c r="BF1417" s="6"/>
      <c r="BG1417" s="6"/>
      <c r="BH1417" s="6"/>
      <c r="BI1417" s="6"/>
      <c r="BJ1417" s="6"/>
      <c r="BK1417" s="6"/>
      <c r="BL1417" s="6"/>
      <c r="BM1417" s="6"/>
      <c r="BN1417" s="6"/>
      <c r="BO1417" s="6"/>
      <c r="BP1417" s="6"/>
      <c r="BQ1417" s="6"/>
      <c r="BR1417" s="6"/>
      <c r="BS1417" s="6"/>
      <c r="BT1417" s="6"/>
      <c r="BU1417" s="6"/>
      <c r="BV1417" s="6"/>
      <c r="BW1417" s="6"/>
      <c r="BX1417" s="6"/>
      <c r="BY1417" s="6"/>
      <c r="BZ1417" s="6"/>
      <c r="CA1417" s="6"/>
      <c r="CB1417" s="6"/>
      <c r="CC1417" s="6"/>
      <c r="CD1417" s="6"/>
      <c r="CE1417" s="6"/>
      <c r="CF1417" s="6"/>
      <c r="CG1417" s="6"/>
      <c r="CH1417" s="6"/>
      <c r="CI1417" s="6"/>
      <c r="CJ1417" s="6"/>
      <c r="CK1417" s="6"/>
      <c r="CL1417" s="6"/>
      <c r="CM1417" s="6"/>
      <c r="CN1417" s="6"/>
      <c r="CO1417" s="6"/>
      <c r="CP1417" s="6"/>
      <c r="CQ1417" s="6"/>
      <c r="CR1417" s="6"/>
      <c r="CS1417" s="6"/>
      <c r="CT1417" s="6"/>
      <c r="CU1417" s="6"/>
      <c r="CV1417" s="6"/>
      <c r="CW1417" s="6"/>
      <c r="CX1417" s="6"/>
      <c r="CY1417" s="6"/>
      <c r="CZ1417" s="6"/>
      <c r="DA1417" s="6"/>
      <c r="DB1417" s="6"/>
      <c r="DC1417" s="6"/>
      <c r="DD1417" s="6"/>
      <c r="DE1417" s="6"/>
      <c r="DF1417" s="6"/>
      <c r="DG1417" s="6"/>
      <c r="DH1417" s="6"/>
      <c r="DI1417" s="6"/>
      <c r="DJ1417" s="6"/>
      <c r="DK1417" s="6"/>
      <c r="DL1417" s="6"/>
      <c r="DM1417" s="6"/>
      <c r="DN1417" s="6"/>
      <c r="DO1417" s="6"/>
      <c r="DP1417" s="6"/>
      <c r="DQ1417" s="6"/>
      <c r="DR1417" s="6"/>
      <c r="DS1417" s="6"/>
      <c r="DT1417" s="6"/>
      <c r="DU1417" s="6"/>
      <c r="DV1417" s="6"/>
      <c r="DW1417" s="6"/>
      <c r="DX1417" s="6"/>
      <c r="DY1417" s="6"/>
      <c r="DZ1417" s="6"/>
      <c r="EA1417" s="6"/>
      <c r="EB1417" s="6"/>
      <c r="EC1417" s="6"/>
      <c r="ED1417" s="6"/>
      <c r="EE1417" s="6"/>
      <c r="EF1417" s="6"/>
      <c r="EG1417" s="6"/>
      <c r="EH1417" s="6"/>
      <c r="EI1417" s="6"/>
      <c r="EJ1417" s="6"/>
      <c r="EK1417" s="6"/>
      <c r="EL1417" s="6"/>
      <c r="EM1417" s="6"/>
      <c r="EN1417" s="6"/>
      <c r="EO1417" s="6"/>
      <c r="EP1417" s="6"/>
      <c r="EQ1417" s="6"/>
      <c r="ER1417" s="6"/>
      <c r="ES1417" s="6"/>
      <c r="ET1417" s="6"/>
      <c r="EU1417" s="6"/>
      <c r="EV1417" s="6"/>
      <c r="EW1417" s="6"/>
      <c r="EX1417" s="6"/>
      <c r="EY1417" s="6"/>
      <c r="EZ1417" s="6"/>
      <c r="FA1417" s="6"/>
      <c r="FB1417" s="6"/>
      <c r="FC1417" s="6"/>
      <c r="FD1417" s="6"/>
      <c r="FE1417" s="6"/>
      <c r="FF1417" s="6"/>
      <c r="FG1417" s="6"/>
      <c r="FH1417" s="6"/>
      <c r="FI1417" s="6"/>
      <c r="FJ1417" s="6"/>
      <c r="FK1417" s="6"/>
      <c r="FL1417" s="6"/>
      <c r="FM1417" s="6"/>
      <c r="FN1417" s="6"/>
      <c r="FO1417" s="6"/>
      <c r="FP1417" s="6"/>
      <c r="FQ1417" s="6"/>
      <c r="FR1417" s="6"/>
      <c r="FS1417" s="6"/>
      <c r="FT1417" s="6"/>
      <c r="FU1417" s="6"/>
      <c r="FV1417" s="6"/>
      <c r="FW1417" s="6"/>
      <c r="FX1417" s="6"/>
      <c r="FY1417" s="6"/>
      <c r="FZ1417" s="6"/>
      <c r="GA1417" s="6"/>
      <c r="GB1417" s="6"/>
      <c r="GC1417" s="6"/>
      <c r="GD1417" s="6"/>
      <c r="GE1417" s="6"/>
      <c r="GF1417" s="6"/>
      <c r="GG1417" s="6"/>
      <c r="GH1417" s="6"/>
      <c r="GI1417" s="6"/>
      <c r="GJ1417" s="6"/>
      <c r="GK1417" s="6"/>
      <c r="GL1417" s="6"/>
      <c r="GM1417" s="6"/>
      <c r="GN1417" s="6"/>
      <c r="GO1417" s="6"/>
      <c r="GP1417" s="6"/>
      <c r="GQ1417" s="6"/>
      <c r="GR1417" s="6"/>
      <c r="GS1417" s="6"/>
      <c r="GT1417" s="6"/>
      <c r="GU1417" s="6"/>
      <c r="GV1417" s="6"/>
      <c r="GW1417" s="6"/>
      <c r="GX1417" s="6"/>
      <c r="GY1417" s="6"/>
      <c r="GZ1417" s="6"/>
      <c r="HA1417" s="6"/>
      <c r="HB1417" s="6"/>
      <c r="HC1417" s="6"/>
      <c r="HD1417" s="6"/>
      <c r="HE1417" s="6"/>
      <c r="HF1417" s="6"/>
      <c r="HG1417" s="6"/>
      <c r="HH1417" s="6"/>
    </row>
    <row r="1418" spans="1:216" x14ac:dyDescent="0.3">
      <c r="A1418" s="8"/>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6"/>
      <c r="AR1418" s="6"/>
      <c r="AS1418" s="6"/>
      <c r="AT1418" s="6"/>
      <c r="AU1418" s="6"/>
      <c r="AV1418" s="6"/>
      <c r="AW1418" s="6"/>
      <c r="AX1418" s="6"/>
      <c r="AY1418" s="6"/>
      <c r="AZ1418" s="6"/>
      <c r="BA1418" s="6"/>
      <c r="BB1418" s="6"/>
      <c r="BC1418" s="6"/>
      <c r="BD1418" s="6"/>
      <c r="BE1418" s="6"/>
      <c r="BF1418" s="6"/>
      <c r="BG1418" s="6"/>
      <c r="BH1418" s="6"/>
      <c r="BI1418" s="6"/>
      <c r="BJ1418" s="6"/>
      <c r="BK1418" s="6"/>
      <c r="BL1418" s="6"/>
      <c r="BM1418" s="6"/>
      <c r="BN1418" s="6"/>
      <c r="BO1418" s="6"/>
      <c r="BP1418" s="6"/>
      <c r="BQ1418" s="6"/>
      <c r="BR1418" s="6"/>
      <c r="BS1418" s="6"/>
      <c r="BT1418" s="6"/>
      <c r="BU1418" s="6"/>
      <c r="BV1418" s="6"/>
      <c r="BW1418" s="6"/>
      <c r="BX1418" s="6"/>
      <c r="BY1418" s="6"/>
      <c r="BZ1418" s="6"/>
      <c r="CA1418" s="6"/>
      <c r="CB1418" s="6"/>
      <c r="CC1418" s="6"/>
      <c r="CD1418" s="6"/>
      <c r="CE1418" s="6"/>
      <c r="CF1418" s="6"/>
      <c r="CG1418" s="6"/>
      <c r="CH1418" s="6"/>
      <c r="CI1418" s="6"/>
      <c r="CJ1418" s="6"/>
      <c r="CK1418" s="6"/>
      <c r="CL1418" s="6"/>
      <c r="CM1418" s="6"/>
      <c r="CN1418" s="6"/>
      <c r="CO1418" s="6"/>
      <c r="CP1418" s="6"/>
      <c r="CQ1418" s="6"/>
      <c r="CR1418" s="6"/>
      <c r="CS1418" s="6"/>
      <c r="CT1418" s="6"/>
      <c r="CU1418" s="6"/>
      <c r="CV1418" s="6"/>
      <c r="CW1418" s="6"/>
      <c r="CX1418" s="6"/>
      <c r="CY1418" s="6"/>
      <c r="CZ1418" s="6"/>
      <c r="DA1418" s="6"/>
      <c r="DB1418" s="6"/>
      <c r="DC1418" s="6"/>
      <c r="DD1418" s="6"/>
      <c r="DE1418" s="6"/>
      <c r="DF1418" s="6"/>
      <c r="DG1418" s="6"/>
      <c r="DH1418" s="6"/>
      <c r="DI1418" s="6"/>
      <c r="DJ1418" s="6"/>
      <c r="DK1418" s="6"/>
      <c r="DL1418" s="6"/>
      <c r="DM1418" s="6"/>
      <c r="DN1418" s="6"/>
      <c r="DO1418" s="6"/>
      <c r="DP1418" s="6"/>
      <c r="DQ1418" s="6"/>
      <c r="DR1418" s="6"/>
      <c r="DS1418" s="6"/>
      <c r="DT1418" s="6"/>
      <c r="DU1418" s="6"/>
      <c r="DV1418" s="6"/>
      <c r="DW1418" s="6"/>
      <c r="DX1418" s="6"/>
      <c r="DY1418" s="6"/>
      <c r="DZ1418" s="6"/>
      <c r="EA1418" s="6"/>
      <c r="EB1418" s="6"/>
      <c r="EC1418" s="6"/>
      <c r="ED1418" s="6"/>
      <c r="EE1418" s="6"/>
      <c r="EF1418" s="6"/>
      <c r="EG1418" s="6"/>
      <c r="EH1418" s="6"/>
      <c r="EI1418" s="6"/>
      <c r="EJ1418" s="6"/>
      <c r="EK1418" s="6"/>
      <c r="EL1418" s="6"/>
      <c r="EM1418" s="6"/>
      <c r="EN1418" s="6"/>
      <c r="EO1418" s="6"/>
      <c r="EP1418" s="6"/>
      <c r="EQ1418" s="6"/>
      <c r="ER1418" s="6"/>
      <c r="ES1418" s="6"/>
      <c r="ET1418" s="6"/>
      <c r="EU1418" s="6"/>
      <c r="EV1418" s="6"/>
      <c r="EW1418" s="6"/>
      <c r="EX1418" s="6"/>
      <c r="EY1418" s="6"/>
      <c r="EZ1418" s="6"/>
      <c r="FA1418" s="6"/>
      <c r="FB1418" s="6"/>
      <c r="FC1418" s="6"/>
      <c r="FD1418" s="6"/>
      <c r="FE1418" s="6"/>
      <c r="FF1418" s="6"/>
      <c r="FG1418" s="6"/>
      <c r="FH1418" s="6"/>
      <c r="FI1418" s="6"/>
      <c r="FJ1418" s="6"/>
      <c r="FK1418" s="6"/>
      <c r="FL1418" s="6"/>
      <c r="FM1418" s="6"/>
      <c r="FN1418" s="6"/>
      <c r="FO1418" s="6"/>
      <c r="FP1418" s="6"/>
      <c r="FQ1418" s="6"/>
      <c r="FR1418" s="6"/>
      <c r="FS1418" s="6"/>
      <c r="FT1418" s="6"/>
      <c r="FU1418" s="6"/>
      <c r="FV1418" s="6"/>
      <c r="FW1418" s="6"/>
      <c r="FX1418" s="6"/>
      <c r="FY1418" s="6"/>
      <c r="FZ1418" s="6"/>
      <c r="GA1418" s="6"/>
      <c r="GB1418" s="6"/>
      <c r="GC1418" s="6"/>
      <c r="GD1418" s="6"/>
      <c r="GE1418" s="6"/>
      <c r="GF1418" s="6"/>
      <c r="GG1418" s="6"/>
      <c r="GH1418" s="6"/>
      <c r="GI1418" s="6"/>
      <c r="GJ1418" s="6"/>
      <c r="GK1418" s="6"/>
      <c r="GL1418" s="6"/>
      <c r="GM1418" s="6"/>
      <c r="GN1418" s="6"/>
      <c r="GO1418" s="6"/>
      <c r="GP1418" s="6"/>
      <c r="GQ1418" s="6"/>
      <c r="GR1418" s="6"/>
      <c r="GS1418" s="6"/>
      <c r="GT1418" s="6"/>
      <c r="GU1418" s="6"/>
      <c r="GV1418" s="6"/>
      <c r="GW1418" s="6"/>
      <c r="GX1418" s="6"/>
      <c r="GY1418" s="6"/>
      <c r="GZ1418" s="6"/>
      <c r="HA1418" s="6"/>
      <c r="HB1418" s="6"/>
      <c r="HC1418" s="6"/>
      <c r="HD1418" s="6"/>
      <c r="HE1418" s="6"/>
      <c r="HF1418" s="6"/>
      <c r="HG1418" s="6"/>
      <c r="HH1418" s="6"/>
    </row>
    <row r="1419" spans="1:216" x14ac:dyDescent="0.3">
      <c r="A1419" s="8"/>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6"/>
      <c r="AR1419" s="6"/>
      <c r="AS1419" s="6"/>
      <c r="AT1419" s="6"/>
      <c r="AU1419" s="6"/>
      <c r="AV1419" s="6"/>
      <c r="AW1419" s="6"/>
      <c r="AX1419" s="6"/>
      <c r="AY1419" s="6"/>
      <c r="AZ1419" s="6"/>
      <c r="BA1419" s="6"/>
      <c r="BB1419" s="6"/>
      <c r="BC1419" s="6"/>
      <c r="BD1419" s="6"/>
      <c r="BE1419" s="6"/>
      <c r="BF1419" s="6"/>
      <c r="BG1419" s="6"/>
      <c r="BH1419" s="6"/>
      <c r="BI1419" s="6"/>
      <c r="BJ1419" s="6"/>
      <c r="BK1419" s="6"/>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6"/>
      <c r="CL1419" s="6"/>
      <c r="CM1419" s="6"/>
      <c r="CN1419" s="6"/>
      <c r="CO1419" s="6"/>
      <c r="CP1419" s="6"/>
      <c r="CQ1419" s="6"/>
      <c r="CR1419" s="6"/>
      <c r="CS1419" s="6"/>
      <c r="CT1419" s="6"/>
      <c r="CU1419" s="6"/>
      <c r="CV1419" s="6"/>
      <c r="CW1419" s="6"/>
      <c r="CX1419" s="6"/>
      <c r="CY1419" s="6"/>
      <c r="CZ1419" s="6"/>
      <c r="DA1419" s="6"/>
      <c r="DB1419" s="6"/>
      <c r="DC1419" s="6"/>
      <c r="DD1419" s="6"/>
      <c r="DE1419" s="6"/>
      <c r="DF1419" s="6"/>
      <c r="DG1419" s="6"/>
      <c r="DH1419" s="6"/>
      <c r="DI1419" s="6"/>
      <c r="DJ1419" s="6"/>
      <c r="DK1419" s="6"/>
      <c r="DL1419" s="6"/>
      <c r="DM1419" s="6"/>
      <c r="DN1419" s="6"/>
      <c r="DO1419" s="6"/>
      <c r="DP1419" s="6"/>
      <c r="DQ1419" s="6"/>
      <c r="DR1419" s="6"/>
      <c r="DS1419" s="6"/>
      <c r="DT1419" s="6"/>
      <c r="DU1419" s="6"/>
      <c r="DV1419" s="6"/>
      <c r="DW1419" s="6"/>
      <c r="DX1419" s="6"/>
      <c r="DY1419" s="6"/>
      <c r="DZ1419" s="6"/>
      <c r="EA1419" s="6"/>
      <c r="EB1419" s="6"/>
      <c r="EC1419" s="6"/>
      <c r="ED1419" s="6"/>
      <c r="EE1419" s="6"/>
      <c r="EF1419" s="6"/>
      <c r="EG1419" s="6"/>
      <c r="EH1419" s="6"/>
      <c r="EI1419" s="6"/>
      <c r="EJ1419" s="6"/>
      <c r="EK1419" s="6"/>
      <c r="EL1419" s="6"/>
      <c r="EM1419" s="6"/>
      <c r="EN1419" s="6"/>
      <c r="EO1419" s="6"/>
      <c r="EP1419" s="6"/>
      <c r="EQ1419" s="6"/>
      <c r="ER1419" s="6"/>
      <c r="ES1419" s="6"/>
      <c r="ET1419" s="6"/>
      <c r="EU1419" s="6"/>
      <c r="EV1419" s="6"/>
      <c r="EW1419" s="6"/>
      <c r="EX1419" s="6"/>
      <c r="EY1419" s="6"/>
      <c r="EZ1419" s="6"/>
      <c r="FA1419" s="6"/>
      <c r="FB1419" s="6"/>
      <c r="FC1419" s="6"/>
      <c r="FD1419" s="6"/>
      <c r="FE1419" s="6"/>
      <c r="FF1419" s="6"/>
      <c r="FG1419" s="6"/>
      <c r="FH1419" s="6"/>
      <c r="FI1419" s="6"/>
      <c r="FJ1419" s="6"/>
      <c r="FK1419" s="6"/>
      <c r="FL1419" s="6"/>
      <c r="FM1419" s="6"/>
      <c r="FN1419" s="6"/>
      <c r="FO1419" s="6"/>
      <c r="FP1419" s="6"/>
      <c r="FQ1419" s="6"/>
      <c r="FR1419" s="6"/>
      <c r="FS1419" s="6"/>
      <c r="FT1419" s="6"/>
      <c r="FU1419" s="6"/>
      <c r="FV1419" s="6"/>
      <c r="FW1419" s="6"/>
      <c r="FX1419" s="6"/>
      <c r="FY1419" s="6"/>
      <c r="FZ1419" s="6"/>
      <c r="GA1419" s="6"/>
      <c r="GB1419" s="6"/>
      <c r="GC1419" s="6"/>
      <c r="GD1419" s="6"/>
      <c r="GE1419" s="6"/>
      <c r="GF1419" s="6"/>
      <c r="GG1419" s="6"/>
      <c r="GH1419" s="6"/>
      <c r="GI1419" s="6"/>
      <c r="GJ1419" s="6"/>
      <c r="GK1419" s="6"/>
      <c r="GL1419" s="6"/>
      <c r="GM1419" s="6"/>
      <c r="GN1419" s="6"/>
      <c r="GO1419" s="6"/>
      <c r="GP1419" s="6"/>
      <c r="GQ1419" s="6"/>
      <c r="GR1419" s="6"/>
      <c r="GS1419" s="6"/>
      <c r="GT1419" s="6"/>
      <c r="GU1419" s="6"/>
      <c r="GV1419" s="6"/>
      <c r="GW1419" s="6"/>
      <c r="GX1419" s="6"/>
      <c r="GY1419" s="6"/>
      <c r="GZ1419" s="6"/>
      <c r="HA1419" s="6"/>
      <c r="HB1419" s="6"/>
      <c r="HC1419" s="6"/>
      <c r="HD1419" s="6"/>
      <c r="HE1419" s="6"/>
      <c r="HF1419" s="6"/>
      <c r="HG1419" s="6"/>
      <c r="HH1419" s="6"/>
    </row>
    <row r="1420" spans="1:216" x14ac:dyDescent="0.3">
      <c r="A1420" s="8"/>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row>
    <row r="1421" spans="1:216" x14ac:dyDescent="0.3">
      <c r="A1421" s="8"/>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row>
    <row r="1422" spans="1:216" x14ac:dyDescent="0.3">
      <c r="A1422" s="8"/>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6"/>
      <c r="AR1422" s="6"/>
      <c r="AS1422" s="6"/>
      <c r="AT1422" s="6"/>
      <c r="AU1422" s="6"/>
      <c r="AV1422" s="6"/>
      <c r="AW1422" s="6"/>
      <c r="AX1422" s="6"/>
      <c r="AY1422" s="6"/>
      <c r="AZ1422" s="6"/>
      <c r="BA1422" s="6"/>
      <c r="BB1422" s="6"/>
      <c r="BC1422" s="6"/>
      <c r="BD1422" s="6"/>
      <c r="BE1422" s="6"/>
      <c r="BF1422" s="6"/>
      <c r="BG1422" s="6"/>
      <c r="BH1422" s="6"/>
      <c r="BI1422" s="6"/>
      <c r="BJ1422" s="6"/>
      <c r="BK1422" s="6"/>
      <c r="BL1422" s="6"/>
      <c r="BM1422" s="6"/>
      <c r="BN1422" s="6"/>
      <c r="BO1422" s="6"/>
      <c r="BP1422" s="6"/>
      <c r="BQ1422" s="6"/>
      <c r="BR1422" s="6"/>
      <c r="BS1422" s="6"/>
      <c r="BT1422" s="6"/>
      <c r="BU1422" s="6"/>
      <c r="BV1422" s="6"/>
      <c r="BW1422" s="6"/>
      <c r="BX1422" s="6"/>
      <c r="BY1422" s="6"/>
      <c r="BZ1422" s="6"/>
      <c r="CA1422" s="6"/>
      <c r="CB1422" s="6"/>
      <c r="CC1422" s="6"/>
      <c r="CD1422" s="6"/>
      <c r="CE1422" s="6"/>
      <c r="CF1422" s="6"/>
      <c r="CG1422" s="6"/>
      <c r="CH1422" s="6"/>
      <c r="CI1422" s="6"/>
      <c r="CJ1422" s="6"/>
      <c r="CK1422" s="6"/>
      <c r="CL1422" s="6"/>
      <c r="CM1422" s="6"/>
      <c r="CN1422" s="6"/>
      <c r="CO1422" s="6"/>
      <c r="CP1422" s="6"/>
      <c r="CQ1422" s="6"/>
      <c r="CR1422" s="6"/>
      <c r="CS1422" s="6"/>
      <c r="CT1422" s="6"/>
      <c r="CU1422" s="6"/>
      <c r="CV1422" s="6"/>
      <c r="CW1422" s="6"/>
      <c r="CX1422" s="6"/>
      <c r="CY1422" s="6"/>
      <c r="CZ1422" s="6"/>
      <c r="DA1422" s="6"/>
      <c r="DB1422" s="6"/>
      <c r="DC1422" s="6"/>
      <c r="DD1422" s="6"/>
      <c r="DE1422" s="6"/>
      <c r="DF1422" s="6"/>
      <c r="DG1422" s="6"/>
      <c r="DH1422" s="6"/>
      <c r="DI1422" s="6"/>
      <c r="DJ1422" s="6"/>
      <c r="DK1422" s="6"/>
      <c r="DL1422" s="6"/>
      <c r="DM1422" s="6"/>
      <c r="DN1422" s="6"/>
      <c r="DO1422" s="6"/>
      <c r="DP1422" s="6"/>
      <c r="DQ1422" s="6"/>
      <c r="DR1422" s="6"/>
      <c r="DS1422" s="6"/>
      <c r="DT1422" s="6"/>
      <c r="DU1422" s="6"/>
      <c r="DV1422" s="6"/>
      <c r="DW1422" s="6"/>
      <c r="DX1422" s="6"/>
      <c r="DY1422" s="6"/>
      <c r="DZ1422" s="6"/>
      <c r="EA1422" s="6"/>
      <c r="EB1422" s="6"/>
      <c r="EC1422" s="6"/>
      <c r="ED1422" s="6"/>
      <c r="EE1422" s="6"/>
      <c r="EF1422" s="6"/>
      <c r="EG1422" s="6"/>
      <c r="EH1422" s="6"/>
      <c r="EI1422" s="6"/>
      <c r="EJ1422" s="6"/>
      <c r="EK1422" s="6"/>
      <c r="EL1422" s="6"/>
      <c r="EM1422" s="6"/>
      <c r="EN1422" s="6"/>
      <c r="EO1422" s="6"/>
      <c r="EP1422" s="6"/>
      <c r="EQ1422" s="6"/>
      <c r="ER1422" s="6"/>
      <c r="ES1422" s="6"/>
      <c r="ET1422" s="6"/>
      <c r="EU1422" s="6"/>
      <c r="EV1422" s="6"/>
      <c r="EW1422" s="6"/>
      <c r="EX1422" s="6"/>
      <c r="EY1422" s="6"/>
      <c r="EZ1422" s="6"/>
      <c r="FA1422" s="6"/>
      <c r="FB1422" s="6"/>
      <c r="FC1422" s="6"/>
      <c r="FD1422" s="6"/>
      <c r="FE1422" s="6"/>
      <c r="FF1422" s="6"/>
      <c r="FG1422" s="6"/>
      <c r="FH1422" s="6"/>
      <c r="FI1422" s="6"/>
      <c r="FJ1422" s="6"/>
      <c r="FK1422" s="6"/>
      <c r="FL1422" s="6"/>
      <c r="FM1422" s="6"/>
      <c r="FN1422" s="6"/>
      <c r="FO1422" s="6"/>
      <c r="FP1422" s="6"/>
      <c r="FQ1422" s="6"/>
      <c r="FR1422" s="6"/>
      <c r="FS1422" s="6"/>
      <c r="FT1422" s="6"/>
      <c r="FU1422" s="6"/>
      <c r="FV1422" s="6"/>
      <c r="FW1422" s="6"/>
      <c r="FX1422" s="6"/>
      <c r="FY1422" s="6"/>
      <c r="FZ1422" s="6"/>
      <c r="GA1422" s="6"/>
      <c r="GB1422" s="6"/>
      <c r="GC1422" s="6"/>
      <c r="GD1422" s="6"/>
      <c r="GE1422" s="6"/>
      <c r="GF1422" s="6"/>
      <c r="GG1422" s="6"/>
      <c r="GH1422" s="6"/>
      <c r="GI1422" s="6"/>
      <c r="GJ1422" s="6"/>
      <c r="GK1422" s="6"/>
      <c r="GL1422" s="6"/>
      <c r="GM1422" s="6"/>
      <c r="GN1422" s="6"/>
      <c r="GO1422" s="6"/>
      <c r="GP1422" s="6"/>
      <c r="GQ1422" s="6"/>
      <c r="GR1422" s="6"/>
      <c r="GS1422" s="6"/>
      <c r="GT1422" s="6"/>
      <c r="GU1422" s="6"/>
      <c r="GV1422" s="6"/>
      <c r="GW1422" s="6"/>
      <c r="GX1422" s="6"/>
      <c r="GY1422" s="6"/>
      <c r="GZ1422" s="6"/>
      <c r="HA1422" s="6"/>
      <c r="HB1422" s="6"/>
      <c r="HC1422" s="6"/>
      <c r="HD1422" s="6"/>
      <c r="HE1422" s="6"/>
      <c r="HF1422" s="6"/>
      <c r="HG1422" s="6"/>
      <c r="HH1422" s="6"/>
    </row>
    <row r="1423" spans="1:216" x14ac:dyDescent="0.3">
      <c r="A1423" s="8"/>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6"/>
      <c r="BI1423" s="6"/>
      <c r="BJ1423" s="6"/>
      <c r="BK1423" s="6"/>
      <c r="BL1423" s="6"/>
      <c r="BM1423" s="6"/>
      <c r="BN1423" s="6"/>
      <c r="BO1423" s="6"/>
      <c r="BP1423" s="6"/>
      <c r="BQ1423" s="6"/>
      <c r="BR1423" s="6"/>
      <c r="BS1423" s="6"/>
      <c r="BT1423" s="6"/>
      <c r="BU1423" s="6"/>
      <c r="BV1423" s="6"/>
      <c r="BW1423" s="6"/>
      <c r="BX1423" s="6"/>
      <c r="BY1423" s="6"/>
      <c r="BZ1423" s="6"/>
      <c r="CA1423" s="6"/>
      <c r="CB1423" s="6"/>
      <c r="CC1423" s="6"/>
      <c r="CD1423" s="6"/>
      <c r="CE1423" s="6"/>
      <c r="CF1423" s="6"/>
      <c r="CG1423" s="6"/>
      <c r="CH1423" s="6"/>
      <c r="CI1423" s="6"/>
      <c r="CJ1423" s="6"/>
      <c r="CK1423" s="6"/>
      <c r="CL1423" s="6"/>
      <c r="CM1423" s="6"/>
      <c r="CN1423" s="6"/>
      <c r="CO1423" s="6"/>
      <c r="CP1423" s="6"/>
      <c r="CQ1423" s="6"/>
      <c r="CR1423" s="6"/>
      <c r="CS1423" s="6"/>
      <c r="CT1423" s="6"/>
      <c r="CU1423" s="6"/>
      <c r="CV1423" s="6"/>
      <c r="CW1423" s="6"/>
      <c r="CX1423" s="6"/>
      <c r="CY1423" s="6"/>
      <c r="CZ1423" s="6"/>
      <c r="DA1423" s="6"/>
      <c r="DB1423" s="6"/>
      <c r="DC1423" s="6"/>
      <c r="DD1423" s="6"/>
      <c r="DE1423" s="6"/>
      <c r="DF1423" s="6"/>
      <c r="DG1423" s="6"/>
      <c r="DH1423" s="6"/>
      <c r="DI1423" s="6"/>
      <c r="DJ1423" s="6"/>
      <c r="DK1423" s="6"/>
      <c r="DL1423" s="6"/>
      <c r="DM1423" s="6"/>
      <c r="DN1423" s="6"/>
      <c r="DO1423" s="6"/>
      <c r="DP1423" s="6"/>
      <c r="DQ1423" s="6"/>
      <c r="DR1423" s="6"/>
      <c r="DS1423" s="6"/>
      <c r="DT1423" s="6"/>
      <c r="DU1423" s="6"/>
      <c r="DV1423" s="6"/>
      <c r="DW1423" s="6"/>
      <c r="DX1423" s="6"/>
      <c r="DY1423" s="6"/>
      <c r="DZ1423" s="6"/>
      <c r="EA1423" s="6"/>
      <c r="EB1423" s="6"/>
      <c r="EC1423" s="6"/>
      <c r="ED1423" s="6"/>
      <c r="EE1423" s="6"/>
      <c r="EF1423" s="6"/>
      <c r="EG1423" s="6"/>
      <c r="EH1423" s="6"/>
      <c r="EI1423" s="6"/>
      <c r="EJ1423" s="6"/>
      <c r="EK1423" s="6"/>
      <c r="EL1423" s="6"/>
      <c r="EM1423" s="6"/>
      <c r="EN1423" s="6"/>
      <c r="EO1423" s="6"/>
      <c r="EP1423" s="6"/>
      <c r="EQ1423" s="6"/>
      <c r="ER1423" s="6"/>
      <c r="ES1423" s="6"/>
      <c r="ET1423" s="6"/>
      <c r="EU1423" s="6"/>
      <c r="EV1423" s="6"/>
      <c r="EW1423" s="6"/>
      <c r="EX1423" s="6"/>
      <c r="EY1423" s="6"/>
      <c r="EZ1423" s="6"/>
      <c r="FA1423" s="6"/>
      <c r="FB1423" s="6"/>
      <c r="FC1423" s="6"/>
      <c r="FD1423" s="6"/>
      <c r="FE1423" s="6"/>
      <c r="FF1423" s="6"/>
      <c r="FG1423" s="6"/>
      <c r="FH1423" s="6"/>
      <c r="FI1423" s="6"/>
      <c r="FJ1423" s="6"/>
      <c r="FK1423" s="6"/>
      <c r="FL1423" s="6"/>
      <c r="FM1423" s="6"/>
      <c r="FN1423" s="6"/>
      <c r="FO1423" s="6"/>
      <c r="FP1423" s="6"/>
      <c r="FQ1423" s="6"/>
      <c r="FR1423" s="6"/>
      <c r="FS1423" s="6"/>
      <c r="FT1423" s="6"/>
      <c r="FU1423" s="6"/>
      <c r="FV1423" s="6"/>
      <c r="FW1423" s="6"/>
      <c r="FX1423" s="6"/>
      <c r="FY1423" s="6"/>
      <c r="FZ1423" s="6"/>
      <c r="GA1423" s="6"/>
      <c r="GB1423" s="6"/>
      <c r="GC1423" s="6"/>
      <c r="GD1423" s="6"/>
      <c r="GE1423" s="6"/>
      <c r="GF1423" s="6"/>
      <c r="GG1423" s="6"/>
      <c r="GH1423" s="6"/>
      <c r="GI1423" s="6"/>
      <c r="GJ1423" s="6"/>
      <c r="GK1423" s="6"/>
      <c r="GL1423" s="6"/>
      <c r="GM1423" s="6"/>
      <c r="GN1423" s="6"/>
      <c r="GO1423" s="6"/>
      <c r="GP1423" s="6"/>
      <c r="GQ1423" s="6"/>
      <c r="GR1423" s="6"/>
      <c r="GS1423" s="6"/>
      <c r="GT1423" s="6"/>
      <c r="GU1423" s="6"/>
      <c r="GV1423" s="6"/>
      <c r="GW1423" s="6"/>
      <c r="GX1423" s="6"/>
      <c r="GY1423" s="6"/>
      <c r="GZ1423" s="6"/>
      <c r="HA1423" s="6"/>
      <c r="HB1423" s="6"/>
      <c r="HC1423" s="6"/>
      <c r="HD1423" s="6"/>
      <c r="HE1423" s="6"/>
      <c r="HF1423" s="6"/>
      <c r="HG1423" s="6"/>
      <c r="HH1423" s="6"/>
    </row>
    <row r="1424" spans="1:216" x14ac:dyDescent="0.3">
      <c r="A1424" s="8"/>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6"/>
      <c r="AR1424" s="6"/>
      <c r="AS1424" s="6"/>
      <c r="AT1424" s="6"/>
      <c r="AU1424" s="6"/>
      <c r="AV1424" s="6"/>
      <c r="AW1424" s="6"/>
      <c r="AX1424" s="6"/>
      <c r="AY1424" s="6"/>
      <c r="AZ1424" s="6"/>
      <c r="BA1424" s="6"/>
      <c r="BB1424" s="6"/>
      <c r="BC1424" s="6"/>
      <c r="BD1424" s="6"/>
      <c r="BE1424" s="6"/>
      <c r="BF1424" s="6"/>
      <c r="BG1424" s="6"/>
      <c r="BH1424" s="6"/>
      <c r="BI1424" s="6"/>
      <c r="BJ1424" s="6"/>
      <c r="BK1424" s="6"/>
      <c r="BL1424" s="6"/>
      <c r="BM1424" s="6"/>
      <c r="BN1424" s="6"/>
      <c r="BO1424" s="6"/>
      <c r="BP1424" s="6"/>
      <c r="BQ1424" s="6"/>
      <c r="BR1424" s="6"/>
      <c r="BS1424" s="6"/>
      <c r="BT1424" s="6"/>
      <c r="BU1424" s="6"/>
      <c r="BV1424" s="6"/>
      <c r="BW1424" s="6"/>
      <c r="BX1424" s="6"/>
      <c r="BY1424" s="6"/>
      <c r="BZ1424" s="6"/>
      <c r="CA1424" s="6"/>
      <c r="CB1424" s="6"/>
      <c r="CC1424" s="6"/>
      <c r="CD1424" s="6"/>
      <c r="CE1424" s="6"/>
      <c r="CF1424" s="6"/>
      <c r="CG1424" s="6"/>
      <c r="CH1424" s="6"/>
      <c r="CI1424" s="6"/>
      <c r="CJ1424" s="6"/>
      <c r="CK1424" s="6"/>
      <c r="CL1424" s="6"/>
      <c r="CM1424" s="6"/>
      <c r="CN1424" s="6"/>
      <c r="CO1424" s="6"/>
      <c r="CP1424" s="6"/>
      <c r="CQ1424" s="6"/>
      <c r="CR1424" s="6"/>
      <c r="CS1424" s="6"/>
      <c r="CT1424" s="6"/>
      <c r="CU1424" s="6"/>
      <c r="CV1424" s="6"/>
      <c r="CW1424" s="6"/>
      <c r="CX1424" s="6"/>
      <c r="CY1424" s="6"/>
      <c r="CZ1424" s="6"/>
      <c r="DA1424" s="6"/>
      <c r="DB1424" s="6"/>
      <c r="DC1424" s="6"/>
      <c r="DD1424" s="6"/>
      <c r="DE1424" s="6"/>
      <c r="DF1424" s="6"/>
      <c r="DG1424" s="6"/>
      <c r="DH1424" s="6"/>
      <c r="DI1424" s="6"/>
      <c r="DJ1424" s="6"/>
      <c r="DK1424" s="6"/>
      <c r="DL1424" s="6"/>
      <c r="DM1424" s="6"/>
      <c r="DN1424" s="6"/>
      <c r="DO1424" s="6"/>
      <c r="DP1424" s="6"/>
      <c r="DQ1424" s="6"/>
      <c r="DR1424" s="6"/>
      <c r="DS1424" s="6"/>
      <c r="DT1424" s="6"/>
      <c r="DU1424" s="6"/>
      <c r="DV1424" s="6"/>
      <c r="DW1424" s="6"/>
      <c r="DX1424" s="6"/>
      <c r="DY1424" s="6"/>
      <c r="DZ1424" s="6"/>
      <c r="EA1424" s="6"/>
      <c r="EB1424" s="6"/>
      <c r="EC1424" s="6"/>
      <c r="ED1424" s="6"/>
      <c r="EE1424" s="6"/>
      <c r="EF1424" s="6"/>
      <c r="EG1424" s="6"/>
      <c r="EH1424" s="6"/>
      <c r="EI1424" s="6"/>
      <c r="EJ1424" s="6"/>
      <c r="EK1424" s="6"/>
      <c r="EL1424" s="6"/>
      <c r="EM1424" s="6"/>
      <c r="EN1424" s="6"/>
      <c r="EO1424" s="6"/>
      <c r="EP1424" s="6"/>
      <c r="EQ1424" s="6"/>
      <c r="ER1424" s="6"/>
      <c r="ES1424" s="6"/>
      <c r="ET1424" s="6"/>
      <c r="EU1424" s="6"/>
      <c r="EV1424" s="6"/>
      <c r="EW1424" s="6"/>
      <c r="EX1424" s="6"/>
      <c r="EY1424" s="6"/>
      <c r="EZ1424" s="6"/>
      <c r="FA1424" s="6"/>
      <c r="FB1424" s="6"/>
      <c r="FC1424" s="6"/>
      <c r="FD1424" s="6"/>
      <c r="FE1424" s="6"/>
      <c r="FF1424" s="6"/>
      <c r="FG1424" s="6"/>
      <c r="FH1424" s="6"/>
      <c r="FI1424" s="6"/>
      <c r="FJ1424" s="6"/>
      <c r="FK1424" s="6"/>
      <c r="FL1424" s="6"/>
      <c r="FM1424" s="6"/>
      <c r="FN1424" s="6"/>
      <c r="FO1424" s="6"/>
      <c r="FP1424" s="6"/>
      <c r="FQ1424" s="6"/>
      <c r="FR1424" s="6"/>
      <c r="FS1424" s="6"/>
      <c r="FT1424" s="6"/>
      <c r="FU1424" s="6"/>
      <c r="FV1424" s="6"/>
      <c r="FW1424" s="6"/>
      <c r="FX1424" s="6"/>
      <c r="FY1424" s="6"/>
      <c r="FZ1424" s="6"/>
      <c r="GA1424" s="6"/>
      <c r="GB1424" s="6"/>
      <c r="GC1424" s="6"/>
      <c r="GD1424" s="6"/>
      <c r="GE1424" s="6"/>
      <c r="GF1424" s="6"/>
      <c r="GG1424" s="6"/>
      <c r="GH1424" s="6"/>
      <c r="GI1424" s="6"/>
      <c r="GJ1424" s="6"/>
      <c r="GK1424" s="6"/>
      <c r="GL1424" s="6"/>
      <c r="GM1424" s="6"/>
      <c r="GN1424" s="6"/>
      <c r="GO1424" s="6"/>
      <c r="GP1424" s="6"/>
      <c r="GQ1424" s="6"/>
      <c r="GR1424" s="6"/>
      <c r="GS1424" s="6"/>
      <c r="GT1424" s="6"/>
      <c r="GU1424" s="6"/>
      <c r="GV1424" s="6"/>
      <c r="GW1424" s="6"/>
      <c r="GX1424" s="6"/>
      <c r="GY1424" s="6"/>
      <c r="GZ1424" s="6"/>
      <c r="HA1424" s="6"/>
      <c r="HB1424" s="6"/>
      <c r="HC1424" s="6"/>
      <c r="HD1424" s="6"/>
      <c r="HE1424" s="6"/>
      <c r="HF1424" s="6"/>
      <c r="HG1424" s="6"/>
      <c r="HH1424" s="6"/>
    </row>
    <row r="1425" spans="1:216" x14ac:dyDescent="0.3">
      <c r="A1425" s="8"/>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6"/>
      <c r="AR1425" s="6"/>
      <c r="AS1425" s="6"/>
      <c r="AT1425" s="6"/>
      <c r="AU1425" s="6"/>
      <c r="AV1425" s="6"/>
      <c r="AW1425" s="6"/>
      <c r="AX1425" s="6"/>
      <c r="AY1425" s="6"/>
      <c r="AZ1425" s="6"/>
      <c r="BA1425" s="6"/>
      <c r="BB1425" s="6"/>
      <c r="BC1425" s="6"/>
      <c r="BD1425" s="6"/>
      <c r="BE1425" s="6"/>
      <c r="BF1425" s="6"/>
      <c r="BG1425" s="6"/>
      <c r="BH1425" s="6"/>
      <c r="BI1425" s="6"/>
      <c r="BJ1425" s="6"/>
      <c r="BK1425" s="6"/>
      <c r="BL1425" s="6"/>
      <c r="BM1425" s="6"/>
      <c r="BN1425" s="6"/>
      <c r="BO1425" s="6"/>
      <c r="BP1425" s="6"/>
      <c r="BQ1425" s="6"/>
      <c r="BR1425" s="6"/>
      <c r="BS1425" s="6"/>
      <c r="BT1425" s="6"/>
      <c r="BU1425" s="6"/>
      <c r="BV1425" s="6"/>
      <c r="BW1425" s="6"/>
      <c r="BX1425" s="6"/>
      <c r="BY1425" s="6"/>
      <c r="BZ1425" s="6"/>
      <c r="CA1425" s="6"/>
      <c r="CB1425" s="6"/>
      <c r="CC1425" s="6"/>
      <c r="CD1425" s="6"/>
      <c r="CE1425" s="6"/>
      <c r="CF1425" s="6"/>
      <c r="CG1425" s="6"/>
      <c r="CH1425" s="6"/>
      <c r="CI1425" s="6"/>
      <c r="CJ1425" s="6"/>
      <c r="CK1425" s="6"/>
      <c r="CL1425" s="6"/>
      <c r="CM1425" s="6"/>
      <c r="CN1425" s="6"/>
      <c r="CO1425" s="6"/>
      <c r="CP1425" s="6"/>
      <c r="CQ1425" s="6"/>
      <c r="CR1425" s="6"/>
      <c r="CS1425" s="6"/>
      <c r="CT1425" s="6"/>
      <c r="CU1425" s="6"/>
      <c r="CV1425" s="6"/>
      <c r="CW1425" s="6"/>
      <c r="CX1425" s="6"/>
      <c r="CY1425" s="6"/>
      <c r="CZ1425" s="6"/>
      <c r="DA1425" s="6"/>
      <c r="DB1425" s="6"/>
      <c r="DC1425" s="6"/>
      <c r="DD1425" s="6"/>
      <c r="DE1425" s="6"/>
      <c r="DF1425" s="6"/>
      <c r="DG1425" s="6"/>
      <c r="DH1425" s="6"/>
      <c r="DI1425" s="6"/>
      <c r="DJ1425" s="6"/>
      <c r="DK1425" s="6"/>
      <c r="DL1425" s="6"/>
      <c r="DM1425" s="6"/>
      <c r="DN1425" s="6"/>
      <c r="DO1425" s="6"/>
      <c r="DP1425" s="6"/>
      <c r="DQ1425" s="6"/>
      <c r="DR1425" s="6"/>
      <c r="DS1425" s="6"/>
      <c r="DT1425" s="6"/>
      <c r="DU1425" s="6"/>
      <c r="DV1425" s="6"/>
      <c r="DW1425" s="6"/>
      <c r="DX1425" s="6"/>
      <c r="DY1425" s="6"/>
      <c r="DZ1425" s="6"/>
      <c r="EA1425" s="6"/>
      <c r="EB1425" s="6"/>
      <c r="EC1425" s="6"/>
      <c r="ED1425" s="6"/>
      <c r="EE1425" s="6"/>
      <c r="EF1425" s="6"/>
      <c r="EG1425" s="6"/>
      <c r="EH1425" s="6"/>
      <c r="EI1425" s="6"/>
      <c r="EJ1425" s="6"/>
      <c r="EK1425" s="6"/>
      <c r="EL1425" s="6"/>
      <c r="EM1425" s="6"/>
      <c r="EN1425" s="6"/>
      <c r="EO1425" s="6"/>
      <c r="EP1425" s="6"/>
      <c r="EQ1425" s="6"/>
      <c r="ER1425" s="6"/>
      <c r="ES1425" s="6"/>
      <c r="ET1425" s="6"/>
      <c r="EU1425" s="6"/>
      <c r="EV1425" s="6"/>
      <c r="EW1425" s="6"/>
      <c r="EX1425" s="6"/>
      <c r="EY1425" s="6"/>
      <c r="EZ1425" s="6"/>
      <c r="FA1425" s="6"/>
      <c r="FB1425" s="6"/>
      <c r="FC1425" s="6"/>
      <c r="FD1425" s="6"/>
      <c r="FE1425" s="6"/>
      <c r="FF1425" s="6"/>
      <c r="FG1425" s="6"/>
      <c r="FH1425" s="6"/>
      <c r="FI1425" s="6"/>
      <c r="FJ1425" s="6"/>
      <c r="FK1425" s="6"/>
      <c r="FL1425" s="6"/>
      <c r="FM1425" s="6"/>
      <c r="FN1425" s="6"/>
      <c r="FO1425" s="6"/>
      <c r="FP1425" s="6"/>
      <c r="FQ1425" s="6"/>
      <c r="FR1425" s="6"/>
      <c r="FS1425" s="6"/>
      <c r="FT1425" s="6"/>
      <c r="FU1425" s="6"/>
      <c r="FV1425" s="6"/>
      <c r="FW1425" s="6"/>
      <c r="FX1425" s="6"/>
      <c r="FY1425" s="6"/>
      <c r="FZ1425" s="6"/>
      <c r="GA1425" s="6"/>
      <c r="GB1425" s="6"/>
      <c r="GC1425" s="6"/>
      <c r="GD1425" s="6"/>
      <c r="GE1425" s="6"/>
      <c r="GF1425" s="6"/>
      <c r="GG1425" s="6"/>
      <c r="GH1425" s="6"/>
      <c r="GI1425" s="6"/>
      <c r="GJ1425" s="6"/>
      <c r="GK1425" s="6"/>
      <c r="GL1425" s="6"/>
      <c r="GM1425" s="6"/>
      <c r="GN1425" s="6"/>
      <c r="GO1425" s="6"/>
      <c r="GP1425" s="6"/>
      <c r="GQ1425" s="6"/>
      <c r="GR1425" s="6"/>
      <c r="GS1425" s="6"/>
      <c r="GT1425" s="6"/>
      <c r="GU1425" s="6"/>
      <c r="GV1425" s="6"/>
      <c r="GW1425" s="6"/>
      <c r="GX1425" s="6"/>
      <c r="GY1425" s="6"/>
      <c r="GZ1425" s="6"/>
      <c r="HA1425" s="6"/>
      <c r="HB1425" s="6"/>
      <c r="HC1425" s="6"/>
      <c r="HD1425" s="6"/>
      <c r="HE1425" s="6"/>
      <c r="HF1425" s="6"/>
      <c r="HG1425" s="6"/>
      <c r="HH1425" s="6"/>
    </row>
    <row r="1426" spans="1:216" x14ac:dyDescent="0.3">
      <c r="A1426" s="8"/>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6"/>
      <c r="AR1426" s="6"/>
      <c r="AS1426" s="6"/>
      <c r="AT1426" s="6"/>
      <c r="AU1426" s="6"/>
      <c r="AV1426" s="6"/>
      <c r="AW1426" s="6"/>
      <c r="AX1426" s="6"/>
      <c r="AY1426" s="6"/>
      <c r="AZ1426" s="6"/>
      <c r="BA1426" s="6"/>
      <c r="BB1426" s="6"/>
      <c r="BC1426" s="6"/>
      <c r="BD1426" s="6"/>
      <c r="BE1426" s="6"/>
      <c r="BF1426" s="6"/>
      <c r="BG1426" s="6"/>
      <c r="BH1426" s="6"/>
      <c r="BI1426" s="6"/>
      <c r="BJ1426" s="6"/>
      <c r="BK1426" s="6"/>
      <c r="BL1426" s="6"/>
      <c r="BM1426" s="6"/>
      <c r="BN1426" s="6"/>
      <c r="BO1426" s="6"/>
      <c r="BP1426" s="6"/>
      <c r="BQ1426" s="6"/>
      <c r="BR1426" s="6"/>
      <c r="BS1426" s="6"/>
      <c r="BT1426" s="6"/>
      <c r="BU1426" s="6"/>
      <c r="BV1426" s="6"/>
      <c r="BW1426" s="6"/>
      <c r="BX1426" s="6"/>
      <c r="BY1426" s="6"/>
      <c r="BZ1426" s="6"/>
      <c r="CA1426" s="6"/>
      <c r="CB1426" s="6"/>
      <c r="CC1426" s="6"/>
      <c r="CD1426" s="6"/>
      <c r="CE1426" s="6"/>
      <c r="CF1426" s="6"/>
      <c r="CG1426" s="6"/>
      <c r="CH1426" s="6"/>
      <c r="CI1426" s="6"/>
      <c r="CJ1426" s="6"/>
      <c r="CK1426" s="6"/>
      <c r="CL1426" s="6"/>
      <c r="CM1426" s="6"/>
      <c r="CN1426" s="6"/>
      <c r="CO1426" s="6"/>
      <c r="CP1426" s="6"/>
      <c r="CQ1426" s="6"/>
      <c r="CR1426" s="6"/>
      <c r="CS1426" s="6"/>
      <c r="CT1426" s="6"/>
      <c r="CU1426" s="6"/>
      <c r="CV1426" s="6"/>
      <c r="CW1426" s="6"/>
      <c r="CX1426" s="6"/>
      <c r="CY1426" s="6"/>
      <c r="CZ1426" s="6"/>
      <c r="DA1426" s="6"/>
      <c r="DB1426" s="6"/>
      <c r="DC1426" s="6"/>
      <c r="DD1426" s="6"/>
      <c r="DE1426" s="6"/>
      <c r="DF1426" s="6"/>
      <c r="DG1426" s="6"/>
      <c r="DH1426" s="6"/>
      <c r="DI1426" s="6"/>
      <c r="DJ1426" s="6"/>
      <c r="DK1426" s="6"/>
      <c r="DL1426" s="6"/>
      <c r="DM1426" s="6"/>
      <c r="DN1426" s="6"/>
      <c r="DO1426" s="6"/>
      <c r="DP1426" s="6"/>
      <c r="DQ1426" s="6"/>
      <c r="DR1426" s="6"/>
      <c r="DS1426" s="6"/>
      <c r="DT1426" s="6"/>
      <c r="DU1426" s="6"/>
      <c r="DV1426" s="6"/>
      <c r="DW1426" s="6"/>
      <c r="DX1426" s="6"/>
      <c r="DY1426" s="6"/>
      <c r="DZ1426" s="6"/>
      <c r="EA1426" s="6"/>
      <c r="EB1426" s="6"/>
      <c r="EC1426" s="6"/>
      <c r="ED1426" s="6"/>
      <c r="EE1426" s="6"/>
      <c r="EF1426" s="6"/>
      <c r="EG1426" s="6"/>
      <c r="EH1426" s="6"/>
      <c r="EI1426" s="6"/>
      <c r="EJ1426" s="6"/>
      <c r="EK1426" s="6"/>
      <c r="EL1426" s="6"/>
      <c r="EM1426" s="6"/>
      <c r="EN1426" s="6"/>
      <c r="EO1426" s="6"/>
      <c r="EP1426" s="6"/>
      <c r="EQ1426" s="6"/>
      <c r="ER1426" s="6"/>
      <c r="ES1426" s="6"/>
      <c r="ET1426" s="6"/>
      <c r="EU1426" s="6"/>
      <c r="EV1426" s="6"/>
      <c r="EW1426" s="6"/>
      <c r="EX1426" s="6"/>
      <c r="EY1426" s="6"/>
      <c r="EZ1426" s="6"/>
      <c r="FA1426" s="6"/>
      <c r="FB1426" s="6"/>
      <c r="FC1426" s="6"/>
      <c r="FD1426" s="6"/>
      <c r="FE1426" s="6"/>
      <c r="FF1426" s="6"/>
      <c r="FG1426" s="6"/>
      <c r="FH1426" s="6"/>
      <c r="FI1426" s="6"/>
      <c r="FJ1426" s="6"/>
      <c r="FK1426" s="6"/>
      <c r="FL1426" s="6"/>
      <c r="FM1426" s="6"/>
      <c r="FN1426" s="6"/>
      <c r="FO1426" s="6"/>
      <c r="FP1426" s="6"/>
      <c r="FQ1426" s="6"/>
      <c r="FR1426" s="6"/>
      <c r="FS1426" s="6"/>
      <c r="FT1426" s="6"/>
      <c r="FU1426" s="6"/>
      <c r="FV1426" s="6"/>
      <c r="FW1426" s="6"/>
      <c r="FX1426" s="6"/>
      <c r="FY1426" s="6"/>
      <c r="FZ1426" s="6"/>
      <c r="GA1426" s="6"/>
      <c r="GB1426" s="6"/>
      <c r="GC1426" s="6"/>
      <c r="GD1426" s="6"/>
      <c r="GE1426" s="6"/>
      <c r="GF1426" s="6"/>
      <c r="GG1426" s="6"/>
      <c r="GH1426" s="6"/>
      <c r="GI1426" s="6"/>
      <c r="GJ1426" s="6"/>
      <c r="GK1426" s="6"/>
      <c r="GL1426" s="6"/>
      <c r="GM1426" s="6"/>
      <c r="GN1426" s="6"/>
      <c r="GO1426" s="6"/>
      <c r="GP1426" s="6"/>
      <c r="GQ1426" s="6"/>
      <c r="GR1426" s="6"/>
      <c r="GS1426" s="6"/>
      <c r="GT1426" s="6"/>
      <c r="GU1426" s="6"/>
      <c r="GV1426" s="6"/>
      <c r="GW1426" s="6"/>
      <c r="GX1426" s="6"/>
      <c r="GY1426" s="6"/>
      <c r="GZ1426" s="6"/>
      <c r="HA1426" s="6"/>
      <c r="HB1426" s="6"/>
      <c r="HC1426" s="6"/>
      <c r="HD1426" s="6"/>
      <c r="HE1426" s="6"/>
      <c r="HF1426" s="6"/>
      <c r="HG1426" s="6"/>
      <c r="HH1426" s="6"/>
    </row>
    <row r="1427" spans="1:216" x14ac:dyDescent="0.3">
      <c r="A1427" s="8"/>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6"/>
      <c r="AR1427" s="6"/>
      <c r="AS1427" s="6"/>
      <c r="AT1427" s="6"/>
      <c r="AU1427" s="6"/>
      <c r="AV1427" s="6"/>
      <c r="AW1427" s="6"/>
      <c r="AX1427" s="6"/>
      <c r="AY1427" s="6"/>
      <c r="AZ1427" s="6"/>
      <c r="BA1427" s="6"/>
      <c r="BB1427" s="6"/>
      <c r="BC1427" s="6"/>
      <c r="BD1427" s="6"/>
      <c r="BE1427" s="6"/>
      <c r="BF1427" s="6"/>
      <c r="BG1427" s="6"/>
      <c r="BH1427" s="6"/>
      <c r="BI1427" s="6"/>
      <c r="BJ1427" s="6"/>
      <c r="BK1427" s="6"/>
      <c r="BL1427" s="6"/>
      <c r="BM1427" s="6"/>
      <c r="BN1427" s="6"/>
      <c r="BO1427" s="6"/>
      <c r="BP1427" s="6"/>
      <c r="BQ1427" s="6"/>
      <c r="BR1427" s="6"/>
      <c r="BS1427" s="6"/>
      <c r="BT1427" s="6"/>
      <c r="BU1427" s="6"/>
      <c r="BV1427" s="6"/>
      <c r="BW1427" s="6"/>
      <c r="BX1427" s="6"/>
      <c r="BY1427" s="6"/>
      <c r="BZ1427" s="6"/>
      <c r="CA1427" s="6"/>
      <c r="CB1427" s="6"/>
      <c r="CC1427" s="6"/>
      <c r="CD1427" s="6"/>
      <c r="CE1427" s="6"/>
      <c r="CF1427" s="6"/>
      <c r="CG1427" s="6"/>
      <c r="CH1427" s="6"/>
      <c r="CI1427" s="6"/>
      <c r="CJ1427" s="6"/>
      <c r="CK1427" s="6"/>
      <c r="CL1427" s="6"/>
      <c r="CM1427" s="6"/>
      <c r="CN1427" s="6"/>
      <c r="CO1427" s="6"/>
      <c r="CP1427" s="6"/>
      <c r="CQ1427" s="6"/>
      <c r="CR1427" s="6"/>
      <c r="CS1427" s="6"/>
      <c r="CT1427" s="6"/>
      <c r="CU1427" s="6"/>
      <c r="CV1427" s="6"/>
      <c r="CW1427" s="6"/>
      <c r="CX1427" s="6"/>
      <c r="CY1427" s="6"/>
      <c r="CZ1427" s="6"/>
      <c r="DA1427" s="6"/>
      <c r="DB1427" s="6"/>
      <c r="DC1427" s="6"/>
      <c r="DD1427" s="6"/>
      <c r="DE1427" s="6"/>
      <c r="DF1427" s="6"/>
      <c r="DG1427" s="6"/>
      <c r="DH1427" s="6"/>
      <c r="DI1427" s="6"/>
      <c r="DJ1427" s="6"/>
      <c r="DK1427" s="6"/>
      <c r="DL1427" s="6"/>
      <c r="DM1427" s="6"/>
      <c r="DN1427" s="6"/>
      <c r="DO1427" s="6"/>
      <c r="DP1427" s="6"/>
      <c r="DQ1427" s="6"/>
      <c r="DR1427" s="6"/>
      <c r="DS1427" s="6"/>
      <c r="DT1427" s="6"/>
      <c r="DU1427" s="6"/>
      <c r="DV1427" s="6"/>
      <c r="DW1427" s="6"/>
      <c r="DX1427" s="6"/>
      <c r="DY1427" s="6"/>
      <c r="DZ1427" s="6"/>
      <c r="EA1427" s="6"/>
      <c r="EB1427" s="6"/>
      <c r="EC1427" s="6"/>
      <c r="ED1427" s="6"/>
      <c r="EE1427" s="6"/>
      <c r="EF1427" s="6"/>
      <c r="EG1427" s="6"/>
      <c r="EH1427" s="6"/>
      <c r="EI1427" s="6"/>
      <c r="EJ1427" s="6"/>
      <c r="EK1427" s="6"/>
      <c r="EL1427" s="6"/>
      <c r="EM1427" s="6"/>
      <c r="EN1427" s="6"/>
      <c r="EO1427" s="6"/>
      <c r="EP1427" s="6"/>
      <c r="EQ1427" s="6"/>
      <c r="ER1427" s="6"/>
      <c r="ES1427" s="6"/>
      <c r="ET1427" s="6"/>
      <c r="EU1427" s="6"/>
      <c r="EV1427" s="6"/>
      <c r="EW1427" s="6"/>
      <c r="EX1427" s="6"/>
      <c r="EY1427" s="6"/>
      <c r="EZ1427" s="6"/>
      <c r="FA1427" s="6"/>
      <c r="FB1427" s="6"/>
      <c r="FC1427" s="6"/>
      <c r="FD1427" s="6"/>
      <c r="FE1427" s="6"/>
      <c r="FF1427" s="6"/>
      <c r="FG1427" s="6"/>
      <c r="FH1427" s="6"/>
      <c r="FI1427" s="6"/>
      <c r="FJ1427" s="6"/>
      <c r="FK1427" s="6"/>
      <c r="FL1427" s="6"/>
      <c r="FM1427" s="6"/>
      <c r="FN1427" s="6"/>
      <c r="FO1427" s="6"/>
      <c r="FP1427" s="6"/>
      <c r="FQ1427" s="6"/>
      <c r="FR1427" s="6"/>
      <c r="FS1427" s="6"/>
      <c r="FT1427" s="6"/>
      <c r="FU1427" s="6"/>
      <c r="FV1427" s="6"/>
      <c r="FW1427" s="6"/>
      <c r="FX1427" s="6"/>
      <c r="FY1427" s="6"/>
      <c r="FZ1427" s="6"/>
      <c r="GA1427" s="6"/>
      <c r="GB1427" s="6"/>
      <c r="GC1427" s="6"/>
      <c r="GD1427" s="6"/>
      <c r="GE1427" s="6"/>
      <c r="GF1427" s="6"/>
      <c r="GG1427" s="6"/>
      <c r="GH1427" s="6"/>
      <c r="GI1427" s="6"/>
      <c r="GJ1427" s="6"/>
      <c r="GK1427" s="6"/>
      <c r="GL1427" s="6"/>
      <c r="GM1427" s="6"/>
      <c r="GN1427" s="6"/>
      <c r="GO1427" s="6"/>
      <c r="GP1427" s="6"/>
      <c r="GQ1427" s="6"/>
      <c r="GR1427" s="6"/>
      <c r="GS1427" s="6"/>
      <c r="GT1427" s="6"/>
      <c r="GU1427" s="6"/>
      <c r="GV1427" s="6"/>
      <c r="GW1427" s="6"/>
      <c r="GX1427" s="6"/>
      <c r="GY1427" s="6"/>
      <c r="GZ1427" s="6"/>
      <c r="HA1427" s="6"/>
      <c r="HB1427" s="6"/>
      <c r="HC1427" s="6"/>
      <c r="HD1427" s="6"/>
      <c r="HE1427" s="6"/>
      <c r="HF1427" s="6"/>
      <c r="HG1427" s="6"/>
      <c r="HH1427" s="6"/>
    </row>
    <row r="1428" spans="1:216" x14ac:dyDescent="0.3">
      <c r="A1428" s="8"/>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6"/>
      <c r="AR1428" s="6"/>
      <c r="AS1428" s="6"/>
      <c r="AT1428" s="6"/>
      <c r="AU1428" s="6"/>
      <c r="AV1428" s="6"/>
      <c r="AW1428" s="6"/>
      <c r="AX1428" s="6"/>
      <c r="AY1428" s="6"/>
      <c r="AZ1428" s="6"/>
      <c r="BA1428" s="6"/>
      <c r="BB1428" s="6"/>
      <c r="BC1428" s="6"/>
      <c r="BD1428" s="6"/>
      <c r="BE1428" s="6"/>
      <c r="BF1428" s="6"/>
      <c r="BG1428" s="6"/>
      <c r="BH1428" s="6"/>
      <c r="BI1428" s="6"/>
      <c r="BJ1428" s="6"/>
      <c r="BK1428" s="6"/>
      <c r="BL1428" s="6"/>
      <c r="BM1428" s="6"/>
      <c r="BN1428" s="6"/>
      <c r="BO1428" s="6"/>
      <c r="BP1428" s="6"/>
      <c r="BQ1428" s="6"/>
      <c r="BR1428" s="6"/>
      <c r="BS1428" s="6"/>
      <c r="BT1428" s="6"/>
      <c r="BU1428" s="6"/>
      <c r="BV1428" s="6"/>
      <c r="BW1428" s="6"/>
      <c r="BX1428" s="6"/>
      <c r="BY1428" s="6"/>
      <c r="BZ1428" s="6"/>
      <c r="CA1428" s="6"/>
      <c r="CB1428" s="6"/>
      <c r="CC1428" s="6"/>
      <c r="CD1428" s="6"/>
      <c r="CE1428" s="6"/>
      <c r="CF1428" s="6"/>
      <c r="CG1428" s="6"/>
      <c r="CH1428" s="6"/>
      <c r="CI1428" s="6"/>
      <c r="CJ1428" s="6"/>
      <c r="CK1428" s="6"/>
      <c r="CL1428" s="6"/>
      <c r="CM1428" s="6"/>
      <c r="CN1428" s="6"/>
      <c r="CO1428" s="6"/>
      <c r="CP1428" s="6"/>
      <c r="CQ1428" s="6"/>
      <c r="CR1428" s="6"/>
      <c r="CS1428" s="6"/>
      <c r="CT1428" s="6"/>
      <c r="CU1428" s="6"/>
      <c r="CV1428" s="6"/>
      <c r="CW1428" s="6"/>
      <c r="CX1428" s="6"/>
      <c r="CY1428" s="6"/>
      <c r="CZ1428" s="6"/>
      <c r="DA1428" s="6"/>
      <c r="DB1428" s="6"/>
      <c r="DC1428" s="6"/>
      <c r="DD1428" s="6"/>
      <c r="DE1428" s="6"/>
      <c r="DF1428" s="6"/>
      <c r="DG1428" s="6"/>
      <c r="DH1428" s="6"/>
      <c r="DI1428" s="6"/>
      <c r="DJ1428" s="6"/>
      <c r="DK1428" s="6"/>
      <c r="DL1428" s="6"/>
      <c r="DM1428" s="6"/>
      <c r="DN1428" s="6"/>
      <c r="DO1428" s="6"/>
      <c r="DP1428" s="6"/>
      <c r="DQ1428" s="6"/>
      <c r="DR1428" s="6"/>
      <c r="DS1428" s="6"/>
      <c r="DT1428" s="6"/>
      <c r="DU1428" s="6"/>
      <c r="DV1428" s="6"/>
      <c r="DW1428" s="6"/>
      <c r="DX1428" s="6"/>
      <c r="DY1428" s="6"/>
      <c r="DZ1428" s="6"/>
      <c r="EA1428" s="6"/>
      <c r="EB1428" s="6"/>
      <c r="EC1428" s="6"/>
      <c r="ED1428" s="6"/>
      <c r="EE1428" s="6"/>
      <c r="EF1428" s="6"/>
      <c r="EG1428" s="6"/>
      <c r="EH1428" s="6"/>
      <c r="EI1428" s="6"/>
      <c r="EJ1428" s="6"/>
      <c r="EK1428" s="6"/>
      <c r="EL1428" s="6"/>
      <c r="EM1428" s="6"/>
      <c r="EN1428" s="6"/>
      <c r="EO1428" s="6"/>
      <c r="EP1428" s="6"/>
      <c r="EQ1428" s="6"/>
      <c r="ER1428" s="6"/>
      <c r="ES1428" s="6"/>
      <c r="ET1428" s="6"/>
      <c r="EU1428" s="6"/>
      <c r="EV1428" s="6"/>
      <c r="EW1428" s="6"/>
      <c r="EX1428" s="6"/>
      <c r="EY1428" s="6"/>
      <c r="EZ1428" s="6"/>
      <c r="FA1428" s="6"/>
      <c r="FB1428" s="6"/>
      <c r="FC1428" s="6"/>
      <c r="FD1428" s="6"/>
      <c r="FE1428" s="6"/>
      <c r="FF1428" s="6"/>
      <c r="FG1428" s="6"/>
      <c r="FH1428" s="6"/>
      <c r="FI1428" s="6"/>
      <c r="FJ1428" s="6"/>
      <c r="FK1428" s="6"/>
      <c r="FL1428" s="6"/>
      <c r="FM1428" s="6"/>
      <c r="FN1428" s="6"/>
      <c r="FO1428" s="6"/>
      <c r="FP1428" s="6"/>
      <c r="FQ1428" s="6"/>
      <c r="FR1428" s="6"/>
      <c r="FS1428" s="6"/>
      <c r="FT1428" s="6"/>
      <c r="FU1428" s="6"/>
      <c r="FV1428" s="6"/>
      <c r="FW1428" s="6"/>
      <c r="FX1428" s="6"/>
      <c r="FY1428" s="6"/>
      <c r="FZ1428" s="6"/>
      <c r="GA1428" s="6"/>
      <c r="GB1428" s="6"/>
      <c r="GC1428" s="6"/>
      <c r="GD1428" s="6"/>
      <c r="GE1428" s="6"/>
      <c r="GF1428" s="6"/>
      <c r="GG1428" s="6"/>
      <c r="GH1428" s="6"/>
      <c r="GI1428" s="6"/>
      <c r="GJ1428" s="6"/>
      <c r="GK1428" s="6"/>
      <c r="GL1428" s="6"/>
      <c r="GM1428" s="6"/>
      <c r="GN1428" s="6"/>
      <c r="GO1428" s="6"/>
      <c r="GP1428" s="6"/>
      <c r="GQ1428" s="6"/>
      <c r="GR1428" s="6"/>
      <c r="GS1428" s="6"/>
      <c r="GT1428" s="6"/>
      <c r="GU1428" s="6"/>
      <c r="GV1428" s="6"/>
      <c r="GW1428" s="6"/>
      <c r="GX1428" s="6"/>
      <c r="GY1428" s="6"/>
      <c r="GZ1428" s="6"/>
      <c r="HA1428" s="6"/>
      <c r="HB1428" s="6"/>
      <c r="HC1428" s="6"/>
      <c r="HD1428" s="6"/>
      <c r="HE1428" s="6"/>
      <c r="HF1428" s="6"/>
      <c r="HG1428" s="6"/>
      <c r="HH1428" s="6"/>
    </row>
    <row r="1429" spans="1:216" x14ac:dyDescent="0.3">
      <c r="A1429" s="8"/>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6"/>
      <c r="AR1429" s="6"/>
      <c r="AS1429" s="6"/>
      <c r="AT1429" s="6"/>
      <c r="AU1429" s="6"/>
      <c r="AV1429" s="6"/>
      <c r="AW1429" s="6"/>
      <c r="AX1429" s="6"/>
      <c r="AY1429" s="6"/>
      <c r="AZ1429" s="6"/>
      <c r="BA1429" s="6"/>
      <c r="BB1429" s="6"/>
      <c r="BC1429" s="6"/>
      <c r="BD1429" s="6"/>
      <c r="BE1429" s="6"/>
      <c r="BF1429" s="6"/>
      <c r="BG1429" s="6"/>
      <c r="BH1429" s="6"/>
      <c r="BI1429" s="6"/>
      <c r="BJ1429" s="6"/>
      <c r="BK1429" s="6"/>
      <c r="BL1429" s="6"/>
      <c r="BM1429" s="6"/>
      <c r="BN1429" s="6"/>
      <c r="BO1429" s="6"/>
      <c r="BP1429" s="6"/>
      <c r="BQ1429" s="6"/>
      <c r="BR1429" s="6"/>
      <c r="BS1429" s="6"/>
      <c r="BT1429" s="6"/>
      <c r="BU1429" s="6"/>
      <c r="BV1429" s="6"/>
      <c r="BW1429" s="6"/>
      <c r="BX1429" s="6"/>
      <c r="BY1429" s="6"/>
      <c r="BZ1429" s="6"/>
      <c r="CA1429" s="6"/>
      <c r="CB1429" s="6"/>
      <c r="CC1429" s="6"/>
      <c r="CD1429" s="6"/>
      <c r="CE1429" s="6"/>
      <c r="CF1429" s="6"/>
      <c r="CG1429" s="6"/>
      <c r="CH1429" s="6"/>
      <c r="CI1429" s="6"/>
      <c r="CJ1429" s="6"/>
      <c r="CK1429" s="6"/>
      <c r="CL1429" s="6"/>
      <c r="CM1429" s="6"/>
      <c r="CN1429" s="6"/>
      <c r="CO1429" s="6"/>
      <c r="CP1429" s="6"/>
      <c r="CQ1429" s="6"/>
      <c r="CR1429" s="6"/>
      <c r="CS1429" s="6"/>
      <c r="CT1429" s="6"/>
      <c r="CU1429" s="6"/>
      <c r="CV1429" s="6"/>
      <c r="CW1429" s="6"/>
      <c r="CX1429" s="6"/>
      <c r="CY1429" s="6"/>
      <c r="CZ1429" s="6"/>
      <c r="DA1429" s="6"/>
      <c r="DB1429" s="6"/>
      <c r="DC1429" s="6"/>
      <c r="DD1429" s="6"/>
      <c r="DE1429" s="6"/>
      <c r="DF1429" s="6"/>
      <c r="DG1429" s="6"/>
      <c r="DH1429" s="6"/>
      <c r="DI1429" s="6"/>
      <c r="DJ1429" s="6"/>
      <c r="DK1429" s="6"/>
      <c r="DL1429" s="6"/>
      <c r="DM1429" s="6"/>
      <c r="DN1429" s="6"/>
      <c r="DO1429" s="6"/>
      <c r="DP1429" s="6"/>
      <c r="DQ1429" s="6"/>
      <c r="DR1429" s="6"/>
      <c r="DS1429" s="6"/>
      <c r="DT1429" s="6"/>
      <c r="DU1429" s="6"/>
      <c r="DV1429" s="6"/>
      <c r="DW1429" s="6"/>
      <c r="DX1429" s="6"/>
      <c r="DY1429" s="6"/>
      <c r="DZ1429" s="6"/>
      <c r="EA1429" s="6"/>
      <c r="EB1429" s="6"/>
      <c r="EC1429" s="6"/>
      <c r="ED1429" s="6"/>
      <c r="EE1429" s="6"/>
      <c r="EF1429" s="6"/>
      <c r="EG1429" s="6"/>
      <c r="EH1429" s="6"/>
      <c r="EI1429" s="6"/>
      <c r="EJ1429" s="6"/>
      <c r="EK1429" s="6"/>
      <c r="EL1429" s="6"/>
      <c r="EM1429" s="6"/>
      <c r="EN1429" s="6"/>
      <c r="EO1429" s="6"/>
      <c r="EP1429" s="6"/>
      <c r="EQ1429" s="6"/>
      <c r="ER1429" s="6"/>
      <c r="ES1429" s="6"/>
      <c r="ET1429" s="6"/>
      <c r="EU1429" s="6"/>
      <c r="EV1429" s="6"/>
      <c r="EW1429" s="6"/>
      <c r="EX1429" s="6"/>
      <c r="EY1429" s="6"/>
      <c r="EZ1429" s="6"/>
      <c r="FA1429" s="6"/>
      <c r="FB1429" s="6"/>
      <c r="FC1429" s="6"/>
      <c r="FD1429" s="6"/>
      <c r="FE1429" s="6"/>
      <c r="FF1429" s="6"/>
      <c r="FG1429" s="6"/>
      <c r="FH1429" s="6"/>
      <c r="FI1429" s="6"/>
      <c r="FJ1429" s="6"/>
      <c r="FK1429" s="6"/>
      <c r="FL1429" s="6"/>
      <c r="FM1429" s="6"/>
      <c r="FN1429" s="6"/>
      <c r="FO1429" s="6"/>
      <c r="FP1429" s="6"/>
      <c r="FQ1429" s="6"/>
      <c r="FR1429" s="6"/>
      <c r="FS1429" s="6"/>
      <c r="FT1429" s="6"/>
      <c r="FU1429" s="6"/>
      <c r="FV1429" s="6"/>
      <c r="FW1429" s="6"/>
      <c r="FX1429" s="6"/>
      <c r="FY1429" s="6"/>
      <c r="FZ1429" s="6"/>
      <c r="GA1429" s="6"/>
      <c r="GB1429" s="6"/>
      <c r="GC1429" s="6"/>
      <c r="GD1429" s="6"/>
      <c r="GE1429" s="6"/>
      <c r="GF1429" s="6"/>
      <c r="GG1429" s="6"/>
      <c r="GH1429" s="6"/>
      <c r="GI1429" s="6"/>
      <c r="GJ1429" s="6"/>
      <c r="GK1429" s="6"/>
      <c r="GL1429" s="6"/>
      <c r="GM1429" s="6"/>
      <c r="GN1429" s="6"/>
      <c r="GO1429" s="6"/>
      <c r="GP1429" s="6"/>
      <c r="GQ1429" s="6"/>
      <c r="GR1429" s="6"/>
      <c r="GS1429" s="6"/>
      <c r="GT1429" s="6"/>
      <c r="GU1429" s="6"/>
      <c r="GV1429" s="6"/>
      <c r="GW1429" s="6"/>
      <c r="GX1429" s="6"/>
      <c r="GY1429" s="6"/>
      <c r="GZ1429" s="6"/>
      <c r="HA1429" s="6"/>
      <c r="HB1429" s="6"/>
      <c r="HC1429" s="6"/>
      <c r="HD1429" s="6"/>
      <c r="HE1429" s="6"/>
      <c r="HF1429" s="6"/>
      <c r="HG1429" s="6"/>
      <c r="HH1429" s="6"/>
    </row>
    <row r="1430" spans="1:216" x14ac:dyDescent="0.3">
      <c r="A1430" s="8"/>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6"/>
      <c r="AR1430" s="6"/>
      <c r="AS1430" s="6"/>
      <c r="AT1430" s="6"/>
      <c r="AU1430" s="6"/>
      <c r="AV1430" s="6"/>
      <c r="AW1430" s="6"/>
      <c r="AX1430" s="6"/>
      <c r="AY1430" s="6"/>
      <c r="AZ1430" s="6"/>
      <c r="BA1430" s="6"/>
      <c r="BB1430" s="6"/>
      <c r="BC1430" s="6"/>
      <c r="BD1430" s="6"/>
      <c r="BE1430" s="6"/>
      <c r="BF1430" s="6"/>
      <c r="BG1430" s="6"/>
      <c r="BH1430" s="6"/>
      <c r="BI1430" s="6"/>
      <c r="BJ1430" s="6"/>
      <c r="BK1430" s="6"/>
      <c r="BL1430" s="6"/>
      <c r="BM1430" s="6"/>
      <c r="BN1430" s="6"/>
      <c r="BO1430" s="6"/>
      <c r="BP1430" s="6"/>
      <c r="BQ1430" s="6"/>
      <c r="BR1430" s="6"/>
      <c r="BS1430" s="6"/>
      <c r="BT1430" s="6"/>
      <c r="BU1430" s="6"/>
      <c r="BV1430" s="6"/>
      <c r="BW1430" s="6"/>
      <c r="BX1430" s="6"/>
      <c r="BY1430" s="6"/>
      <c r="BZ1430" s="6"/>
      <c r="CA1430" s="6"/>
      <c r="CB1430" s="6"/>
      <c r="CC1430" s="6"/>
      <c r="CD1430" s="6"/>
      <c r="CE1430" s="6"/>
      <c r="CF1430" s="6"/>
      <c r="CG1430" s="6"/>
      <c r="CH1430" s="6"/>
      <c r="CI1430" s="6"/>
      <c r="CJ1430" s="6"/>
      <c r="CK1430" s="6"/>
      <c r="CL1430" s="6"/>
      <c r="CM1430" s="6"/>
      <c r="CN1430" s="6"/>
      <c r="CO1430" s="6"/>
      <c r="CP1430" s="6"/>
      <c r="CQ1430" s="6"/>
      <c r="CR1430" s="6"/>
      <c r="CS1430" s="6"/>
      <c r="CT1430" s="6"/>
      <c r="CU1430" s="6"/>
      <c r="CV1430" s="6"/>
      <c r="CW1430" s="6"/>
      <c r="CX1430" s="6"/>
      <c r="CY1430" s="6"/>
      <c r="CZ1430" s="6"/>
      <c r="DA1430" s="6"/>
      <c r="DB1430" s="6"/>
      <c r="DC1430" s="6"/>
      <c r="DD1430" s="6"/>
      <c r="DE1430" s="6"/>
      <c r="DF1430" s="6"/>
      <c r="DG1430" s="6"/>
      <c r="DH1430" s="6"/>
      <c r="DI1430" s="6"/>
      <c r="DJ1430" s="6"/>
      <c r="DK1430" s="6"/>
      <c r="DL1430" s="6"/>
      <c r="DM1430" s="6"/>
      <c r="DN1430" s="6"/>
      <c r="DO1430" s="6"/>
      <c r="DP1430" s="6"/>
      <c r="DQ1430" s="6"/>
      <c r="DR1430" s="6"/>
      <c r="DS1430" s="6"/>
      <c r="DT1430" s="6"/>
      <c r="DU1430" s="6"/>
      <c r="DV1430" s="6"/>
      <c r="DW1430" s="6"/>
      <c r="DX1430" s="6"/>
      <c r="DY1430" s="6"/>
      <c r="DZ1430" s="6"/>
      <c r="EA1430" s="6"/>
      <c r="EB1430" s="6"/>
      <c r="EC1430" s="6"/>
      <c r="ED1430" s="6"/>
      <c r="EE1430" s="6"/>
      <c r="EF1430" s="6"/>
      <c r="EG1430" s="6"/>
      <c r="EH1430" s="6"/>
      <c r="EI1430" s="6"/>
      <c r="EJ1430" s="6"/>
      <c r="EK1430" s="6"/>
      <c r="EL1430" s="6"/>
      <c r="EM1430" s="6"/>
      <c r="EN1430" s="6"/>
      <c r="EO1430" s="6"/>
      <c r="EP1430" s="6"/>
      <c r="EQ1430" s="6"/>
      <c r="ER1430" s="6"/>
      <c r="ES1430" s="6"/>
      <c r="ET1430" s="6"/>
      <c r="EU1430" s="6"/>
      <c r="EV1430" s="6"/>
      <c r="EW1430" s="6"/>
      <c r="EX1430" s="6"/>
      <c r="EY1430" s="6"/>
      <c r="EZ1430" s="6"/>
      <c r="FA1430" s="6"/>
      <c r="FB1430" s="6"/>
      <c r="FC1430" s="6"/>
      <c r="FD1430" s="6"/>
      <c r="FE1430" s="6"/>
      <c r="FF1430" s="6"/>
      <c r="FG1430" s="6"/>
      <c r="FH1430" s="6"/>
      <c r="FI1430" s="6"/>
      <c r="FJ1430" s="6"/>
      <c r="FK1430" s="6"/>
      <c r="FL1430" s="6"/>
      <c r="FM1430" s="6"/>
      <c r="FN1430" s="6"/>
      <c r="FO1430" s="6"/>
      <c r="FP1430" s="6"/>
      <c r="FQ1430" s="6"/>
      <c r="FR1430" s="6"/>
      <c r="FS1430" s="6"/>
      <c r="FT1430" s="6"/>
      <c r="FU1430" s="6"/>
      <c r="FV1430" s="6"/>
      <c r="FW1430" s="6"/>
      <c r="FX1430" s="6"/>
      <c r="FY1430" s="6"/>
      <c r="FZ1430" s="6"/>
      <c r="GA1430" s="6"/>
      <c r="GB1430" s="6"/>
      <c r="GC1430" s="6"/>
      <c r="GD1430" s="6"/>
      <c r="GE1430" s="6"/>
      <c r="GF1430" s="6"/>
      <c r="GG1430" s="6"/>
      <c r="GH1430" s="6"/>
      <c r="GI1430" s="6"/>
      <c r="GJ1430" s="6"/>
      <c r="GK1430" s="6"/>
      <c r="GL1430" s="6"/>
      <c r="GM1430" s="6"/>
      <c r="GN1430" s="6"/>
      <c r="GO1430" s="6"/>
      <c r="GP1430" s="6"/>
      <c r="GQ1430" s="6"/>
      <c r="GR1430" s="6"/>
      <c r="GS1430" s="6"/>
      <c r="GT1430" s="6"/>
      <c r="GU1430" s="6"/>
      <c r="GV1430" s="6"/>
      <c r="GW1430" s="6"/>
      <c r="GX1430" s="6"/>
      <c r="GY1430" s="6"/>
      <c r="GZ1430" s="6"/>
      <c r="HA1430" s="6"/>
      <c r="HB1430" s="6"/>
      <c r="HC1430" s="6"/>
      <c r="HD1430" s="6"/>
      <c r="HE1430" s="6"/>
      <c r="HF1430" s="6"/>
      <c r="HG1430" s="6"/>
      <c r="HH1430" s="6"/>
    </row>
    <row r="1431" spans="1:216" x14ac:dyDescent="0.3">
      <c r="A1431" s="8"/>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6"/>
      <c r="AR1431" s="6"/>
      <c r="AS1431" s="6"/>
      <c r="AT1431" s="6"/>
      <c r="AU1431" s="6"/>
      <c r="AV1431" s="6"/>
      <c r="AW1431" s="6"/>
      <c r="AX1431" s="6"/>
      <c r="AY1431" s="6"/>
      <c r="AZ1431" s="6"/>
      <c r="BA1431" s="6"/>
      <c r="BB1431" s="6"/>
      <c r="BC1431" s="6"/>
      <c r="BD1431" s="6"/>
      <c r="BE1431" s="6"/>
      <c r="BF1431" s="6"/>
      <c r="BG1431" s="6"/>
      <c r="BH1431" s="6"/>
      <c r="BI1431" s="6"/>
      <c r="BJ1431" s="6"/>
      <c r="BK1431" s="6"/>
      <c r="BL1431" s="6"/>
      <c r="BM1431" s="6"/>
      <c r="BN1431" s="6"/>
      <c r="BO1431" s="6"/>
      <c r="BP1431" s="6"/>
      <c r="BQ1431" s="6"/>
      <c r="BR1431" s="6"/>
      <c r="BS1431" s="6"/>
      <c r="BT1431" s="6"/>
      <c r="BU1431" s="6"/>
      <c r="BV1431" s="6"/>
      <c r="BW1431" s="6"/>
      <c r="BX1431" s="6"/>
      <c r="BY1431" s="6"/>
      <c r="BZ1431" s="6"/>
      <c r="CA1431" s="6"/>
      <c r="CB1431" s="6"/>
      <c r="CC1431" s="6"/>
      <c r="CD1431" s="6"/>
      <c r="CE1431" s="6"/>
      <c r="CF1431" s="6"/>
      <c r="CG1431" s="6"/>
      <c r="CH1431" s="6"/>
      <c r="CI1431" s="6"/>
      <c r="CJ1431" s="6"/>
      <c r="CK1431" s="6"/>
      <c r="CL1431" s="6"/>
      <c r="CM1431" s="6"/>
      <c r="CN1431" s="6"/>
      <c r="CO1431" s="6"/>
      <c r="CP1431" s="6"/>
      <c r="CQ1431" s="6"/>
      <c r="CR1431" s="6"/>
      <c r="CS1431" s="6"/>
      <c r="CT1431" s="6"/>
      <c r="CU1431" s="6"/>
      <c r="CV1431" s="6"/>
      <c r="CW1431" s="6"/>
      <c r="CX1431" s="6"/>
      <c r="CY1431" s="6"/>
      <c r="CZ1431" s="6"/>
      <c r="DA1431" s="6"/>
      <c r="DB1431" s="6"/>
      <c r="DC1431" s="6"/>
      <c r="DD1431" s="6"/>
      <c r="DE1431" s="6"/>
      <c r="DF1431" s="6"/>
      <c r="DG1431" s="6"/>
      <c r="DH1431" s="6"/>
      <c r="DI1431" s="6"/>
      <c r="DJ1431" s="6"/>
      <c r="DK1431" s="6"/>
      <c r="DL1431" s="6"/>
      <c r="DM1431" s="6"/>
      <c r="DN1431" s="6"/>
      <c r="DO1431" s="6"/>
      <c r="DP1431" s="6"/>
      <c r="DQ1431" s="6"/>
      <c r="DR1431" s="6"/>
      <c r="DS1431" s="6"/>
      <c r="DT1431" s="6"/>
      <c r="DU1431" s="6"/>
      <c r="DV1431" s="6"/>
      <c r="DW1431" s="6"/>
      <c r="DX1431" s="6"/>
      <c r="DY1431" s="6"/>
      <c r="DZ1431" s="6"/>
      <c r="EA1431" s="6"/>
      <c r="EB1431" s="6"/>
      <c r="EC1431" s="6"/>
      <c r="ED1431" s="6"/>
      <c r="EE1431" s="6"/>
      <c r="EF1431" s="6"/>
      <c r="EG1431" s="6"/>
      <c r="EH1431" s="6"/>
      <c r="EI1431" s="6"/>
      <c r="EJ1431" s="6"/>
      <c r="EK1431" s="6"/>
      <c r="EL1431" s="6"/>
      <c r="EM1431" s="6"/>
      <c r="EN1431" s="6"/>
      <c r="EO1431" s="6"/>
      <c r="EP1431" s="6"/>
      <c r="EQ1431" s="6"/>
      <c r="ER1431" s="6"/>
      <c r="ES1431" s="6"/>
      <c r="ET1431" s="6"/>
      <c r="EU1431" s="6"/>
      <c r="EV1431" s="6"/>
      <c r="EW1431" s="6"/>
      <c r="EX1431" s="6"/>
      <c r="EY1431" s="6"/>
      <c r="EZ1431" s="6"/>
      <c r="FA1431" s="6"/>
      <c r="FB1431" s="6"/>
      <c r="FC1431" s="6"/>
      <c r="FD1431" s="6"/>
      <c r="FE1431" s="6"/>
      <c r="FF1431" s="6"/>
      <c r="FG1431" s="6"/>
      <c r="FH1431" s="6"/>
      <c r="FI1431" s="6"/>
      <c r="FJ1431" s="6"/>
      <c r="FK1431" s="6"/>
      <c r="FL1431" s="6"/>
      <c r="FM1431" s="6"/>
      <c r="FN1431" s="6"/>
      <c r="FO1431" s="6"/>
      <c r="FP1431" s="6"/>
      <c r="FQ1431" s="6"/>
      <c r="FR1431" s="6"/>
      <c r="FS1431" s="6"/>
      <c r="FT1431" s="6"/>
      <c r="FU1431" s="6"/>
      <c r="FV1431" s="6"/>
      <c r="FW1431" s="6"/>
      <c r="FX1431" s="6"/>
      <c r="FY1431" s="6"/>
      <c r="FZ1431" s="6"/>
      <c r="GA1431" s="6"/>
      <c r="GB1431" s="6"/>
      <c r="GC1431" s="6"/>
      <c r="GD1431" s="6"/>
      <c r="GE1431" s="6"/>
      <c r="GF1431" s="6"/>
      <c r="GG1431" s="6"/>
      <c r="GH1431" s="6"/>
      <c r="GI1431" s="6"/>
      <c r="GJ1431" s="6"/>
      <c r="GK1431" s="6"/>
      <c r="GL1431" s="6"/>
      <c r="GM1431" s="6"/>
      <c r="GN1431" s="6"/>
      <c r="GO1431" s="6"/>
      <c r="GP1431" s="6"/>
      <c r="GQ1431" s="6"/>
      <c r="GR1431" s="6"/>
      <c r="GS1431" s="6"/>
      <c r="GT1431" s="6"/>
      <c r="GU1431" s="6"/>
      <c r="GV1431" s="6"/>
      <c r="GW1431" s="6"/>
      <c r="GX1431" s="6"/>
      <c r="GY1431" s="6"/>
      <c r="GZ1431" s="6"/>
      <c r="HA1431" s="6"/>
      <c r="HB1431" s="6"/>
      <c r="HC1431" s="6"/>
      <c r="HD1431" s="6"/>
      <c r="HE1431" s="6"/>
      <c r="HF1431" s="6"/>
      <c r="HG1431" s="6"/>
      <c r="HH1431" s="6"/>
    </row>
    <row r="1432" spans="1:216" x14ac:dyDescent="0.3">
      <c r="A1432" s="8"/>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6"/>
      <c r="AR1432" s="6"/>
      <c r="AS1432" s="6"/>
      <c r="AT1432" s="6"/>
      <c r="AU1432" s="6"/>
      <c r="AV1432" s="6"/>
      <c r="AW1432" s="6"/>
      <c r="AX1432" s="6"/>
      <c r="AY1432" s="6"/>
      <c r="AZ1432" s="6"/>
      <c r="BA1432" s="6"/>
      <c r="BB1432" s="6"/>
      <c r="BC1432" s="6"/>
      <c r="BD1432" s="6"/>
      <c r="BE1432" s="6"/>
      <c r="BF1432" s="6"/>
      <c r="BG1432" s="6"/>
      <c r="BH1432" s="6"/>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6"/>
      <c r="CL1432" s="6"/>
      <c r="CM1432" s="6"/>
      <c r="CN1432" s="6"/>
      <c r="CO1432" s="6"/>
      <c r="CP1432" s="6"/>
      <c r="CQ1432" s="6"/>
      <c r="CR1432" s="6"/>
      <c r="CS1432" s="6"/>
      <c r="CT1432" s="6"/>
      <c r="CU1432" s="6"/>
      <c r="CV1432" s="6"/>
      <c r="CW1432" s="6"/>
      <c r="CX1432" s="6"/>
      <c r="CY1432" s="6"/>
      <c r="CZ1432" s="6"/>
      <c r="DA1432" s="6"/>
      <c r="DB1432" s="6"/>
      <c r="DC1432" s="6"/>
      <c r="DD1432" s="6"/>
      <c r="DE1432" s="6"/>
      <c r="DF1432" s="6"/>
      <c r="DG1432" s="6"/>
      <c r="DH1432" s="6"/>
      <c r="DI1432" s="6"/>
      <c r="DJ1432" s="6"/>
      <c r="DK1432" s="6"/>
      <c r="DL1432" s="6"/>
      <c r="DM1432" s="6"/>
      <c r="DN1432" s="6"/>
      <c r="DO1432" s="6"/>
      <c r="DP1432" s="6"/>
      <c r="DQ1432" s="6"/>
      <c r="DR1432" s="6"/>
      <c r="DS1432" s="6"/>
      <c r="DT1432" s="6"/>
      <c r="DU1432" s="6"/>
      <c r="DV1432" s="6"/>
      <c r="DW1432" s="6"/>
      <c r="DX1432" s="6"/>
      <c r="DY1432" s="6"/>
      <c r="DZ1432" s="6"/>
      <c r="EA1432" s="6"/>
      <c r="EB1432" s="6"/>
      <c r="EC1432" s="6"/>
      <c r="ED1432" s="6"/>
      <c r="EE1432" s="6"/>
      <c r="EF1432" s="6"/>
      <c r="EG1432" s="6"/>
      <c r="EH1432" s="6"/>
      <c r="EI1432" s="6"/>
      <c r="EJ1432" s="6"/>
      <c r="EK1432" s="6"/>
      <c r="EL1432" s="6"/>
      <c r="EM1432" s="6"/>
      <c r="EN1432" s="6"/>
      <c r="EO1432" s="6"/>
      <c r="EP1432" s="6"/>
      <c r="EQ1432" s="6"/>
      <c r="ER1432" s="6"/>
      <c r="ES1432" s="6"/>
      <c r="ET1432" s="6"/>
      <c r="EU1432" s="6"/>
      <c r="EV1432" s="6"/>
      <c r="EW1432" s="6"/>
      <c r="EX1432" s="6"/>
      <c r="EY1432" s="6"/>
      <c r="EZ1432" s="6"/>
      <c r="FA1432" s="6"/>
      <c r="FB1432" s="6"/>
      <c r="FC1432" s="6"/>
      <c r="FD1432" s="6"/>
      <c r="FE1432" s="6"/>
      <c r="FF1432" s="6"/>
      <c r="FG1432" s="6"/>
      <c r="FH1432" s="6"/>
      <c r="FI1432" s="6"/>
      <c r="FJ1432" s="6"/>
      <c r="FK1432" s="6"/>
      <c r="FL1432" s="6"/>
      <c r="FM1432" s="6"/>
      <c r="FN1432" s="6"/>
      <c r="FO1432" s="6"/>
      <c r="FP1432" s="6"/>
      <c r="FQ1432" s="6"/>
      <c r="FR1432" s="6"/>
      <c r="FS1432" s="6"/>
      <c r="FT1432" s="6"/>
      <c r="FU1432" s="6"/>
      <c r="FV1432" s="6"/>
      <c r="FW1432" s="6"/>
      <c r="FX1432" s="6"/>
      <c r="FY1432" s="6"/>
      <c r="FZ1432" s="6"/>
      <c r="GA1432" s="6"/>
      <c r="GB1432" s="6"/>
      <c r="GC1432" s="6"/>
      <c r="GD1432" s="6"/>
      <c r="GE1432" s="6"/>
      <c r="GF1432" s="6"/>
      <c r="GG1432" s="6"/>
      <c r="GH1432" s="6"/>
      <c r="GI1432" s="6"/>
      <c r="GJ1432" s="6"/>
      <c r="GK1432" s="6"/>
      <c r="GL1432" s="6"/>
      <c r="GM1432" s="6"/>
      <c r="GN1432" s="6"/>
      <c r="GO1432" s="6"/>
      <c r="GP1432" s="6"/>
      <c r="GQ1432" s="6"/>
      <c r="GR1432" s="6"/>
      <c r="GS1432" s="6"/>
      <c r="GT1432" s="6"/>
      <c r="GU1432" s="6"/>
      <c r="GV1432" s="6"/>
      <c r="GW1432" s="6"/>
      <c r="GX1432" s="6"/>
      <c r="GY1432" s="6"/>
      <c r="GZ1432" s="6"/>
      <c r="HA1432" s="6"/>
      <c r="HB1432" s="6"/>
      <c r="HC1432" s="6"/>
      <c r="HD1432" s="6"/>
      <c r="HE1432" s="6"/>
      <c r="HF1432" s="6"/>
      <c r="HG1432" s="6"/>
      <c r="HH1432" s="6"/>
    </row>
    <row r="1433" spans="1:216" x14ac:dyDescent="0.3">
      <c r="A1433" s="8"/>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6"/>
      <c r="AR1433" s="6"/>
      <c r="AS1433" s="6"/>
      <c r="AT1433" s="6"/>
      <c r="AU1433" s="6"/>
      <c r="AV1433" s="6"/>
      <c r="AW1433" s="6"/>
      <c r="AX1433" s="6"/>
      <c r="AY1433" s="6"/>
      <c r="AZ1433" s="6"/>
      <c r="BA1433" s="6"/>
      <c r="BB1433" s="6"/>
      <c r="BC1433" s="6"/>
      <c r="BD1433" s="6"/>
      <c r="BE1433" s="6"/>
      <c r="BF1433" s="6"/>
      <c r="BG1433" s="6"/>
      <c r="BH1433" s="6"/>
      <c r="BI1433" s="6"/>
      <c r="BJ1433" s="6"/>
      <c r="BK1433" s="6"/>
      <c r="BL1433" s="6"/>
      <c r="BM1433" s="6"/>
      <c r="BN1433" s="6"/>
      <c r="BO1433" s="6"/>
      <c r="BP1433" s="6"/>
      <c r="BQ1433" s="6"/>
      <c r="BR1433" s="6"/>
      <c r="BS1433" s="6"/>
      <c r="BT1433" s="6"/>
      <c r="BU1433" s="6"/>
      <c r="BV1433" s="6"/>
      <c r="BW1433" s="6"/>
      <c r="BX1433" s="6"/>
      <c r="BY1433" s="6"/>
      <c r="BZ1433" s="6"/>
      <c r="CA1433" s="6"/>
      <c r="CB1433" s="6"/>
      <c r="CC1433" s="6"/>
      <c r="CD1433" s="6"/>
      <c r="CE1433" s="6"/>
      <c r="CF1433" s="6"/>
      <c r="CG1433" s="6"/>
      <c r="CH1433" s="6"/>
      <c r="CI1433" s="6"/>
      <c r="CJ1433" s="6"/>
      <c r="CK1433" s="6"/>
      <c r="CL1433" s="6"/>
      <c r="CM1433" s="6"/>
      <c r="CN1433" s="6"/>
      <c r="CO1433" s="6"/>
      <c r="CP1433" s="6"/>
      <c r="CQ1433" s="6"/>
      <c r="CR1433" s="6"/>
      <c r="CS1433" s="6"/>
      <c r="CT1433" s="6"/>
      <c r="CU1433" s="6"/>
      <c r="CV1433" s="6"/>
      <c r="CW1433" s="6"/>
      <c r="CX1433" s="6"/>
      <c r="CY1433" s="6"/>
      <c r="CZ1433" s="6"/>
      <c r="DA1433" s="6"/>
      <c r="DB1433" s="6"/>
      <c r="DC1433" s="6"/>
      <c r="DD1433" s="6"/>
      <c r="DE1433" s="6"/>
      <c r="DF1433" s="6"/>
      <c r="DG1433" s="6"/>
      <c r="DH1433" s="6"/>
      <c r="DI1433" s="6"/>
      <c r="DJ1433" s="6"/>
      <c r="DK1433" s="6"/>
      <c r="DL1433" s="6"/>
      <c r="DM1433" s="6"/>
      <c r="DN1433" s="6"/>
      <c r="DO1433" s="6"/>
      <c r="DP1433" s="6"/>
      <c r="DQ1433" s="6"/>
      <c r="DR1433" s="6"/>
      <c r="DS1433" s="6"/>
      <c r="DT1433" s="6"/>
      <c r="DU1433" s="6"/>
      <c r="DV1433" s="6"/>
      <c r="DW1433" s="6"/>
      <c r="DX1433" s="6"/>
      <c r="DY1433" s="6"/>
      <c r="DZ1433" s="6"/>
      <c r="EA1433" s="6"/>
      <c r="EB1433" s="6"/>
      <c r="EC1433" s="6"/>
      <c r="ED1433" s="6"/>
      <c r="EE1433" s="6"/>
      <c r="EF1433" s="6"/>
      <c r="EG1433" s="6"/>
      <c r="EH1433" s="6"/>
      <c r="EI1433" s="6"/>
      <c r="EJ1433" s="6"/>
      <c r="EK1433" s="6"/>
      <c r="EL1433" s="6"/>
      <c r="EM1433" s="6"/>
      <c r="EN1433" s="6"/>
      <c r="EO1433" s="6"/>
      <c r="EP1433" s="6"/>
      <c r="EQ1433" s="6"/>
      <c r="ER1433" s="6"/>
      <c r="ES1433" s="6"/>
      <c r="ET1433" s="6"/>
      <c r="EU1433" s="6"/>
      <c r="EV1433" s="6"/>
      <c r="EW1433" s="6"/>
      <c r="EX1433" s="6"/>
      <c r="EY1433" s="6"/>
      <c r="EZ1433" s="6"/>
      <c r="FA1433" s="6"/>
      <c r="FB1433" s="6"/>
      <c r="FC1433" s="6"/>
      <c r="FD1433" s="6"/>
      <c r="FE1433" s="6"/>
      <c r="FF1433" s="6"/>
      <c r="FG1433" s="6"/>
      <c r="FH1433" s="6"/>
      <c r="FI1433" s="6"/>
      <c r="FJ1433" s="6"/>
      <c r="FK1433" s="6"/>
      <c r="FL1433" s="6"/>
      <c r="FM1433" s="6"/>
      <c r="FN1433" s="6"/>
      <c r="FO1433" s="6"/>
      <c r="FP1433" s="6"/>
      <c r="FQ1433" s="6"/>
      <c r="FR1433" s="6"/>
      <c r="FS1433" s="6"/>
      <c r="FT1433" s="6"/>
      <c r="FU1433" s="6"/>
      <c r="FV1433" s="6"/>
      <c r="FW1433" s="6"/>
      <c r="FX1433" s="6"/>
      <c r="FY1433" s="6"/>
      <c r="FZ1433" s="6"/>
      <c r="GA1433" s="6"/>
      <c r="GB1433" s="6"/>
      <c r="GC1433" s="6"/>
      <c r="GD1433" s="6"/>
      <c r="GE1433" s="6"/>
      <c r="GF1433" s="6"/>
      <c r="GG1433" s="6"/>
      <c r="GH1433" s="6"/>
      <c r="GI1433" s="6"/>
      <c r="GJ1433" s="6"/>
      <c r="GK1433" s="6"/>
      <c r="GL1433" s="6"/>
      <c r="GM1433" s="6"/>
      <c r="GN1433" s="6"/>
      <c r="GO1433" s="6"/>
      <c r="GP1433" s="6"/>
      <c r="GQ1433" s="6"/>
      <c r="GR1433" s="6"/>
      <c r="GS1433" s="6"/>
      <c r="GT1433" s="6"/>
      <c r="GU1433" s="6"/>
      <c r="GV1433" s="6"/>
      <c r="GW1433" s="6"/>
      <c r="GX1433" s="6"/>
      <c r="GY1433" s="6"/>
      <c r="GZ1433" s="6"/>
      <c r="HA1433" s="6"/>
      <c r="HB1433" s="6"/>
      <c r="HC1433" s="6"/>
      <c r="HD1433" s="6"/>
      <c r="HE1433" s="6"/>
      <c r="HF1433" s="6"/>
      <c r="HG1433" s="6"/>
      <c r="HH1433" s="6"/>
    </row>
    <row r="1434" spans="1:216" x14ac:dyDescent="0.3">
      <c r="A1434" s="8"/>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6"/>
      <c r="AR1434" s="6"/>
      <c r="AS1434" s="6"/>
      <c r="AT1434" s="6"/>
      <c r="AU1434" s="6"/>
      <c r="AV1434" s="6"/>
      <c r="AW1434" s="6"/>
      <c r="AX1434" s="6"/>
      <c r="AY1434" s="6"/>
      <c r="AZ1434" s="6"/>
      <c r="BA1434" s="6"/>
      <c r="BB1434" s="6"/>
      <c r="BC1434" s="6"/>
      <c r="BD1434" s="6"/>
      <c r="BE1434" s="6"/>
      <c r="BF1434" s="6"/>
      <c r="BG1434" s="6"/>
      <c r="BH1434" s="6"/>
      <c r="BI1434" s="6"/>
      <c r="BJ1434" s="6"/>
      <c r="BK1434" s="6"/>
      <c r="BL1434" s="6"/>
      <c r="BM1434" s="6"/>
      <c r="BN1434" s="6"/>
      <c r="BO1434" s="6"/>
      <c r="BP1434" s="6"/>
      <c r="BQ1434" s="6"/>
      <c r="BR1434" s="6"/>
      <c r="BS1434" s="6"/>
      <c r="BT1434" s="6"/>
      <c r="BU1434" s="6"/>
      <c r="BV1434" s="6"/>
      <c r="BW1434" s="6"/>
      <c r="BX1434" s="6"/>
      <c r="BY1434" s="6"/>
      <c r="BZ1434" s="6"/>
      <c r="CA1434" s="6"/>
      <c r="CB1434" s="6"/>
      <c r="CC1434" s="6"/>
      <c r="CD1434" s="6"/>
      <c r="CE1434" s="6"/>
      <c r="CF1434" s="6"/>
      <c r="CG1434" s="6"/>
      <c r="CH1434" s="6"/>
      <c r="CI1434" s="6"/>
      <c r="CJ1434" s="6"/>
      <c r="CK1434" s="6"/>
      <c r="CL1434" s="6"/>
      <c r="CM1434" s="6"/>
      <c r="CN1434" s="6"/>
      <c r="CO1434" s="6"/>
      <c r="CP1434" s="6"/>
      <c r="CQ1434" s="6"/>
      <c r="CR1434" s="6"/>
      <c r="CS1434" s="6"/>
      <c r="CT1434" s="6"/>
      <c r="CU1434" s="6"/>
      <c r="CV1434" s="6"/>
      <c r="CW1434" s="6"/>
      <c r="CX1434" s="6"/>
      <c r="CY1434" s="6"/>
      <c r="CZ1434" s="6"/>
      <c r="DA1434" s="6"/>
      <c r="DB1434" s="6"/>
      <c r="DC1434" s="6"/>
      <c r="DD1434" s="6"/>
      <c r="DE1434" s="6"/>
      <c r="DF1434" s="6"/>
      <c r="DG1434" s="6"/>
      <c r="DH1434" s="6"/>
      <c r="DI1434" s="6"/>
      <c r="DJ1434" s="6"/>
      <c r="DK1434" s="6"/>
      <c r="DL1434" s="6"/>
      <c r="DM1434" s="6"/>
      <c r="DN1434" s="6"/>
      <c r="DO1434" s="6"/>
      <c r="DP1434" s="6"/>
      <c r="DQ1434" s="6"/>
      <c r="DR1434" s="6"/>
      <c r="DS1434" s="6"/>
      <c r="DT1434" s="6"/>
      <c r="DU1434" s="6"/>
      <c r="DV1434" s="6"/>
      <c r="DW1434" s="6"/>
      <c r="DX1434" s="6"/>
      <c r="DY1434" s="6"/>
      <c r="DZ1434" s="6"/>
      <c r="EA1434" s="6"/>
      <c r="EB1434" s="6"/>
      <c r="EC1434" s="6"/>
      <c r="ED1434" s="6"/>
      <c r="EE1434" s="6"/>
      <c r="EF1434" s="6"/>
      <c r="EG1434" s="6"/>
      <c r="EH1434" s="6"/>
      <c r="EI1434" s="6"/>
      <c r="EJ1434" s="6"/>
      <c r="EK1434" s="6"/>
      <c r="EL1434" s="6"/>
      <c r="EM1434" s="6"/>
      <c r="EN1434" s="6"/>
      <c r="EO1434" s="6"/>
      <c r="EP1434" s="6"/>
      <c r="EQ1434" s="6"/>
      <c r="ER1434" s="6"/>
      <c r="ES1434" s="6"/>
      <c r="ET1434" s="6"/>
      <c r="EU1434" s="6"/>
      <c r="EV1434" s="6"/>
      <c r="EW1434" s="6"/>
      <c r="EX1434" s="6"/>
      <c r="EY1434" s="6"/>
      <c r="EZ1434" s="6"/>
      <c r="FA1434" s="6"/>
      <c r="FB1434" s="6"/>
      <c r="FC1434" s="6"/>
      <c r="FD1434" s="6"/>
      <c r="FE1434" s="6"/>
      <c r="FF1434" s="6"/>
      <c r="FG1434" s="6"/>
      <c r="FH1434" s="6"/>
      <c r="FI1434" s="6"/>
      <c r="FJ1434" s="6"/>
      <c r="FK1434" s="6"/>
      <c r="FL1434" s="6"/>
      <c r="FM1434" s="6"/>
      <c r="FN1434" s="6"/>
      <c r="FO1434" s="6"/>
      <c r="FP1434" s="6"/>
      <c r="FQ1434" s="6"/>
      <c r="FR1434" s="6"/>
      <c r="FS1434" s="6"/>
      <c r="FT1434" s="6"/>
      <c r="FU1434" s="6"/>
      <c r="FV1434" s="6"/>
      <c r="FW1434" s="6"/>
      <c r="FX1434" s="6"/>
      <c r="FY1434" s="6"/>
      <c r="FZ1434" s="6"/>
      <c r="GA1434" s="6"/>
      <c r="GB1434" s="6"/>
      <c r="GC1434" s="6"/>
      <c r="GD1434" s="6"/>
      <c r="GE1434" s="6"/>
      <c r="GF1434" s="6"/>
      <c r="GG1434" s="6"/>
      <c r="GH1434" s="6"/>
      <c r="GI1434" s="6"/>
      <c r="GJ1434" s="6"/>
      <c r="GK1434" s="6"/>
      <c r="GL1434" s="6"/>
      <c r="GM1434" s="6"/>
      <c r="GN1434" s="6"/>
      <c r="GO1434" s="6"/>
      <c r="GP1434" s="6"/>
      <c r="GQ1434" s="6"/>
      <c r="GR1434" s="6"/>
      <c r="GS1434" s="6"/>
      <c r="GT1434" s="6"/>
      <c r="GU1434" s="6"/>
      <c r="GV1434" s="6"/>
      <c r="GW1434" s="6"/>
      <c r="GX1434" s="6"/>
      <c r="GY1434" s="6"/>
      <c r="GZ1434" s="6"/>
      <c r="HA1434" s="6"/>
      <c r="HB1434" s="6"/>
      <c r="HC1434" s="6"/>
      <c r="HD1434" s="6"/>
      <c r="HE1434" s="6"/>
      <c r="HF1434" s="6"/>
      <c r="HG1434" s="6"/>
      <c r="HH1434" s="6"/>
    </row>
    <row r="1435" spans="1:216" x14ac:dyDescent="0.3">
      <c r="A1435" s="8"/>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6"/>
      <c r="AR1435" s="6"/>
      <c r="AS1435" s="6"/>
      <c r="AT1435" s="6"/>
      <c r="AU1435" s="6"/>
      <c r="AV1435" s="6"/>
      <c r="AW1435" s="6"/>
      <c r="AX1435" s="6"/>
      <c r="AY1435" s="6"/>
      <c r="AZ1435" s="6"/>
      <c r="BA1435" s="6"/>
      <c r="BB1435" s="6"/>
      <c r="BC1435" s="6"/>
      <c r="BD1435" s="6"/>
      <c r="BE1435" s="6"/>
      <c r="BF1435" s="6"/>
      <c r="BG1435" s="6"/>
      <c r="BH1435" s="6"/>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6"/>
      <c r="CL1435" s="6"/>
      <c r="CM1435" s="6"/>
      <c r="CN1435" s="6"/>
      <c r="CO1435" s="6"/>
      <c r="CP1435" s="6"/>
      <c r="CQ1435" s="6"/>
      <c r="CR1435" s="6"/>
      <c r="CS1435" s="6"/>
      <c r="CT1435" s="6"/>
      <c r="CU1435" s="6"/>
      <c r="CV1435" s="6"/>
      <c r="CW1435" s="6"/>
      <c r="CX1435" s="6"/>
      <c r="CY1435" s="6"/>
      <c r="CZ1435" s="6"/>
      <c r="DA1435" s="6"/>
      <c r="DB1435" s="6"/>
      <c r="DC1435" s="6"/>
      <c r="DD1435" s="6"/>
      <c r="DE1435" s="6"/>
      <c r="DF1435" s="6"/>
      <c r="DG1435" s="6"/>
      <c r="DH1435" s="6"/>
      <c r="DI1435" s="6"/>
      <c r="DJ1435" s="6"/>
      <c r="DK1435" s="6"/>
      <c r="DL1435" s="6"/>
      <c r="DM1435" s="6"/>
      <c r="DN1435" s="6"/>
      <c r="DO1435" s="6"/>
      <c r="DP1435" s="6"/>
      <c r="DQ1435" s="6"/>
      <c r="DR1435" s="6"/>
      <c r="DS1435" s="6"/>
      <c r="DT1435" s="6"/>
      <c r="DU1435" s="6"/>
      <c r="DV1435" s="6"/>
      <c r="DW1435" s="6"/>
      <c r="DX1435" s="6"/>
      <c r="DY1435" s="6"/>
      <c r="DZ1435" s="6"/>
      <c r="EA1435" s="6"/>
      <c r="EB1435" s="6"/>
      <c r="EC1435" s="6"/>
      <c r="ED1435" s="6"/>
      <c r="EE1435" s="6"/>
      <c r="EF1435" s="6"/>
      <c r="EG1435" s="6"/>
      <c r="EH1435" s="6"/>
      <c r="EI1435" s="6"/>
      <c r="EJ1435" s="6"/>
      <c r="EK1435" s="6"/>
      <c r="EL1435" s="6"/>
      <c r="EM1435" s="6"/>
      <c r="EN1435" s="6"/>
      <c r="EO1435" s="6"/>
      <c r="EP1435" s="6"/>
      <c r="EQ1435" s="6"/>
      <c r="ER1435" s="6"/>
      <c r="ES1435" s="6"/>
      <c r="ET1435" s="6"/>
      <c r="EU1435" s="6"/>
      <c r="EV1435" s="6"/>
      <c r="EW1435" s="6"/>
      <c r="EX1435" s="6"/>
      <c r="EY1435" s="6"/>
      <c r="EZ1435" s="6"/>
      <c r="FA1435" s="6"/>
      <c r="FB1435" s="6"/>
      <c r="FC1435" s="6"/>
      <c r="FD1435" s="6"/>
      <c r="FE1435" s="6"/>
      <c r="FF1435" s="6"/>
      <c r="FG1435" s="6"/>
      <c r="FH1435" s="6"/>
      <c r="FI1435" s="6"/>
      <c r="FJ1435" s="6"/>
      <c r="FK1435" s="6"/>
      <c r="FL1435" s="6"/>
      <c r="FM1435" s="6"/>
      <c r="FN1435" s="6"/>
      <c r="FO1435" s="6"/>
      <c r="FP1435" s="6"/>
      <c r="FQ1435" s="6"/>
      <c r="FR1435" s="6"/>
      <c r="FS1435" s="6"/>
      <c r="FT1435" s="6"/>
      <c r="FU1435" s="6"/>
      <c r="FV1435" s="6"/>
      <c r="FW1435" s="6"/>
      <c r="FX1435" s="6"/>
      <c r="FY1435" s="6"/>
      <c r="FZ1435" s="6"/>
      <c r="GA1435" s="6"/>
      <c r="GB1435" s="6"/>
      <c r="GC1435" s="6"/>
      <c r="GD1435" s="6"/>
      <c r="GE1435" s="6"/>
      <c r="GF1435" s="6"/>
      <c r="GG1435" s="6"/>
      <c r="GH1435" s="6"/>
      <c r="GI1435" s="6"/>
      <c r="GJ1435" s="6"/>
      <c r="GK1435" s="6"/>
      <c r="GL1435" s="6"/>
      <c r="GM1435" s="6"/>
      <c r="GN1435" s="6"/>
      <c r="GO1435" s="6"/>
      <c r="GP1435" s="6"/>
      <c r="GQ1435" s="6"/>
      <c r="GR1435" s="6"/>
      <c r="GS1435" s="6"/>
      <c r="GT1435" s="6"/>
      <c r="GU1435" s="6"/>
      <c r="GV1435" s="6"/>
      <c r="GW1435" s="6"/>
      <c r="GX1435" s="6"/>
      <c r="GY1435" s="6"/>
      <c r="GZ1435" s="6"/>
      <c r="HA1435" s="6"/>
      <c r="HB1435" s="6"/>
      <c r="HC1435" s="6"/>
      <c r="HD1435" s="6"/>
      <c r="HE1435" s="6"/>
      <c r="HF1435" s="6"/>
      <c r="HG1435" s="6"/>
      <c r="HH1435" s="6"/>
    </row>
    <row r="1436" spans="1:216" x14ac:dyDescent="0.3">
      <c r="A1436" s="8"/>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6"/>
      <c r="AR1436" s="6"/>
      <c r="AS1436" s="6"/>
      <c r="AT1436" s="6"/>
      <c r="AU1436" s="6"/>
      <c r="AV1436" s="6"/>
      <c r="AW1436" s="6"/>
      <c r="AX1436" s="6"/>
      <c r="AY1436" s="6"/>
      <c r="AZ1436" s="6"/>
      <c r="BA1436" s="6"/>
      <c r="BB1436" s="6"/>
      <c r="BC1436" s="6"/>
      <c r="BD1436" s="6"/>
      <c r="BE1436" s="6"/>
      <c r="BF1436" s="6"/>
      <c r="BG1436" s="6"/>
      <c r="BH1436" s="6"/>
      <c r="BI1436" s="6"/>
      <c r="BJ1436" s="6"/>
      <c r="BK1436" s="6"/>
      <c r="BL1436" s="6"/>
      <c r="BM1436" s="6"/>
      <c r="BN1436" s="6"/>
      <c r="BO1436" s="6"/>
      <c r="BP1436" s="6"/>
      <c r="BQ1436" s="6"/>
      <c r="BR1436" s="6"/>
      <c r="BS1436" s="6"/>
      <c r="BT1436" s="6"/>
      <c r="BU1436" s="6"/>
      <c r="BV1436" s="6"/>
      <c r="BW1436" s="6"/>
      <c r="BX1436" s="6"/>
      <c r="BY1436" s="6"/>
      <c r="BZ1436" s="6"/>
      <c r="CA1436" s="6"/>
      <c r="CB1436" s="6"/>
      <c r="CC1436" s="6"/>
      <c r="CD1436" s="6"/>
      <c r="CE1436" s="6"/>
      <c r="CF1436" s="6"/>
      <c r="CG1436" s="6"/>
      <c r="CH1436" s="6"/>
      <c r="CI1436" s="6"/>
      <c r="CJ1436" s="6"/>
      <c r="CK1436" s="6"/>
      <c r="CL1436" s="6"/>
      <c r="CM1436" s="6"/>
      <c r="CN1436" s="6"/>
      <c r="CO1436" s="6"/>
      <c r="CP1436" s="6"/>
      <c r="CQ1436" s="6"/>
      <c r="CR1436" s="6"/>
      <c r="CS1436" s="6"/>
      <c r="CT1436" s="6"/>
      <c r="CU1436" s="6"/>
      <c r="CV1436" s="6"/>
      <c r="CW1436" s="6"/>
      <c r="CX1436" s="6"/>
      <c r="CY1436" s="6"/>
      <c r="CZ1436" s="6"/>
      <c r="DA1436" s="6"/>
      <c r="DB1436" s="6"/>
      <c r="DC1436" s="6"/>
      <c r="DD1436" s="6"/>
      <c r="DE1436" s="6"/>
      <c r="DF1436" s="6"/>
      <c r="DG1436" s="6"/>
      <c r="DH1436" s="6"/>
      <c r="DI1436" s="6"/>
      <c r="DJ1436" s="6"/>
      <c r="DK1436" s="6"/>
      <c r="DL1436" s="6"/>
      <c r="DM1436" s="6"/>
      <c r="DN1436" s="6"/>
      <c r="DO1436" s="6"/>
      <c r="DP1436" s="6"/>
      <c r="DQ1436" s="6"/>
      <c r="DR1436" s="6"/>
      <c r="DS1436" s="6"/>
      <c r="DT1436" s="6"/>
      <c r="DU1436" s="6"/>
      <c r="DV1436" s="6"/>
      <c r="DW1436" s="6"/>
      <c r="DX1436" s="6"/>
      <c r="DY1436" s="6"/>
      <c r="DZ1436" s="6"/>
      <c r="EA1436" s="6"/>
      <c r="EB1436" s="6"/>
      <c r="EC1436" s="6"/>
      <c r="ED1436" s="6"/>
      <c r="EE1436" s="6"/>
      <c r="EF1436" s="6"/>
      <c r="EG1436" s="6"/>
      <c r="EH1436" s="6"/>
      <c r="EI1436" s="6"/>
      <c r="EJ1436" s="6"/>
      <c r="EK1436" s="6"/>
      <c r="EL1436" s="6"/>
      <c r="EM1436" s="6"/>
      <c r="EN1436" s="6"/>
      <c r="EO1436" s="6"/>
      <c r="EP1436" s="6"/>
      <c r="EQ1436" s="6"/>
      <c r="ER1436" s="6"/>
      <c r="ES1436" s="6"/>
      <c r="ET1436" s="6"/>
      <c r="EU1436" s="6"/>
      <c r="EV1436" s="6"/>
      <c r="EW1436" s="6"/>
      <c r="EX1436" s="6"/>
      <c r="EY1436" s="6"/>
      <c r="EZ1436" s="6"/>
      <c r="FA1436" s="6"/>
      <c r="FB1436" s="6"/>
      <c r="FC1436" s="6"/>
      <c r="FD1436" s="6"/>
      <c r="FE1436" s="6"/>
      <c r="FF1436" s="6"/>
      <c r="FG1436" s="6"/>
      <c r="FH1436" s="6"/>
      <c r="FI1436" s="6"/>
      <c r="FJ1436" s="6"/>
      <c r="FK1436" s="6"/>
      <c r="FL1436" s="6"/>
      <c r="FM1436" s="6"/>
      <c r="FN1436" s="6"/>
      <c r="FO1436" s="6"/>
      <c r="FP1436" s="6"/>
      <c r="FQ1436" s="6"/>
      <c r="FR1436" s="6"/>
      <c r="FS1436" s="6"/>
      <c r="FT1436" s="6"/>
      <c r="FU1436" s="6"/>
      <c r="FV1436" s="6"/>
      <c r="FW1436" s="6"/>
      <c r="FX1436" s="6"/>
      <c r="FY1436" s="6"/>
      <c r="FZ1436" s="6"/>
      <c r="GA1436" s="6"/>
      <c r="GB1436" s="6"/>
      <c r="GC1436" s="6"/>
      <c r="GD1436" s="6"/>
      <c r="GE1436" s="6"/>
      <c r="GF1436" s="6"/>
      <c r="GG1436" s="6"/>
      <c r="GH1436" s="6"/>
      <c r="GI1436" s="6"/>
      <c r="GJ1436" s="6"/>
      <c r="GK1436" s="6"/>
      <c r="GL1436" s="6"/>
      <c r="GM1436" s="6"/>
      <c r="GN1436" s="6"/>
      <c r="GO1436" s="6"/>
      <c r="GP1436" s="6"/>
      <c r="GQ1436" s="6"/>
      <c r="GR1436" s="6"/>
      <c r="GS1436" s="6"/>
      <c r="GT1436" s="6"/>
      <c r="GU1436" s="6"/>
      <c r="GV1436" s="6"/>
      <c r="GW1436" s="6"/>
      <c r="GX1436" s="6"/>
      <c r="GY1436" s="6"/>
      <c r="GZ1436" s="6"/>
      <c r="HA1436" s="6"/>
      <c r="HB1436" s="6"/>
      <c r="HC1436" s="6"/>
      <c r="HD1436" s="6"/>
      <c r="HE1436" s="6"/>
      <c r="HF1436" s="6"/>
      <c r="HG1436" s="6"/>
      <c r="HH1436" s="6"/>
    </row>
    <row r="1437" spans="1:216" x14ac:dyDescent="0.3">
      <c r="A1437" s="8"/>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6"/>
      <c r="AR1437" s="6"/>
      <c r="AS1437" s="6"/>
      <c r="AT1437" s="6"/>
      <c r="AU1437" s="6"/>
      <c r="AV1437" s="6"/>
      <c r="AW1437" s="6"/>
      <c r="AX1437" s="6"/>
      <c r="AY1437" s="6"/>
      <c r="AZ1437" s="6"/>
      <c r="BA1437" s="6"/>
      <c r="BB1437" s="6"/>
      <c r="BC1437" s="6"/>
      <c r="BD1437" s="6"/>
      <c r="BE1437" s="6"/>
      <c r="BF1437" s="6"/>
      <c r="BG1437" s="6"/>
      <c r="BH1437" s="6"/>
      <c r="BI1437" s="6"/>
      <c r="BJ1437" s="6"/>
      <c r="BK1437" s="6"/>
      <c r="BL1437" s="6"/>
      <c r="BM1437" s="6"/>
      <c r="BN1437" s="6"/>
      <c r="BO1437" s="6"/>
      <c r="BP1437" s="6"/>
      <c r="BQ1437" s="6"/>
      <c r="BR1437" s="6"/>
      <c r="BS1437" s="6"/>
      <c r="BT1437" s="6"/>
      <c r="BU1437" s="6"/>
      <c r="BV1437" s="6"/>
      <c r="BW1437" s="6"/>
      <c r="BX1437" s="6"/>
      <c r="BY1437" s="6"/>
      <c r="BZ1437" s="6"/>
      <c r="CA1437" s="6"/>
      <c r="CB1437" s="6"/>
      <c r="CC1437" s="6"/>
      <c r="CD1437" s="6"/>
      <c r="CE1437" s="6"/>
      <c r="CF1437" s="6"/>
      <c r="CG1437" s="6"/>
      <c r="CH1437" s="6"/>
      <c r="CI1437" s="6"/>
      <c r="CJ1437" s="6"/>
      <c r="CK1437" s="6"/>
      <c r="CL1437" s="6"/>
      <c r="CM1437" s="6"/>
      <c r="CN1437" s="6"/>
      <c r="CO1437" s="6"/>
      <c r="CP1437" s="6"/>
      <c r="CQ1437" s="6"/>
      <c r="CR1437" s="6"/>
      <c r="CS1437" s="6"/>
      <c r="CT1437" s="6"/>
      <c r="CU1437" s="6"/>
      <c r="CV1437" s="6"/>
      <c r="CW1437" s="6"/>
      <c r="CX1437" s="6"/>
      <c r="CY1437" s="6"/>
      <c r="CZ1437" s="6"/>
      <c r="DA1437" s="6"/>
      <c r="DB1437" s="6"/>
      <c r="DC1437" s="6"/>
      <c r="DD1437" s="6"/>
      <c r="DE1437" s="6"/>
      <c r="DF1437" s="6"/>
      <c r="DG1437" s="6"/>
      <c r="DH1437" s="6"/>
      <c r="DI1437" s="6"/>
      <c r="DJ1437" s="6"/>
      <c r="DK1437" s="6"/>
      <c r="DL1437" s="6"/>
      <c r="DM1437" s="6"/>
      <c r="DN1437" s="6"/>
      <c r="DO1437" s="6"/>
      <c r="DP1437" s="6"/>
      <c r="DQ1437" s="6"/>
      <c r="DR1437" s="6"/>
      <c r="DS1437" s="6"/>
      <c r="DT1437" s="6"/>
      <c r="DU1437" s="6"/>
      <c r="DV1437" s="6"/>
      <c r="DW1437" s="6"/>
      <c r="DX1437" s="6"/>
      <c r="DY1437" s="6"/>
      <c r="DZ1437" s="6"/>
      <c r="EA1437" s="6"/>
      <c r="EB1437" s="6"/>
      <c r="EC1437" s="6"/>
      <c r="ED1437" s="6"/>
      <c r="EE1437" s="6"/>
      <c r="EF1437" s="6"/>
      <c r="EG1437" s="6"/>
      <c r="EH1437" s="6"/>
      <c r="EI1437" s="6"/>
      <c r="EJ1437" s="6"/>
      <c r="EK1437" s="6"/>
      <c r="EL1437" s="6"/>
      <c r="EM1437" s="6"/>
      <c r="EN1437" s="6"/>
      <c r="EO1437" s="6"/>
      <c r="EP1437" s="6"/>
      <c r="EQ1437" s="6"/>
      <c r="ER1437" s="6"/>
      <c r="ES1437" s="6"/>
      <c r="ET1437" s="6"/>
      <c r="EU1437" s="6"/>
      <c r="EV1437" s="6"/>
      <c r="EW1437" s="6"/>
      <c r="EX1437" s="6"/>
      <c r="EY1437" s="6"/>
      <c r="EZ1437" s="6"/>
      <c r="FA1437" s="6"/>
      <c r="FB1437" s="6"/>
      <c r="FC1437" s="6"/>
      <c r="FD1437" s="6"/>
      <c r="FE1437" s="6"/>
      <c r="FF1437" s="6"/>
      <c r="FG1437" s="6"/>
      <c r="FH1437" s="6"/>
      <c r="FI1437" s="6"/>
      <c r="FJ1437" s="6"/>
      <c r="FK1437" s="6"/>
      <c r="FL1437" s="6"/>
      <c r="FM1437" s="6"/>
      <c r="FN1437" s="6"/>
      <c r="FO1437" s="6"/>
      <c r="FP1437" s="6"/>
      <c r="FQ1437" s="6"/>
      <c r="FR1437" s="6"/>
      <c r="FS1437" s="6"/>
      <c r="FT1437" s="6"/>
      <c r="FU1437" s="6"/>
      <c r="FV1437" s="6"/>
      <c r="FW1437" s="6"/>
      <c r="FX1437" s="6"/>
      <c r="FY1437" s="6"/>
      <c r="FZ1437" s="6"/>
      <c r="GA1437" s="6"/>
      <c r="GB1437" s="6"/>
      <c r="GC1437" s="6"/>
      <c r="GD1437" s="6"/>
      <c r="GE1437" s="6"/>
      <c r="GF1437" s="6"/>
      <c r="GG1437" s="6"/>
      <c r="GH1437" s="6"/>
      <c r="GI1437" s="6"/>
      <c r="GJ1437" s="6"/>
      <c r="GK1437" s="6"/>
      <c r="GL1437" s="6"/>
      <c r="GM1437" s="6"/>
      <c r="GN1437" s="6"/>
      <c r="GO1437" s="6"/>
      <c r="GP1437" s="6"/>
      <c r="GQ1437" s="6"/>
      <c r="GR1437" s="6"/>
      <c r="GS1437" s="6"/>
      <c r="GT1437" s="6"/>
      <c r="GU1437" s="6"/>
      <c r="GV1437" s="6"/>
      <c r="GW1437" s="6"/>
      <c r="GX1437" s="6"/>
      <c r="GY1437" s="6"/>
      <c r="GZ1437" s="6"/>
      <c r="HA1437" s="6"/>
      <c r="HB1437" s="6"/>
      <c r="HC1437" s="6"/>
      <c r="HD1437" s="6"/>
      <c r="HE1437" s="6"/>
      <c r="HF1437" s="6"/>
      <c r="HG1437" s="6"/>
      <c r="HH1437" s="6"/>
    </row>
    <row r="1438" spans="1:216" x14ac:dyDescent="0.3">
      <c r="A1438" s="8"/>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6"/>
      <c r="AR1438" s="6"/>
      <c r="AS1438" s="6"/>
      <c r="AT1438" s="6"/>
      <c r="AU1438" s="6"/>
      <c r="AV1438" s="6"/>
      <c r="AW1438" s="6"/>
      <c r="AX1438" s="6"/>
      <c r="AY1438" s="6"/>
      <c r="AZ1438" s="6"/>
      <c r="BA1438" s="6"/>
      <c r="BB1438" s="6"/>
      <c r="BC1438" s="6"/>
      <c r="BD1438" s="6"/>
      <c r="BE1438" s="6"/>
      <c r="BF1438" s="6"/>
      <c r="BG1438" s="6"/>
      <c r="BH1438" s="6"/>
      <c r="BI1438" s="6"/>
      <c r="BJ1438" s="6"/>
      <c r="BK1438" s="6"/>
      <c r="BL1438" s="6"/>
      <c r="BM1438" s="6"/>
      <c r="BN1438" s="6"/>
      <c r="BO1438" s="6"/>
      <c r="BP1438" s="6"/>
      <c r="BQ1438" s="6"/>
      <c r="BR1438" s="6"/>
      <c r="BS1438" s="6"/>
      <c r="BT1438" s="6"/>
      <c r="BU1438" s="6"/>
      <c r="BV1438" s="6"/>
      <c r="BW1438" s="6"/>
      <c r="BX1438" s="6"/>
      <c r="BY1438" s="6"/>
      <c r="BZ1438" s="6"/>
      <c r="CA1438" s="6"/>
      <c r="CB1438" s="6"/>
      <c r="CC1438" s="6"/>
      <c r="CD1438" s="6"/>
      <c r="CE1438" s="6"/>
      <c r="CF1438" s="6"/>
      <c r="CG1438" s="6"/>
      <c r="CH1438" s="6"/>
      <c r="CI1438" s="6"/>
      <c r="CJ1438" s="6"/>
      <c r="CK1438" s="6"/>
      <c r="CL1438" s="6"/>
      <c r="CM1438" s="6"/>
      <c r="CN1438" s="6"/>
      <c r="CO1438" s="6"/>
      <c r="CP1438" s="6"/>
      <c r="CQ1438" s="6"/>
      <c r="CR1438" s="6"/>
      <c r="CS1438" s="6"/>
      <c r="CT1438" s="6"/>
      <c r="CU1438" s="6"/>
      <c r="CV1438" s="6"/>
      <c r="CW1438" s="6"/>
      <c r="CX1438" s="6"/>
      <c r="CY1438" s="6"/>
      <c r="CZ1438" s="6"/>
      <c r="DA1438" s="6"/>
      <c r="DB1438" s="6"/>
      <c r="DC1438" s="6"/>
      <c r="DD1438" s="6"/>
      <c r="DE1438" s="6"/>
      <c r="DF1438" s="6"/>
      <c r="DG1438" s="6"/>
      <c r="DH1438" s="6"/>
      <c r="DI1438" s="6"/>
      <c r="DJ1438" s="6"/>
      <c r="DK1438" s="6"/>
      <c r="DL1438" s="6"/>
      <c r="DM1438" s="6"/>
      <c r="DN1438" s="6"/>
      <c r="DO1438" s="6"/>
      <c r="DP1438" s="6"/>
      <c r="DQ1438" s="6"/>
      <c r="DR1438" s="6"/>
      <c r="DS1438" s="6"/>
      <c r="DT1438" s="6"/>
      <c r="DU1438" s="6"/>
      <c r="DV1438" s="6"/>
      <c r="DW1438" s="6"/>
      <c r="DX1438" s="6"/>
      <c r="DY1438" s="6"/>
      <c r="DZ1438" s="6"/>
      <c r="EA1438" s="6"/>
      <c r="EB1438" s="6"/>
      <c r="EC1438" s="6"/>
      <c r="ED1438" s="6"/>
      <c r="EE1438" s="6"/>
      <c r="EF1438" s="6"/>
      <c r="EG1438" s="6"/>
      <c r="EH1438" s="6"/>
      <c r="EI1438" s="6"/>
      <c r="EJ1438" s="6"/>
      <c r="EK1438" s="6"/>
      <c r="EL1438" s="6"/>
      <c r="EM1438" s="6"/>
      <c r="EN1438" s="6"/>
      <c r="EO1438" s="6"/>
      <c r="EP1438" s="6"/>
      <c r="EQ1438" s="6"/>
      <c r="ER1438" s="6"/>
      <c r="ES1438" s="6"/>
      <c r="ET1438" s="6"/>
      <c r="EU1438" s="6"/>
      <c r="EV1438" s="6"/>
      <c r="EW1438" s="6"/>
      <c r="EX1438" s="6"/>
      <c r="EY1438" s="6"/>
      <c r="EZ1438" s="6"/>
      <c r="FA1438" s="6"/>
      <c r="FB1438" s="6"/>
      <c r="FC1438" s="6"/>
      <c r="FD1438" s="6"/>
      <c r="FE1438" s="6"/>
      <c r="FF1438" s="6"/>
      <c r="FG1438" s="6"/>
      <c r="FH1438" s="6"/>
      <c r="FI1438" s="6"/>
      <c r="FJ1438" s="6"/>
      <c r="FK1438" s="6"/>
      <c r="FL1438" s="6"/>
      <c r="FM1438" s="6"/>
      <c r="FN1438" s="6"/>
      <c r="FO1438" s="6"/>
      <c r="FP1438" s="6"/>
      <c r="FQ1438" s="6"/>
      <c r="FR1438" s="6"/>
      <c r="FS1438" s="6"/>
      <c r="FT1438" s="6"/>
      <c r="FU1438" s="6"/>
      <c r="FV1438" s="6"/>
      <c r="FW1438" s="6"/>
      <c r="FX1438" s="6"/>
      <c r="FY1438" s="6"/>
      <c r="FZ1438" s="6"/>
      <c r="GA1438" s="6"/>
      <c r="GB1438" s="6"/>
      <c r="GC1438" s="6"/>
      <c r="GD1438" s="6"/>
      <c r="GE1438" s="6"/>
      <c r="GF1438" s="6"/>
      <c r="GG1438" s="6"/>
      <c r="GH1438" s="6"/>
      <c r="GI1438" s="6"/>
      <c r="GJ1438" s="6"/>
      <c r="GK1438" s="6"/>
      <c r="GL1438" s="6"/>
      <c r="GM1438" s="6"/>
      <c r="GN1438" s="6"/>
      <c r="GO1438" s="6"/>
      <c r="GP1438" s="6"/>
      <c r="GQ1438" s="6"/>
      <c r="GR1438" s="6"/>
      <c r="GS1438" s="6"/>
      <c r="GT1438" s="6"/>
      <c r="GU1438" s="6"/>
      <c r="GV1438" s="6"/>
      <c r="GW1438" s="6"/>
      <c r="GX1438" s="6"/>
      <c r="GY1438" s="6"/>
      <c r="GZ1438" s="6"/>
      <c r="HA1438" s="6"/>
      <c r="HB1438" s="6"/>
      <c r="HC1438" s="6"/>
      <c r="HD1438" s="6"/>
      <c r="HE1438" s="6"/>
      <c r="HF1438" s="6"/>
      <c r="HG1438" s="6"/>
      <c r="HH1438" s="6"/>
    </row>
    <row r="1439" spans="1:216" x14ac:dyDescent="0.3">
      <c r="A1439" s="8"/>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6"/>
      <c r="AR1439" s="6"/>
      <c r="AS1439" s="6"/>
      <c r="AT1439" s="6"/>
      <c r="AU1439" s="6"/>
      <c r="AV1439" s="6"/>
      <c r="AW1439" s="6"/>
      <c r="AX1439" s="6"/>
      <c r="AY1439" s="6"/>
      <c r="AZ1439" s="6"/>
      <c r="BA1439" s="6"/>
      <c r="BB1439" s="6"/>
      <c r="BC1439" s="6"/>
      <c r="BD1439" s="6"/>
      <c r="BE1439" s="6"/>
      <c r="BF1439" s="6"/>
      <c r="BG1439" s="6"/>
      <c r="BH1439" s="6"/>
      <c r="BI1439" s="6"/>
      <c r="BJ1439" s="6"/>
      <c r="BK1439" s="6"/>
      <c r="BL1439" s="6"/>
      <c r="BM1439" s="6"/>
      <c r="BN1439" s="6"/>
      <c r="BO1439" s="6"/>
      <c r="BP1439" s="6"/>
      <c r="BQ1439" s="6"/>
      <c r="BR1439" s="6"/>
      <c r="BS1439" s="6"/>
      <c r="BT1439" s="6"/>
      <c r="BU1439" s="6"/>
      <c r="BV1439" s="6"/>
      <c r="BW1439" s="6"/>
      <c r="BX1439" s="6"/>
      <c r="BY1439" s="6"/>
      <c r="BZ1439" s="6"/>
      <c r="CA1439" s="6"/>
      <c r="CB1439" s="6"/>
      <c r="CC1439" s="6"/>
      <c r="CD1439" s="6"/>
      <c r="CE1439" s="6"/>
      <c r="CF1439" s="6"/>
      <c r="CG1439" s="6"/>
      <c r="CH1439" s="6"/>
      <c r="CI1439" s="6"/>
      <c r="CJ1439" s="6"/>
      <c r="CK1439" s="6"/>
      <c r="CL1439" s="6"/>
      <c r="CM1439" s="6"/>
      <c r="CN1439" s="6"/>
      <c r="CO1439" s="6"/>
      <c r="CP1439" s="6"/>
      <c r="CQ1439" s="6"/>
      <c r="CR1439" s="6"/>
      <c r="CS1439" s="6"/>
      <c r="CT1439" s="6"/>
      <c r="CU1439" s="6"/>
      <c r="CV1439" s="6"/>
      <c r="CW1439" s="6"/>
      <c r="CX1439" s="6"/>
      <c r="CY1439" s="6"/>
      <c r="CZ1439" s="6"/>
      <c r="DA1439" s="6"/>
      <c r="DB1439" s="6"/>
      <c r="DC1439" s="6"/>
      <c r="DD1439" s="6"/>
      <c r="DE1439" s="6"/>
      <c r="DF1439" s="6"/>
      <c r="DG1439" s="6"/>
      <c r="DH1439" s="6"/>
      <c r="DI1439" s="6"/>
      <c r="DJ1439" s="6"/>
      <c r="DK1439" s="6"/>
      <c r="DL1439" s="6"/>
      <c r="DM1439" s="6"/>
      <c r="DN1439" s="6"/>
      <c r="DO1439" s="6"/>
      <c r="DP1439" s="6"/>
      <c r="DQ1439" s="6"/>
      <c r="DR1439" s="6"/>
      <c r="DS1439" s="6"/>
      <c r="DT1439" s="6"/>
      <c r="DU1439" s="6"/>
      <c r="DV1439" s="6"/>
      <c r="DW1439" s="6"/>
      <c r="DX1439" s="6"/>
      <c r="DY1439" s="6"/>
      <c r="DZ1439" s="6"/>
      <c r="EA1439" s="6"/>
      <c r="EB1439" s="6"/>
      <c r="EC1439" s="6"/>
      <c r="ED1439" s="6"/>
      <c r="EE1439" s="6"/>
      <c r="EF1439" s="6"/>
      <c r="EG1439" s="6"/>
      <c r="EH1439" s="6"/>
      <c r="EI1439" s="6"/>
      <c r="EJ1439" s="6"/>
      <c r="EK1439" s="6"/>
      <c r="EL1439" s="6"/>
      <c r="EM1439" s="6"/>
      <c r="EN1439" s="6"/>
      <c r="EO1439" s="6"/>
      <c r="EP1439" s="6"/>
      <c r="EQ1439" s="6"/>
      <c r="ER1439" s="6"/>
      <c r="ES1439" s="6"/>
      <c r="ET1439" s="6"/>
      <c r="EU1439" s="6"/>
      <c r="EV1439" s="6"/>
      <c r="EW1439" s="6"/>
      <c r="EX1439" s="6"/>
      <c r="EY1439" s="6"/>
      <c r="EZ1439" s="6"/>
      <c r="FA1439" s="6"/>
      <c r="FB1439" s="6"/>
      <c r="FC1439" s="6"/>
      <c r="FD1439" s="6"/>
      <c r="FE1439" s="6"/>
      <c r="FF1439" s="6"/>
      <c r="FG1439" s="6"/>
      <c r="FH1439" s="6"/>
      <c r="FI1439" s="6"/>
      <c r="FJ1439" s="6"/>
      <c r="FK1439" s="6"/>
      <c r="FL1439" s="6"/>
      <c r="FM1439" s="6"/>
      <c r="FN1439" s="6"/>
      <c r="FO1439" s="6"/>
      <c r="FP1439" s="6"/>
      <c r="FQ1439" s="6"/>
      <c r="FR1439" s="6"/>
      <c r="FS1439" s="6"/>
      <c r="FT1439" s="6"/>
      <c r="FU1439" s="6"/>
      <c r="FV1439" s="6"/>
      <c r="FW1439" s="6"/>
      <c r="FX1439" s="6"/>
      <c r="FY1439" s="6"/>
      <c r="FZ1439" s="6"/>
      <c r="GA1439" s="6"/>
      <c r="GB1439" s="6"/>
      <c r="GC1439" s="6"/>
      <c r="GD1439" s="6"/>
      <c r="GE1439" s="6"/>
      <c r="GF1439" s="6"/>
      <c r="GG1439" s="6"/>
      <c r="GH1439" s="6"/>
      <c r="GI1439" s="6"/>
      <c r="GJ1439" s="6"/>
      <c r="GK1439" s="6"/>
      <c r="GL1439" s="6"/>
      <c r="GM1439" s="6"/>
      <c r="GN1439" s="6"/>
      <c r="GO1439" s="6"/>
      <c r="GP1439" s="6"/>
      <c r="GQ1439" s="6"/>
      <c r="GR1439" s="6"/>
      <c r="GS1439" s="6"/>
      <c r="GT1439" s="6"/>
      <c r="GU1439" s="6"/>
      <c r="GV1439" s="6"/>
      <c r="GW1439" s="6"/>
      <c r="GX1439" s="6"/>
      <c r="GY1439" s="6"/>
      <c r="GZ1439" s="6"/>
      <c r="HA1439" s="6"/>
      <c r="HB1439" s="6"/>
      <c r="HC1439" s="6"/>
      <c r="HD1439" s="6"/>
      <c r="HE1439" s="6"/>
      <c r="HF1439" s="6"/>
      <c r="HG1439" s="6"/>
      <c r="HH1439" s="6"/>
    </row>
    <row r="1440" spans="1:216" x14ac:dyDescent="0.3">
      <c r="A1440" s="8"/>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6"/>
      <c r="AR1440" s="6"/>
      <c r="AS1440" s="6"/>
      <c r="AT1440" s="6"/>
      <c r="AU1440" s="6"/>
      <c r="AV1440" s="6"/>
      <c r="AW1440" s="6"/>
      <c r="AX1440" s="6"/>
      <c r="AY1440" s="6"/>
      <c r="AZ1440" s="6"/>
      <c r="BA1440" s="6"/>
      <c r="BB1440" s="6"/>
      <c r="BC1440" s="6"/>
      <c r="BD1440" s="6"/>
      <c r="BE1440" s="6"/>
      <c r="BF1440" s="6"/>
      <c r="BG1440" s="6"/>
      <c r="BH1440" s="6"/>
      <c r="BI1440" s="6"/>
      <c r="BJ1440" s="6"/>
      <c r="BK1440" s="6"/>
      <c r="BL1440" s="6"/>
      <c r="BM1440" s="6"/>
      <c r="BN1440" s="6"/>
      <c r="BO1440" s="6"/>
      <c r="BP1440" s="6"/>
      <c r="BQ1440" s="6"/>
      <c r="BR1440" s="6"/>
      <c r="BS1440" s="6"/>
      <c r="BT1440" s="6"/>
      <c r="BU1440" s="6"/>
      <c r="BV1440" s="6"/>
      <c r="BW1440" s="6"/>
      <c r="BX1440" s="6"/>
      <c r="BY1440" s="6"/>
      <c r="BZ1440" s="6"/>
      <c r="CA1440" s="6"/>
      <c r="CB1440" s="6"/>
      <c r="CC1440" s="6"/>
      <c r="CD1440" s="6"/>
      <c r="CE1440" s="6"/>
      <c r="CF1440" s="6"/>
      <c r="CG1440" s="6"/>
      <c r="CH1440" s="6"/>
      <c r="CI1440" s="6"/>
      <c r="CJ1440" s="6"/>
      <c r="CK1440" s="6"/>
      <c r="CL1440" s="6"/>
      <c r="CM1440" s="6"/>
      <c r="CN1440" s="6"/>
      <c r="CO1440" s="6"/>
      <c r="CP1440" s="6"/>
      <c r="CQ1440" s="6"/>
      <c r="CR1440" s="6"/>
      <c r="CS1440" s="6"/>
      <c r="CT1440" s="6"/>
      <c r="CU1440" s="6"/>
      <c r="CV1440" s="6"/>
      <c r="CW1440" s="6"/>
      <c r="CX1440" s="6"/>
      <c r="CY1440" s="6"/>
      <c r="CZ1440" s="6"/>
      <c r="DA1440" s="6"/>
      <c r="DB1440" s="6"/>
      <c r="DC1440" s="6"/>
      <c r="DD1440" s="6"/>
      <c r="DE1440" s="6"/>
      <c r="DF1440" s="6"/>
      <c r="DG1440" s="6"/>
      <c r="DH1440" s="6"/>
      <c r="DI1440" s="6"/>
      <c r="DJ1440" s="6"/>
      <c r="DK1440" s="6"/>
      <c r="DL1440" s="6"/>
      <c r="DM1440" s="6"/>
      <c r="DN1440" s="6"/>
      <c r="DO1440" s="6"/>
      <c r="DP1440" s="6"/>
      <c r="DQ1440" s="6"/>
      <c r="DR1440" s="6"/>
      <c r="DS1440" s="6"/>
      <c r="DT1440" s="6"/>
      <c r="DU1440" s="6"/>
      <c r="DV1440" s="6"/>
      <c r="DW1440" s="6"/>
      <c r="DX1440" s="6"/>
      <c r="DY1440" s="6"/>
      <c r="DZ1440" s="6"/>
      <c r="EA1440" s="6"/>
      <c r="EB1440" s="6"/>
      <c r="EC1440" s="6"/>
      <c r="ED1440" s="6"/>
      <c r="EE1440" s="6"/>
      <c r="EF1440" s="6"/>
      <c r="EG1440" s="6"/>
      <c r="EH1440" s="6"/>
      <c r="EI1440" s="6"/>
      <c r="EJ1440" s="6"/>
      <c r="EK1440" s="6"/>
      <c r="EL1440" s="6"/>
      <c r="EM1440" s="6"/>
      <c r="EN1440" s="6"/>
      <c r="EO1440" s="6"/>
      <c r="EP1440" s="6"/>
      <c r="EQ1440" s="6"/>
      <c r="ER1440" s="6"/>
      <c r="ES1440" s="6"/>
      <c r="ET1440" s="6"/>
      <c r="EU1440" s="6"/>
      <c r="EV1440" s="6"/>
      <c r="EW1440" s="6"/>
      <c r="EX1440" s="6"/>
      <c r="EY1440" s="6"/>
      <c r="EZ1440" s="6"/>
      <c r="FA1440" s="6"/>
      <c r="FB1440" s="6"/>
      <c r="FC1440" s="6"/>
      <c r="FD1440" s="6"/>
      <c r="FE1440" s="6"/>
      <c r="FF1440" s="6"/>
      <c r="FG1440" s="6"/>
      <c r="FH1440" s="6"/>
      <c r="FI1440" s="6"/>
      <c r="FJ1440" s="6"/>
      <c r="FK1440" s="6"/>
      <c r="FL1440" s="6"/>
      <c r="FM1440" s="6"/>
      <c r="FN1440" s="6"/>
      <c r="FO1440" s="6"/>
      <c r="FP1440" s="6"/>
      <c r="FQ1440" s="6"/>
      <c r="FR1440" s="6"/>
      <c r="FS1440" s="6"/>
      <c r="FT1440" s="6"/>
      <c r="FU1440" s="6"/>
      <c r="FV1440" s="6"/>
      <c r="FW1440" s="6"/>
      <c r="FX1440" s="6"/>
      <c r="FY1440" s="6"/>
      <c r="FZ1440" s="6"/>
      <c r="GA1440" s="6"/>
      <c r="GB1440" s="6"/>
      <c r="GC1440" s="6"/>
      <c r="GD1440" s="6"/>
      <c r="GE1440" s="6"/>
      <c r="GF1440" s="6"/>
      <c r="GG1440" s="6"/>
      <c r="GH1440" s="6"/>
      <c r="GI1440" s="6"/>
      <c r="GJ1440" s="6"/>
      <c r="GK1440" s="6"/>
      <c r="GL1440" s="6"/>
      <c r="GM1440" s="6"/>
      <c r="GN1440" s="6"/>
      <c r="GO1440" s="6"/>
      <c r="GP1440" s="6"/>
      <c r="GQ1440" s="6"/>
      <c r="GR1440" s="6"/>
      <c r="GS1440" s="6"/>
      <c r="GT1440" s="6"/>
      <c r="GU1440" s="6"/>
      <c r="GV1440" s="6"/>
      <c r="GW1440" s="6"/>
      <c r="GX1440" s="6"/>
      <c r="GY1440" s="6"/>
      <c r="GZ1440" s="6"/>
      <c r="HA1440" s="6"/>
      <c r="HB1440" s="6"/>
      <c r="HC1440" s="6"/>
      <c r="HD1440" s="6"/>
      <c r="HE1440" s="6"/>
      <c r="HF1440" s="6"/>
      <c r="HG1440" s="6"/>
      <c r="HH1440" s="6"/>
    </row>
    <row r="1441" spans="1:216" x14ac:dyDescent="0.3">
      <c r="A1441" s="8"/>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6"/>
      <c r="AR1441" s="6"/>
      <c r="AS1441" s="6"/>
      <c r="AT1441" s="6"/>
      <c r="AU1441" s="6"/>
      <c r="AV1441" s="6"/>
      <c r="AW1441" s="6"/>
      <c r="AX1441" s="6"/>
      <c r="AY1441" s="6"/>
      <c r="AZ1441" s="6"/>
      <c r="BA1441" s="6"/>
      <c r="BB1441" s="6"/>
      <c r="BC1441" s="6"/>
      <c r="BD1441" s="6"/>
      <c r="BE1441" s="6"/>
      <c r="BF1441" s="6"/>
      <c r="BG1441" s="6"/>
      <c r="BH1441" s="6"/>
      <c r="BI1441" s="6"/>
      <c r="BJ1441" s="6"/>
      <c r="BK1441" s="6"/>
      <c r="BL1441" s="6"/>
      <c r="BM1441" s="6"/>
      <c r="BN1441" s="6"/>
      <c r="BO1441" s="6"/>
      <c r="BP1441" s="6"/>
      <c r="BQ1441" s="6"/>
      <c r="BR1441" s="6"/>
      <c r="BS1441" s="6"/>
      <c r="BT1441" s="6"/>
      <c r="BU1441" s="6"/>
      <c r="BV1441" s="6"/>
      <c r="BW1441" s="6"/>
      <c r="BX1441" s="6"/>
      <c r="BY1441" s="6"/>
      <c r="BZ1441" s="6"/>
      <c r="CA1441" s="6"/>
      <c r="CB1441" s="6"/>
      <c r="CC1441" s="6"/>
      <c r="CD1441" s="6"/>
      <c r="CE1441" s="6"/>
      <c r="CF1441" s="6"/>
      <c r="CG1441" s="6"/>
      <c r="CH1441" s="6"/>
      <c r="CI1441" s="6"/>
      <c r="CJ1441" s="6"/>
      <c r="CK1441" s="6"/>
      <c r="CL1441" s="6"/>
      <c r="CM1441" s="6"/>
      <c r="CN1441" s="6"/>
      <c r="CO1441" s="6"/>
      <c r="CP1441" s="6"/>
      <c r="CQ1441" s="6"/>
      <c r="CR1441" s="6"/>
      <c r="CS1441" s="6"/>
      <c r="CT1441" s="6"/>
      <c r="CU1441" s="6"/>
      <c r="CV1441" s="6"/>
      <c r="CW1441" s="6"/>
      <c r="CX1441" s="6"/>
      <c r="CY1441" s="6"/>
      <c r="CZ1441" s="6"/>
      <c r="DA1441" s="6"/>
      <c r="DB1441" s="6"/>
      <c r="DC1441" s="6"/>
      <c r="DD1441" s="6"/>
      <c r="DE1441" s="6"/>
      <c r="DF1441" s="6"/>
      <c r="DG1441" s="6"/>
      <c r="DH1441" s="6"/>
      <c r="DI1441" s="6"/>
      <c r="DJ1441" s="6"/>
      <c r="DK1441" s="6"/>
      <c r="DL1441" s="6"/>
      <c r="DM1441" s="6"/>
      <c r="DN1441" s="6"/>
      <c r="DO1441" s="6"/>
      <c r="DP1441" s="6"/>
      <c r="DQ1441" s="6"/>
      <c r="DR1441" s="6"/>
      <c r="DS1441" s="6"/>
      <c r="DT1441" s="6"/>
      <c r="DU1441" s="6"/>
      <c r="DV1441" s="6"/>
      <c r="DW1441" s="6"/>
      <c r="DX1441" s="6"/>
      <c r="DY1441" s="6"/>
      <c r="DZ1441" s="6"/>
      <c r="EA1441" s="6"/>
      <c r="EB1441" s="6"/>
      <c r="EC1441" s="6"/>
      <c r="ED1441" s="6"/>
      <c r="EE1441" s="6"/>
      <c r="EF1441" s="6"/>
      <c r="EG1441" s="6"/>
      <c r="EH1441" s="6"/>
      <c r="EI1441" s="6"/>
      <c r="EJ1441" s="6"/>
      <c r="EK1441" s="6"/>
      <c r="EL1441" s="6"/>
      <c r="EM1441" s="6"/>
      <c r="EN1441" s="6"/>
      <c r="EO1441" s="6"/>
      <c r="EP1441" s="6"/>
      <c r="EQ1441" s="6"/>
      <c r="ER1441" s="6"/>
      <c r="ES1441" s="6"/>
      <c r="ET1441" s="6"/>
      <c r="EU1441" s="6"/>
      <c r="EV1441" s="6"/>
      <c r="EW1441" s="6"/>
      <c r="EX1441" s="6"/>
      <c r="EY1441" s="6"/>
      <c r="EZ1441" s="6"/>
      <c r="FA1441" s="6"/>
      <c r="FB1441" s="6"/>
      <c r="FC1441" s="6"/>
      <c r="FD1441" s="6"/>
      <c r="FE1441" s="6"/>
      <c r="FF1441" s="6"/>
      <c r="FG1441" s="6"/>
      <c r="FH1441" s="6"/>
      <c r="FI1441" s="6"/>
      <c r="FJ1441" s="6"/>
      <c r="FK1441" s="6"/>
      <c r="FL1441" s="6"/>
      <c r="FM1441" s="6"/>
      <c r="FN1441" s="6"/>
      <c r="FO1441" s="6"/>
      <c r="FP1441" s="6"/>
      <c r="FQ1441" s="6"/>
      <c r="FR1441" s="6"/>
      <c r="FS1441" s="6"/>
      <c r="FT1441" s="6"/>
      <c r="FU1441" s="6"/>
      <c r="FV1441" s="6"/>
      <c r="FW1441" s="6"/>
      <c r="FX1441" s="6"/>
      <c r="FY1441" s="6"/>
      <c r="FZ1441" s="6"/>
      <c r="GA1441" s="6"/>
      <c r="GB1441" s="6"/>
      <c r="GC1441" s="6"/>
      <c r="GD1441" s="6"/>
      <c r="GE1441" s="6"/>
      <c r="GF1441" s="6"/>
      <c r="GG1441" s="6"/>
      <c r="GH1441" s="6"/>
      <c r="GI1441" s="6"/>
      <c r="GJ1441" s="6"/>
      <c r="GK1441" s="6"/>
      <c r="GL1441" s="6"/>
      <c r="GM1441" s="6"/>
      <c r="GN1441" s="6"/>
      <c r="GO1441" s="6"/>
      <c r="GP1441" s="6"/>
      <c r="GQ1441" s="6"/>
      <c r="GR1441" s="6"/>
      <c r="GS1441" s="6"/>
      <c r="GT1441" s="6"/>
      <c r="GU1441" s="6"/>
      <c r="GV1441" s="6"/>
      <c r="GW1441" s="6"/>
      <c r="GX1441" s="6"/>
      <c r="GY1441" s="6"/>
      <c r="GZ1441" s="6"/>
      <c r="HA1441" s="6"/>
      <c r="HB1441" s="6"/>
      <c r="HC1441" s="6"/>
      <c r="HD1441" s="6"/>
      <c r="HE1441" s="6"/>
      <c r="HF1441" s="6"/>
      <c r="HG1441" s="6"/>
      <c r="HH1441" s="6"/>
    </row>
    <row r="1442" spans="1:216" x14ac:dyDescent="0.3">
      <c r="A1442" s="8"/>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row>
    <row r="1443" spans="1:216" x14ac:dyDescent="0.3">
      <c r="A1443" s="8"/>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6"/>
      <c r="AR1443" s="6"/>
      <c r="AS1443" s="6"/>
      <c r="AT1443" s="6"/>
      <c r="AU1443" s="6"/>
      <c r="AV1443" s="6"/>
      <c r="AW1443" s="6"/>
      <c r="AX1443" s="6"/>
      <c r="AY1443" s="6"/>
      <c r="AZ1443" s="6"/>
      <c r="BA1443" s="6"/>
      <c r="BB1443" s="6"/>
      <c r="BC1443" s="6"/>
      <c r="BD1443" s="6"/>
      <c r="BE1443" s="6"/>
      <c r="BF1443" s="6"/>
      <c r="BG1443" s="6"/>
      <c r="BH1443" s="6"/>
      <c r="BI1443" s="6"/>
      <c r="BJ1443" s="6"/>
      <c r="BK1443" s="6"/>
      <c r="BL1443" s="6"/>
      <c r="BM1443" s="6"/>
      <c r="BN1443" s="6"/>
      <c r="BO1443" s="6"/>
      <c r="BP1443" s="6"/>
      <c r="BQ1443" s="6"/>
      <c r="BR1443" s="6"/>
      <c r="BS1443" s="6"/>
      <c r="BT1443" s="6"/>
      <c r="BU1443" s="6"/>
      <c r="BV1443" s="6"/>
      <c r="BW1443" s="6"/>
      <c r="BX1443" s="6"/>
      <c r="BY1443" s="6"/>
      <c r="BZ1443" s="6"/>
      <c r="CA1443" s="6"/>
      <c r="CB1443" s="6"/>
      <c r="CC1443" s="6"/>
      <c r="CD1443" s="6"/>
      <c r="CE1443" s="6"/>
      <c r="CF1443" s="6"/>
      <c r="CG1443" s="6"/>
      <c r="CH1443" s="6"/>
      <c r="CI1443" s="6"/>
      <c r="CJ1443" s="6"/>
      <c r="CK1443" s="6"/>
      <c r="CL1443" s="6"/>
      <c r="CM1443" s="6"/>
      <c r="CN1443" s="6"/>
      <c r="CO1443" s="6"/>
      <c r="CP1443" s="6"/>
      <c r="CQ1443" s="6"/>
      <c r="CR1443" s="6"/>
      <c r="CS1443" s="6"/>
      <c r="CT1443" s="6"/>
      <c r="CU1443" s="6"/>
      <c r="CV1443" s="6"/>
      <c r="CW1443" s="6"/>
      <c r="CX1443" s="6"/>
      <c r="CY1443" s="6"/>
      <c r="CZ1443" s="6"/>
      <c r="DA1443" s="6"/>
      <c r="DB1443" s="6"/>
      <c r="DC1443" s="6"/>
      <c r="DD1443" s="6"/>
      <c r="DE1443" s="6"/>
      <c r="DF1443" s="6"/>
      <c r="DG1443" s="6"/>
      <c r="DH1443" s="6"/>
      <c r="DI1443" s="6"/>
      <c r="DJ1443" s="6"/>
      <c r="DK1443" s="6"/>
      <c r="DL1443" s="6"/>
      <c r="DM1443" s="6"/>
      <c r="DN1443" s="6"/>
      <c r="DO1443" s="6"/>
      <c r="DP1443" s="6"/>
      <c r="DQ1443" s="6"/>
      <c r="DR1443" s="6"/>
      <c r="DS1443" s="6"/>
      <c r="DT1443" s="6"/>
      <c r="DU1443" s="6"/>
      <c r="DV1443" s="6"/>
      <c r="DW1443" s="6"/>
      <c r="DX1443" s="6"/>
      <c r="DY1443" s="6"/>
      <c r="DZ1443" s="6"/>
      <c r="EA1443" s="6"/>
      <c r="EB1443" s="6"/>
      <c r="EC1443" s="6"/>
      <c r="ED1443" s="6"/>
      <c r="EE1443" s="6"/>
      <c r="EF1443" s="6"/>
      <c r="EG1443" s="6"/>
      <c r="EH1443" s="6"/>
      <c r="EI1443" s="6"/>
      <c r="EJ1443" s="6"/>
      <c r="EK1443" s="6"/>
      <c r="EL1443" s="6"/>
      <c r="EM1443" s="6"/>
      <c r="EN1443" s="6"/>
      <c r="EO1443" s="6"/>
      <c r="EP1443" s="6"/>
      <c r="EQ1443" s="6"/>
      <c r="ER1443" s="6"/>
      <c r="ES1443" s="6"/>
      <c r="ET1443" s="6"/>
      <c r="EU1443" s="6"/>
      <c r="EV1443" s="6"/>
      <c r="EW1443" s="6"/>
      <c r="EX1443" s="6"/>
      <c r="EY1443" s="6"/>
      <c r="EZ1443" s="6"/>
      <c r="FA1443" s="6"/>
      <c r="FB1443" s="6"/>
      <c r="FC1443" s="6"/>
      <c r="FD1443" s="6"/>
      <c r="FE1443" s="6"/>
      <c r="FF1443" s="6"/>
      <c r="FG1443" s="6"/>
      <c r="FH1443" s="6"/>
      <c r="FI1443" s="6"/>
      <c r="FJ1443" s="6"/>
      <c r="FK1443" s="6"/>
      <c r="FL1443" s="6"/>
      <c r="FM1443" s="6"/>
      <c r="FN1443" s="6"/>
      <c r="FO1443" s="6"/>
      <c r="FP1443" s="6"/>
      <c r="FQ1443" s="6"/>
      <c r="FR1443" s="6"/>
      <c r="FS1443" s="6"/>
      <c r="FT1443" s="6"/>
      <c r="FU1443" s="6"/>
      <c r="FV1443" s="6"/>
      <c r="FW1443" s="6"/>
      <c r="FX1443" s="6"/>
      <c r="FY1443" s="6"/>
      <c r="FZ1443" s="6"/>
      <c r="GA1443" s="6"/>
      <c r="GB1443" s="6"/>
      <c r="GC1443" s="6"/>
      <c r="GD1443" s="6"/>
      <c r="GE1443" s="6"/>
      <c r="GF1443" s="6"/>
      <c r="GG1443" s="6"/>
      <c r="GH1443" s="6"/>
      <c r="GI1443" s="6"/>
      <c r="GJ1443" s="6"/>
      <c r="GK1443" s="6"/>
      <c r="GL1443" s="6"/>
      <c r="GM1443" s="6"/>
      <c r="GN1443" s="6"/>
      <c r="GO1443" s="6"/>
      <c r="GP1443" s="6"/>
      <c r="GQ1443" s="6"/>
      <c r="GR1443" s="6"/>
      <c r="GS1443" s="6"/>
      <c r="GT1443" s="6"/>
      <c r="GU1443" s="6"/>
      <c r="GV1443" s="6"/>
      <c r="GW1443" s="6"/>
      <c r="GX1443" s="6"/>
      <c r="GY1443" s="6"/>
      <c r="GZ1443" s="6"/>
      <c r="HA1443" s="6"/>
      <c r="HB1443" s="6"/>
      <c r="HC1443" s="6"/>
      <c r="HD1443" s="6"/>
      <c r="HE1443" s="6"/>
      <c r="HF1443" s="6"/>
      <c r="HG1443" s="6"/>
      <c r="HH1443" s="6"/>
    </row>
    <row r="1444" spans="1:216" x14ac:dyDescent="0.3">
      <c r="A1444" s="8"/>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6"/>
      <c r="AR1444" s="6"/>
      <c r="AS1444" s="6"/>
      <c r="AT1444" s="6"/>
      <c r="AU1444" s="6"/>
      <c r="AV1444" s="6"/>
      <c r="AW1444" s="6"/>
      <c r="AX1444" s="6"/>
      <c r="AY1444" s="6"/>
      <c r="AZ1444" s="6"/>
      <c r="BA1444" s="6"/>
      <c r="BB1444" s="6"/>
      <c r="BC1444" s="6"/>
      <c r="BD1444" s="6"/>
      <c r="BE1444" s="6"/>
      <c r="BF1444" s="6"/>
      <c r="BG1444" s="6"/>
      <c r="BH1444" s="6"/>
      <c r="BI1444" s="6"/>
      <c r="BJ1444" s="6"/>
      <c r="BK1444" s="6"/>
      <c r="BL1444" s="6"/>
      <c r="BM1444" s="6"/>
      <c r="BN1444" s="6"/>
      <c r="BO1444" s="6"/>
      <c r="BP1444" s="6"/>
      <c r="BQ1444" s="6"/>
      <c r="BR1444" s="6"/>
      <c r="BS1444" s="6"/>
      <c r="BT1444" s="6"/>
      <c r="BU1444" s="6"/>
      <c r="BV1444" s="6"/>
      <c r="BW1444" s="6"/>
      <c r="BX1444" s="6"/>
      <c r="BY1444" s="6"/>
      <c r="BZ1444" s="6"/>
      <c r="CA1444" s="6"/>
      <c r="CB1444" s="6"/>
      <c r="CC1444" s="6"/>
      <c r="CD1444" s="6"/>
      <c r="CE1444" s="6"/>
      <c r="CF1444" s="6"/>
      <c r="CG1444" s="6"/>
      <c r="CH1444" s="6"/>
      <c r="CI1444" s="6"/>
      <c r="CJ1444" s="6"/>
      <c r="CK1444" s="6"/>
      <c r="CL1444" s="6"/>
      <c r="CM1444" s="6"/>
      <c r="CN1444" s="6"/>
      <c r="CO1444" s="6"/>
      <c r="CP1444" s="6"/>
      <c r="CQ1444" s="6"/>
      <c r="CR1444" s="6"/>
      <c r="CS1444" s="6"/>
      <c r="CT1444" s="6"/>
      <c r="CU1444" s="6"/>
      <c r="CV1444" s="6"/>
      <c r="CW1444" s="6"/>
      <c r="CX1444" s="6"/>
      <c r="CY1444" s="6"/>
      <c r="CZ1444" s="6"/>
      <c r="DA1444" s="6"/>
      <c r="DB1444" s="6"/>
      <c r="DC1444" s="6"/>
      <c r="DD1444" s="6"/>
      <c r="DE1444" s="6"/>
      <c r="DF1444" s="6"/>
      <c r="DG1444" s="6"/>
      <c r="DH1444" s="6"/>
      <c r="DI1444" s="6"/>
      <c r="DJ1444" s="6"/>
      <c r="DK1444" s="6"/>
      <c r="DL1444" s="6"/>
      <c r="DM1444" s="6"/>
      <c r="DN1444" s="6"/>
      <c r="DO1444" s="6"/>
      <c r="DP1444" s="6"/>
      <c r="DQ1444" s="6"/>
      <c r="DR1444" s="6"/>
      <c r="DS1444" s="6"/>
      <c r="DT1444" s="6"/>
      <c r="DU1444" s="6"/>
      <c r="DV1444" s="6"/>
      <c r="DW1444" s="6"/>
      <c r="DX1444" s="6"/>
      <c r="DY1444" s="6"/>
      <c r="DZ1444" s="6"/>
      <c r="EA1444" s="6"/>
      <c r="EB1444" s="6"/>
      <c r="EC1444" s="6"/>
      <c r="ED1444" s="6"/>
      <c r="EE1444" s="6"/>
      <c r="EF1444" s="6"/>
      <c r="EG1444" s="6"/>
      <c r="EH1444" s="6"/>
      <c r="EI1444" s="6"/>
      <c r="EJ1444" s="6"/>
      <c r="EK1444" s="6"/>
      <c r="EL1444" s="6"/>
      <c r="EM1444" s="6"/>
      <c r="EN1444" s="6"/>
      <c r="EO1444" s="6"/>
      <c r="EP1444" s="6"/>
      <c r="EQ1444" s="6"/>
      <c r="ER1444" s="6"/>
      <c r="ES1444" s="6"/>
      <c r="ET1444" s="6"/>
      <c r="EU1444" s="6"/>
      <c r="EV1444" s="6"/>
      <c r="EW1444" s="6"/>
      <c r="EX1444" s="6"/>
      <c r="EY1444" s="6"/>
      <c r="EZ1444" s="6"/>
      <c r="FA1444" s="6"/>
      <c r="FB1444" s="6"/>
      <c r="FC1444" s="6"/>
      <c r="FD1444" s="6"/>
      <c r="FE1444" s="6"/>
      <c r="FF1444" s="6"/>
      <c r="FG1444" s="6"/>
      <c r="FH1444" s="6"/>
      <c r="FI1444" s="6"/>
      <c r="FJ1444" s="6"/>
      <c r="FK1444" s="6"/>
      <c r="FL1444" s="6"/>
      <c r="FM1444" s="6"/>
      <c r="FN1444" s="6"/>
      <c r="FO1444" s="6"/>
      <c r="FP1444" s="6"/>
      <c r="FQ1444" s="6"/>
      <c r="FR1444" s="6"/>
      <c r="FS1444" s="6"/>
      <c r="FT1444" s="6"/>
      <c r="FU1444" s="6"/>
      <c r="FV1444" s="6"/>
      <c r="FW1444" s="6"/>
      <c r="FX1444" s="6"/>
      <c r="FY1444" s="6"/>
      <c r="FZ1444" s="6"/>
      <c r="GA1444" s="6"/>
      <c r="GB1444" s="6"/>
      <c r="GC1444" s="6"/>
      <c r="GD1444" s="6"/>
      <c r="GE1444" s="6"/>
      <c r="GF1444" s="6"/>
      <c r="GG1444" s="6"/>
      <c r="GH1444" s="6"/>
      <c r="GI1444" s="6"/>
      <c r="GJ1444" s="6"/>
      <c r="GK1444" s="6"/>
      <c r="GL1444" s="6"/>
      <c r="GM1444" s="6"/>
      <c r="GN1444" s="6"/>
      <c r="GO1444" s="6"/>
      <c r="GP1444" s="6"/>
      <c r="GQ1444" s="6"/>
      <c r="GR1444" s="6"/>
      <c r="GS1444" s="6"/>
      <c r="GT1444" s="6"/>
      <c r="GU1444" s="6"/>
      <c r="GV1444" s="6"/>
      <c r="GW1444" s="6"/>
      <c r="GX1444" s="6"/>
      <c r="GY1444" s="6"/>
      <c r="GZ1444" s="6"/>
      <c r="HA1444" s="6"/>
      <c r="HB1444" s="6"/>
      <c r="HC1444" s="6"/>
      <c r="HD1444" s="6"/>
      <c r="HE1444" s="6"/>
      <c r="HF1444" s="6"/>
      <c r="HG1444" s="6"/>
      <c r="HH1444" s="6"/>
    </row>
    <row r="1445" spans="1:216" x14ac:dyDescent="0.3">
      <c r="A1445" s="8"/>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6"/>
      <c r="AR1445" s="6"/>
      <c r="AS1445" s="6"/>
      <c r="AT1445" s="6"/>
      <c r="AU1445" s="6"/>
      <c r="AV1445" s="6"/>
      <c r="AW1445" s="6"/>
      <c r="AX1445" s="6"/>
      <c r="AY1445" s="6"/>
      <c r="AZ1445" s="6"/>
      <c r="BA1445" s="6"/>
      <c r="BB1445" s="6"/>
      <c r="BC1445" s="6"/>
      <c r="BD1445" s="6"/>
      <c r="BE1445" s="6"/>
      <c r="BF1445" s="6"/>
      <c r="BG1445" s="6"/>
      <c r="BH1445" s="6"/>
      <c r="BI1445" s="6"/>
      <c r="BJ1445" s="6"/>
      <c r="BK1445" s="6"/>
      <c r="BL1445" s="6"/>
      <c r="BM1445" s="6"/>
      <c r="BN1445" s="6"/>
      <c r="BO1445" s="6"/>
      <c r="BP1445" s="6"/>
      <c r="BQ1445" s="6"/>
      <c r="BR1445" s="6"/>
      <c r="BS1445" s="6"/>
      <c r="BT1445" s="6"/>
      <c r="BU1445" s="6"/>
      <c r="BV1445" s="6"/>
      <c r="BW1445" s="6"/>
      <c r="BX1445" s="6"/>
      <c r="BY1445" s="6"/>
      <c r="BZ1445" s="6"/>
      <c r="CA1445" s="6"/>
      <c r="CB1445" s="6"/>
      <c r="CC1445" s="6"/>
      <c r="CD1445" s="6"/>
      <c r="CE1445" s="6"/>
      <c r="CF1445" s="6"/>
      <c r="CG1445" s="6"/>
      <c r="CH1445" s="6"/>
      <c r="CI1445" s="6"/>
      <c r="CJ1445" s="6"/>
      <c r="CK1445" s="6"/>
      <c r="CL1445" s="6"/>
      <c r="CM1445" s="6"/>
      <c r="CN1445" s="6"/>
      <c r="CO1445" s="6"/>
      <c r="CP1445" s="6"/>
      <c r="CQ1445" s="6"/>
      <c r="CR1445" s="6"/>
      <c r="CS1445" s="6"/>
      <c r="CT1445" s="6"/>
      <c r="CU1445" s="6"/>
      <c r="CV1445" s="6"/>
      <c r="CW1445" s="6"/>
      <c r="CX1445" s="6"/>
      <c r="CY1445" s="6"/>
      <c r="CZ1445" s="6"/>
      <c r="DA1445" s="6"/>
      <c r="DB1445" s="6"/>
      <c r="DC1445" s="6"/>
      <c r="DD1445" s="6"/>
      <c r="DE1445" s="6"/>
      <c r="DF1445" s="6"/>
      <c r="DG1445" s="6"/>
      <c r="DH1445" s="6"/>
      <c r="DI1445" s="6"/>
      <c r="DJ1445" s="6"/>
      <c r="DK1445" s="6"/>
      <c r="DL1445" s="6"/>
      <c r="DM1445" s="6"/>
      <c r="DN1445" s="6"/>
      <c r="DO1445" s="6"/>
      <c r="DP1445" s="6"/>
      <c r="DQ1445" s="6"/>
      <c r="DR1445" s="6"/>
      <c r="DS1445" s="6"/>
      <c r="DT1445" s="6"/>
      <c r="DU1445" s="6"/>
      <c r="DV1445" s="6"/>
      <c r="DW1445" s="6"/>
      <c r="DX1445" s="6"/>
      <c r="DY1445" s="6"/>
      <c r="DZ1445" s="6"/>
      <c r="EA1445" s="6"/>
      <c r="EB1445" s="6"/>
      <c r="EC1445" s="6"/>
      <c r="ED1445" s="6"/>
      <c r="EE1445" s="6"/>
      <c r="EF1445" s="6"/>
      <c r="EG1445" s="6"/>
      <c r="EH1445" s="6"/>
      <c r="EI1445" s="6"/>
      <c r="EJ1445" s="6"/>
      <c r="EK1445" s="6"/>
      <c r="EL1445" s="6"/>
      <c r="EM1445" s="6"/>
      <c r="EN1445" s="6"/>
      <c r="EO1445" s="6"/>
      <c r="EP1445" s="6"/>
      <c r="EQ1445" s="6"/>
      <c r="ER1445" s="6"/>
      <c r="ES1445" s="6"/>
      <c r="ET1445" s="6"/>
      <c r="EU1445" s="6"/>
      <c r="EV1445" s="6"/>
      <c r="EW1445" s="6"/>
      <c r="EX1445" s="6"/>
      <c r="EY1445" s="6"/>
      <c r="EZ1445" s="6"/>
      <c r="FA1445" s="6"/>
      <c r="FB1445" s="6"/>
      <c r="FC1445" s="6"/>
      <c r="FD1445" s="6"/>
      <c r="FE1445" s="6"/>
      <c r="FF1445" s="6"/>
      <c r="FG1445" s="6"/>
      <c r="FH1445" s="6"/>
      <c r="FI1445" s="6"/>
      <c r="FJ1445" s="6"/>
      <c r="FK1445" s="6"/>
      <c r="FL1445" s="6"/>
      <c r="FM1445" s="6"/>
      <c r="FN1445" s="6"/>
      <c r="FO1445" s="6"/>
      <c r="FP1445" s="6"/>
      <c r="FQ1445" s="6"/>
      <c r="FR1445" s="6"/>
      <c r="FS1445" s="6"/>
      <c r="FT1445" s="6"/>
      <c r="FU1445" s="6"/>
      <c r="FV1445" s="6"/>
      <c r="FW1445" s="6"/>
      <c r="FX1445" s="6"/>
      <c r="FY1445" s="6"/>
      <c r="FZ1445" s="6"/>
      <c r="GA1445" s="6"/>
      <c r="GB1445" s="6"/>
      <c r="GC1445" s="6"/>
      <c r="GD1445" s="6"/>
      <c r="GE1445" s="6"/>
      <c r="GF1445" s="6"/>
      <c r="GG1445" s="6"/>
      <c r="GH1445" s="6"/>
      <c r="GI1445" s="6"/>
      <c r="GJ1445" s="6"/>
      <c r="GK1445" s="6"/>
      <c r="GL1445" s="6"/>
      <c r="GM1445" s="6"/>
      <c r="GN1445" s="6"/>
      <c r="GO1445" s="6"/>
      <c r="GP1445" s="6"/>
      <c r="GQ1445" s="6"/>
      <c r="GR1445" s="6"/>
      <c r="GS1445" s="6"/>
      <c r="GT1445" s="6"/>
      <c r="GU1445" s="6"/>
      <c r="GV1445" s="6"/>
      <c r="GW1445" s="6"/>
      <c r="GX1445" s="6"/>
      <c r="GY1445" s="6"/>
      <c r="GZ1445" s="6"/>
      <c r="HA1445" s="6"/>
      <c r="HB1445" s="6"/>
      <c r="HC1445" s="6"/>
      <c r="HD1445" s="6"/>
      <c r="HE1445" s="6"/>
      <c r="HF1445" s="6"/>
      <c r="HG1445" s="6"/>
      <c r="HH1445" s="6"/>
    </row>
    <row r="1446" spans="1:216" x14ac:dyDescent="0.3">
      <c r="A1446" s="8"/>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6"/>
      <c r="AR1446" s="6"/>
      <c r="AS1446" s="6"/>
      <c r="AT1446" s="6"/>
      <c r="AU1446" s="6"/>
      <c r="AV1446" s="6"/>
      <c r="AW1446" s="6"/>
      <c r="AX1446" s="6"/>
      <c r="AY1446" s="6"/>
      <c r="AZ1446" s="6"/>
      <c r="BA1446" s="6"/>
      <c r="BB1446" s="6"/>
      <c r="BC1446" s="6"/>
      <c r="BD1446" s="6"/>
      <c r="BE1446" s="6"/>
      <c r="BF1446" s="6"/>
      <c r="BG1446" s="6"/>
      <c r="BH1446" s="6"/>
      <c r="BI1446" s="6"/>
      <c r="BJ1446" s="6"/>
      <c r="BK1446" s="6"/>
      <c r="BL1446" s="6"/>
      <c r="BM1446" s="6"/>
      <c r="BN1446" s="6"/>
      <c r="BO1446" s="6"/>
      <c r="BP1446" s="6"/>
      <c r="BQ1446" s="6"/>
      <c r="BR1446" s="6"/>
      <c r="BS1446" s="6"/>
      <c r="BT1446" s="6"/>
      <c r="BU1446" s="6"/>
      <c r="BV1446" s="6"/>
      <c r="BW1446" s="6"/>
      <c r="BX1446" s="6"/>
      <c r="BY1446" s="6"/>
      <c r="BZ1446" s="6"/>
      <c r="CA1446" s="6"/>
      <c r="CB1446" s="6"/>
      <c r="CC1446" s="6"/>
      <c r="CD1446" s="6"/>
      <c r="CE1446" s="6"/>
      <c r="CF1446" s="6"/>
      <c r="CG1446" s="6"/>
      <c r="CH1446" s="6"/>
      <c r="CI1446" s="6"/>
      <c r="CJ1446" s="6"/>
      <c r="CK1446" s="6"/>
      <c r="CL1446" s="6"/>
      <c r="CM1446" s="6"/>
      <c r="CN1446" s="6"/>
      <c r="CO1446" s="6"/>
      <c r="CP1446" s="6"/>
      <c r="CQ1446" s="6"/>
      <c r="CR1446" s="6"/>
      <c r="CS1446" s="6"/>
      <c r="CT1446" s="6"/>
      <c r="CU1446" s="6"/>
      <c r="CV1446" s="6"/>
      <c r="CW1446" s="6"/>
      <c r="CX1446" s="6"/>
      <c r="CY1446" s="6"/>
      <c r="CZ1446" s="6"/>
      <c r="DA1446" s="6"/>
      <c r="DB1446" s="6"/>
      <c r="DC1446" s="6"/>
      <c r="DD1446" s="6"/>
      <c r="DE1446" s="6"/>
      <c r="DF1446" s="6"/>
      <c r="DG1446" s="6"/>
      <c r="DH1446" s="6"/>
      <c r="DI1446" s="6"/>
      <c r="DJ1446" s="6"/>
      <c r="DK1446" s="6"/>
      <c r="DL1446" s="6"/>
      <c r="DM1446" s="6"/>
      <c r="DN1446" s="6"/>
      <c r="DO1446" s="6"/>
      <c r="DP1446" s="6"/>
      <c r="DQ1446" s="6"/>
      <c r="DR1446" s="6"/>
      <c r="DS1446" s="6"/>
      <c r="DT1446" s="6"/>
      <c r="DU1446" s="6"/>
      <c r="DV1446" s="6"/>
      <c r="DW1446" s="6"/>
      <c r="DX1446" s="6"/>
      <c r="DY1446" s="6"/>
      <c r="DZ1446" s="6"/>
      <c r="EA1446" s="6"/>
      <c r="EB1446" s="6"/>
      <c r="EC1446" s="6"/>
      <c r="ED1446" s="6"/>
      <c r="EE1446" s="6"/>
      <c r="EF1446" s="6"/>
      <c r="EG1446" s="6"/>
      <c r="EH1446" s="6"/>
      <c r="EI1446" s="6"/>
      <c r="EJ1446" s="6"/>
      <c r="EK1446" s="6"/>
      <c r="EL1446" s="6"/>
      <c r="EM1446" s="6"/>
      <c r="EN1446" s="6"/>
      <c r="EO1446" s="6"/>
      <c r="EP1446" s="6"/>
      <c r="EQ1446" s="6"/>
      <c r="ER1446" s="6"/>
      <c r="ES1446" s="6"/>
      <c r="ET1446" s="6"/>
      <c r="EU1446" s="6"/>
      <c r="EV1446" s="6"/>
      <c r="EW1446" s="6"/>
      <c r="EX1446" s="6"/>
      <c r="EY1446" s="6"/>
      <c r="EZ1446" s="6"/>
      <c r="FA1446" s="6"/>
      <c r="FB1446" s="6"/>
      <c r="FC1446" s="6"/>
      <c r="FD1446" s="6"/>
      <c r="FE1446" s="6"/>
      <c r="FF1446" s="6"/>
      <c r="FG1446" s="6"/>
      <c r="FH1446" s="6"/>
      <c r="FI1446" s="6"/>
      <c r="FJ1446" s="6"/>
      <c r="FK1446" s="6"/>
      <c r="FL1446" s="6"/>
      <c r="FM1446" s="6"/>
      <c r="FN1446" s="6"/>
      <c r="FO1446" s="6"/>
      <c r="FP1446" s="6"/>
      <c r="FQ1446" s="6"/>
      <c r="FR1446" s="6"/>
      <c r="FS1446" s="6"/>
      <c r="FT1446" s="6"/>
      <c r="FU1446" s="6"/>
      <c r="FV1446" s="6"/>
      <c r="FW1446" s="6"/>
      <c r="FX1446" s="6"/>
      <c r="FY1446" s="6"/>
      <c r="FZ1446" s="6"/>
      <c r="GA1446" s="6"/>
      <c r="GB1446" s="6"/>
      <c r="GC1446" s="6"/>
      <c r="GD1446" s="6"/>
      <c r="GE1446" s="6"/>
      <c r="GF1446" s="6"/>
      <c r="GG1446" s="6"/>
      <c r="GH1446" s="6"/>
      <c r="GI1446" s="6"/>
      <c r="GJ1446" s="6"/>
      <c r="GK1446" s="6"/>
      <c r="GL1446" s="6"/>
      <c r="GM1446" s="6"/>
      <c r="GN1446" s="6"/>
      <c r="GO1446" s="6"/>
      <c r="GP1446" s="6"/>
      <c r="GQ1446" s="6"/>
      <c r="GR1446" s="6"/>
      <c r="GS1446" s="6"/>
      <c r="GT1446" s="6"/>
      <c r="GU1446" s="6"/>
      <c r="GV1446" s="6"/>
      <c r="GW1446" s="6"/>
      <c r="GX1446" s="6"/>
      <c r="GY1446" s="6"/>
      <c r="GZ1446" s="6"/>
      <c r="HA1446" s="6"/>
      <c r="HB1446" s="6"/>
      <c r="HC1446" s="6"/>
      <c r="HD1446" s="6"/>
      <c r="HE1446" s="6"/>
      <c r="HF1446" s="6"/>
      <c r="HG1446" s="6"/>
      <c r="HH1446" s="6"/>
    </row>
    <row r="1447" spans="1:216" x14ac:dyDescent="0.3">
      <c r="A1447" s="8"/>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6"/>
      <c r="AR1447" s="6"/>
      <c r="AS1447" s="6"/>
      <c r="AT1447" s="6"/>
      <c r="AU1447" s="6"/>
      <c r="AV1447" s="6"/>
      <c r="AW1447" s="6"/>
      <c r="AX1447" s="6"/>
      <c r="AY1447" s="6"/>
      <c r="AZ1447" s="6"/>
      <c r="BA1447" s="6"/>
      <c r="BB1447" s="6"/>
      <c r="BC1447" s="6"/>
      <c r="BD1447" s="6"/>
      <c r="BE1447" s="6"/>
      <c r="BF1447" s="6"/>
      <c r="BG1447" s="6"/>
      <c r="BH1447" s="6"/>
      <c r="BI1447" s="6"/>
      <c r="BJ1447" s="6"/>
      <c r="BK1447" s="6"/>
      <c r="BL1447" s="6"/>
      <c r="BM1447" s="6"/>
      <c r="BN1447" s="6"/>
      <c r="BO1447" s="6"/>
      <c r="BP1447" s="6"/>
      <c r="BQ1447" s="6"/>
      <c r="BR1447" s="6"/>
      <c r="BS1447" s="6"/>
      <c r="BT1447" s="6"/>
      <c r="BU1447" s="6"/>
      <c r="BV1447" s="6"/>
      <c r="BW1447" s="6"/>
      <c r="BX1447" s="6"/>
      <c r="BY1447" s="6"/>
      <c r="BZ1447" s="6"/>
      <c r="CA1447" s="6"/>
      <c r="CB1447" s="6"/>
      <c r="CC1447" s="6"/>
      <c r="CD1447" s="6"/>
      <c r="CE1447" s="6"/>
      <c r="CF1447" s="6"/>
      <c r="CG1447" s="6"/>
      <c r="CH1447" s="6"/>
      <c r="CI1447" s="6"/>
      <c r="CJ1447" s="6"/>
      <c r="CK1447" s="6"/>
      <c r="CL1447" s="6"/>
      <c r="CM1447" s="6"/>
      <c r="CN1447" s="6"/>
      <c r="CO1447" s="6"/>
      <c r="CP1447" s="6"/>
      <c r="CQ1447" s="6"/>
      <c r="CR1447" s="6"/>
      <c r="CS1447" s="6"/>
      <c r="CT1447" s="6"/>
      <c r="CU1447" s="6"/>
      <c r="CV1447" s="6"/>
      <c r="CW1447" s="6"/>
      <c r="CX1447" s="6"/>
      <c r="CY1447" s="6"/>
      <c r="CZ1447" s="6"/>
      <c r="DA1447" s="6"/>
      <c r="DB1447" s="6"/>
      <c r="DC1447" s="6"/>
      <c r="DD1447" s="6"/>
      <c r="DE1447" s="6"/>
      <c r="DF1447" s="6"/>
      <c r="DG1447" s="6"/>
      <c r="DH1447" s="6"/>
      <c r="DI1447" s="6"/>
      <c r="DJ1447" s="6"/>
      <c r="DK1447" s="6"/>
      <c r="DL1447" s="6"/>
      <c r="DM1447" s="6"/>
      <c r="DN1447" s="6"/>
      <c r="DO1447" s="6"/>
      <c r="DP1447" s="6"/>
      <c r="DQ1447" s="6"/>
      <c r="DR1447" s="6"/>
      <c r="DS1447" s="6"/>
      <c r="DT1447" s="6"/>
      <c r="DU1447" s="6"/>
      <c r="DV1447" s="6"/>
      <c r="DW1447" s="6"/>
      <c r="DX1447" s="6"/>
      <c r="DY1447" s="6"/>
      <c r="DZ1447" s="6"/>
      <c r="EA1447" s="6"/>
      <c r="EB1447" s="6"/>
      <c r="EC1447" s="6"/>
      <c r="ED1447" s="6"/>
      <c r="EE1447" s="6"/>
      <c r="EF1447" s="6"/>
      <c r="EG1447" s="6"/>
      <c r="EH1447" s="6"/>
      <c r="EI1447" s="6"/>
      <c r="EJ1447" s="6"/>
      <c r="EK1447" s="6"/>
      <c r="EL1447" s="6"/>
      <c r="EM1447" s="6"/>
      <c r="EN1447" s="6"/>
      <c r="EO1447" s="6"/>
      <c r="EP1447" s="6"/>
      <c r="EQ1447" s="6"/>
      <c r="ER1447" s="6"/>
      <c r="ES1447" s="6"/>
      <c r="ET1447" s="6"/>
      <c r="EU1447" s="6"/>
      <c r="EV1447" s="6"/>
      <c r="EW1447" s="6"/>
      <c r="EX1447" s="6"/>
      <c r="EY1447" s="6"/>
      <c r="EZ1447" s="6"/>
      <c r="FA1447" s="6"/>
      <c r="FB1447" s="6"/>
      <c r="FC1447" s="6"/>
      <c r="FD1447" s="6"/>
      <c r="FE1447" s="6"/>
      <c r="FF1447" s="6"/>
      <c r="FG1447" s="6"/>
      <c r="FH1447" s="6"/>
      <c r="FI1447" s="6"/>
      <c r="FJ1447" s="6"/>
      <c r="FK1447" s="6"/>
      <c r="FL1447" s="6"/>
      <c r="FM1447" s="6"/>
      <c r="FN1447" s="6"/>
      <c r="FO1447" s="6"/>
      <c r="FP1447" s="6"/>
      <c r="FQ1447" s="6"/>
      <c r="FR1447" s="6"/>
      <c r="FS1447" s="6"/>
      <c r="FT1447" s="6"/>
      <c r="FU1447" s="6"/>
      <c r="FV1447" s="6"/>
      <c r="FW1447" s="6"/>
      <c r="FX1447" s="6"/>
      <c r="FY1447" s="6"/>
      <c r="FZ1447" s="6"/>
      <c r="GA1447" s="6"/>
      <c r="GB1447" s="6"/>
      <c r="GC1447" s="6"/>
      <c r="GD1447" s="6"/>
      <c r="GE1447" s="6"/>
      <c r="GF1447" s="6"/>
      <c r="GG1447" s="6"/>
      <c r="GH1447" s="6"/>
      <c r="GI1447" s="6"/>
      <c r="GJ1447" s="6"/>
      <c r="GK1447" s="6"/>
      <c r="GL1447" s="6"/>
      <c r="GM1447" s="6"/>
      <c r="GN1447" s="6"/>
      <c r="GO1447" s="6"/>
      <c r="GP1447" s="6"/>
      <c r="GQ1447" s="6"/>
      <c r="GR1447" s="6"/>
      <c r="GS1447" s="6"/>
      <c r="GT1447" s="6"/>
      <c r="GU1447" s="6"/>
      <c r="GV1447" s="6"/>
      <c r="GW1447" s="6"/>
      <c r="GX1447" s="6"/>
      <c r="GY1447" s="6"/>
      <c r="GZ1447" s="6"/>
      <c r="HA1447" s="6"/>
      <c r="HB1447" s="6"/>
      <c r="HC1447" s="6"/>
      <c r="HD1447" s="6"/>
      <c r="HE1447" s="6"/>
      <c r="HF1447" s="6"/>
      <c r="HG1447" s="6"/>
      <c r="HH1447" s="6"/>
    </row>
    <row r="1448" spans="1:216" x14ac:dyDescent="0.3">
      <c r="A1448" s="8"/>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6"/>
      <c r="AR1448" s="6"/>
      <c r="AS1448" s="6"/>
      <c r="AT1448" s="6"/>
      <c r="AU1448" s="6"/>
      <c r="AV1448" s="6"/>
      <c r="AW1448" s="6"/>
      <c r="AX1448" s="6"/>
      <c r="AY1448" s="6"/>
      <c r="AZ1448" s="6"/>
      <c r="BA1448" s="6"/>
      <c r="BB1448" s="6"/>
      <c r="BC1448" s="6"/>
      <c r="BD1448" s="6"/>
      <c r="BE1448" s="6"/>
      <c r="BF1448" s="6"/>
      <c r="BG1448" s="6"/>
      <c r="BH1448" s="6"/>
      <c r="BI1448" s="6"/>
      <c r="BJ1448" s="6"/>
      <c r="BK1448" s="6"/>
      <c r="BL1448" s="6"/>
      <c r="BM1448" s="6"/>
      <c r="BN1448" s="6"/>
      <c r="BO1448" s="6"/>
      <c r="BP1448" s="6"/>
      <c r="BQ1448" s="6"/>
      <c r="BR1448" s="6"/>
      <c r="BS1448" s="6"/>
      <c r="BT1448" s="6"/>
      <c r="BU1448" s="6"/>
      <c r="BV1448" s="6"/>
      <c r="BW1448" s="6"/>
      <c r="BX1448" s="6"/>
      <c r="BY1448" s="6"/>
      <c r="BZ1448" s="6"/>
      <c r="CA1448" s="6"/>
      <c r="CB1448" s="6"/>
      <c r="CC1448" s="6"/>
      <c r="CD1448" s="6"/>
      <c r="CE1448" s="6"/>
      <c r="CF1448" s="6"/>
      <c r="CG1448" s="6"/>
      <c r="CH1448" s="6"/>
      <c r="CI1448" s="6"/>
      <c r="CJ1448" s="6"/>
      <c r="CK1448" s="6"/>
      <c r="CL1448" s="6"/>
      <c r="CM1448" s="6"/>
      <c r="CN1448" s="6"/>
      <c r="CO1448" s="6"/>
      <c r="CP1448" s="6"/>
      <c r="CQ1448" s="6"/>
      <c r="CR1448" s="6"/>
      <c r="CS1448" s="6"/>
      <c r="CT1448" s="6"/>
      <c r="CU1448" s="6"/>
      <c r="CV1448" s="6"/>
      <c r="CW1448" s="6"/>
      <c r="CX1448" s="6"/>
      <c r="CY1448" s="6"/>
      <c r="CZ1448" s="6"/>
      <c r="DA1448" s="6"/>
      <c r="DB1448" s="6"/>
      <c r="DC1448" s="6"/>
      <c r="DD1448" s="6"/>
      <c r="DE1448" s="6"/>
      <c r="DF1448" s="6"/>
      <c r="DG1448" s="6"/>
      <c r="DH1448" s="6"/>
      <c r="DI1448" s="6"/>
      <c r="DJ1448" s="6"/>
      <c r="DK1448" s="6"/>
      <c r="DL1448" s="6"/>
      <c r="DM1448" s="6"/>
      <c r="DN1448" s="6"/>
      <c r="DO1448" s="6"/>
      <c r="DP1448" s="6"/>
      <c r="DQ1448" s="6"/>
      <c r="DR1448" s="6"/>
      <c r="DS1448" s="6"/>
      <c r="DT1448" s="6"/>
      <c r="DU1448" s="6"/>
      <c r="DV1448" s="6"/>
      <c r="DW1448" s="6"/>
      <c r="DX1448" s="6"/>
      <c r="DY1448" s="6"/>
      <c r="DZ1448" s="6"/>
      <c r="EA1448" s="6"/>
      <c r="EB1448" s="6"/>
      <c r="EC1448" s="6"/>
      <c r="ED1448" s="6"/>
      <c r="EE1448" s="6"/>
      <c r="EF1448" s="6"/>
      <c r="EG1448" s="6"/>
      <c r="EH1448" s="6"/>
      <c r="EI1448" s="6"/>
      <c r="EJ1448" s="6"/>
      <c r="EK1448" s="6"/>
      <c r="EL1448" s="6"/>
      <c r="EM1448" s="6"/>
      <c r="EN1448" s="6"/>
      <c r="EO1448" s="6"/>
      <c r="EP1448" s="6"/>
      <c r="EQ1448" s="6"/>
      <c r="ER1448" s="6"/>
      <c r="ES1448" s="6"/>
      <c r="ET1448" s="6"/>
      <c r="EU1448" s="6"/>
      <c r="EV1448" s="6"/>
      <c r="EW1448" s="6"/>
      <c r="EX1448" s="6"/>
      <c r="EY1448" s="6"/>
      <c r="EZ1448" s="6"/>
      <c r="FA1448" s="6"/>
      <c r="FB1448" s="6"/>
      <c r="FC1448" s="6"/>
      <c r="FD1448" s="6"/>
      <c r="FE1448" s="6"/>
      <c r="FF1448" s="6"/>
      <c r="FG1448" s="6"/>
      <c r="FH1448" s="6"/>
      <c r="FI1448" s="6"/>
      <c r="FJ1448" s="6"/>
      <c r="FK1448" s="6"/>
      <c r="FL1448" s="6"/>
      <c r="FM1448" s="6"/>
      <c r="FN1448" s="6"/>
      <c r="FO1448" s="6"/>
      <c r="FP1448" s="6"/>
      <c r="FQ1448" s="6"/>
      <c r="FR1448" s="6"/>
      <c r="FS1448" s="6"/>
      <c r="FT1448" s="6"/>
      <c r="FU1448" s="6"/>
      <c r="FV1448" s="6"/>
      <c r="FW1448" s="6"/>
      <c r="FX1448" s="6"/>
      <c r="FY1448" s="6"/>
      <c r="FZ1448" s="6"/>
      <c r="GA1448" s="6"/>
      <c r="GB1448" s="6"/>
      <c r="GC1448" s="6"/>
      <c r="GD1448" s="6"/>
      <c r="GE1448" s="6"/>
      <c r="GF1448" s="6"/>
      <c r="GG1448" s="6"/>
      <c r="GH1448" s="6"/>
      <c r="GI1448" s="6"/>
      <c r="GJ1448" s="6"/>
      <c r="GK1448" s="6"/>
      <c r="GL1448" s="6"/>
      <c r="GM1448" s="6"/>
      <c r="GN1448" s="6"/>
      <c r="GO1448" s="6"/>
      <c r="GP1448" s="6"/>
      <c r="GQ1448" s="6"/>
      <c r="GR1448" s="6"/>
      <c r="GS1448" s="6"/>
      <c r="GT1448" s="6"/>
      <c r="GU1448" s="6"/>
      <c r="GV1448" s="6"/>
      <c r="GW1448" s="6"/>
      <c r="GX1448" s="6"/>
      <c r="GY1448" s="6"/>
      <c r="GZ1448" s="6"/>
      <c r="HA1448" s="6"/>
      <c r="HB1448" s="6"/>
      <c r="HC1448" s="6"/>
      <c r="HD1448" s="6"/>
      <c r="HE1448" s="6"/>
      <c r="HF1448" s="6"/>
      <c r="HG1448" s="6"/>
      <c r="HH1448" s="6"/>
    </row>
    <row r="1449" spans="1:216" x14ac:dyDescent="0.3">
      <c r="A1449" s="8"/>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6"/>
      <c r="AR1449" s="6"/>
      <c r="AS1449" s="6"/>
      <c r="AT1449" s="6"/>
      <c r="AU1449" s="6"/>
      <c r="AV1449" s="6"/>
      <c r="AW1449" s="6"/>
      <c r="AX1449" s="6"/>
      <c r="AY1449" s="6"/>
      <c r="AZ1449" s="6"/>
      <c r="BA1449" s="6"/>
      <c r="BB1449" s="6"/>
      <c r="BC1449" s="6"/>
      <c r="BD1449" s="6"/>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6"/>
      <c r="CH1449" s="6"/>
      <c r="CI1449" s="6"/>
      <c r="CJ1449" s="6"/>
      <c r="CK1449" s="6"/>
      <c r="CL1449" s="6"/>
      <c r="CM1449" s="6"/>
      <c r="CN1449" s="6"/>
      <c r="CO1449" s="6"/>
      <c r="CP1449" s="6"/>
      <c r="CQ1449" s="6"/>
      <c r="CR1449" s="6"/>
      <c r="CS1449" s="6"/>
      <c r="CT1449" s="6"/>
      <c r="CU1449" s="6"/>
      <c r="CV1449" s="6"/>
      <c r="CW1449" s="6"/>
      <c r="CX1449" s="6"/>
      <c r="CY1449" s="6"/>
      <c r="CZ1449" s="6"/>
      <c r="DA1449" s="6"/>
      <c r="DB1449" s="6"/>
      <c r="DC1449" s="6"/>
      <c r="DD1449" s="6"/>
      <c r="DE1449" s="6"/>
      <c r="DF1449" s="6"/>
      <c r="DG1449" s="6"/>
      <c r="DH1449" s="6"/>
      <c r="DI1449" s="6"/>
      <c r="DJ1449" s="6"/>
      <c r="DK1449" s="6"/>
      <c r="DL1449" s="6"/>
      <c r="DM1449" s="6"/>
      <c r="DN1449" s="6"/>
      <c r="DO1449" s="6"/>
      <c r="DP1449" s="6"/>
      <c r="DQ1449" s="6"/>
      <c r="DR1449" s="6"/>
      <c r="DS1449" s="6"/>
      <c r="DT1449" s="6"/>
      <c r="DU1449" s="6"/>
      <c r="DV1449" s="6"/>
      <c r="DW1449" s="6"/>
      <c r="DX1449" s="6"/>
      <c r="DY1449" s="6"/>
      <c r="DZ1449" s="6"/>
      <c r="EA1449" s="6"/>
      <c r="EB1449" s="6"/>
      <c r="EC1449" s="6"/>
      <c r="ED1449" s="6"/>
      <c r="EE1449" s="6"/>
      <c r="EF1449" s="6"/>
      <c r="EG1449" s="6"/>
      <c r="EH1449" s="6"/>
      <c r="EI1449" s="6"/>
      <c r="EJ1449" s="6"/>
      <c r="EK1449" s="6"/>
      <c r="EL1449" s="6"/>
      <c r="EM1449" s="6"/>
      <c r="EN1449" s="6"/>
      <c r="EO1449" s="6"/>
      <c r="EP1449" s="6"/>
      <c r="EQ1449" s="6"/>
      <c r="ER1449" s="6"/>
      <c r="ES1449" s="6"/>
      <c r="ET1449" s="6"/>
      <c r="EU1449" s="6"/>
      <c r="EV1449" s="6"/>
      <c r="EW1449" s="6"/>
      <c r="EX1449" s="6"/>
      <c r="EY1449" s="6"/>
      <c r="EZ1449" s="6"/>
      <c r="FA1449" s="6"/>
      <c r="FB1449" s="6"/>
      <c r="FC1449" s="6"/>
      <c r="FD1449" s="6"/>
      <c r="FE1449" s="6"/>
      <c r="FF1449" s="6"/>
      <c r="FG1449" s="6"/>
      <c r="FH1449" s="6"/>
      <c r="FI1449" s="6"/>
      <c r="FJ1449" s="6"/>
      <c r="FK1449" s="6"/>
      <c r="FL1449" s="6"/>
      <c r="FM1449" s="6"/>
      <c r="FN1449" s="6"/>
      <c r="FO1449" s="6"/>
      <c r="FP1449" s="6"/>
      <c r="FQ1449" s="6"/>
      <c r="FR1449" s="6"/>
      <c r="FS1449" s="6"/>
      <c r="FT1449" s="6"/>
      <c r="FU1449" s="6"/>
      <c r="FV1449" s="6"/>
      <c r="FW1449" s="6"/>
      <c r="FX1449" s="6"/>
      <c r="FY1449" s="6"/>
      <c r="FZ1449" s="6"/>
      <c r="GA1449" s="6"/>
      <c r="GB1449" s="6"/>
      <c r="GC1449" s="6"/>
      <c r="GD1449" s="6"/>
      <c r="GE1449" s="6"/>
      <c r="GF1449" s="6"/>
      <c r="GG1449" s="6"/>
      <c r="GH1449" s="6"/>
      <c r="GI1449" s="6"/>
      <c r="GJ1449" s="6"/>
      <c r="GK1449" s="6"/>
      <c r="GL1449" s="6"/>
      <c r="GM1449" s="6"/>
      <c r="GN1449" s="6"/>
      <c r="GO1449" s="6"/>
      <c r="GP1449" s="6"/>
      <c r="GQ1449" s="6"/>
      <c r="GR1449" s="6"/>
      <c r="GS1449" s="6"/>
      <c r="GT1449" s="6"/>
      <c r="GU1449" s="6"/>
      <c r="GV1449" s="6"/>
      <c r="GW1449" s="6"/>
      <c r="GX1449" s="6"/>
      <c r="GY1449" s="6"/>
      <c r="GZ1449" s="6"/>
      <c r="HA1449" s="6"/>
      <c r="HB1449" s="6"/>
      <c r="HC1449" s="6"/>
      <c r="HD1449" s="6"/>
      <c r="HE1449" s="6"/>
      <c r="HF1449" s="6"/>
      <c r="HG1449" s="6"/>
      <c r="HH1449" s="6"/>
    </row>
    <row r="1450" spans="1:216" x14ac:dyDescent="0.3">
      <c r="A1450" s="8"/>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6"/>
      <c r="AR1450" s="6"/>
      <c r="AS1450" s="6"/>
      <c r="AT1450" s="6"/>
      <c r="AU1450" s="6"/>
      <c r="AV1450" s="6"/>
      <c r="AW1450" s="6"/>
      <c r="AX1450" s="6"/>
      <c r="AY1450" s="6"/>
      <c r="AZ1450" s="6"/>
      <c r="BA1450" s="6"/>
      <c r="BB1450" s="6"/>
      <c r="BC1450" s="6"/>
      <c r="BD1450" s="6"/>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6"/>
      <c r="CH1450" s="6"/>
      <c r="CI1450" s="6"/>
      <c r="CJ1450" s="6"/>
      <c r="CK1450" s="6"/>
      <c r="CL1450" s="6"/>
      <c r="CM1450" s="6"/>
      <c r="CN1450" s="6"/>
      <c r="CO1450" s="6"/>
      <c r="CP1450" s="6"/>
      <c r="CQ1450" s="6"/>
      <c r="CR1450" s="6"/>
      <c r="CS1450" s="6"/>
      <c r="CT1450" s="6"/>
      <c r="CU1450" s="6"/>
      <c r="CV1450" s="6"/>
      <c r="CW1450" s="6"/>
      <c r="CX1450" s="6"/>
      <c r="CY1450" s="6"/>
      <c r="CZ1450" s="6"/>
      <c r="DA1450" s="6"/>
      <c r="DB1450" s="6"/>
      <c r="DC1450" s="6"/>
      <c r="DD1450" s="6"/>
      <c r="DE1450" s="6"/>
      <c r="DF1450" s="6"/>
      <c r="DG1450" s="6"/>
      <c r="DH1450" s="6"/>
      <c r="DI1450" s="6"/>
      <c r="DJ1450" s="6"/>
      <c r="DK1450" s="6"/>
      <c r="DL1450" s="6"/>
      <c r="DM1450" s="6"/>
      <c r="DN1450" s="6"/>
      <c r="DO1450" s="6"/>
      <c r="DP1450" s="6"/>
      <c r="DQ1450" s="6"/>
      <c r="DR1450" s="6"/>
      <c r="DS1450" s="6"/>
      <c r="DT1450" s="6"/>
      <c r="DU1450" s="6"/>
      <c r="DV1450" s="6"/>
      <c r="DW1450" s="6"/>
      <c r="DX1450" s="6"/>
      <c r="DY1450" s="6"/>
      <c r="DZ1450" s="6"/>
      <c r="EA1450" s="6"/>
      <c r="EB1450" s="6"/>
      <c r="EC1450" s="6"/>
      <c r="ED1450" s="6"/>
      <c r="EE1450" s="6"/>
      <c r="EF1450" s="6"/>
      <c r="EG1450" s="6"/>
      <c r="EH1450" s="6"/>
      <c r="EI1450" s="6"/>
      <c r="EJ1450" s="6"/>
      <c r="EK1450" s="6"/>
      <c r="EL1450" s="6"/>
      <c r="EM1450" s="6"/>
      <c r="EN1450" s="6"/>
      <c r="EO1450" s="6"/>
      <c r="EP1450" s="6"/>
      <c r="EQ1450" s="6"/>
      <c r="ER1450" s="6"/>
      <c r="ES1450" s="6"/>
      <c r="ET1450" s="6"/>
      <c r="EU1450" s="6"/>
      <c r="EV1450" s="6"/>
      <c r="EW1450" s="6"/>
      <c r="EX1450" s="6"/>
      <c r="EY1450" s="6"/>
      <c r="EZ1450" s="6"/>
      <c r="FA1450" s="6"/>
      <c r="FB1450" s="6"/>
      <c r="FC1450" s="6"/>
      <c r="FD1450" s="6"/>
      <c r="FE1450" s="6"/>
      <c r="FF1450" s="6"/>
      <c r="FG1450" s="6"/>
      <c r="FH1450" s="6"/>
      <c r="FI1450" s="6"/>
      <c r="FJ1450" s="6"/>
      <c r="FK1450" s="6"/>
      <c r="FL1450" s="6"/>
      <c r="FM1450" s="6"/>
      <c r="FN1450" s="6"/>
      <c r="FO1450" s="6"/>
      <c r="FP1450" s="6"/>
      <c r="FQ1450" s="6"/>
      <c r="FR1450" s="6"/>
      <c r="FS1450" s="6"/>
      <c r="FT1450" s="6"/>
      <c r="FU1450" s="6"/>
      <c r="FV1450" s="6"/>
      <c r="FW1450" s="6"/>
      <c r="FX1450" s="6"/>
      <c r="FY1450" s="6"/>
      <c r="FZ1450" s="6"/>
      <c r="GA1450" s="6"/>
      <c r="GB1450" s="6"/>
      <c r="GC1450" s="6"/>
      <c r="GD1450" s="6"/>
      <c r="GE1450" s="6"/>
      <c r="GF1450" s="6"/>
      <c r="GG1450" s="6"/>
      <c r="GH1450" s="6"/>
      <c r="GI1450" s="6"/>
      <c r="GJ1450" s="6"/>
      <c r="GK1450" s="6"/>
      <c r="GL1450" s="6"/>
      <c r="GM1450" s="6"/>
      <c r="GN1450" s="6"/>
      <c r="GO1450" s="6"/>
      <c r="GP1450" s="6"/>
      <c r="GQ1450" s="6"/>
      <c r="GR1450" s="6"/>
      <c r="GS1450" s="6"/>
      <c r="GT1450" s="6"/>
      <c r="GU1450" s="6"/>
      <c r="GV1450" s="6"/>
      <c r="GW1450" s="6"/>
      <c r="GX1450" s="6"/>
      <c r="GY1450" s="6"/>
      <c r="GZ1450" s="6"/>
      <c r="HA1450" s="6"/>
      <c r="HB1450" s="6"/>
      <c r="HC1450" s="6"/>
      <c r="HD1450" s="6"/>
      <c r="HE1450" s="6"/>
      <c r="HF1450" s="6"/>
      <c r="HG1450" s="6"/>
      <c r="HH1450" s="6"/>
    </row>
    <row r="1451" spans="1:216" x14ac:dyDescent="0.3">
      <c r="A1451" s="8"/>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6"/>
      <c r="AR1451" s="6"/>
      <c r="AS1451" s="6"/>
      <c r="AT1451" s="6"/>
      <c r="AU1451" s="6"/>
      <c r="AV1451" s="6"/>
      <c r="AW1451" s="6"/>
      <c r="AX1451" s="6"/>
      <c r="AY1451" s="6"/>
      <c r="AZ1451" s="6"/>
      <c r="BA1451" s="6"/>
      <c r="BB1451" s="6"/>
      <c r="BC1451" s="6"/>
      <c r="BD1451" s="6"/>
      <c r="BE1451" s="6"/>
      <c r="BF1451" s="6"/>
      <c r="BG1451" s="6"/>
      <c r="BH1451" s="6"/>
      <c r="BI1451" s="6"/>
      <c r="BJ1451" s="6"/>
      <c r="BK1451" s="6"/>
      <c r="BL1451" s="6"/>
      <c r="BM1451" s="6"/>
      <c r="BN1451" s="6"/>
      <c r="BO1451" s="6"/>
      <c r="BP1451" s="6"/>
      <c r="BQ1451" s="6"/>
      <c r="BR1451" s="6"/>
      <c r="BS1451" s="6"/>
      <c r="BT1451" s="6"/>
      <c r="BU1451" s="6"/>
      <c r="BV1451" s="6"/>
      <c r="BW1451" s="6"/>
      <c r="BX1451" s="6"/>
      <c r="BY1451" s="6"/>
      <c r="BZ1451" s="6"/>
      <c r="CA1451" s="6"/>
      <c r="CB1451" s="6"/>
      <c r="CC1451" s="6"/>
      <c r="CD1451" s="6"/>
      <c r="CE1451" s="6"/>
      <c r="CF1451" s="6"/>
      <c r="CG1451" s="6"/>
      <c r="CH1451" s="6"/>
      <c r="CI1451" s="6"/>
      <c r="CJ1451" s="6"/>
      <c r="CK1451" s="6"/>
      <c r="CL1451" s="6"/>
      <c r="CM1451" s="6"/>
      <c r="CN1451" s="6"/>
      <c r="CO1451" s="6"/>
      <c r="CP1451" s="6"/>
      <c r="CQ1451" s="6"/>
      <c r="CR1451" s="6"/>
      <c r="CS1451" s="6"/>
      <c r="CT1451" s="6"/>
      <c r="CU1451" s="6"/>
      <c r="CV1451" s="6"/>
      <c r="CW1451" s="6"/>
      <c r="CX1451" s="6"/>
      <c r="CY1451" s="6"/>
      <c r="CZ1451" s="6"/>
      <c r="DA1451" s="6"/>
      <c r="DB1451" s="6"/>
      <c r="DC1451" s="6"/>
      <c r="DD1451" s="6"/>
      <c r="DE1451" s="6"/>
      <c r="DF1451" s="6"/>
      <c r="DG1451" s="6"/>
      <c r="DH1451" s="6"/>
      <c r="DI1451" s="6"/>
      <c r="DJ1451" s="6"/>
      <c r="DK1451" s="6"/>
      <c r="DL1451" s="6"/>
      <c r="DM1451" s="6"/>
      <c r="DN1451" s="6"/>
      <c r="DO1451" s="6"/>
      <c r="DP1451" s="6"/>
      <c r="DQ1451" s="6"/>
      <c r="DR1451" s="6"/>
      <c r="DS1451" s="6"/>
      <c r="DT1451" s="6"/>
      <c r="DU1451" s="6"/>
      <c r="DV1451" s="6"/>
      <c r="DW1451" s="6"/>
      <c r="DX1451" s="6"/>
      <c r="DY1451" s="6"/>
      <c r="DZ1451" s="6"/>
      <c r="EA1451" s="6"/>
      <c r="EB1451" s="6"/>
      <c r="EC1451" s="6"/>
      <c r="ED1451" s="6"/>
      <c r="EE1451" s="6"/>
      <c r="EF1451" s="6"/>
      <c r="EG1451" s="6"/>
      <c r="EH1451" s="6"/>
      <c r="EI1451" s="6"/>
      <c r="EJ1451" s="6"/>
      <c r="EK1451" s="6"/>
      <c r="EL1451" s="6"/>
      <c r="EM1451" s="6"/>
      <c r="EN1451" s="6"/>
      <c r="EO1451" s="6"/>
      <c r="EP1451" s="6"/>
      <c r="EQ1451" s="6"/>
      <c r="ER1451" s="6"/>
      <c r="ES1451" s="6"/>
      <c r="ET1451" s="6"/>
      <c r="EU1451" s="6"/>
      <c r="EV1451" s="6"/>
      <c r="EW1451" s="6"/>
      <c r="EX1451" s="6"/>
      <c r="EY1451" s="6"/>
      <c r="EZ1451" s="6"/>
      <c r="FA1451" s="6"/>
      <c r="FB1451" s="6"/>
      <c r="FC1451" s="6"/>
      <c r="FD1451" s="6"/>
      <c r="FE1451" s="6"/>
      <c r="FF1451" s="6"/>
      <c r="FG1451" s="6"/>
      <c r="FH1451" s="6"/>
      <c r="FI1451" s="6"/>
      <c r="FJ1451" s="6"/>
      <c r="FK1451" s="6"/>
      <c r="FL1451" s="6"/>
      <c r="FM1451" s="6"/>
      <c r="FN1451" s="6"/>
      <c r="FO1451" s="6"/>
      <c r="FP1451" s="6"/>
      <c r="FQ1451" s="6"/>
      <c r="FR1451" s="6"/>
      <c r="FS1451" s="6"/>
      <c r="FT1451" s="6"/>
      <c r="FU1451" s="6"/>
      <c r="FV1451" s="6"/>
      <c r="FW1451" s="6"/>
      <c r="FX1451" s="6"/>
      <c r="FY1451" s="6"/>
      <c r="FZ1451" s="6"/>
      <c r="GA1451" s="6"/>
      <c r="GB1451" s="6"/>
      <c r="GC1451" s="6"/>
      <c r="GD1451" s="6"/>
      <c r="GE1451" s="6"/>
      <c r="GF1451" s="6"/>
      <c r="GG1451" s="6"/>
      <c r="GH1451" s="6"/>
      <c r="GI1451" s="6"/>
      <c r="GJ1451" s="6"/>
      <c r="GK1451" s="6"/>
      <c r="GL1451" s="6"/>
      <c r="GM1451" s="6"/>
      <c r="GN1451" s="6"/>
      <c r="GO1451" s="6"/>
      <c r="GP1451" s="6"/>
      <c r="GQ1451" s="6"/>
      <c r="GR1451" s="6"/>
      <c r="GS1451" s="6"/>
      <c r="GT1451" s="6"/>
      <c r="GU1451" s="6"/>
      <c r="GV1451" s="6"/>
      <c r="GW1451" s="6"/>
      <c r="GX1451" s="6"/>
      <c r="GY1451" s="6"/>
      <c r="GZ1451" s="6"/>
      <c r="HA1451" s="6"/>
      <c r="HB1451" s="6"/>
      <c r="HC1451" s="6"/>
      <c r="HD1451" s="6"/>
      <c r="HE1451" s="6"/>
      <c r="HF1451" s="6"/>
      <c r="HG1451" s="6"/>
      <c r="HH1451" s="6"/>
    </row>
    <row r="1452" spans="1:216" x14ac:dyDescent="0.3">
      <c r="A1452" s="8"/>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row>
    <row r="1453" spans="1:216" x14ac:dyDescent="0.3">
      <c r="A1453" s="8"/>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row>
    <row r="1454" spans="1:216" x14ac:dyDescent="0.3">
      <c r="A1454" s="8"/>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6"/>
      <c r="AR1454" s="6"/>
      <c r="AS1454" s="6"/>
      <c r="AT1454" s="6"/>
      <c r="AU1454" s="6"/>
      <c r="AV1454" s="6"/>
      <c r="AW1454" s="6"/>
      <c r="AX1454" s="6"/>
      <c r="AY1454" s="6"/>
      <c r="AZ1454" s="6"/>
      <c r="BA1454" s="6"/>
      <c r="BB1454" s="6"/>
      <c r="BC1454" s="6"/>
      <c r="BD1454" s="6"/>
      <c r="BE1454" s="6"/>
      <c r="BF1454" s="6"/>
      <c r="BG1454" s="6"/>
      <c r="BH1454" s="6"/>
      <c r="BI1454" s="6"/>
      <c r="BJ1454" s="6"/>
      <c r="BK1454" s="6"/>
      <c r="BL1454" s="6"/>
      <c r="BM1454" s="6"/>
      <c r="BN1454" s="6"/>
      <c r="BO1454" s="6"/>
      <c r="BP1454" s="6"/>
      <c r="BQ1454" s="6"/>
      <c r="BR1454" s="6"/>
      <c r="BS1454" s="6"/>
      <c r="BT1454" s="6"/>
      <c r="BU1454" s="6"/>
      <c r="BV1454" s="6"/>
      <c r="BW1454" s="6"/>
      <c r="BX1454" s="6"/>
      <c r="BY1454" s="6"/>
      <c r="BZ1454" s="6"/>
      <c r="CA1454" s="6"/>
      <c r="CB1454" s="6"/>
      <c r="CC1454" s="6"/>
      <c r="CD1454" s="6"/>
      <c r="CE1454" s="6"/>
      <c r="CF1454" s="6"/>
      <c r="CG1454" s="6"/>
      <c r="CH1454" s="6"/>
      <c r="CI1454" s="6"/>
      <c r="CJ1454" s="6"/>
      <c r="CK1454" s="6"/>
      <c r="CL1454" s="6"/>
      <c r="CM1454" s="6"/>
      <c r="CN1454" s="6"/>
      <c r="CO1454" s="6"/>
      <c r="CP1454" s="6"/>
      <c r="CQ1454" s="6"/>
      <c r="CR1454" s="6"/>
      <c r="CS1454" s="6"/>
      <c r="CT1454" s="6"/>
      <c r="CU1454" s="6"/>
      <c r="CV1454" s="6"/>
      <c r="CW1454" s="6"/>
      <c r="CX1454" s="6"/>
      <c r="CY1454" s="6"/>
      <c r="CZ1454" s="6"/>
      <c r="DA1454" s="6"/>
      <c r="DB1454" s="6"/>
      <c r="DC1454" s="6"/>
      <c r="DD1454" s="6"/>
      <c r="DE1454" s="6"/>
      <c r="DF1454" s="6"/>
      <c r="DG1454" s="6"/>
      <c r="DH1454" s="6"/>
      <c r="DI1454" s="6"/>
      <c r="DJ1454" s="6"/>
      <c r="DK1454" s="6"/>
      <c r="DL1454" s="6"/>
      <c r="DM1454" s="6"/>
      <c r="DN1454" s="6"/>
      <c r="DO1454" s="6"/>
      <c r="DP1454" s="6"/>
      <c r="DQ1454" s="6"/>
      <c r="DR1454" s="6"/>
      <c r="DS1454" s="6"/>
      <c r="DT1454" s="6"/>
      <c r="DU1454" s="6"/>
      <c r="DV1454" s="6"/>
      <c r="DW1454" s="6"/>
      <c r="DX1454" s="6"/>
      <c r="DY1454" s="6"/>
      <c r="DZ1454" s="6"/>
      <c r="EA1454" s="6"/>
      <c r="EB1454" s="6"/>
      <c r="EC1454" s="6"/>
      <c r="ED1454" s="6"/>
      <c r="EE1454" s="6"/>
      <c r="EF1454" s="6"/>
      <c r="EG1454" s="6"/>
      <c r="EH1454" s="6"/>
      <c r="EI1454" s="6"/>
      <c r="EJ1454" s="6"/>
      <c r="EK1454" s="6"/>
      <c r="EL1454" s="6"/>
      <c r="EM1454" s="6"/>
      <c r="EN1454" s="6"/>
      <c r="EO1454" s="6"/>
      <c r="EP1454" s="6"/>
      <c r="EQ1454" s="6"/>
      <c r="ER1454" s="6"/>
      <c r="ES1454" s="6"/>
      <c r="ET1454" s="6"/>
      <c r="EU1454" s="6"/>
      <c r="EV1454" s="6"/>
      <c r="EW1454" s="6"/>
      <c r="EX1454" s="6"/>
      <c r="EY1454" s="6"/>
      <c r="EZ1454" s="6"/>
      <c r="FA1454" s="6"/>
      <c r="FB1454" s="6"/>
      <c r="FC1454" s="6"/>
      <c r="FD1454" s="6"/>
      <c r="FE1454" s="6"/>
      <c r="FF1454" s="6"/>
      <c r="FG1454" s="6"/>
      <c r="FH1454" s="6"/>
      <c r="FI1454" s="6"/>
      <c r="FJ1454" s="6"/>
      <c r="FK1454" s="6"/>
      <c r="FL1454" s="6"/>
      <c r="FM1454" s="6"/>
      <c r="FN1454" s="6"/>
      <c r="FO1454" s="6"/>
      <c r="FP1454" s="6"/>
      <c r="FQ1454" s="6"/>
      <c r="FR1454" s="6"/>
      <c r="FS1454" s="6"/>
      <c r="FT1454" s="6"/>
      <c r="FU1454" s="6"/>
      <c r="FV1454" s="6"/>
      <c r="FW1454" s="6"/>
      <c r="FX1454" s="6"/>
      <c r="FY1454" s="6"/>
      <c r="FZ1454" s="6"/>
      <c r="GA1454" s="6"/>
      <c r="GB1454" s="6"/>
      <c r="GC1454" s="6"/>
      <c r="GD1454" s="6"/>
      <c r="GE1454" s="6"/>
      <c r="GF1454" s="6"/>
      <c r="GG1454" s="6"/>
      <c r="GH1454" s="6"/>
      <c r="GI1454" s="6"/>
      <c r="GJ1454" s="6"/>
      <c r="GK1454" s="6"/>
      <c r="GL1454" s="6"/>
      <c r="GM1454" s="6"/>
      <c r="GN1454" s="6"/>
      <c r="GO1454" s="6"/>
      <c r="GP1454" s="6"/>
      <c r="GQ1454" s="6"/>
      <c r="GR1454" s="6"/>
      <c r="GS1454" s="6"/>
      <c r="GT1454" s="6"/>
      <c r="GU1454" s="6"/>
      <c r="GV1454" s="6"/>
      <c r="GW1454" s="6"/>
      <c r="GX1454" s="6"/>
      <c r="GY1454" s="6"/>
      <c r="GZ1454" s="6"/>
      <c r="HA1454" s="6"/>
      <c r="HB1454" s="6"/>
      <c r="HC1454" s="6"/>
      <c r="HD1454" s="6"/>
      <c r="HE1454" s="6"/>
      <c r="HF1454" s="6"/>
      <c r="HG1454" s="6"/>
      <c r="HH1454" s="6"/>
    </row>
    <row r="1455" spans="1:216" x14ac:dyDescent="0.3">
      <c r="A1455" s="8"/>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6"/>
      <c r="AR1455" s="6"/>
      <c r="AS1455" s="6"/>
      <c r="AT1455" s="6"/>
      <c r="AU1455" s="6"/>
      <c r="AV1455" s="6"/>
      <c r="AW1455" s="6"/>
      <c r="AX1455" s="6"/>
      <c r="AY1455" s="6"/>
      <c r="AZ1455" s="6"/>
      <c r="BA1455" s="6"/>
      <c r="BB1455" s="6"/>
      <c r="BC1455" s="6"/>
      <c r="BD1455" s="6"/>
      <c r="BE1455" s="6"/>
      <c r="BF1455" s="6"/>
      <c r="BG1455" s="6"/>
      <c r="BH1455" s="6"/>
      <c r="BI1455" s="6"/>
      <c r="BJ1455" s="6"/>
      <c r="BK1455" s="6"/>
      <c r="BL1455" s="6"/>
      <c r="BM1455" s="6"/>
      <c r="BN1455" s="6"/>
      <c r="BO1455" s="6"/>
      <c r="BP1455" s="6"/>
      <c r="BQ1455" s="6"/>
      <c r="BR1455" s="6"/>
      <c r="BS1455" s="6"/>
      <c r="BT1455" s="6"/>
      <c r="BU1455" s="6"/>
      <c r="BV1455" s="6"/>
      <c r="BW1455" s="6"/>
      <c r="BX1455" s="6"/>
      <c r="BY1455" s="6"/>
      <c r="BZ1455" s="6"/>
      <c r="CA1455" s="6"/>
      <c r="CB1455" s="6"/>
      <c r="CC1455" s="6"/>
      <c r="CD1455" s="6"/>
      <c r="CE1455" s="6"/>
      <c r="CF1455" s="6"/>
      <c r="CG1455" s="6"/>
      <c r="CH1455" s="6"/>
      <c r="CI1455" s="6"/>
      <c r="CJ1455" s="6"/>
      <c r="CK1455" s="6"/>
      <c r="CL1455" s="6"/>
      <c r="CM1455" s="6"/>
      <c r="CN1455" s="6"/>
      <c r="CO1455" s="6"/>
      <c r="CP1455" s="6"/>
      <c r="CQ1455" s="6"/>
      <c r="CR1455" s="6"/>
      <c r="CS1455" s="6"/>
      <c r="CT1455" s="6"/>
      <c r="CU1455" s="6"/>
      <c r="CV1455" s="6"/>
      <c r="CW1455" s="6"/>
      <c r="CX1455" s="6"/>
      <c r="CY1455" s="6"/>
      <c r="CZ1455" s="6"/>
      <c r="DA1455" s="6"/>
      <c r="DB1455" s="6"/>
      <c r="DC1455" s="6"/>
      <c r="DD1455" s="6"/>
      <c r="DE1455" s="6"/>
      <c r="DF1455" s="6"/>
      <c r="DG1455" s="6"/>
      <c r="DH1455" s="6"/>
      <c r="DI1455" s="6"/>
      <c r="DJ1455" s="6"/>
      <c r="DK1455" s="6"/>
      <c r="DL1455" s="6"/>
      <c r="DM1455" s="6"/>
      <c r="DN1455" s="6"/>
      <c r="DO1455" s="6"/>
      <c r="DP1455" s="6"/>
      <c r="DQ1455" s="6"/>
      <c r="DR1455" s="6"/>
      <c r="DS1455" s="6"/>
      <c r="DT1455" s="6"/>
      <c r="DU1455" s="6"/>
      <c r="DV1455" s="6"/>
      <c r="DW1455" s="6"/>
      <c r="DX1455" s="6"/>
      <c r="DY1455" s="6"/>
      <c r="DZ1455" s="6"/>
      <c r="EA1455" s="6"/>
      <c r="EB1455" s="6"/>
      <c r="EC1455" s="6"/>
      <c r="ED1455" s="6"/>
      <c r="EE1455" s="6"/>
      <c r="EF1455" s="6"/>
      <c r="EG1455" s="6"/>
      <c r="EH1455" s="6"/>
      <c r="EI1455" s="6"/>
      <c r="EJ1455" s="6"/>
      <c r="EK1455" s="6"/>
      <c r="EL1455" s="6"/>
      <c r="EM1455" s="6"/>
      <c r="EN1455" s="6"/>
      <c r="EO1455" s="6"/>
      <c r="EP1455" s="6"/>
      <c r="EQ1455" s="6"/>
      <c r="ER1455" s="6"/>
      <c r="ES1455" s="6"/>
      <c r="ET1455" s="6"/>
      <c r="EU1455" s="6"/>
      <c r="EV1455" s="6"/>
      <c r="EW1455" s="6"/>
      <c r="EX1455" s="6"/>
      <c r="EY1455" s="6"/>
      <c r="EZ1455" s="6"/>
      <c r="FA1455" s="6"/>
      <c r="FB1455" s="6"/>
      <c r="FC1455" s="6"/>
      <c r="FD1455" s="6"/>
      <c r="FE1455" s="6"/>
      <c r="FF1455" s="6"/>
      <c r="FG1455" s="6"/>
      <c r="FH1455" s="6"/>
      <c r="FI1455" s="6"/>
      <c r="FJ1455" s="6"/>
      <c r="FK1455" s="6"/>
      <c r="FL1455" s="6"/>
      <c r="FM1455" s="6"/>
      <c r="FN1455" s="6"/>
      <c r="FO1455" s="6"/>
      <c r="FP1455" s="6"/>
      <c r="FQ1455" s="6"/>
      <c r="FR1455" s="6"/>
      <c r="FS1455" s="6"/>
      <c r="FT1455" s="6"/>
      <c r="FU1455" s="6"/>
      <c r="FV1455" s="6"/>
      <c r="FW1455" s="6"/>
      <c r="FX1455" s="6"/>
      <c r="FY1455" s="6"/>
      <c r="FZ1455" s="6"/>
      <c r="GA1455" s="6"/>
      <c r="GB1455" s="6"/>
      <c r="GC1455" s="6"/>
      <c r="GD1455" s="6"/>
      <c r="GE1455" s="6"/>
      <c r="GF1455" s="6"/>
      <c r="GG1455" s="6"/>
      <c r="GH1455" s="6"/>
      <c r="GI1455" s="6"/>
      <c r="GJ1455" s="6"/>
      <c r="GK1455" s="6"/>
      <c r="GL1455" s="6"/>
      <c r="GM1455" s="6"/>
      <c r="GN1455" s="6"/>
      <c r="GO1455" s="6"/>
      <c r="GP1455" s="6"/>
      <c r="GQ1455" s="6"/>
      <c r="GR1455" s="6"/>
      <c r="GS1455" s="6"/>
      <c r="GT1455" s="6"/>
      <c r="GU1455" s="6"/>
      <c r="GV1455" s="6"/>
      <c r="GW1455" s="6"/>
      <c r="GX1455" s="6"/>
      <c r="GY1455" s="6"/>
      <c r="GZ1455" s="6"/>
      <c r="HA1455" s="6"/>
      <c r="HB1455" s="6"/>
      <c r="HC1455" s="6"/>
      <c r="HD1455" s="6"/>
      <c r="HE1455" s="6"/>
      <c r="HF1455" s="6"/>
      <c r="HG1455" s="6"/>
      <c r="HH1455" s="6"/>
    </row>
    <row r="1456" spans="1:216" x14ac:dyDescent="0.3">
      <c r="A1456" s="8"/>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6"/>
      <c r="AR1456" s="6"/>
      <c r="AS1456" s="6"/>
      <c r="AT1456" s="6"/>
      <c r="AU1456" s="6"/>
      <c r="AV1456" s="6"/>
      <c r="AW1456" s="6"/>
      <c r="AX1456" s="6"/>
      <c r="AY1456" s="6"/>
      <c r="AZ1456" s="6"/>
      <c r="BA1456" s="6"/>
      <c r="BB1456" s="6"/>
      <c r="BC1456" s="6"/>
      <c r="BD1456" s="6"/>
      <c r="BE1456" s="6"/>
      <c r="BF1456" s="6"/>
      <c r="BG1456" s="6"/>
      <c r="BH1456" s="6"/>
      <c r="BI1456" s="6"/>
      <c r="BJ1456" s="6"/>
      <c r="BK1456" s="6"/>
      <c r="BL1456" s="6"/>
      <c r="BM1456" s="6"/>
      <c r="BN1456" s="6"/>
      <c r="BO1456" s="6"/>
      <c r="BP1456" s="6"/>
      <c r="BQ1456" s="6"/>
      <c r="BR1456" s="6"/>
      <c r="BS1456" s="6"/>
      <c r="BT1456" s="6"/>
      <c r="BU1456" s="6"/>
      <c r="BV1456" s="6"/>
      <c r="BW1456" s="6"/>
      <c r="BX1456" s="6"/>
      <c r="BY1456" s="6"/>
      <c r="BZ1456" s="6"/>
      <c r="CA1456" s="6"/>
      <c r="CB1456" s="6"/>
      <c r="CC1456" s="6"/>
      <c r="CD1456" s="6"/>
      <c r="CE1456" s="6"/>
      <c r="CF1456" s="6"/>
      <c r="CG1456" s="6"/>
      <c r="CH1456" s="6"/>
      <c r="CI1456" s="6"/>
      <c r="CJ1456" s="6"/>
      <c r="CK1456" s="6"/>
      <c r="CL1456" s="6"/>
      <c r="CM1456" s="6"/>
      <c r="CN1456" s="6"/>
      <c r="CO1456" s="6"/>
      <c r="CP1456" s="6"/>
      <c r="CQ1456" s="6"/>
      <c r="CR1456" s="6"/>
      <c r="CS1456" s="6"/>
      <c r="CT1456" s="6"/>
      <c r="CU1456" s="6"/>
      <c r="CV1456" s="6"/>
      <c r="CW1456" s="6"/>
      <c r="CX1456" s="6"/>
      <c r="CY1456" s="6"/>
      <c r="CZ1456" s="6"/>
      <c r="DA1456" s="6"/>
      <c r="DB1456" s="6"/>
      <c r="DC1456" s="6"/>
      <c r="DD1456" s="6"/>
      <c r="DE1456" s="6"/>
      <c r="DF1456" s="6"/>
      <c r="DG1456" s="6"/>
      <c r="DH1456" s="6"/>
      <c r="DI1456" s="6"/>
      <c r="DJ1456" s="6"/>
      <c r="DK1456" s="6"/>
      <c r="DL1456" s="6"/>
      <c r="DM1456" s="6"/>
      <c r="DN1456" s="6"/>
      <c r="DO1456" s="6"/>
      <c r="DP1456" s="6"/>
      <c r="DQ1456" s="6"/>
      <c r="DR1456" s="6"/>
      <c r="DS1456" s="6"/>
      <c r="DT1456" s="6"/>
      <c r="DU1456" s="6"/>
      <c r="DV1456" s="6"/>
      <c r="DW1456" s="6"/>
      <c r="DX1456" s="6"/>
      <c r="DY1456" s="6"/>
      <c r="DZ1456" s="6"/>
      <c r="EA1456" s="6"/>
      <c r="EB1456" s="6"/>
      <c r="EC1456" s="6"/>
      <c r="ED1456" s="6"/>
      <c r="EE1456" s="6"/>
      <c r="EF1456" s="6"/>
      <c r="EG1456" s="6"/>
      <c r="EH1456" s="6"/>
      <c r="EI1456" s="6"/>
      <c r="EJ1456" s="6"/>
      <c r="EK1456" s="6"/>
      <c r="EL1456" s="6"/>
      <c r="EM1456" s="6"/>
      <c r="EN1456" s="6"/>
      <c r="EO1456" s="6"/>
      <c r="EP1456" s="6"/>
      <c r="EQ1456" s="6"/>
      <c r="ER1456" s="6"/>
      <c r="ES1456" s="6"/>
      <c r="ET1456" s="6"/>
      <c r="EU1456" s="6"/>
      <c r="EV1456" s="6"/>
      <c r="EW1456" s="6"/>
      <c r="EX1456" s="6"/>
      <c r="EY1456" s="6"/>
      <c r="EZ1456" s="6"/>
      <c r="FA1456" s="6"/>
      <c r="FB1456" s="6"/>
      <c r="FC1456" s="6"/>
      <c r="FD1456" s="6"/>
      <c r="FE1456" s="6"/>
      <c r="FF1456" s="6"/>
      <c r="FG1456" s="6"/>
      <c r="FH1456" s="6"/>
      <c r="FI1456" s="6"/>
      <c r="FJ1456" s="6"/>
      <c r="FK1456" s="6"/>
      <c r="FL1456" s="6"/>
      <c r="FM1456" s="6"/>
      <c r="FN1456" s="6"/>
      <c r="FO1456" s="6"/>
      <c r="FP1456" s="6"/>
      <c r="FQ1456" s="6"/>
      <c r="FR1456" s="6"/>
      <c r="FS1456" s="6"/>
      <c r="FT1456" s="6"/>
      <c r="FU1456" s="6"/>
      <c r="FV1456" s="6"/>
      <c r="FW1456" s="6"/>
      <c r="FX1456" s="6"/>
      <c r="FY1456" s="6"/>
      <c r="FZ1456" s="6"/>
      <c r="GA1456" s="6"/>
      <c r="GB1456" s="6"/>
      <c r="GC1456" s="6"/>
      <c r="GD1456" s="6"/>
      <c r="GE1456" s="6"/>
      <c r="GF1456" s="6"/>
      <c r="GG1456" s="6"/>
      <c r="GH1456" s="6"/>
      <c r="GI1456" s="6"/>
      <c r="GJ1456" s="6"/>
      <c r="GK1456" s="6"/>
      <c r="GL1456" s="6"/>
      <c r="GM1456" s="6"/>
      <c r="GN1456" s="6"/>
      <c r="GO1456" s="6"/>
      <c r="GP1456" s="6"/>
      <c r="GQ1456" s="6"/>
      <c r="GR1456" s="6"/>
      <c r="GS1456" s="6"/>
      <c r="GT1456" s="6"/>
      <c r="GU1456" s="6"/>
      <c r="GV1456" s="6"/>
      <c r="GW1456" s="6"/>
      <c r="GX1456" s="6"/>
      <c r="GY1456" s="6"/>
      <c r="GZ1456" s="6"/>
      <c r="HA1456" s="6"/>
      <c r="HB1456" s="6"/>
      <c r="HC1456" s="6"/>
      <c r="HD1456" s="6"/>
      <c r="HE1456" s="6"/>
      <c r="HF1456" s="6"/>
      <c r="HG1456" s="6"/>
      <c r="HH1456" s="6"/>
    </row>
    <row r="1457" spans="1:216" x14ac:dyDescent="0.3">
      <c r="A1457" s="8"/>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6"/>
      <c r="AR1457" s="6"/>
      <c r="AS1457" s="6"/>
      <c r="AT1457" s="6"/>
      <c r="AU1457" s="6"/>
      <c r="AV1457" s="6"/>
      <c r="AW1457" s="6"/>
      <c r="AX1457" s="6"/>
      <c r="AY1457" s="6"/>
      <c r="AZ1457" s="6"/>
      <c r="BA1457" s="6"/>
      <c r="BB1457" s="6"/>
      <c r="BC1457" s="6"/>
      <c r="BD1457" s="6"/>
      <c r="BE1457" s="6"/>
      <c r="BF1457" s="6"/>
      <c r="BG1457" s="6"/>
      <c r="BH1457" s="6"/>
      <c r="BI1457" s="6"/>
      <c r="BJ1457" s="6"/>
      <c r="BK1457" s="6"/>
      <c r="BL1457" s="6"/>
      <c r="BM1457" s="6"/>
      <c r="BN1457" s="6"/>
      <c r="BO1457" s="6"/>
      <c r="BP1457" s="6"/>
      <c r="BQ1457" s="6"/>
      <c r="BR1457" s="6"/>
      <c r="BS1457" s="6"/>
      <c r="BT1457" s="6"/>
      <c r="BU1457" s="6"/>
      <c r="BV1457" s="6"/>
      <c r="BW1457" s="6"/>
      <c r="BX1457" s="6"/>
      <c r="BY1457" s="6"/>
      <c r="BZ1457" s="6"/>
      <c r="CA1457" s="6"/>
      <c r="CB1457" s="6"/>
      <c r="CC1457" s="6"/>
      <c r="CD1457" s="6"/>
      <c r="CE1457" s="6"/>
      <c r="CF1457" s="6"/>
      <c r="CG1457" s="6"/>
      <c r="CH1457" s="6"/>
      <c r="CI1457" s="6"/>
      <c r="CJ1457" s="6"/>
      <c r="CK1457" s="6"/>
      <c r="CL1457" s="6"/>
      <c r="CM1457" s="6"/>
      <c r="CN1457" s="6"/>
      <c r="CO1457" s="6"/>
      <c r="CP1457" s="6"/>
      <c r="CQ1457" s="6"/>
      <c r="CR1457" s="6"/>
      <c r="CS1457" s="6"/>
      <c r="CT1457" s="6"/>
      <c r="CU1457" s="6"/>
      <c r="CV1457" s="6"/>
      <c r="CW1457" s="6"/>
      <c r="CX1457" s="6"/>
      <c r="CY1457" s="6"/>
      <c r="CZ1457" s="6"/>
      <c r="DA1457" s="6"/>
      <c r="DB1457" s="6"/>
      <c r="DC1457" s="6"/>
      <c r="DD1457" s="6"/>
      <c r="DE1457" s="6"/>
      <c r="DF1457" s="6"/>
      <c r="DG1457" s="6"/>
      <c r="DH1457" s="6"/>
      <c r="DI1457" s="6"/>
      <c r="DJ1457" s="6"/>
      <c r="DK1457" s="6"/>
      <c r="DL1457" s="6"/>
      <c r="DM1457" s="6"/>
      <c r="DN1457" s="6"/>
      <c r="DO1457" s="6"/>
      <c r="DP1457" s="6"/>
      <c r="DQ1457" s="6"/>
      <c r="DR1457" s="6"/>
      <c r="DS1457" s="6"/>
      <c r="DT1457" s="6"/>
      <c r="DU1457" s="6"/>
      <c r="DV1457" s="6"/>
      <c r="DW1457" s="6"/>
      <c r="DX1457" s="6"/>
      <c r="DY1457" s="6"/>
      <c r="DZ1457" s="6"/>
      <c r="EA1457" s="6"/>
      <c r="EB1457" s="6"/>
      <c r="EC1457" s="6"/>
      <c r="ED1457" s="6"/>
      <c r="EE1457" s="6"/>
      <c r="EF1457" s="6"/>
      <c r="EG1457" s="6"/>
      <c r="EH1457" s="6"/>
      <c r="EI1457" s="6"/>
      <c r="EJ1457" s="6"/>
      <c r="EK1457" s="6"/>
      <c r="EL1457" s="6"/>
      <c r="EM1457" s="6"/>
      <c r="EN1457" s="6"/>
      <c r="EO1457" s="6"/>
      <c r="EP1457" s="6"/>
      <c r="EQ1457" s="6"/>
      <c r="ER1457" s="6"/>
      <c r="ES1457" s="6"/>
      <c r="ET1457" s="6"/>
      <c r="EU1457" s="6"/>
      <c r="EV1457" s="6"/>
      <c r="EW1457" s="6"/>
      <c r="EX1457" s="6"/>
      <c r="EY1457" s="6"/>
      <c r="EZ1457" s="6"/>
      <c r="FA1457" s="6"/>
      <c r="FB1457" s="6"/>
      <c r="FC1457" s="6"/>
      <c r="FD1457" s="6"/>
      <c r="FE1457" s="6"/>
      <c r="FF1457" s="6"/>
      <c r="FG1457" s="6"/>
      <c r="FH1457" s="6"/>
      <c r="FI1457" s="6"/>
      <c r="FJ1457" s="6"/>
      <c r="FK1457" s="6"/>
      <c r="FL1457" s="6"/>
      <c r="FM1457" s="6"/>
      <c r="FN1457" s="6"/>
      <c r="FO1457" s="6"/>
      <c r="FP1457" s="6"/>
      <c r="FQ1457" s="6"/>
      <c r="FR1457" s="6"/>
      <c r="FS1457" s="6"/>
      <c r="FT1457" s="6"/>
      <c r="FU1457" s="6"/>
      <c r="FV1457" s="6"/>
      <c r="FW1457" s="6"/>
      <c r="FX1457" s="6"/>
      <c r="FY1457" s="6"/>
      <c r="FZ1457" s="6"/>
      <c r="GA1457" s="6"/>
      <c r="GB1457" s="6"/>
      <c r="GC1457" s="6"/>
      <c r="GD1457" s="6"/>
      <c r="GE1457" s="6"/>
      <c r="GF1457" s="6"/>
      <c r="GG1457" s="6"/>
      <c r="GH1457" s="6"/>
      <c r="GI1457" s="6"/>
      <c r="GJ1457" s="6"/>
      <c r="GK1457" s="6"/>
      <c r="GL1457" s="6"/>
      <c r="GM1457" s="6"/>
      <c r="GN1457" s="6"/>
      <c r="GO1457" s="6"/>
      <c r="GP1457" s="6"/>
      <c r="GQ1457" s="6"/>
      <c r="GR1457" s="6"/>
      <c r="GS1457" s="6"/>
      <c r="GT1457" s="6"/>
      <c r="GU1457" s="6"/>
      <c r="GV1457" s="6"/>
      <c r="GW1457" s="6"/>
      <c r="GX1457" s="6"/>
      <c r="GY1457" s="6"/>
      <c r="GZ1457" s="6"/>
      <c r="HA1457" s="6"/>
      <c r="HB1457" s="6"/>
      <c r="HC1457" s="6"/>
      <c r="HD1457" s="6"/>
      <c r="HE1457" s="6"/>
      <c r="HF1457" s="6"/>
      <c r="HG1457" s="6"/>
      <c r="HH1457" s="6"/>
    </row>
    <row r="1458" spans="1:216" x14ac:dyDescent="0.3">
      <c r="A1458" s="8"/>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row>
    <row r="1459" spans="1:216" x14ac:dyDescent="0.3">
      <c r="A1459" s="8"/>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row>
    <row r="1460" spans="1:216" x14ac:dyDescent="0.3">
      <c r="A1460" s="8"/>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6"/>
      <c r="AR1460" s="6"/>
      <c r="AS1460" s="6"/>
      <c r="AT1460" s="6"/>
      <c r="AU1460" s="6"/>
      <c r="AV1460" s="6"/>
      <c r="AW1460" s="6"/>
      <c r="AX1460" s="6"/>
      <c r="AY1460" s="6"/>
      <c r="AZ1460" s="6"/>
      <c r="BA1460" s="6"/>
      <c r="BB1460" s="6"/>
      <c r="BC1460" s="6"/>
      <c r="BD1460" s="6"/>
      <c r="BE1460" s="6"/>
      <c r="BF1460" s="6"/>
      <c r="BG1460" s="6"/>
      <c r="BH1460" s="6"/>
      <c r="BI1460" s="6"/>
      <c r="BJ1460" s="6"/>
      <c r="BK1460" s="6"/>
      <c r="BL1460" s="6"/>
      <c r="BM1460" s="6"/>
      <c r="BN1460" s="6"/>
      <c r="BO1460" s="6"/>
      <c r="BP1460" s="6"/>
      <c r="BQ1460" s="6"/>
      <c r="BR1460" s="6"/>
      <c r="BS1460" s="6"/>
      <c r="BT1460" s="6"/>
      <c r="BU1460" s="6"/>
      <c r="BV1460" s="6"/>
      <c r="BW1460" s="6"/>
      <c r="BX1460" s="6"/>
      <c r="BY1460" s="6"/>
      <c r="BZ1460" s="6"/>
      <c r="CA1460" s="6"/>
      <c r="CB1460" s="6"/>
      <c r="CC1460" s="6"/>
      <c r="CD1460" s="6"/>
      <c r="CE1460" s="6"/>
      <c r="CF1460" s="6"/>
      <c r="CG1460" s="6"/>
      <c r="CH1460" s="6"/>
      <c r="CI1460" s="6"/>
      <c r="CJ1460" s="6"/>
      <c r="CK1460" s="6"/>
      <c r="CL1460" s="6"/>
      <c r="CM1460" s="6"/>
      <c r="CN1460" s="6"/>
      <c r="CO1460" s="6"/>
      <c r="CP1460" s="6"/>
      <c r="CQ1460" s="6"/>
      <c r="CR1460" s="6"/>
      <c r="CS1460" s="6"/>
      <c r="CT1460" s="6"/>
      <c r="CU1460" s="6"/>
      <c r="CV1460" s="6"/>
      <c r="CW1460" s="6"/>
      <c r="CX1460" s="6"/>
      <c r="CY1460" s="6"/>
      <c r="CZ1460" s="6"/>
      <c r="DA1460" s="6"/>
      <c r="DB1460" s="6"/>
      <c r="DC1460" s="6"/>
      <c r="DD1460" s="6"/>
      <c r="DE1460" s="6"/>
      <c r="DF1460" s="6"/>
      <c r="DG1460" s="6"/>
      <c r="DH1460" s="6"/>
      <c r="DI1460" s="6"/>
      <c r="DJ1460" s="6"/>
      <c r="DK1460" s="6"/>
      <c r="DL1460" s="6"/>
      <c r="DM1460" s="6"/>
      <c r="DN1460" s="6"/>
      <c r="DO1460" s="6"/>
      <c r="DP1460" s="6"/>
      <c r="DQ1460" s="6"/>
      <c r="DR1460" s="6"/>
      <c r="DS1460" s="6"/>
      <c r="DT1460" s="6"/>
      <c r="DU1460" s="6"/>
      <c r="DV1460" s="6"/>
      <c r="DW1460" s="6"/>
      <c r="DX1460" s="6"/>
      <c r="DY1460" s="6"/>
      <c r="DZ1460" s="6"/>
      <c r="EA1460" s="6"/>
      <c r="EB1460" s="6"/>
      <c r="EC1460" s="6"/>
      <c r="ED1460" s="6"/>
      <c r="EE1460" s="6"/>
      <c r="EF1460" s="6"/>
      <c r="EG1460" s="6"/>
      <c r="EH1460" s="6"/>
      <c r="EI1460" s="6"/>
      <c r="EJ1460" s="6"/>
      <c r="EK1460" s="6"/>
      <c r="EL1460" s="6"/>
      <c r="EM1460" s="6"/>
      <c r="EN1460" s="6"/>
      <c r="EO1460" s="6"/>
      <c r="EP1460" s="6"/>
      <c r="EQ1460" s="6"/>
      <c r="ER1460" s="6"/>
      <c r="ES1460" s="6"/>
      <c r="ET1460" s="6"/>
      <c r="EU1460" s="6"/>
      <c r="EV1460" s="6"/>
      <c r="EW1460" s="6"/>
      <c r="EX1460" s="6"/>
      <c r="EY1460" s="6"/>
      <c r="EZ1460" s="6"/>
      <c r="FA1460" s="6"/>
      <c r="FB1460" s="6"/>
      <c r="FC1460" s="6"/>
      <c r="FD1460" s="6"/>
      <c r="FE1460" s="6"/>
      <c r="FF1460" s="6"/>
      <c r="FG1460" s="6"/>
      <c r="FH1460" s="6"/>
      <c r="FI1460" s="6"/>
      <c r="FJ1460" s="6"/>
      <c r="FK1460" s="6"/>
      <c r="FL1460" s="6"/>
      <c r="FM1460" s="6"/>
      <c r="FN1460" s="6"/>
      <c r="FO1460" s="6"/>
      <c r="FP1460" s="6"/>
      <c r="FQ1460" s="6"/>
      <c r="FR1460" s="6"/>
      <c r="FS1460" s="6"/>
      <c r="FT1460" s="6"/>
      <c r="FU1460" s="6"/>
      <c r="FV1460" s="6"/>
      <c r="FW1460" s="6"/>
      <c r="FX1460" s="6"/>
      <c r="FY1460" s="6"/>
      <c r="FZ1460" s="6"/>
      <c r="GA1460" s="6"/>
      <c r="GB1460" s="6"/>
      <c r="GC1460" s="6"/>
      <c r="GD1460" s="6"/>
      <c r="GE1460" s="6"/>
      <c r="GF1460" s="6"/>
      <c r="GG1460" s="6"/>
      <c r="GH1460" s="6"/>
      <c r="GI1460" s="6"/>
      <c r="GJ1460" s="6"/>
      <c r="GK1460" s="6"/>
      <c r="GL1460" s="6"/>
      <c r="GM1460" s="6"/>
      <c r="GN1460" s="6"/>
      <c r="GO1460" s="6"/>
      <c r="GP1460" s="6"/>
      <c r="GQ1460" s="6"/>
      <c r="GR1460" s="6"/>
      <c r="GS1460" s="6"/>
      <c r="GT1460" s="6"/>
      <c r="GU1460" s="6"/>
      <c r="GV1460" s="6"/>
      <c r="GW1460" s="6"/>
      <c r="GX1460" s="6"/>
      <c r="GY1460" s="6"/>
      <c r="GZ1460" s="6"/>
      <c r="HA1460" s="6"/>
      <c r="HB1460" s="6"/>
      <c r="HC1460" s="6"/>
      <c r="HD1460" s="6"/>
      <c r="HE1460" s="6"/>
      <c r="HF1460" s="6"/>
      <c r="HG1460" s="6"/>
      <c r="HH1460" s="6"/>
    </row>
    <row r="1461" spans="1:216" x14ac:dyDescent="0.3">
      <c r="A1461" s="8"/>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6"/>
      <c r="AR1461" s="6"/>
      <c r="AS1461" s="6"/>
      <c r="AT1461" s="6"/>
      <c r="AU1461" s="6"/>
      <c r="AV1461" s="6"/>
      <c r="AW1461" s="6"/>
      <c r="AX1461" s="6"/>
      <c r="AY1461" s="6"/>
      <c r="AZ1461" s="6"/>
      <c r="BA1461" s="6"/>
      <c r="BB1461" s="6"/>
      <c r="BC1461" s="6"/>
      <c r="BD1461" s="6"/>
      <c r="BE1461" s="6"/>
      <c r="BF1461" s="6"/>
      <c r="BG1461" s="6"/>
      <c r="BH1461" s="6"/>
      <c r="BI1461" s="6"/>
      <c r="BJ1461" s="6"/>
      <c r="BK1461" s="6"/>
      <c r="BL1461" s="6"/>
      <c r="BM1461" s="6"/>
      <c r="BN1461" s="6"/>
      <c r="BO1461" s="6"/>
      <c r="BP1461" s="6"/>
      <c r="BQ1461" s="6"/>
      <c r="BR1461" s="6"/>
      <c r="BS1461" s="6"/>
      <c r="BT1461" s="6"/>
      <c r="BU1461" s="6"/>
      <c r="BV1461" s="6"/>
      <c r="BW1461" s="6"/>
      <c r="BX1461" s="6"/>
      <c r="BY1461" s="6"/>
      <c r="BZ1461" s="6"/>
      <c r="CA1461" s="6"/>
      <c r="CB1461" s="6"/>
      <c r="CC1461" s="6"/>
      <c r="CD1461" s="6"/>
      <c r="CE1461" s="6"/>
      <c r="CF1461" s="6"/>
      <c r="CG1461" s="6"/>
      <c r="CH1461" s="6"/>
      <c r="CI1461" s="6"/>
      <c r="CJ1461" s="6"/>
      <c r="CK1461" s="6"/>
      <c r="CL1461" s="6"/>
      <c r="CM1461" s="6"/>
      <c r="CN1461" s="6"/>
      <c r="CO1461" s="6"/>
      <c r="CP1461" s="6"/>
      <c r="CQ1461" s="6"/>
      <c r="CR1461" s="6"/>
      <c r="CS1461" s="6"/>
      <c r="CT1461" s="6"/>
      <c r="CU1461" s="6"/>
      <c r="CV1461" s="6"/>
      <c r="CW1461" s="6"/>
      <c r="CX1461" s="6"/>
      <c r="CY1461" s="6"/>
      <c r="CZ1461" s="6"/>
      <c r="DA1461" s="6"/>
      <c r="DB1461" s="6"/>
      <c r="DC1461" s="6"/>
      <c r="DD1461" s="6"/>
      <c r="DE1461" s="6"/>
      <c r="DF1461" s="6"/>
      <c r="DG1461" s="6"/>
      <c r="DH1461" s="6"/>
      <c r="DI1461" s="6"/>
      <c r="DJ1461" s="6"/>
      <c r="DK1461" s="6"/>
      <c r="DL1461" s="6"/>
      <c r="DM1461" s="6"/>
      <c r="DN1461" s="6"/>
      <c r="DO1461" s="6"/>
      <c r="DP1461" s="6"/>
      <c r="DQ1461" s="6"/>
      <c r="DR1461" s="6"/>
      <c r="DS1461" s="6"/>
      <c r="DT1461" s="6"/>
      <c r="DU1461" s="6"/>
      <c r="DV1461" s="6"/>
      <c r="DW1461" s="6"/>
      <c r="DX1461" s="6"/>
      <c r="DY1461" s="6"/>
      <c r="DZ1461" s="6"/>
      <c r="EA1461" s="6"/>
      <c r="EB1461" s="6"/>
      <c r="EC1461" s="6"/>
      <c r="ED1461" s="6"/>
      <c r="EE1461" s="6"/>
      <c r="EF1461" s="6"/>
      <c r="EG1461" s="6"/>
      <c r="EH1461" s="6"/>
      <c r="EI1461" s="6"/>
      <c r="EJ1461" s="6"/>
      <c r="EK1461" s="6"/>
      <c r="EL1461" s="6"/>
      <c r="EM1461" s="6"/>
      <c r="EN1461" s="6"/>
      <c r="EO1461" s="6"/>
      <c r="EP1461" s="6"/>
      <c r="EQ1461" s="6"/>
      <c r="ER1461" s="6"/>
      <c r="ES1461" s="6"/>
      <c r="ET1461" s="6"/>
      <c r="EU1461" s="6"/>
      <c r="EV1461" s="6"/>
      <c r="EW1461" s="6"/>
      <c r="EX1461" s="6"/>
      <c r="EY1461" s="6"/>
      <c r="EZ1461" s="6"/>
      <c r="FA1461" s="6"/>
      <c r="FB1461" s="6"/>
      <c r="FC1461" s="6"/>
      <c r="FD1461" s="6"/>
      <c r="FE1461" s="6"/>
      <c r="FF1461" s="6"/>
      <c r="FG1461" s="6"/>
      <c r="FH1461" s="6"/>
      <c r="FI1461" s="6"/>
      <c r="FJ1461" s="6"/>
      <c r="FK1461" s="6"/>
      <c r="FL1461" s="6"/>
      <c r="FM1461" s="6"/>
      <c r="FN1461" s="6"/>
      <c r="FO1461" s="6"/>
      <c r="FP1461" s="6"/>
      <c r="FQ1461" s="6"/>
      <c r="FR1461" s="6"/>
      <c r="FS1461" s="6"/>
      <c r="FT1461" s="6"/>
      <c r="FU1461" s="6"/>
      <c r="FV1461" s="6"/>
      <c r="FW1461" s="6"/>
      <c r="FX1461" s="6"/>
      <c r="FY1461" s="6"/>
      <c r="FZ1461" s="6"/>
      <c r="GA1461" s="6"/>
      <c r="GB1461" s="6"/>
      <c r="GC1461" s="6"/>
      <c r="GD1461" s="6"/>
      <c r="GE1461" s="6"/>
      <c r="GF1461" s="6"/>
      <c r="GG1461" s="6"/>
      <c r="GH1461" s="6"/>
      <c r="GI1461" s="6"/>
      <c r="GJ1461" s="6"/>
      <c r="GK1461" s="6"/>
      <c r="GL1461" s="6"/>
      <c r="GM1461" s="6"/>
      <c r="GN1461" s="6"/>
      <c r="GO1461" s="6"/>
      <c r="GP1461" s="6"/>
      <c r="GQ1461" s="6"/>
      <c r="GR1461" s="6"/>
      <c r="GS1461" s="6"/>
      <c r="GT1461" s="6"/>
      <c r="GU1461" s="6"/>
      <c r="GV1461" s="6"/>
      <c r="GW1461" s="6"/>
      <c r="GX1461" s="6"/>
      <c r="GY1461" s="6"/>
      <c r="GZ1461" s="6"/>
      <c r="HA1461" s="6"/>
      <c r="HB1461" s="6"/>
      <c r="HC1461" s="6"/>
      <c r="HD1461" s="6"/>
      <c r="HE1461" s="6"/>
      <c r="HF1461" s="6"/>
      <c r="HG1461" s="6"/>
      <c r="HH1461" s="6"/>
    </row>
    <row r="1462" spans="1:216" x14ac:dyDescent="0.3">
      <c r="A1462" s="8"/>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6"/>
      <c r="AR1462" s="6"/>
      <c r="AS1462" s="6"/>
      <c r="AT1462" s="6"/>
      <c r="AU1462" s="6"/>
      <c r="AV1462" s="6"/>
      <c r="AW1462" s="6"/>
      <c r="AX1462" s="6"/>
      <c r="AY1462" s="6"/>
      <c r="AZ1462" s="6"/>
      <c r="BA1462" s="6"/>
      <c r="BB1462" s="6"/>
      <c r="BC1462" s="6"/>
      <c r="BD1462" s="6"/>
      <c r="BE1462" s="6"/>
      <c r="BF1462" s="6"/>
      <c r="BG1462" s="6"/>
      <c r="BH1462" s="6"/>
      <c r="BI1462" s="6"/>
      <c r="BJ1462" s="6"/>
      <c r="BK1462" s="6"/>
      <c r="BL1462" s="6"/>
      <c r="BM1462" s="6"/>
      <c r="BN1462" s="6"/>
      <c r="BO1462" s="6"/>
      <c r="BP1462" s="6"/>
      <c r="BQ1462" s="6"/>
      <c r="BR1462" s="6"/>
      <c r="BS1462" s="6"/>
      <c r="BT1462" s="6"/>
      <c r="BU1462" s="6"/>
      <c r="BV1462" s="6"/>
      <c r="BW1462" s="6"/>
      <c r="BX1462" s="6"/>
      <c r="BY1462" s="6"/>
      <c r="BZ1462" s="6"/>
      <c r="CA1462" s="6"/>
      <c r="CB1462" s="6"/>
      <c r="CC1462" s="6"/>
      <c r="CD1462" s="6"/>
      <c r="CE1462" s="6"/>
      <c r="CF1462" s="6"/>
      <c r="CG1462" s="6"/>
      <c r="CH1462" s="6"/>
      <c r="CI1462" s="6"/>
      <c r="CJ1462" s="6"/>
      <c r="CK1462" s="6"/>
      <c r="CL1462" s="6"/>
      <c r="CM1462" s="6"/>
      <c r="CN1462" s="6"/>
      <c r="CO1462" s="6"/>
      <c r="CP1462" s="6"/>
      <c r="CQ1462" s="6"/>
      <c r="CR1462" s="6"/>
      <c r="CS1462" s="6"/>
      <c r="CT1462" s="6"/>
      <c r="CU1462" s="6"/>
      <c r="CV1462" s="6"/>
      <c r="CW1462" s="6"/>
      <c r="CX1462" s="6"/>
      <c r="CY1462" s="6"/>
      <c r="CZ1462" s="6"/>
      <c r="DA1462" s="6"/>
      <c r="DB1462" s="6"/>
      <c r="DC1462" s="6"/>
      <c r="DD1462" s="6"/>
      <c r="DE1462" s="6"/>
      <c r="DF1462" s="6"/>
      <c r="DG1462" s="6"/>
      <c r="DH1462" s="6"/>
      <c r="DI1462" s="6"/>
      <c r="DJ1462" s="6"/>
      <c r="DK1462" s="6"/>
      <c r="DL1462" s="6"/>
      <c r="DM1462" s="6"/>
      <c r="DN1462" s="6"/>
      <c r="DO1462" s="6"/>
      <c r="DP1462" s="6"/>
      <c r="DQ1462" s="6"/>
      <c r="DR1462" s="6"/>
      <c r="DS1462" s="6"/>
      <c r="DT1462" s="6"/>
      <c r="DU1462" s="6"/>
      <c r="DV1462" s="6"/>
      <c r="DW1462" s="6"/>
      <c r="DX1462" s="6"/>
      <c r="DY1462" s="6"/>
      <c r="DZ1462" s="6"/>
      <c r="EA1462" s="6"/>
      <c r="EB1462" s="6"/>
      <c r="EC1462" s="6"/>
      <c r="ED1462" s="6"/>
      <c r="EE1462" s="6"/>
      <c r="EF1462" s="6"/>
      <c r="EG1462" s="6"/>
      <c r="EH1462" s="6"/>
      <c r="EI1462" s="6"/>
      <c r="EJ1462" s="6"/>
      <c r="EK1462" s="6"/>
      <c r="EL1462" s="6"/>
      <c r="EM1462" s="6"/>
      <c r="EN1462" s="6"/>
      <c r="EO1462" s="6"/>
      <c r="EP1462" s="6"/>
      <c r="EQ1462" s="6"/>
      <c r="ER1462" s="6"/>
      <c r="ES1462" s="6"/>
      <c r="ET1462" s="6"/>
      <c r="EU1462" s="6"/>
      <c r="EV1462" s="6"/>
      <c r="EW1462" s="6"/>
      <c r="EX1462" s="6"/>
      <c r="EY1462" s="6"/>
      <c r="EZ1462" s="6"/>
      <c r="FA1462" s="6"/>
      <c r="FB1462" s="6"/>
      <c r="FC1462" s="6"/>
      <c r="FD1462" s="6"/>
      <c r="FE1462" s="6"/>
      <c r="FF1462" s="6"/>
      <c r="FG1462" s="6"/>
      <c r="FH1462" s="6"/>
      <c r="FI1462" s="6"/>
      <c r="FJ1462" s="6"/>
      <c r="FK1462" s="6"/>
      <c r="FL1462" s="6"/>
      <c r="FM1462" s="6"/>
      <c r="FN1462" s="6"/>
      <c r="FO1462" s="6"/>
      <c r="FP1462" s="6"/>
      <c r="FQ1462" s="6"/>
      <c r="FR1462" s="6"/>
      <c r="FS1462" s="6"/>
      <c r="FT1462" s="6"/>
      <c r="FU1462" s="6"/>
      <c r="FV1462" s="6"/>
      <c r="FW1462" s="6"/>
      <c r="FX1462" s="6"/>
      <c r="FY1462" s="6"/>
      <c r="FZ1462" s="6"/>
      <c r="GA1462" s="6"/>
      <c r="GB1462" s="6"/>
      <c r="GC1462" s="6"/>
      <c r="GD1462" s="6"/>
      <c r="GE1462" s="6"/>
      <c r="GF1462" s="6"/>
      <c r="GG1462" s="6"/>
      <c r="GH1462" s="6"/>
      <c r="GI1462" s="6"/>
      <c r="GJ1462" s="6"/>
      <c r="GK1462" s="6"/>
      <c r="GL1462" s="6"/>
      <c r="GM1462" s="6"/>
      <c r="GN1462" s="6"/>
      <c r="GO1462" s="6"/>
      <c r="GP1462" s="6"/>
      <c r="GQ1462" s="6"/>
      <c r="GR1462" s="6"/>
      <c r="GS1462" s="6"/>
      <c r="GT1462" s="6"/>
      <c r="GU1462" s="6"/>
      <c r="GV1462" s="6"/>
      <c r="GW1462" s="6"/>
      <c r="GX1462" s="6"/>
      <c r="GY1462" s="6"/>
      <c r="GZ1462" s="6"/>
      <c r="HA1462" s="6"/>
      <c r="HB1462" s="6"/>
      <c r="HC1462" s="6"/>
      <c r="HD1462" s="6"/>
      <c r="HE1462" s="6"/>
      <c r="HF1462" s="6"/>
      <c r="HG1462" s="6"/>
      <c r="HH1462" s="6"/>
    </row>
    <row r="1463" spans="1:216" x14ac:dyDescent="0.3">
      <c r="A1463" s="8"/>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6"/>
      <c r="AR1463" s="6"/>
      <c r="AS1463" s="6"/>
      <c r="AT1463" s="6"/>
      <c r="AU1463" s="6"/>
      <c r="AV1463" s="6"/>
      <c r="AW1463" s="6"/>
      <c r="AX1463" s="6"/>
      <c r="AY1463" s="6"/>
      <c r="AZ1463" s="6"/>
      <c r="BA1463" s="6"/>
      <c r="BB1463" s="6"/>
      <c r="BC1463" s="6"/>
      <c r="BD1463" s="6"/>
      <c r="BE1463" s="6"/>
      <c r="BF1463" s="6"/>
      <c r="BG1463" s="6"/>
      <c r="BH1463" s="6"/>
      <c r="BI1463" s="6"/>
      <c r="BJ1463" s="6"/>
      <c r="BK1463" s="6"/>
      <c r="BL1463" s="6"/>
      <c r="BM1463" s="6"/>
      <c r="BN1463" s="6"/>
      <c r="BO1463" s="6"/>
      <c r="BP1463" s="6"/>
      <c r="BQ1463" s="6"/>
      <c r="BR1463" s="6"/>
      <c r="BS1463" s="6"/>
      <c r="BT1463" s="6"/>
      <c r="BU1463" s="6"/>
      <c r="BV1463" s="6"/>
      <c r="BW1463" s="6"/>
      <c r="BX1463" s="6"/>
      <c r="BY1463" s="6"/>
      <c r="BZ1463" s="6"/>
      <c r="CA1463" s="6"/>
      <c r="CB1463" s="6"/>
      <c r="CC1463" s="6"/>
      <c r="CD1463" s="6"/>
      <c r="CE1463" s="6"/>
      <c r="CF1463" s="6"/>
      <c r="CG1463" s="6"/>
      <c r="CH1463" s="6"/>
      <c r="CI1463" s="6"/>
      <c r="CJ1463" s="6"/>
      <c r="CK1463" s="6"/>
      <c r="CL1463" s="6"/>
      <c r="CM1463" s="6"/>
      <c r="CN1463" s="6"/>
      <c r="CO1463" s="6"/>
      <c r="CP1463" s="6"/>
      <c r="CQ1463" s="6"/>
      <c r="CR1463" s="6"/>
      <c r="CS1463" s="6"/>
      <c r="CT1463" s="6"/>
      <c r="CU1463" s="6"/>
      <c r="CV1463" s="6"/>
      <c r="CW1463" s="6"/>
      <c r="CX1463" s="6"/>
      <c r="CY1463" s="6"/>
      <c r="CZ1463" s="6"/>
      <c r="DA1463" s="6"/>
      <c r="DB1463" s="6"/>
      <c r="DC1463" s="6"/>
      <c r="DD1463" s="6"/>
      <c r="DE1463" s="6"/>
      <c r="DF1463" s="6"/>
      <c r="DG1463" s="6"/>
      <c r="DH1463" s="6"/>
      <c r="DI1463" s="6"/>
      <c r="DJ1463" s="6"/>
      <c r="DK1463" s="6"/>
      <c r="DL1463" s="6"/>
      <c r="DM1463" s="6"/>
      <c r="DN1463" s="6"/>
      <c r="DO1463" s="6"/>
      <c r="DP1463" s="6"/>
      <c r="DQ1463" s="6"/>
      <c r="DR1463" s="6"/>
      <c r="DS1463" s="6"/>
      <c r="DT1463" s="6"/>
      <c r="DU1463" s="6"/>
      <c r="DV1463" s="6"/>
      <c r="DW1463" s="6"/>
      <c r="DX1463" s="6"/>
      <c r="DY1463" s="6"/>
      <c r="DZ1463" s="6"/>
      <c r="EA1463" s="6"/>
      <c r="EB1463" s="6"/>
      <c r="EC1463" s="6"/>
      <c r="ED1463" s="6"/>
      <c r="EE1463" s="6"/>
      <c r="EF1463" s="6"/>
      <c r="EG1463" s="6"/>
      <c r="EH1463" s="6"/>
      <c r="EI1463" s="6"/>
      <c r="EJ1463" s="6"/>
      <c r="EK1463" s="6"/>
      <c r="EL1463" s="6"/>
      <c r="EM1463" s="6"/>
      <c r="EN1463" s="6"/>
      <c r="EO1463" s="6"/>
      <c r="EP1463" s="6"/>
      <c r="EQ1463" s="6"/>
      <c r="ER1463" s="6"/>
      <c r="ES1463" s="6"/>
      <c r="ET1463" s="6"/>
      <c r="EU1463" s="6"/>
      <c r="EV1463" s="6"/>
      <c r="EW1463" s="6"/>
      <c r="EX1463" s="6"/>
      <c r="EY1463" s="6"/>
      <c r="EZ1463" s="6"/>
      <c r="FA1463" s="6"/>
      <c r="FB1463" s="6"/>
      <c r="FC1463" s="6"/>
      <c r="FD1463" s="6"/>
      <c r="FE1463" s="6"/>
      <c r="FF1463" s="6"/>
      <c r="FG1463" s="6"/>
      <c r="FH1463" s="6"/>
      <c r="FI1463" s="6"/>
      <c r="FJ1463" s="6"/>
      <c r="FK1463" s="6"/>
      <c r="FL1463" s="6"/>
      <c r="FM1463" s="6"/>
      <c r="FN1463" s="6"/>
      <c r="FO1463" s="6"/>
      <c r="FP1463" s="6"/>
      <c r="FQ1463" s="6"/>
      <c r="FR1463" s="6"/>
      <c r="FS1463" s="6"/>
      <c r="FT1463" s="6"/>
      <c r="FU1463" s="6"/>
      <c r="FV1463" s="6"/>
      <c r="FW1463" s="6"/>
      <c r="FX1463" s="6"/>
      <c r="FY1463" s="6"/>
      <c r="FZ1463" s="6"/>
      <c r="GA1463" s="6"/>
      <c r="GB1463" s="6"/>
      <c r="GC1463" s="6"/>
      <c r="GD1463" s="6"/>
      <c r="GE1463" s="6"/>
      <c r="GF1463" s="6"/>
      <c r="GG1463" s="6"/>
      <c r="GH1463" s="6"/>
      <c r="GI1463" s="6"/>
      <c r="GJ1463" s="6"/>
      <c r="GK1463" s="6"/>
      <c r="GL1463" s="6"/>
      <c r="GM1463" s="6"/>
      <c r="GN1463" s="6"/>
      <c r="GO1463" s="6"/>
      <c r="GP1463" s="6"/>
      <c r="GQ1463" s="6"/>
      <c r="GR1463" s="6"/>
      <c r="GS1463" s="6"/>
      <c r="GT1463" s="6"/>
      <c r="GU1463" s="6"/>
      <c r="GV1463" s="6"/>
      <c r="GW1463" s="6"/>
      <c r="GX1463" s="6"/>
      <c r="GY1463" s="6"/>
      <c r="GZ1463" s="6"/>
      <c r="HA1463" s="6"/>
      <c r="HB1463" s="6"/>
      <c r="HC1463" s="6"/>
      <c r="HD1463" s="6"/>
      <c r="HE1463" s="6"/>
      <c r="HF1463" s="6"/>
      <c r="HG1463" s="6"/>
      <c r="HH1463" s="6"/>
    </row>
    <row r="1464" spans="1:216" x14ac:dyDescent="0.3">
      <c r="A1464" s="8"/>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row>
    <row r="1465" spans="1:216" x14ac:dyDescent="0.3">
      <c r="A1465" s="8"/>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row>
    <row r="1466" spans="1:216" x14ac:dyDescent="0.3">
      <c r="A1466" s="8"/>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row>
    <row r="1467" spans="1:216" x14ac:dyDescent="0.3">
      <c r="A1467" s="8"/>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row>
    <row r="1468" spans="1:216" x14ac:dyDescent="0.3">
      <c r="A1468" s="8"/>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6"/>
      <c r="AR1468" s="6"/>
      <c r="AS1468" s="6"/>
      <c r="AT1468" s="6"/>
      <c r="AU1468" s="6"/>
      <c r="AV1468" s="6"/>
      <c r="AW1468" s="6"/>
      <c r="AX1468" s="6"/>
      <c r="AY1468" s="6"/>
      <c r="AZ1468" s="6"/>
      <c r="BA1468" s="6"/>
      <c r="BB1468" s="6"/>
      <c r="BC1468" s="6"/>
      <c r="BD1468" s="6"/>
      <c r="BE1468" s="6"/>
      <c r="BF1468" s="6"/>
      <c r="BG1468" s="6"/>
      <c r="BH1468" s="6"/>
      <c r="BI1468" s="6"/>
      <c r="BJ1468" s="6"/>
      <c r="BK1468" s="6"/>
      <c r="BL1468" s="6"/>
      <c r="BM1468" s="6"/>
      <c r="BN1468" s="6"/>
      <c r="BO1468" s="6"/>
      <c r="BP1468" s="6"/>
      <c r="BQ1468" s="6"/>
      <c r="BR1468" s="6"/>
      <c r="BS1468" s="6"/>
      <c r="BT1468" s="6"/>
      <c r="BU1468" s="6"/>
      <c r="BV1468" s="6"/>
      <c r="BW1468" s="6"/>
      <c r="BX1468" s="6"/>
      <c r="BY1468" s="6"/>
      <c r="BZ1468" s="6"/>
      <c r="CA1468" s="6"/>
      <c r="CB1468" s="6"/>
      <c r="CC1468" s="6"/>
      <c r="CD1468" s="6"/>
      <c r="CE1468" s="6"/>
      <c r="CF1468" s="6"/>
      <c r="CG1468" s="6"/>
      <c r="CH1468" s="6"/>
      <c r="CI1468" s="6"/>
      <c r="CJ1468" s="6"/>
      <c r="CK1468" s="6"/>
      <c r="CL1468" s="6"/>
      <c r="CM1468" s="6"/>
      <c r="CN1468" s="6"/>
      <c r="CO1468" s="6"/>
      <c r="CP1468" s="6"/>
      <c r="CQ1468" s="6"/>
      <c r="CR1468" s="6"/>
      <c r="CS1468" s="6"/>
      <c r="CT1468" s="6"/>
      <c r="CU1468" s="6"/>
      <c r="CV1468" s="6"/>
      <c r="CW1468" s="6"/>
      <c r="CX1468" s="6"/>
      <c r="CY1468" s="6"/>
      <c r="CZ1468" s="6"/>
      <c r="DA1468" s="6"/>
      <c r="DB1468" s="6"/>
      <c r="DC1468" s="6"/>
      <c r="DD1468" s="6"/>
      <c r="DE1468" s="6"/>
      <c r="DF1468" s="6"/>
      <c r="DG1468" s="6"/>
      <c r="DH1468" s="6"/>
      <c r="DI1468" s="6"/>
      <c r="DJ1468" s="6"/>
      <c r="DK1468" s="6"/>
      <c r="DL1468" s="6"/>
      <c r="DM1468" s="6"/>
      <c r="DN1468" s="6"/>
      <c r="DO1468" s="6"/>
      <c r="DP1468" s="6"/>
      <c r="DQ1468" s="6"/>
      <c r="DR1468" s="6"/>
      <c r="DS1468" s="6"/>
      <c r="DT1468" s="6"/>
      <c r="DU1468" s="6"/>
      <c r="DV1468" s="6"/>
      <c r="DW1468" s="6"/>
      <c r="DX1468" s="6"/>
      <c r="DY1468" s="6"/>
      <c r="DZ1468" s="6"/>
      <c r="EA1468" s="6"/>
      <c r="EB1468" s="6"/>
      <c r="EC1468" s="6"/>
      <c r="ED1468" s="6"/>
      <c r="EE1468" s="6"/>
      <c r="EF1468" s="6"/>
      <c r="EG1468" s="6"/>
      <c r="EH1468" s="6"/>
      <c r="EI1468" s="6"/>
      <c r="EJ1468" s="6"/>
      <c r="EK1468" s="6"/>
      <c r="EL1468" s="6"/>
      <c r="EM1468" s="6"/>
      <c r="EN1468" s="6"/>
      <c r="EO1468" s="6"/>
      <c r="EP1468" s="6"/>
      <c r="EQ1468" s="6"/>
      <c r="ER1468" s="6"/>
      <c r="ES1468" s="6"/>
      <c r="ET1468" s="6"/>
      <c r="EU1468" s="6"/>
      <c r="EV1468" s="6"/>
      <c r="EW1468" s="6"/>
      <c r="EX1468" s="6"/>
      <c r="EY1468" s="6"/>
      <c r="EZ1468" s="6"/>
      <c r="FA1468" s="6"/>
      <c r="FB1468" s="6"/>
      <c r="FC1468" s="6"/>
      <c r="FD1468" s="6"/>
      <c r="FE1468" s="6"/>
      <c r="FF1468" s="6"/>
      <c r="FG1468" s="6"/>
      <c r="FH1468" s="6"/>
      <c r="FI1468" s="6"/>
      <c r="FJ1468" s="6"/>
      <c r="FK1468" s="6"/>
      <c r="FL1468" s="6"/>
      <c r="FM1468" s="6"/>
      <c r="FN1468" s="6"/>
      <c r="FO1468" s="6"/>
      <c r="FP1468" s="6"/>
      <c r="FQ1468" s="6"/>
      <c r="FR1468" s="6"/>
      <c r="FS1468" s="6"/>
      <c r="FT1468" s="6"/>
      <c r="FU1468" s="6"/>
      <c r="FV1468" s="6"/>
      <c r="FW1468" s="6"/>
      <c r="FX1468" s="6"/>
      <c r="FY1468" s="6"/>
      <c r="FZ1468" s="6"/>
      <c r="GA1468" s="6"/>
      <c r="GB1468" s="6"/>
      <c r="GC1468" s="6"/>
      <c r="GD1468" s="6"/>
      <c r="GE1468" s="6"/>
      <c r="GF1468" s="6"/>
      <c r="GG1468" s="6"/>
      <c r="GH1468" s="6"/>
      <c r="GI1468" s="6"/>
      <c r="GJ1468" s="6"/>
      <c r="GK1468" s="6"/>
      <c r="GL1468" s="6"/>
      <c r="GM1468" s="6"/>
      <c r="GN1468" s="6"/>
      <c r="GO1468" s="6"/>
      <c r="GP1468" s="6"/>
      <c r="GQ1468" s="6"/>
      <c r="GR1468" s="6"/>
      <c r="GS1468" s="6"/>
      <c r="GT1468" s="6"/>
      <c r="GU1468" s="6"/>
      <c r="GV1468" s="6"/>
      <c r="GW1468" s="6"/>
      <c r="GX1468" s="6"/>
      <c r="GY1468" s="6"/>
      <c r="GZ1468" s="6"/>
      <c r="HA1468" s="6"/>
      <c r="HB1468" s="6"/>
      <c r="HC1468" s="6"/>
      <c r="HD1468" s="6"/>
      <c r="HE1468" s="6"/>
      <c r="HF1468" s="6"/>
      <c r="HG1468" s="6"/>
      <c r="HH1468" s="6"/>
    </row>
    <row r="1469" spans="1:216" x14ac:dyDescent="0.3">
      <c r="A1469" s="8"/>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6"/>
      <c r="AR1469" s="6"/>
      <c r="AS1469" s="6"/>
      <c r="AT1469" s="6"/>
      <c r="AU1469" s="6"/>
      <c r="AV1469" s="6"/>
      <c r="AW1469" s="6"/>
      <c r="AX1469" s="6"/>
      <c r="AY1469" s="6"/>
      <c r="AZ1469" s="6"/>
      <c r="BA1469" s="6"/>
      <c r="BB1469" s="6"/>
      <c r="BC1469" s="6"/>
      <c r="BD1469" s="6"/>
      <c r="BE1469" s="6"/>
      <c r="BF1469" s="6"/>
      <c r="BG1469" s="6"/>
      <c r="BH1469" s="6"/>
      <c r="BI1469" s="6"/>
      <c r="BJ1469" s="6"/>
      <c r="BK1469" s="6"/>
      <c r="BL1469" s="6"/>
      <c r="BM1469" s="6"/>
      <c r="BN1469" s="6"/>
      <c r="BO1469" s="6"/>
      <c r="BP1469" s="6"/>
      <c r="BQ1469" s="6"/>
      <c r="BR1469" s="6"/>
      <c r="BS1469" s="6"/>
      <c r="BT1469" s="6"/>
      <c r="BU1469" s="6"/>
      <c r="BV1469" s="6"/>
      <c r="BW1469" s="6"/>
      <c r="BX1469" s="6"/>
      <c r="BY1469" s="6"/>
      <c r="BZ1469" s="6"/>
      <c r="CA1469" s="6"/>
      <c r="CB1469" s="6"/>
      <c r="CC1469" s="6"/>
      <c r="CD1469" s="6"/>
      <c r="CE1469" s="6"/>
      <c r="CF1469" s="6"/>
      <c r="CG1469" s="6"/>
      <c r="CH1469" s="6"/>
      <c r="CI1469" s="6"/>
      <c r="CJ1469" s="6"/>
      <c r="CK1469" s="6"/>
      <c r="CL1469" s="6"/>
      <c r="CM1469" s="6"/>
      <c r="CN1469" s="6"/>
      <c r="CO1469" s="6"/>
      <c r="CP1469" s="6"/>
      <c r="CQ1469" s="6"/>
      <c r="CR1469" s="6"/>
      <c r="CS1469" s="6"/>
      <c r="CT1469" s="6"/>
      <c r="CU1469" s="6"/>
      <c r="CV1469" s="6"/>
      <c r="CW1469" s="6"/>
      <c r="CX1469" s="6"/>
      <c r="CY1469" s="6"/>
      <c r="CZ1469" s="6"/>
      <c r="DA1469" s="6"/>
      <c r="DB1469" s="6"/>
      <c r="DC1469" s="6"/>
      <c r="DD1469" s="6"/>
      <c r="DE1469" s="6"/>
      <c r="DF1469" s="6"/>
      <c r="DG1469" s="6"/>
      <c r="DH1469" s="6"/>
      <c r="DI1469" s="6"/>
      <c r="DJ1469" s="6"/>
      <c r="DK1469" s="6"/>
      <c r="DL1469" s="6"/>
      <c r="DM1469" s="6"/>
      <c r="DN1469" s="6"/>
      <c r="DO1469" s="6"/>
      <c r="DP1469" s="6"/>
      <c r="DQ1469" s="6"/>
      <c r="DR1469" s="6"/>
      <c r="DS1469" s="6"/>
      <c r="DT1469" s="6"/>
      <c r="DU1469" s="6"/>
      <c r="DV1469" s="6"/>
      <c r="DW1469" s="6"/>
      <c r="DX1469" s="6"/>
      <c r="DY1469" s="6"/>
      <c r="DZ1469" s="6"/>
      <c r="EA1469" s="6"/>
      <c r="EB1469" s="6"/>
      <c r="EC1469" s="6"/>
      <c r="ED1469" s="6"/>
      <c r="EE1469" s="6"/>
      <c r="EF1469" s="6"/>
      <c r="EG1469" s="6"/>
      <c r="EH1469" s="6"/>
      <c r="EI1469" s="6"/>
      <c r="EJ1469" s="6"/>
      <c r="EK1469" s="6"/>
      <c r="EL1469" s="6"/>
      <c r="EM1469" s="6"/>
      <c r="EN1469" s="6"/>
      <c r="EO1469" s="6"/>
      <c r="EP1469" s="6"/>
      <c r="EQ1469" s="6"/>
      <c r="ER1469" s="6"/>
      <c r="ES1469" s="6"/>
      <c r="ET1469" s="6"/>
      <c r="EU1469" s="6"/>
      <c r="EV1469" s="6"/>
      <c r="EW1469" s="6"/>
      <c r="EX1469" s="6"/>
      <c r="EY1469" s="6"/>
      <c r="EZ1469" s="6"/>
      <c r="FA1469" s="6"/>
      <c r="FB1469" s="6"/>
      <c r="FC1469" s="6"/>
      <c r="FD1469" s="6"/>
      <c r="FE1469" s="6"/>
      <c r="FF1469" s="6"/>
      <c r="FG1469" s="6"/>
      <c r="FH1469" s="6"/>
      <c r="FI1469" s="6"/>
      <c r="FJ1469" s="6"/>
      <c r="FK1469" s="6"/>
      <c r="FL1469" s="6"/>
      <c r="FM1469" s="6"/>
      <c r="FN1469" s="6"/>
      <c r="FO1469" s="6"/>
      <c r="FP1469" s="6"/>
      <c r="FQ1469" s="6"/>
      <c r="FR1469" s="6"/>
      <c r="FS1469" s="6"/>
      <c r="FT1469" s="6"/>
      <c r="FU1469" s="6"/>
      <c r="FV1469" s="6"/>
      <c r="FW1469" s="6"/>
      <c r="FX1469" s="6"/>
      <c r="FY1469" s="6"/>
      <c r="FZ1469" s="6"/>
      <c r="GA1469" s="6"/>
      <c r="GB1469" s="6"/>
      <c r="GC1469" s="6"/>
      <c r="GD1469" s="6"/>
      <c r="GE1469" s="6"/>
      <c r="GF1469" s="6"/>
      <c r="GG1469" s="6"/>
      <c r="GH1469" s="6"/>
      <c r="GI1469" s="6"/>
      <c r="GJ1469" s="6"/>
      <c r="GK1469" s="6"/>
      <c r="GL1469" s="6"/>
      <c r="GM1469" s="6"/>
      <c r="GN1469" s="6"/>
      <c r="GO1469" s="6"/>
      <c r="GP1469" s="6"/>
      <c r="GQ1469" s="6"/>
      <c r="GR1469" s="6"/>
      <c r="GS1469" s="6"/>
      <c r="GT1469" s="6"/>
      <c r="GU1469" s="6"/>
      <c r="GV1469" s="6"/>
      <c r="GW1469" s="6"/>
      <c r="GX1469" s="6"/>
      <c r="GY1469" s="6"/>
      <c r="GZ1469" s="6"/>
      <c r="HA1469" s="6"/>
      <c r="HB1469" s="6"/>
      <c r="HC1469" s="6"/>
      <c r="HD1469" s="6"/>
      <c r="HE1469" s="6"/>
      <c r="HF1469" s="6"/>
      <c r="HG1469" s="6"/>
      <c r="HH1469" s="6"/>
    </row>
    <row r="1470" spans="1:216" x14ac:dyDescent="0.3">
      <c r="A1470" s="8"/>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6"/>
      <c r="AR1470" s="6"/>
      <c r="AS1470" s="6"/>
      <c r="AT1470" s="6"/>
      <c r="AU1470" s="6"/>
      <c r="AV1470" s="6"/>
      <c r="AW1470" s="6"/>
      <c r="AX1470" s="6"/>
      <c r="AY1470" s="6"/>
      <c r="AZ1470" s="6"/>
      <c r="BA1470" s="6"/>
      <c r="BB1470" s="6"/>
      <c r="BC1470" s="6"/>
      <c r="BD1470" s="6"/>
      <c r="BE1470" s="6"/>
      <c r="BF1470" s="6"/>
      <c r="BG1470" s="6"/>
      <c r="BH1470" s="6"/>
      <c r="BI1470" s="6"/>
      <c r="BJ1470" s="6"/>
      <c r="BK1470" s="6"/>
      <c r="BL1470" s="6"/>
      <c r="BM1470" s="6"/>
      <c r="BN1470" s="6"/>
      <c r="BO1470" s="6"/>
      <c r="BP1470" s="6"/>
      <c r="BQ1470" s="6"/>
      <c r="BR1470" s="6"/>
      <c r="BS1470" s="6"/>
      <c r="BT1470" s="6"/>
      <c r="BU1470" s="6"/>
      <c r="BV1470" s="6"/>
      <c r="BW1470" s="6"/>
      <c r="BX1470" s="6"/>
      <c r="BY1470" s="6"/>
      <c r="BZ1470" s="6"/>
      <c r="CA1470" s="6"/>
      <c r="CB1470" s="6"/>
      <c r="CC1470" s="6"/>
      <c r="CD1470" s="6"/>
      <c r="CE1470" s="6"/>
      <c r="CF1470" s="6"/>
      <c r="CG1470" s="6"/>
      <c r="CH1470" s="6"/>
      <c r="CI1470" s="6"/>
      <c r="CJ1470" s="6"/>
      <c r="CK1470" s="6"/>
      <c r="CL1470" s="6"/>
      <c r="CM1470" s="6"/>
      <c r="CN1470" s="6"/>
      <c r="CO1470" s="6"/>
      <c r="CP1470" s="6"/>
      <c r="CQ1470" s="6"/>
      <c r="CR1470" s="6"/>
      <c r="CS1470" s="6"/>
      <c r="CT1470" s="6"/>
      <c r="CU1470" s="6"/>
      <c r="CV1470" s="6"/>
      <c r="CW1470" s="6"/>
      <c r="CX1470" s="6"/>
      <c r="CY1470" s="6"/>
      <c r="CZ1470" s="6"/>
      <c r="DA1470" s="6"/>
      <c r="DB1470" s="6"/>
      <c r="DC1470" s="6"/>
      <c r="DD1470" s="6"/>
      <c r="DE1470" s="6"/>
      <c r="DF1470" s="6"/>
      <c r="DG1470" s="6"/>
      <c r="DH1470" s="6"/>
      <c r="DI1470" s="6"/>
      <c r="DJ1470" s="6"/>
      <c r="DK1470" s="6"/>
      <c r="DL1470" s="6"/>
      <c r="DM1470" s="6"/>
      <c r="DN1470" s="6"/>
      <c r="DO1470" s="6"/>
      <c r="DP1470" s="6"/>
      <c r="DQ1470" s="6"/>
      <c r="DR1470" s="6"/>
      <c r="DS1470" s="6"/>
      <c r="DT1470" s="6"/>
      <c r="DU1470" s="6"/>
      <c r="DV1470" s="6"/>
      <c r="DW1470" s="6"/>
      <c r="DX1470" s="6"/>
      <c r="DY1470" s="6"/>
      <c r="DZ1470" s="6"/>
      <c r="EA1470" s="6"/>
      <c r="EB1470" s="6"/>
      <c r="EC1470" s="6"/>
      <c r="ED1470" s="6"/>
      <c r="EE1470" s="6"/>
      <c r="EF1470" s="6"/>
      <c r="EG1470" s="6"/>
      <c r="EH1470" s="6"/>
      <c r="EI1470" s="6"/>
      <c r="EJ1470" s="6"/>
      <c r="EK1470" s="6"/>
      <c r="EL1470" s="6"/>
      <c r="EM1470" s="6"/>
      <c r="EN1470" s="6"/>
      <c r="EO1470" s="6"/>
      <c r="EP1470" s="6"/>
      <c r="EQ1470" s="6"/>
      <c r="ER1470" s="6"/>
      <c r="ES1470" s="6"/>
      <c r="ET1470" s="6"/>
      <c r="EU1470" s="6"/>
      <c r="EV1470" s="6"/>
      <c r="EW1470" s="6"/>
      <c r="EX1470" s="6"/>
      <c r="EY1470" s="6"/>
      <c r="EZ1470" s="6"/>
      <c r="FA1470" s="6"/>
      <c r="FB1470" s="6"/>
      <c r="FC1470" s="6"/>
      <c r="FD1470" s="6"/>
      <c r="FE1470" s="6"/>
      <c r="FF1470" s="6"/>
      <c r="FG1470" s="6"/>
      <c r="FH1470" s="6"/>
      <c r="FI1470" s="6"/>
      <c r="FJ1470" s="6"/>
      <c r="FK1470" s="6"/>
      <c r="FL1470" s="6"/>
      <c r="FM1470" s="6"/>
      <c r="FN1470" s="6"/>
      <c r="FO1470" s="6"/>
      <c r="FP1470" s="6"/>
      <c r="FQ1470" s="6"/>
      <c r="FR1470" s="6"/>
      <c r="FS1470" s="6"/>
      <c r="FT1470" s="6"/>
      <c r="FU1470" s="6"/>
      <c r="FV1470" s="6"/>
      <c r="FW1470" s="6"/>
      <c r="FX1470" s="6"/>
      <c r="FY1470" s="6"/>
      <c r="FZ1470" s="6"/>
      <c r="GA1470" s="6"/>
      <c r="GB1470" s="6"/>
      <c r="GC1470" s="6"/>
      <c r="GD1470" s="6"/>
      <c r="GE1470" s="6"/>
      <c r="GF1470" s="6"/>
      <c r="GG1470" s="6"/>
      <c r="GH1470" s="6"/>
      <c r="GI1470" s="6"/>
      <c r="GJ1470" s="6"/>
      <c r="GK1470" s="6"/>
      <c r="GL1470" s="6"/>
      <c r="GM1470" s="6"/>
      <c r="GN1470" s="6"/>
      <c r="GO1470" s="6"/>
      <c r="GP1470" s="6"/>
      <c r="GQ1470" s="6"/>
      <c r="GR1470" s="6"/>
      <c r="GS1470" s="6"/>
      <c r="GT1470" s="6"/>
      <c r="GU1470" s="6"/>
      <c r="GV1470" s="6"/>
      <c r="GW1470" s="6"/>
      <c r="GX1470" s="6"/>
      <c r="GY1470" s="6"/>
      <c r="GZ1470" s="6"/>
      <c r="HA1470" s="6"/>
      <c r="HB1470" s="6"/>
      <c r="HC1470" s="6"/>
      <c r="HD1470" s="6"/>
      <c r="HE1470" s="6"/>
      <c r="HF1470" s="6"/>
      <c r="HG1470" s="6"/>
      <c r="HH1470" s="6"/>
    </row>
    <row r="1471" spans="1:216" x14ac:dyDescent="0.3">
      <c r="A1471" s="8"/>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6"/>
      <c r="AR1471" s="6"/>
      <c r="AS1471" s="6"/>
      <c r="AT1471" s="6"/>
      <c r="AU1471" s="6"/>
      <c r="AV1471" s="6"/>
      <c r="AW1471" s="6"/>
      <c r="AX1471" s="6"/>
      <c r="AY1471" s="6"/>
      <c r="AZ1471" s="6"/>
      <c r="BA1471" s="6"/>
      <c r="BB1471" s="6"/>
      <c r="BC1471" s="6"/>
      <c r="BD1471" s="6"/>
      <c r="BE1471" s="6"/>
      <c r="BF1471" s="6"/>
      <c r="BG1471" s="6"/>
      <c r="BH1471" s="6"/>
      <c r="BI1471" s="6"/>
      <c r="BJ1471" s="6"/>
      <c r="BK1471" s="6"/>
      <c r="BL1471" s="6"/>
      <c r="BM1471" s="6"/>
      <c r="BN1471" s="6"/>
      <c r="BO1471" s="6"/>
      <c r="BP1471" s="6"/>
      <c r="BQ1471" s="6"/>
      <c r="BR1471" s="6"/>
      <c r="BS1471" s="6"/>
      <c r="BT1471" s="6"/>
      <c r="BU1471" s="6"/>
      <c r="BV1471" s="6"/>
      <c r="BW1471" s="6"/>
      <c r="BX1471" s="6"/>
      <c r="BY1471" s="6"/>
      <c r="BZ1471" s="6"/>
      <c r="CA1471" s="6"/>
      <c r="CB1471" s="6"/>
      <c r="CC1471" s="6"/>
      <c r="CD1471" s="6"/>
      <c r="CE1471" s="6"/>
      <c r="CF1471" s="6"/>
      <c r="CG1471" s="6"/>
      <c r="CH1471" s="6"/>
      <c r="CI1471" s="6"/>
      <c r="CJ1471" s="6"/>
      <c r="CK1471" s="6"/>
      <c r="CL1471" s="6"/>
      <c r="CM1471" s="6"/>
      <c r="CN1471" s="6"/>
      <c r="CO1471" s="6"/>
      <c r="CP1471" s="6"/>
      <c r="CQ1471" s="6"/>
      <c r="CR1471" s="6"/>
      <c r="CS1471" s="6"/>
      <c r="CT1471" s="6"/>
      <c r="CU1471" s="6"/>
      <c r="CV1471" s="6"/>
      <c r="CW1471" s="6"/>
      <c r="CX1471" s="6"/>
      <c r="CY1471" s="6"/>
      <c r="CZ1471" s="6"/>
      <c r="DA1471" s="6"/>
      <c r="DB1471" s="6"/>
      <c r="DC1471" s="6"/>
      <c r="DD1471" s="6"/>
      <c r="DE1471" s="6"/>
      <c r="DF1471" s="6"/>
      <c r="DG1471" s="6"/>
      <c r="DH1471" s="6"/>
      <c r="DI1471" s="6"/>
      <c r="DJ1471" s="6"/>
      <c r="DK1471" s="6"/>
      <c r="DL1471" s="6"/>
      <c r="DM1471" s="6"/>
      <c r="DN1471" s="6"/>
      <c r="DO1471" s="6"/>
      <c r="DP1471" s="6"/>
      <c r="DQ1471" s="6"/>
      <c r="DR1471" s="6"/>
      <c r="DS1471" s="6"/>
      <c r="DT1471" s="6"/>
      <c r="DU1471" s="6"/>
      <c r="DV1471" s="6"/>
      <c r="DW1471" s="6"/>
      <c r="DX1471" s="6"/>
      <c r="DY1471" s="6"/>
      <c r="DZ1471" s="6"/>
      <c r="EA1471" s="6"/>
      <c r="EB1471" s="6"/>
      <c r="EC1471" s="6"/>
      <c r="ED1471" s="6"/>
      <c r="EE1471" s="6"/>
      <c r="EF1471" s="6"/>
      <c r="EG1471" s="6"/>
      <c r="EH1471" s="6"/>
      <c r="EI1471" s="6"/>
      <c r="EJ1471" s="6"/>
      <c r="EK1471" s="6"/>
      <c r="EL1471" s="6"/>
      <c r="EM1471" s="6"/>
      <c r="EN1471" s="6"/>
      <c r="EO1471" s="6"/>
      <c r="EP1471" s="6"/>
      <c r="EQ1471" s="6"/>
      <c r="ER1471" s="6"/>
      <c r="ES1471" s="6"/>
      <c r="ET1471" s="6"/>
      <c r="EU1471" s="6"/>
      <c r="EV1471" s="6"/>
      <c r="EW1471" s="6"/>
      <c r="EX1471" s="6"/>
      <c r="EY1471" s="6"/>
      <c r="EZ1471" s="6"/>
      <c r="FA1471" s="6"/>
      <c r="FB1471" s="6"/>
      <c r="FC1471" s="6"/>
      <c r="FD1471" s="6"/>
      <c r="FE1471" s="6"/>
      <c r="FF1471" s="6"/>
      <c r="FG1471" s="6"/>
      <c r="FH1471" s="6"/>
      <c r="FI1471" s="6"/>
      <c r="FJ1471" s="6"/>
      <c r="FK1471" s="6"/>
      <c r="FL1471" s="6"/>
      <c r="FM1471" s="6"/>
      <c r="FN1471" s="6"/>
      <c r="FO1471" s="6"/>
      <c r="FP1471" s="6"/>
      <c r="FQ1471" s="6"/>
      <c r="FR1471" s="6"/>
      <c r="FS1471" s="6"/>
      <c r="FT1471" s="6"/>
      <c r="FU1471" s="6"/>
      <c r="FV1471" s="6"/>
      <c r="FW1471" s="6"/>
      <c r="FX1471" s="6"/>
      <c r="FY1471" s="6"/>
      <c r="FZ1471" s="6"/>
      <c r="GA1471" s="6"/>
      <c r="GB1471" s="6"/>
      <c r="GC1471" s="6"/>
      <c r="GD1471" s="6"/>
      <c r="GE1471" s="6"/>
      <c r="GF1471" s="6"/>
      <c r="GG1471" s="6"/>
      <c r="GH1471" s="6"/>
      <c r="GI1471" s="6"/>
      <c r="GJ1471" s="6"/>
      <c r="GK1471" s="6"/>
      <c r="GL1471" s="6"/>
      <c r="GM1471" s="6"/>
      <c r="GN1471" s="6"/>
      <c r="GO1471" s="6"/>
      <c r="GP1471" s="6"/>
      <c r="GQ1471" s="6"/>
      <c r="GR1471" s="6"/>
      <c r="GS1471" s="6"/>
      <c r="GT1471" s="6"/>
      <c r="GU1471" s="6"/>
      <c r="GV1471" s="6"/>
      <c r="GW1471" s="6"/>
      <c r="GX1471" s="6"/>
      <c r="GY1471" s="6"/>
      <c r="GZ1471" s="6"/>
      <c r="HA1471" s="6"/>
      <c r="HB1471" s="6"/>
      <c r="HC1471" s="6"/>
      <c r="HD1471" s="6"/>
      <c r="HE1471" s="6"/>
      <c r="HF1471" s="6"/>
      <c r="HG1471" s="6"/>
      <c r="HH1471" s="6"/>
    </row>
    <row r="1472" spans="1:216" x14ac:dyDescent="0.3">
      <c r="A1472" s="8"/>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6"/>
      <c r="AR1472" s="6"/>
      <c r="AS1472" s="6"/>
      <c r="AT1472" s="6"/>
      <c r="AU1472" s="6"/>
      <c r="AV1472" s="6"/>
      <c r="AW1472" s="6"/>
      <c r="AX1472" s="6"/>
      <c r="AY1472" s="6"/>
      <c r="AZ1472" s="6"/>
      <c r="BA1472" s="6"/>
      <c r="BB1472" s="6"/>
      <c r="BC1472" s="6"/>
      <c r="BD1472" s="6"/>
      <c r="BE1472" s="6"/>
      <c r="BF1472" s="6"/>
      <c r="BG1472" s="6"/>
      <c r="BH1472" s="6"/>
      <c r="BI1472" s="6"/>
      <c r="BJ1472" s="6"/>
      <c r="BK1472" s="6"/>
      <c r="BL1472" s="6"/>
      <c r="BM1472" s="6"/>
      <c r="BN1472" s="6"/>
      <c r="BO1472" s="6"/>
      <c r="BP1472" s="6"/>
      <c r="BQ1472" s="6"/>
      <c r="BR1472" s="6"/>
      <c r="BS1472" s="6"/>
      <c r="BT1472" s="6"/>
      <c r="BU1472" s="6"/>
      <c r="BV1472" s="6"/>
      <c r="BW1472" s="6"/>
      <c r="BX1472" s="6"/>
      <c r="BY1472" s="6"/>
      <c r="BZ1472" s="6"/>
      <c r="CA1472" s="6"/>
      <c r="CB1472" s="6"/>
      <c r="CC1472" s="6"/>
      <c r="CD1472" s="6"/>
      <c r="CE1472" s="6"/>
      <c r="CF1472" s="6"/>
      <c r="CG1472" s="6"/>
      <c r="CH1472" s="6"/>
      <c r="CI1472" s="6"/>
      <c r="CJ1472" s="6"/>
      <c r="CK1472" s="6"/>
      <c r="CL1472" s="6"/>
      <c r="CM1472" s="6"/>
      <c r="CN1472" s="6"/>
      <c r="CO1472" s="6"/>
      <c r="CP1472" s="6"/>
      <c r="CQ1472" s="6"/>
      <c r="CR1472" s="6"/>
      <c r="CS1472" s="6"/>
      <c r="CT1472" s="6"/>
      <c r="CU1472" s="6"/>
      <c r="CV1472" s="6"/>
      <c r="CW1472" s="6"/>
      <c r="CX1472" s="6"/>
      <c r="CY1472" s="6"/>
      <c r="CZ1472" s="6"/>
      <c r="DA1472" s="6"/>
      <c r="DB1472" s="6"/>
      <c r="DC1472" s="6"/>
      <c r="DD1472" s="6"/>
      <c r="DE1472" s="6"/>
      <c r="DF1472" s="6"/>
      <c r="DG1472" s="6"/>
      <c r="DH1472" s="6"/>
      <c r="DI1472" s="6"/>
      <c r="DJ1472" s="6"/>
      <c r="DK1472" s="6"/>
      <c r="DL1472" s="6"/>
      <c r="DM1472" s="6"/>
      <c r="DN1472" s="6"/>
      <c r="DO1472" s="6"/>
      <c r="DP1472" s="6"/>
      <c r="DQ1472" s="6"/>
      <c r="DR1472" s="6"/>
      <c r="DS1472" s="6"/>
      <c r="DT1472" s="6"/>
      <c r="DU1472" s="6"/>
      <c r="DV1472" s="6"/>
      <c r="DW1472" s="6"/>
      <c r="DX1472" s="6"/>
      <c r="DY1472" s="6"/>
      <c r="DZ1472" s="6"/>
      <c r="EA1472" s="6"/>
      <c r="EB1472" s="6"/>
      <c r="EC1472" s="6"/>
      <c r="ED1472" s="6"/>
      <c r="EE1472" s="6"/>
      <c r="EF1472" s="6"/>
      <c r="EG1472" s="6"/>
      <c r="EH1472" s="6"/>
      <c r="EI1472" s="6"/>
      <c r="EJ1472" s="6"/>
      <c r="EK1472" s="6"/>
      <c r="EL1472" s="6"/>
      <c r="EM1472" s="6"/>
      <c r="EN1472" s="6"/>
      <c r="EO1472" s="6"/>
      <c r="EP1472" s="6"/>
      <c r="EQ1472" s="6"/>
      <c r="ER1472" s="6"/>
      <c r="ES1472" s="6"/>
      <c r="ET1472" s="6"/>
      <c r="EU1472" s="6"/>
      <c r="EV1472" s="6"/>
      <c r="EW1472" s="6"/>
      <c r="EX1472" s="6"/>
      <c r="EY1472" s="6"/>
      <c r="EZ1472" s="6"/>
      <c r="FA1472" s="6"/>
      <c r="FB1472" s="6"/>
      <c r="FC1472" s="6"/>
      <c r="FD1472" s="6"/>
      <c r="FE1472" s="6"/>
      <c r="FF1472" s="6"/>
      <c r="FG1472" s="6"/>
      <c r="FH1472" s="6"/>
      <c r="FI1472" s="6"/>
      <c r="FJ1472" s="6"/>
      <c r="FK1472" s="6"/>
      <c r="FL1472" s="6"/>
      <c r="FM1472" s="6"/>
      <c r="FN1472" s="6"/>
      <c r="FO1472" s="6"/>
      <c r="FP1472" s="6"/>
      <c r="FQ1472" s="6"/>
      <c r="FR1472" s="6"/>
      <c r="FS1472" s="6"/>
      <c r="FT1472" s="6"/>
      <c r="FU1472" s="6"/>
      <c r="FV1472" s="6"/>
      <c r="FW1472" s="6"/>
      <c r="FX1472" s="6"/>
      <c r="FY1472" s="6"/>
      <c r="FZ1472" s="6"/>
      <c r="GA1472" s="6"/>
      <c r="GB1472" s="6"/>
      <c r="GC1472" s="6"/>
      <c r="GD1472" s="6"/>
      <c r="GE1472" s="6"/>
      <c r="GF1472" s="6"/>
      <c r="GG1472" s="6"/>
      <c r="GH1472" s="6"/>
      <c r="GI1472" s="6"/>
      <c r="GJ1472" s="6"/>
      <c r="GK1472" s="6"/>
      <c r="GL1472" s="6"/>
      <c r="GM1472" s="6"/>
      <c r="GN1472" s="6"/>
      <c r="GO1472" s="6"/>
      <c r="GP1472" s="6"/>
      <c r="GQ1472" s="6"/>
      <c r="GR1472" s="6"/>
      <c r="GS1472" s="6"/>
      <c r="GT1472" s="6"/>
      <c r="GU1472" s="6"/>
      <c r="GV1472" s="6"/>
      <c r="GW1472" s="6"/>
      <c r="GX1472" s="6"/>
      <c r="GY1472" s="6"/>
      <c r="GZ1472" s="6"/>
      <c r="HA1472" s="6"/>
      <c r="HB1472" s="6"/>
      <c r="HC1472" s="6"/>
      <c r="HD1472" s="6"/>
      <c r="HE1472" s="6"/>
      <c r="HF1472" s="6"/>
      <c r="HG1472" s="6"/>
      <c r="HH1472" s="6"/>
    </row>
    <row r="1473" spans="1:216" x14ac:dyDescent="0.3">
      <c r="A1473" s="8"/>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6"/>
      <c r="AR1473" s="6"/>
      <c r="AS1473" s="6"/>
      <c r="AT1473" s="6"/>
      <c r="AU1473" s="6"/>
      <c r="AV1473" s="6"/>
      <c r="AW1473" s="6"/>
      <c r="AX1473" s="6"/>
      <c r="AY1473" s="6"/>
      <c r="AZ1473" s="6"/>
      <c r="BA1473" s="6"/>
      <c r="BB1473" s="6"/>
      <c r="BC1473" s="6"/>
      <c r="BD1473" s="6"/>
      <c r="BE1473" s="6"/>
      <c r="BF1473" s="6"/>
      <c r="BG1473" s="6"/>
      <c r="BH1473" s="6"/>
      <c r="BI1473" s="6"/>
      <c r="BJ1473" s="6"/>
      <c r="BK1473" s="6"/>
      <c r="BL1473" s="6"/>
      <c r="BM1473" s="6"/>
      <c r="BN1473" s="6"/>
      <c r="BO1473" s="6"/>
      <c r="BP1473" s="6"/>
      <c r="BQ1473" s="6"/>
      <c r="BR1473" s="6"/>
      <c r="BS1473" s="6"/>
      <c r="BT1473" s="6"/>
      <c r="BU1473" s="6"/>
      <c r="BV1473" s="6"/>
      <c r="BW1473" s="6"/>
      <c r="BX1473" s="6"/>
      <c r="BY1473" s="6"/>
      <c r="BZ1473" s="6"/>
      <c r="CA1473" s="6"/>
      <c r="CB1473" s="6"/>
      <c r="CC1473" s="6"/>
      <c r="CD1473" s="6"/>
      <c r="CE1473" s="6"/>
      <c r="CF1473" s="6"/>
      <c r="CG1473" s="6"/>
      <c r="CH1473" s="6"/>
      <c r="CI1473" s="6"/>
      <c r="CJ1473" s="6"/>
      <c r="CK1473" s="6"/>
      <c r="CL1473" s="6"/>
      <c r="CM1473" s="6"/>
      <c r="CN1473" s="6"/>
      <c r="CO1473" s="6"/>
      <c r="CP1473" s="6"/>
      <c r="CQ1473" s="6"/>
      <c r="CR1473" s="6"/>
      <c r="CS1473" s="6"/>
      <c r="CT1473" s="6"/>
      <c r="CU1473" s="6"/>
      <c r="CV1473" s="6"/>
      <c r="CW1473" s="6"/>
      <c r="CX1473" s="6"/>
      <c r="CY1473" s="6"/>
      <c r="CZ1473" s="6"/>
      <c r="DA1473" s="6"/>
      <c r="DB1473" s="6"/>
      <c r="DC1473" s="6"/>
      <c r="DD1473" s="6"/>
      <c r="DE1473" s="6"/>
      <c r="DF1473" s="6"/>
      <c r="DG1473" s="6"/>
      <c r="DH1473" s="6"/>
      <c r="DI1473" s="6"/>
      <c r="DJ1473" s="6"/>
      <c r="DK1473" s="6"/>
      <c r="DL1473" s="6"/>
      <c r="DM1473" s="6"/>
      <c r="DN1473" s="6"/>
      <c r="DO1473" s="6"/>
      <c r="DP1473" s="6"/>
      <c r="DQ1473" s="6"/>
      <c r="DR1473" s="6"/>
      <c r="DS1473" s="6"/>
      <c r="DT1473" s="6"/>
      <c r="DU1473" s="6"/>
      <c r="DV1473" s="6"/>
      <c r="DW1473" s="6"/>
      <c r="DX1473" s="6"/>
      <c r="DY1473" s="6"/>
      <c r="DZ1473" s="6"/>
      <c r="EA1473" s="6"/>
      <c r="EB1473" s="6"/>
      <c r="EC1473" s="6"/>
      <c r="ED1473" s="6"/>
      <c r="EE1473" s="6"/>
      <c r="EF1473" s="6"/>
      <c r="EG1473" s="6"/>
      <c r="EH1473" s="6"/>
      <c r="EI1473" s="6"/>
      <c r="EJ1473" s="6"/>
      <c r="EK1473" s="6"/>
      <c r="EL1473" s="6"/>
      <c r="EM1473" s="6"/>
      <c r="EN1473" s="6"/>
      <c r="EO1473" s="6"/>
      <c r="EP1473" s="6"/>
      <c r="EQ1473" s="6"/>
      <c r="ER1473" s="6"/>
      <c r="ES1473" s="6"/>
      <c r="ET1473" s="6"/>
      <c r="EU1473" s="6"/>
      <c r="EV1473" s="6"/>
      <c r="EW1473" s="6"/>
      <c r="EX1473" s="6"/>
      <c r="EY1473" s="6"/>
      <c r="EZ1473" s="6"/>
      <c r="FA1473" s="6"/>
      <c r="FB1473" s="6"/>
      <c r="FC1473" s="6"/>
      <c r="FD1473" s="6"/>
      <c r="FE1473" s="6"/>
      <c r="FF1473" s="6"/>
      <c r="FG1473" s="6"/>
      <c r="FH1473" s="6"/>
      <c r="FI1473" s="6"/>
      <c r="FJ1473" s="6"/>
      <c r="FK1473" s="6"/>
      <c r="FL1473" s="6"/>
      <c r="FM1473" s="6"/>
      <c r="FN1473" s="6"/>
      <c r="FO1473" s="6"/>
      <c r="FP1473" s="6"/>
      <c r="FQ1473" s="6"/>
      <c r="FR1473" s="6"/>
      <c r="FS1473" s="6"/>
      <c r="FT1473" s="6"/>
      <c r="FU1473" s="6"/>
      <c r="FV1473" s="6"/>
      <c r="FW1473" s="6"/>
      <c r="FX1473" s="6"/>
      <c r="FY1473" s="6"/>
      <c r="FZ1473" s="6"/>
      <c r="GA1473" s="6"/>
      <c r="GB1473" s="6"/>
      <c r="GC1473" s="6"/>
      <c r="GD1473" s="6"/>
      <c r="GE1473" s="6"/>
      <c r="GF1473" s="6"/>
      <c r="GG1473" s="6"/>
      <c r="GH1473" s="6"/>
      <c r="GI1473" s="6"/>
      <c r="GJ1473" s="6"/>
      <c r="GK1473" s="6"/>
      <c r="GL1473" s="6"/>
      <c r="GM1473" s="6"/>
      <c r="GN1473" s="6"/>
      <c r="GO1473" s="6"/>
      <c r="GP1473" s="6"/>
      <c r="GQ1473" s="6"/>
      <c r="GR1473" s="6"/>
      <c r="GS1473" s="6"/>
      <c r="GT1473" s="6"/>
      <c r="GU1473" s="6"/>
      <c r="GV1473" s="6"/>
      <c r="GW1473" s="6"/>
      <c r="GX1473" s="6"/>
      <c r="GY1473" s="6"/>
      <c r="GZ1473" s="6"/>
      <c r="HA1473" s="6"/>
      <c r="HB1473" s="6"/>
      <c r="HC1473" s="6"/>
      <c r="HD1473" s="6"/>
      <c r="HE1473" s="6"/>
      <c r="HF1473" s="6"/>
      <c r="HG1473" s="6"/>
      <c r="HH1473" s="6"/>
    </row>
    <row r="1474" spans="1:216" x14ac:dyDescent="0.3">
      <c r="A1474" s="8"/>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6"/>
      <c r="AR1474" s="6"/>
      <c r="AS1474" s="6"/>
      <c r="AT1474" s="6"/>
      <c r="AU1474" s="6"/>
      <c r="AV1474" s="6"/>
      <c r="AW1474" s="6"/>
      <c r="AX1474" s="6"/>
      <c r="AY1474" s="6"/>
      <c r="AZ1474" s="6"/>
      <c r="BA1474" s="6"/>
      <c r="BB1474" s="6"/>
      <c r="BC1474" s="6"/>
      <c r="BD1474" s="6"/>
      <c r="BE1474" s="6"/>
      <c r="BF1474" s="6"/>
      <c r="BG1474" s="6"/>
      <c r="BH1474" s="6"/>
      <c r="BI1474" s="6"/>
      <c r="BJ1474" s="6"/>
      <c r="BK1474" s="6"/>
      <c r="BL1474" s="6"/>
      <c r="BM1474" s="6"/>
      <c r="BN1474" s="6"/>
      <c r="BO1474" s="6"/>
      <c r="BP1474" s="6"/>
      <c r="BQ1474" s="6"/>
      <c r="BR1474" s="6"/>
      <c r="BS1474" s="6"/>
      <c r="BT1474" s="6"/>
      <c r="BU1474" s="6"/>
      <c r="BV1474" s="6"/>
      <c r="BW1474" s="6"/>
      <c r="BX1474" s="6"/>
      <c r="BY1474" s="6"/>
      <c r="BZ1474" s="6"/>
      <c r="CA1474" s="6"/>
      <c r="CB1474" s="6"/>
      <c r="CC1474" s="6"/>
      <c r="CD1474" s="6"/>
      <c r="CE1474" s="6"/>
      <c r="CF1474" s="6"/>
      <c r="CG1474" s="6"/>
      <c r="CH1474" s="6"/>
      <c r="CI1474" s="6"/>
      <c r="CJ1474" s="6"/>
      <c r="CK1474" s="6"/>
      <c r="CL1474" s="6"/>
      <c r="CM1474" s="6"/>
      <c r="CN1474" s="6"/>
      <c r="CO1474" s="6"/>
      <c r="CP1474" s="6"/>
      <c r="CQ1474" s="6"/>
      <c r="CR1474" s="6"/>
      <c r="CS1474" s="6"/>
      <c r="CT1474" s="6"/>
      <c r="CU1474" s="6"/>
      <c r="CV1474" s="6"/>
      <c r="CW1474" s="6"/>
      <c r="CX1474" s="6"/>
      <c r="CY1474" s="6"/>
      <c r="CZ1474" s="6"/>
      <c r="DA1474" s="6"/>
      <c r="DB1474" s="6"/>
      <c r="DC1474" s="6"/>
      <c r="DD1474" s="6"/>
      <c r="DE1474" s="6"/>
      <c r="DF1474" s="6"/>
      <c r="DG1474" s="6"/>
      <c r="DH1474" s="6"/>
      <c r="DI1474" s="6"/>
      <c r="DJ1474" s="6"/>
      <c r="DK1474" s="6"/>
      <c r="DL1474" s="6"/>
      <c r="DM1474" s="6"/>
      <c r="DN1474" s="6"/>
      <c r="DO1474" s="6"/>
      <c r="DP1474" s="6"/>
      <c r="DQ1474" s="6"/>
      <c r="DR1474" s="6"/>
      <c r="DS1474" s="6"/>
      <c r="DT1474" s="6"/>
      <c r="DU1474" s="6"/>
      <c r="DV1474" s="6"/>
      <c r="DW1474" s="6"/>
      <c r="DX1474" s="6"/>
      <c r="DY1474" s="6"/>
      <c r="DZ1474" s="6"/>
      <c r="EA1474" s="6"/>
      <c r="EB1474" s="6"/>
      <c r="EC1474" s="6"/>
      <c r="ED1474" s="6"/>
      <c r="EE1474" s="6"/>
      <c r="EF1474" s="6"/>
      <c r="EG1474" s="6"/>
      <c r="EH1474" s="6"/>
      <c r="EI1474" s="6"/>
      <c r="EJ1474" s="6"/>
      <c r="EK1474" s="6"/>
      <c r="EL1474" s="6"/>
      <c r="EM1474" s="6"/>
      <c r="EN1474" s="6"/>
      <c r="EO1474" s="6"/>
      <c r="EP1474" s="6"/>
      <c r="EQ1474" s="6"/>
      <c r="ER1474" s="6"/>
      <c r="ES1474" s="6"/>
      <c r="ET1474" s="6"/>
      <c r="EU1474" s="6"/>
      <c r="EV1474" s="6"/>
      <c r="EW1474" s="6"/>
      <c r="EX1474" s="6"/>
      <c r="EY1474" s="6"/>
      <c r="EZ1474" s="6"/>
      <c r="FA1474" s="6"/>
      <c r="FB1474" s="6"/>
      <c r="FC1474" s="6"/>
      <c r="FD1474" s="6"/>
      <c r="FE1474" s="6"/>
      <c r="FF1474" s="6"/>
      <c r="FG1474" s="6"/>
      <c r="FH1474" s="6"/>
      <c r="FI1474" s="6"/>
      <c r="FJ1474" s="6"/>
      <c r="FK1474" s="6"/>
      <c r="FL1474" s="6"/>
      <c r="FM1474" s="6"/>
      <c r="FN1474" s="6"/>
      <c r="FO1474" s="6"/>
      <c r="FP1474" s="6"/>
      <c r="FQ1474" s="6"/>
      <c r="FR1474" s="6"/>
      <c r="FS1474" s="6"/>
      <c r="FT1474" s="6"/>
      <c r="FU1474" s="6"/>
      <c r="FV1474" s="6"/>
      <c r="FW1474" s="6"/>
      <c r="FX1474" s="6"/>
      <c r="FY1474" s="6"/>
      <c r="FZ1474" s="6"/>
      <c r="GA1474" s="6"/>
      <c r="GB1474" s="6"/>
      <c r="GC1474" s="6"/>
      <c r="GD1474" s="6"/>
      <c r="GE1474" s="6"/>
      <c r="GF1474" s="6"/>
      <c r="GG1474" s="6"/>
      <c r="GH1474" s="6"/>
      <c r="GI1474" s="6"/>
      <c r="GJ1474" s="6"/>
      <c r="GK1474" s="6"/>
      <c r="GL1474" s="6"/>
      <c r="GM1474" s="6"/>
      <c r="GN1474" s="6"/>
      <c r="GO1474" s="6"/>
      <c r="GP1474" s="6"/>
      <c r="GQ1474" s="6"/>
      <c r="GR1474" s="6"/>
      <c r="GS1474" s="6"/>
      <c r="GT1474" s="6"/>
      <c r="GU1474" s="6"/>
      <c r="GV1474" s="6"/>
      <c r="GW1474" s="6"/>
      <c r="GX1474" s="6"/>
      <c r="GY1474" s="6"/>
      <c r="GZ1474" s="6"/>
      <c r="HA1474" s="6"/>
      <c r="HB1474" s="6"/>
      <c r="HC1474" s="6"/>
      <c r="HD1474" s="6"/>
      <c r="HE1474" s="6"/>
      <c r="HF1474" s="6"/>
      <c r="HG1474" s="6"/>
      <c r="HH1474" s="6"/>
    </row>
    <row r="1475" spans="1:216" x14ac:dyDescent="0.3">
      <c r="A1475" s="8"/>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6"/>
      <c r="AR1475" s="6"/>
      <c r="AS1475" s="6"/>
      <c r="AT1475" s="6"/>
      <c r="AU1475" s="6"/>
      <c r="AV1475" s="6"/>
      <c r="AW1475" s="6"/>
      <c r="AX1475" s="6"/>
      <c r="AY1475" s="6"/>
      <c r="AZ1475" s="6"/>
      <c r="BA1475" s="6"/>
      <c r="BB1475" s="6"/>
      <c r="BC1475" s="6"/>
      <c r="BD1475" s="6"/>
      <c r="BE1475" s="6"/>
      <c r="BF1475" s="6"/>
      <c r="BG1475" s="6"/>
      <c r="BH1475" s="6"/>
      <c r="BI1475" s="6"/>
      <c r="BJ1475" s="6"/>
      <c r="BK1475" s="6"/>
      <c r="BL1475" s="6"/>
      <c r="BM1475" s="6"/>
      <c r="BN1475" s="6"/>
      <c r="BO1475" s="6"/>
      <c r="BP1475" s="6"/>
      <c r="BQ1475" s="6"/>
      <c r="BR1475" s="6"/>
      <c r="BS1475" s="6"/>
      <c r="BT1475" s="6"/>
      <c r="BU1475" s="6"/>
      <c r="BV1475" s="6"/>
      <c r="BW1475" s="6"/>
      <c r="BX1475" s="6"/>
      <c r="BY1475" s="6"/>
      <c r="BZ1475" s="6"/>
      <c r="CA1475" s="6"/>
      <c r="CB1475" s="6"/>
      <c r="CC1475" s="6"/>
      <c r="CD1475" s="6"/>
      <c r="CE1475" s="6"/>
      <c r="CF1475" s="6"/>
      <c r="CG1475" s="6"/>
      <c r="CH1475" s="6"/>
      <c r="CI1475" s="6"/>
      <c r="CJ1475" s="6"/>
      <c r="CK1475" s="6"/>
      <c r="CL1475" s="6"/>
      <c r="CM1475" s="6"/>
      <c r="CN1475" s="6"/>
      <c r="CO1475" s="6"/>
      <c r="CP1475" s="6"/>
      <c r="CQ1475" s="6"/>
      <c r="CR1475" s="6"/>
      <c r="CS1475" s="6"/>
      <c r="CT1475" s="6"/>
      <c r="CU1475" s="6"/>
      <c r="CV1475" s="6"/>
      <c r="CW1475" s="6"/>
      <c r="CX1475" s="6"/>
      <c r="CY1475" s="6"/>
      <c r="CZ1475" s="6"/>
      <c r="DA1475" s="6"/>
      <c r="DB1475" s="6"/>
      <c r="DC1475" s="6"/>
      <c r="DD1475" s="6"/>
      <c r="DE1475" s="6"/>
      <c r="DF1475" s="6"/>
      <c r="DG1475" s="6"/>
      <c r="DH1475" s="6"/>
      <c r="DI1475" s="6"/>
      <c r="DJ1475" s="6"/>
      <c r="DK1475" s="6"/>
      <c r="DL1475" s="6"/>
      <c r="DM1475" s="6"/>
      <c r="DN1475" s="6"/>
      <c r="DO1475" s="6"/>
      <c r="DP1475" s="6"/>
      <c r="DQ1475" s="6"/>
      <c r="DR1475" s="6"/>
      <c r="DS1475" s="6"/>
      <c r="DT1475" s="6"/>
      <c r="DU1475" s="6"/>
      <c r="DV1475" s="6"/>
      <c r="DW1475" s="6"/>
      <c r="DX1475" s="6"/>
      <c r="DY1475" s="6"/>
      <c r="DZ1475" s="6"/>
      <c r="EA1475" s="6"/>
      <c r="EB1475" s="6"/>
      <c r="EC1475" s="6"/>
      <c r="ED1475" s="6"/>
      <c r="EE1475" s="6"/>
      <c r="EF1475" s="6"/>
      <c r="EG1475" s="6"/>
      <c r="EH1475" s="6"/>
      <c r="EI1475" s="6"/>
      <c r="EJ1475" s="6"/>
      <c r="EK1475" s="6"/>
      <c r="EL1475" s="6"/>
      <c r="EM1475" s="6"/>
      <c r="EN1475" s="6"/>
      <c r="EO1475" s="6"/>
      <c r="EP1475" s="6"/>
      <c r="EQ1475" s="6"/>
      <c r="ER1475" s="6"/>
      <c r="ES1475" s="6"/>
      <c r="ET1475" s="6"/>
      <c r="EU1475" s="6"/>
      <c r="EV1475" s="6"/>
      <c r="EW1475" s="6"/>
      <c r="EX1475" s="6"/>
      <c r="EY1475" s="6"/>
      <c r="EZ1475" s="6"/>
      <c r="FA1475" s="6"/>
      <c r="FB1475" s="6"/>
      <c r="FC1475" s="6"/>
      <c r="FD1475" s="6"/>
      <c r="FE1475" s="6"/>
      <c r="FF1475" s="6"/>
      <c r="FG1475" s="6"/>
      <c r="FH1475" s="6"/>
      <c r="FI1475" s="6"/>
      <c r="FJ1475" s="6"/>
      <c r="FK1475" s="6"/>
      <c r="FL1475" s="6"/>
      <c r="FM1475" s="6"/>
      <c r="FN1475" s="6"/>
      <c r="FO1475" s="6"/>
      <c r="FP1475" s="6"/>
      <c r="FQ1475" s="6"/>
      <c r="FR1475" s="6"/>
      <c r="FS1475" s="6"/>
      <c r="FT1475" s="6"/>
      <c r="FU1475" s="6"/>
      <c r="FV1475" s="6"/>
      <c r="FW1475" s="6"/>
      <c r="FX1475" s="6"/>
      <c r="FY1475" s="6"/>
      <c r="FZ1475" s="6"/>
      <c r="GA1475" s="6"/>
      <c r="GB1475" s="6"/>
      <c r="GC1475" s="6"/>
      <c r="GD1475" s="6"/>
      <c r="GE1475" s="6"/>
      <c r="GF1475" s="6"/>
      <c r="GG1475" s="6"/>
      <c r="GH1475" s="6"/>
      <c r="GI1475" s="6"/>
      <c r="GJ1475" s="6"/>
      <c r="GK1475" s="6"/>
      <c r="GL1475" s="6"/>
      <c r="GM1475" s="6"/>
      <c r="GN1475" s="6"/>
      <c r="GO1475" s="6"/>
      <c r="GP1475" s="6"/>
      <c r="GQ1475" s="6"/>
      <c r="GR1475" s="6"/>
      <c r="GS1475" s="6"/>
      <c r="GT1475" s="6"/>
      <c r="GU1475" s="6"/>
      <c r="GV1475" s="6"/>
      <c r="GW1475" s="6"/>
      <c r="GX1475" s="6"/>
      <c r="GY1475" s="6"/>
      <c r="GZ1475" s="6"/>
      <c r="HA1475" s="6"/>
      <c r="HB1475" s="6"/>
      <c r="HC1475" s="6"/>
      <c r="HD1475" s="6"/>
      <c r="HE1475" s="6"/>
      <c r="HF1475" s="6"/>
      <c r="HG1475" s="6"/>
      <c r="HH1475" s="6"/>
    </row>
    <row r="1476" spans="1:216" x14ac:dyDescent="0.3">
      <c r="A1476" s="8"/>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6"/>
      <c r="AR1476" s="6"/>
      <c r="AS1476" s="6"/>
      <c r="AT1476" s="6"/>
      <c r="AU1476" s="6"/>
      <c r="AV1476" s="6"/>
      <c r="AW1476" s="6"/>
      <c r="AX1476" s="6"/>
      <c r="AY1476" s="6"/>
      <c r="AZ1476" s="6"/>
      <c r="BA1476" s="6"/>
      <c r="BB1476" s="6"/>
      <c r="BC1476" s="6"/>
      <c r="BD1476" s="6"/>
      <c r="BE1476" s="6"/>
      <c r="BF1476" s="6"/>
      <c r="BG1476" s="6"/>
      <c r="BH1476" s="6"/>
      <c r="BI1476" s="6"/>
      <c r="BJ1476" s="6"/>
      <c r="BK1476" s="6"/>
      <c r="BL1476" s="6"/>
      <c r="BM1476" s="6"/>
      <c r="BN1476" s="6"/>
      <c r="BO1476" s="6"/>
      <c r="BP1476" s="6"/>
      <c r="BQ1476" s="6"/>
      <c r="BR1476" s="6"/>
      <c r="BS1476" s="6"/>
      <c r="BT1476" s="6"/>
      <c r="BU1476" s="6"/>
      <c r="BV1476" s="6"/>
      <c r="BW1476" s="6"/>
      <c r="BX1476" s="6"/>
      <c r="BY1476" s="6"/>
      <c r="BZ1476" s="6"/>
      <c r="CA1476" s="6"/>
      <c r="CB1476" s="6"/>
      <c r="CC1476" s="6"/>
      <c r="CD1476" s="6"/>
      <c r="CE1476" s="6"/>
      <c r="CF1476" s="6"/>
      <c r="CG1476" s="6"/>
      <c r="CH1476" s="6"/>
      <c r="CI1476" s="6"/>
      <c r="CJ1476" s="6"/>
      <c r="CK1476" s="6"/>
      <c r="CL1476" s="6"/>
      <c r="CM1476" s="6"/>
      <c r="CN1476" s="6"/>
      <c r="CO1476" s="6"/>
      <c r="CP1476" s="6"/>
      <c r="CQ1476" s="6"/>
      <c r="CR1476" s="6"/>
      <c r="CS1476" s="6"/>
      <c r="CT1476" s="6"/>
      <c r="CU1476" s="6"/>
      <c r="CV1476" s="6"/>
      <c r="CW1476" s="6"/>
      <c r="CX1476" s="6"/>
      <c r="CY1476" s="6"/>
      <c r="CZ1476" s="6"/>
      <c r="DA1476" s="6"/>
      <c r="DB1476" s="6"/>
      <c r="DC1476" s="6"/>
      <c r="DD1476" s="6"/>
      <c r="DE1476" s="6"/>
      <c r="DF1476" s="6"/>
      <c r="DG1476" s="6"/>
      <c r="DH1476" s="6"/>
      <c r="DI1476" s="6"/>
      <c r="DJ1476" s="6"/>
      <c r="DK1476" s="6"/>
      <c r="DL1476" s="6"/>
      <c r="DM1476" s="6"/>
      <c r="DN1476" s="6"/>
      <c r="DO1476" s="6"/>
      <c r="DP1476" s="6"/>
      <c r="DQ1476" s="6"/>
      <c r="DR1476" s="6"/>
      <c r="DS1476" s="6"/>
      <c r="DT1476" s="6"/>
      <c r="DU1476" s="6"/>
      <c r="DV1476" s="6"/>
      <c r="DW1476" s="6"/>
      <c r="DX1476" s="6"/>
      <c r="DY1476" s="6"/>
      <c r="DZ1476" s="6"/>
      <c r="EA1476" s="6"/>
      <c r="EB1476" s="6"/>
      <c r="EC1476" s="6"/>
      <c r="ED1476" s="6"/>
      <c r="EE1476" s="6"/>
      <c r="EF1476" s="6"/>
      <c r="EG1476" s="6"/>
      <c r="EH1476" s="6"/>
      <c r="EI1476" s="6"/>
      <c r="EJ1476" s="6"/>
      <c r="EK1476" s="6"/>
      <c r="EL1476" s="6"/>
      <c r="EM1476" s="6"/>
      <c r="EN1476" s="6"/>
      <c r="EO1476" s="6"/>
      <c r="EP1476" s="6"/>
      <c r="EQ1476" s="6"/>
      <c r="ER1476" s="6"/>
      <c r="ES1476" s="6"/>
      <c r="ET1476" s="6"/>
      <c r="EU1476" s="6"/>
      <c r="EV1476" s="6"/>
      <c r="EW1476" s="6"/>
      <c r="EX1476" s="6"/>
      <c r="EY1476" s="6"/>
      <c r="EZ1476" s="6"/>
      <c r="FA1476" s="6"/>
      <c r="FB1476" s="6"/>
      <c r="FC1476" s="6"/>
      <c r="FD1476" s="6"/>
      <c r="FE1476" s="6"/>
      <c r="FF1476" s="6"/>
      <c r="FG1476" s="6"/>
      <c r="FH1476" s="6"/>
      <c r="FI1476" s="6"/>
      <c r="FJ1476" s="6"/>
      <c r="FK1476" s="6"/>
      <c r="FL1476" s="6"/>
      <c r="FM1476" s="6"/>
      <c r="FN1476" s="6"/>
      <c r="FO1476" s="6"/>
      <c r="FP1476" s="6"/>
      <c r="FQ1476" s="6"/>
      <c r="FR1476" s="6"/>
      <c r="FS1476" s="6"/>
      <c r="FT1476" s="6"/>
      <c r="FU1476" s="6"/>
      <c r="FV1476" s="6"/>
      <c r="FW1476" s="6"/>
      <c r="FX1476" s="6"/>
      <c r="FY1476" s="6"/>
      <c r="FZ1476" s="6"/>
      <c r="GA1476" s="6"/>
      <c r="GB1476" s="6"/>
      <c r="GC1476" s="6"/>
      <c r="GD1476" s="6"/>
      <c r="GE1476" s="6"/>
      <c r="GF1476" s="6"/>
      <c r="GG1476" s="6"/>
      <c r="GH1476" s="6"/>
      <c r="GI1476" s="6"/>
      <c r="GJ1476" s="6"/>
      <c r="GK1476" s="6"/>
      <c r="GL1476" s="6"/>
      <c r="GM1476" s="6"/>
      <c r="GN1476" s="6"/>
      <c r="GO1476" s="6"/>
      <c r="GP1476" s="6"/>
      <c r="GQ1476" s="6"/>
      <c r="GR1476" s="6"/>
      <c r="GS1476" s="6"/>
      <c r="GT1476" s="6"/>
      <c r="GU1476" s="6"/>
      <c r="GV1476" s="6"/>
      <c r="GW1476" s="6"/>
      <c r="GX1476" s="6"/>
      <c r="GY1476" s="6"/>
      <c r="GZ1476" s="6"/>
      <c r="HA1476" s="6"/>
      <c r="HB1476" s="6"/>
      <c r="HC1476" s="6"/>
      <c r="HD1476" s="6"/>
      <c r="HE1476" s="6"/>
      <c r="HF1476" s="6"/>
      <c r="HG1476" s="6"/>
      <c r="HH1476" s="6"/>
    </row>
    <row r="1477" spans="1:216" x14ac:dyDescent="0.3">
      <c r="A1477" s="8"/>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6"/>
      <c r="AR1477" s="6"/>
      <c r="AS1477" s="6"/>
      <c r="AT1477" s="6"/>
      <c r="AU1477" s="6"/>
      <c r="AV1477" s="6"/>
      <c r="AW1477" s="6"/>
      <c r="AX1477" s="6"/>
      <c r="AY1477" s="6"/>
      <c r="AZ1477" s="6"/>
      <c r="BA1477" s="6"/>
      <c r="BB1477" s="6"/>
      <c r="BC1477" s="6"/>
      <c r="BD1477" s="6"/>
      <c r="BE1477" s="6"/>
      <c r="BF1477" s="6"/>
      <c r="BG1477" s="6"/>
      <c r="BH1477" s="6"/>
      <c r="BI1477" s="6"/>
      <c r="BJ1477" s="6"/>
      <c r="BK1477" s="6"/>
      <c r="BL1477" s="6"/>
      <c r="BM1477" s="6"/>
      <c r="BN1477" s="6"/>
      <c r="BO1477" s="6"/>
      <c r="BP1477" s="6"/>
      <c r="BQ1477" s="6"/>
      <c r="BR1477" s="6"/>
      <c r="BS1477" s="6"/>
      <c r="BT1477" s="6"/>
      <c r="BU1477" s="6"/>
      <c r="BV1477" s="6"/>
      <c r="BW1477" s="6"/>
      <c r="BX1477" s="6"/>
      <c r="BY1477" s="6"/>
      <c r="BZ1477" s="6"/>
      <c r="CA1477" s="6"/>
      <c r="CB1477" s="6"/>
      <c r="CC1477" s="6"/>
      <c r="CD1477" s="6"/>
      <c r="CE1477" s="6"/>
      <c r="CF1477" s="6"/>
      <c r="CG1477" s="6"/>
      <c r="CH1477" s="6"/>
      <c r="CI1477" s="6"/>
      <c r="CJ1477" s="6"/>
      <c r="CK1477" s="6"/>
      <c r="CL1477" s="6"/>
      <c r="CM1477" s="6"/>
      <c r="CN1477" s="6"/>
      <c r="CO1477" s="6"/>
      <c r="CP1477" s="6"/>
      <c r="CQ1477" s="6"/>
      <c r="CR1477" s="6"/>
      <c r="CS1477" s="6"/>
      <c r="CT1477" s="6"/>
      <c r="CU1477" s="6"/>
      <c r="CV1477" s="6"/>
      <c r="CW1477" s="6"/>
      <c r="CX1477" s="6"/>
      <c r="CY1477" s="6"/>
      <c r="CZ1477" s="6"/>
      <c r="DA1477" s="6"/>
      <c r="DB1477" s="6"/>
      <c r="DC1477" s="6"/>
      <c r="DD1477" s="6"/>
      <c r="DE1477" s="6"/>
      <c r="DF1477" s="6"/>
      <c r="DG1477" s="6"/>
      <c r="DH1477" s="6"/>
      <c r="DI1477" s="6"/>
      <c r="DJ1477" s="6"/>
      <c r="DK1477" s="6"/>
      <c r="DL1477" s="6"/>
      <c r="DM1477" s="6"/>
      <c r="DN1477" s="6"/>
      <c r="DO1477" s="6"/>
      <c r="DP1477" s="6"/>
      <c r="DQ1477" s="6"/>
      <c r="DR1477" s="6"/>
      <c r="DS1477" s="6"/>
      <c r="DT1477" s="6"/>
      <c r="DU1477" s="6"/>
      <c r="DV1477" s="6"/>
      <c r="DW1477" s="6"/>
      <c r="DX1477" s="6"/>
      <c r="DY1477" s="6"/>
      <c r="DZ1477" s="6"/>
      <c r="EA1477" s="6"/>
      <c r="EB1477" s="6"/>
      <c r="EC1477" s="6"/>
      <c r="ED1477" s="6"/>
      <c r="EE1477" s="6"/>
      <c r="EF1477" s="6"/>
      <c r="EG1477" s="6"/>
      <c r="EH1477" s="6"/>
      <c r="EI1477" s="6"/>
      <c r="EJ1477" s="6"/>
      <c r="EK1477" s="6"/>
      <c r="EL1477" s="6"/>
      <c r="EM1477" s="6"/>
      <c r="EN1477" s="6"/>
      <c r="EO1477" s="6"/>
      <c r="EP1477" s="6"/>
      <c r="EQ1477" s="6"/>
      <c r="ER1477" s="6"/>
      <c r="ES1477" s="6"/>
      <c r="ET1477" s="6"/>
      <c r="EU1477" s="6"/>
      <c r="EV1477" s="6"/>
      <c r="EW1477" s="6"/>
      <c r="EX1477" s="6"/>
      <c r="EY1477" s="6"/>
      <c r="EZ1477" s="6"/>
      <c r="FA1477" s="6"/>
      <c r="FB1477" s="6"/>
      <c r="FC1477" s="6"/>
      <c r="FD1477" s="6"/>
      <c r="FE1477" s="6"/>
      <c r="FF1477" s="6"/>
      <c r="FG1477" s="6"/>
      <c r="FH1477" s="6"/>
      <c r="FI1477" s="6"/>
      <c r="FJ1477" s="6"/>
      <c r="FK1477" s="6"/>
      <c r="FL1477" s="6"/>
      <c r="FM1477" s="6"/>
      <c r="FN1477" s="6"/>
      <c r="FO1477" s="6"/>
      <c r="FP1477" s="6"/>
      <c r="FQ1477" s="6"/>
      <c r="FR1477" s="6"/>
      <c r="FS1477" s="6"/>
      <c r="FT1477" s="6"/>
      <c r="FU1477" s="6"/>
      <c r="FV1477" s="6"/>
      <c r="FW1477" s="6"/>
      <c r="FX1477" s="6"/>
      <c r="FY1477" s="6"/>
      <c r="FZ1477" s="6"/>
      <c r="GA1477" s="6"/>
      <c r="GB1477" s="6"/>
      <c r="GC1477" s="6"/>
      <c r="GD1477" s="6"/>
      <c r="GE1477" s="6"/>
      <c r="GF1477" s="6"/>
      <c r="GG1477" s="6"/>
      <c r="GH1477" s="6"/>
      <c r="GI1477" s="6"/>
      <c r="GJ1477" s="6"/>
      <c r="GK1477" s="6"/>
      <c r="GL1477" s="6"/>
      <c r="GM1477" s="6"/>
      <c r="GN1477" s="6"/>
      <c r="GO1477" s="6"/>
      <c r="GP1477" s="6"/>
      <c r="GQ1477" s="6"/>
      <c r="GR1477" s="6"/>
      <c r="GS1477" s="6"/>
      <c r="GT1477" s="6"/>
      <c r="GU1477" s="6"/>
      <c r="GV1477" s="6"/>
      <c r="GW1477" s="6"/>
      <c r="GX1477" s="6"/>
      <c r="GY1477" s="6"/>
      <c r="GZ1477" s="6"/>
      <c r="HA1477" s="6"/>
      <c r="HB1477" s="6"/>
      <c r="HC1477" s="6"/>
      <c r="HD1477" s="6"/>
      <c r="HE1477" s="6"/>
      <c r="HF1477" s="6"/>
      <c r="HG1477" s="6"/>
      <c r="HH1477" s="6"/>
    </row>
    <row r="1478" spans="1:216" x14ac:dyDescent="0.3">
      <c r="A1478" s="8"/>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6"/>
      <c r="AR1478" s="6"/>
      <c r="AS1478" s="6"/>
      <c r="AT1478" s="6"/>
      <c r="AU1478" s="6"/>
      <c r="AV1478" s="6"/>
      <c r="AW1478" s="6"/>
      <c r="AX1478" s="6"/>
      <c r="AY1478" s="6"/>
      <c r="AZ1478" s="6"/>
      <c r="BA1478" s="6"/>
      <c r="BB1478" s="6"/>
      <c r="BC1478" s="6"/>
      <c r="BD1478" s="6"/>
      <c r="BE1478" s="6"/>
      <c r="BF1478" s="6"/>
      <c r="BG1478" s="6"/>
      <c r="BH1478" s="6"/>
      <c r="BI1478" s="6"/>
      <c r="BJ1478" s="6"/>
      <c r="BK1478" s="6"/>
      <c r="BL1478" s="6"/>
      <c r="BM1478" s="6"/>
      <c r="BN1478" s="6"/>
      <c r="BO1478" s="6"/>
      <c r="BP1478" s="6"/>
      <c r="BQ1478" s="6"/>
      <c r="BR1478" s="6"/>
      <c r="BS1478" s="6"/>
      <c r="BT1478" s="6"/>
      <c r="BU1478" s="6"/>
      <c r="BV1478" s="6"/>
      <c r="BW1478" s="6"/>
      <c r="BX1478" s="6"/>
      <c r="BY1478" s="6"/>
      <c r="BZ1478" s="6"/>
      <c r="CA1478" s="6"/>
      <c r="CB1478" s="6"/>
      <c r="CC1478" s="6"/>
      <c r="CD1478" s="6"/>
      <c r="CE1478" s="6"/>
      <c r="CF1478" s="6"/>
      <c r="CG1478" s="6"/>
      <c r="CH1478" s="6"/>
      <c r="CI1478" s="6"/>
      <c r="CJ1478" s="6"/>
      <c r="CK1478" s="6"/>
      <c r="CL1478" s="6"/>
      <c r="CM1478" s="6"/>
      <c r="CN1478" s="6"/>
      <c r="CO1478" s="6"/>
      <c r="CP1478" s="6"/>
      <c r="CQ1478" s="6"/>
      <c r="CR1478" s="6"/>
      <c r="CS1478" s="6"/>
      <c r="CT1478" s="6"/>
      <c r="CU1478" s="6"/>
      <c r="CV1478" s="6"/>
      <c r="CW1478" s="6"/>
      <c r="CX1478" s="6"/>
      <c r="CY1478" s="6"/>
      <c r="CZ1478" s="6"/>
      <c r="DA1478" s="6"/>
      <c r="DB1478" s="6"/>
      <c r="DC1478" s="6"/>
      <c r="DD1478" s="6"/>
      <c r="DE1478" s="6"/>
      <c r="DF1478" s="6"/>
      <c r="DG1478" s="6"/>
      <c r="DH1478" s="6"/>
      <c r="DI1478" s="6"/>
      <c r="DJ1478" s="6"/>
      <c r="DK1478" s="6"/>
      <c r="DL1478" s="6"/>
      <c r="DM1478" s="6"/>
      <c r="DN1478" s="6"/>
      <c r="DO1478" s="6"/>
      <c r="DP1478" s="6"/>
      <c r="DQ1478" s="6"/>
      <c r="DR1478" s="6"/>
      <c r="DS1478" s="6"/>
      <c r="DT1478" s="6"/>
      <c r="DU1478" s="6"/>
      <c r="DV1478" s="6"/>
      <c r="DW1478" s="6"/>
      <c r="DX1478" s="6"/>
      <c r="DY1478" s="6"/>
      <c r="DZ1478" s="6"/>
      <c r="EA1478" s="6"/>
      <c r="EB1478" s="6"/>
      <c r="EC1478" s="6"/>
      <c r="ED1478" s="6"/>
      <c r="EE1478" s="6"/>
      <c r="EF1478" s="6"/>
      <c r="EG1478" s="6"/>
      <c r="EH1478" s="6"/>
      <c r="EI1478" s="6"/>
      <c r="EJ1478" s="6"/>
      <c r="EK1478" s="6"/>
      <c r="EL1478" s="6"/>
      <c r="EM1478" s="6"/>
      <c r="EN1478" s="6"/>
      <c r="EO1478" s="6"/>
      <c r="EP1478" s="6"/>
      <c r="EQ1478" s="6"/>
      <c r="ER1478" s="6"/>
      <c r="ES1478" s="6"/>
      <c r="ET1478" s="6"/>
      <c r="EU1478" s="6"/>
      <c r="EV1478" s="6"/>
      <c r="EW1478" s="6"/>
      <c r="EX1478" s="6"/>
      <c r="EY1478" s="6"/>
      <c r="EZ1478" s="6"/>
      <c r="FA1478" s="6"/>
      <c r="FB1478" s="6"/>
      <c r="FC1478" s="6"/>
      <c r="FD1478" s="6"/>
      <c r="FE1478" s="6"/>
      <c r="FF1478" s="6"/>
      <c r="FG1478" s="6"/>
      <c r="FH1478" s="6"/>
      <c r="FI1478" s="6"/>
      <c r="FJ1478" s="6"/>
      <c r="FK1478" s="6"/>
      <c r="FL1478" s="6"/>
      <c r="FM1478" s="6"/>
      <c r="FN1478" s="6"/>
      <c r="FO1478" s="6"/>
      <c r="FP1478" s="6"/>
      <c r="FQ1478" s="6"/>
      <c r="FR1478" s="6"/>
      <c r="FS1478" s="6"/>
      <c r="FT1478" s="6"/>
      <c r="FU1478" s="6"/>
      <c r="FV1478" s="6"/>
      <c r="FW1478" s="6"/>
      <c r="FX1478" s="6"/>
      <c r="FY1478" s="6"/>
      <c r="FZ1478" s="6"/>
      <c r="GA1478" s="6"/>
      <c r="GB1478" s="6"/>
      <c r="GC1478" s="6"/>
      <c r="GD1478" s="6"/>
      <c r="GE1478" s="6"/>
      <c r="GF1478" s="6"/>
      <c r="GG1478" s="6"/>
      <c r="GH1478" s="6"/>
      <c r="GI1478" s="6"/>
      <c r="GJ1478" s="6"/>
      <c r="GK1478" s="6"/>
      <c r="GL1478" s="6"/>
      <c r="GM1478" s="6"/>
      <c r="GN1478" s="6"/>
      <c r="GO1478" s="6"/>
      <c r="GP1478" s="6"/>
      <c r="GQ1478" s="6"/>
      <c r="GR1478" s="6"/>
      <c r="GS1478" s="6"/>
      <c r="GT1478" s="6"/>
      <c r="GU1478" s="6"/>
      <c r="GV1478" s="6"/>
      <c r="GW1478" s="6"/>
      <c r="GX1478" s="6"/>
      <c r="GY1478" s="6"/>
      <c r="GZ1478" s="6"/>
      <c r="HA1478" s="6"/>
      <c r="HB1478" s="6"/>
      <c r="HC1478" s="6"/>
      <c r="HD1478" s="6"/>
      <c r="HE1478" s="6"/>
      <c r="HF1478" s="6"/>
      <c r="HG1478" s="6"/>
      <c r="HH1478" s="6"/>
    </row>
    <row r="1479" spans="1:216" x14ac:dyDescent="0.3">
      <c r="A1479" s="8"/>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6"/>
      <c r="AR1479" s="6"/>
      <c r="AS1479" s="6"/>
      <c r="AT1479" s="6"/>
      <c r="AU1479" s="6"/>
      <c r="AV1479" s="6"/>
      <c r="AW1479" s="6"/>
      <c r="AX1479" s="6"/>
      <c r="AY1479" s="6"/>
      <c r="AZ1479" s="6"/>
      <c r="BA1479" s="6"/>
      <c r="BB1479" s="6"/>
      <c r="BC1479" s="6"/>
      <c r="BD1479" s="6"/>
      <c r="BE1479" s="6"/>
      <c r="BF1479" s="6"/>
      <c r="BG1479" s="6"/>
      <c r="BH1479" s="6"/>
      <c r="BI1479" s="6"/>
      <c r="BJ1479" s="6"/>
      <c r="BK1479" s="6"/>
      <c r="BL1479" s="6"/>
      <c r="BM1479" s="6"/>
      <c r="BN1479" s="6"/>
      <c r="BO1479" s="6"/>
      <c r="BP1479" s="6"/>
      <c r="BQ1479" s="6"/>
      <c r="BR1479" s="6"/>
      <c r="BS1479" s="6"/>
      <c r="BT1479" s="6"/>
      <c r="BU1479" s="6"/>
      <c r="BV1479" s="6"/>
      <c r="BW1479" s="6"/>
      <c r="BX1479" s="6"/>
      <c r="BY1479" s="6"/>
      <c r="BZ1479" s="6"/>
      <c r="CA1479" s="6"/>
      <c r="CB1479" s="6"/>
      <c r="CC1479" s="6"/>
      <c r="CD1479" s="6"/>
      <c r="CE1479" s="6"/>
      <c r="CF1479" s="6"/>
      <c r="CG1479" s="6"/>
      <c r="CH1479" s="6"/>
      <c r="CI1479" s="6"/>
      <c r="CJ1479" s="6"/>
      <c r="CK1479" s="6"/>
      <c r="CL1479" s="6"/>
      <c r="CM1479" s="6"/>
      <c r="CN1479" s="6"/>
      <c r="CO1479" s="6"/>
      <c r="CP1479" s="6"/>
      <c r="CQ1479" s="6"/>
      <c r="CR1479" s="6"/>
      <c r="CS1479" s="6"/>
      <c r="CT1479" s="6"/>
      <c r="CU1479" s="6"/>
      <c r="CV1479" s="6"/>
      <c r="CW1479" s="6"/>
      <c r="CX1479" s="6"/>
      <c r="CY1479" s="6"/>
      <c r="CZ1479" s="6"/>
      <c r="DA1479" s="6"/>
      <c r="DB1479" s="6"/>
      <c r="DC1479" s="6"/>
      <c r="DD1479" s="6"/>
      <c r="DE1479" s="6"/>
      <c r="DF1479" s="6"/>
      <c r="DG1479" s="6"/>
      <c r="DH1479" s="6"/>
      <c r="DI1479" s="6"/>
      <c r="DJ1479" s="6"/>
      <c r="DK1479" s="6"/>
      <c r="DL1479" s="6"/>
      <c r="DM1479" s="6"/>
      <c r="DN1479" s="6"/>
      <c r="DO1479" s="6"/>
      <c r="DP1479" s="6"/>
      <c r="DQ1479" s="6"/>
      <c r="DR1479" s="6"/>
      <c r="DS1479" s="6"/>
      <c r="DT1479" s="6"/>
      <c r="DU1479" s="6"/>
      <c r="DV1479" s="6"/>
      <c r="DW1479" s="6"/>
      <c r="DX1479" s="6"/>
      <c r="DY1479" s="6"/>
      <c r="DZ1479" s="6"/>
      <c r="EA1479" s="6"/>
      <c r="EB1479" s="6"/>
      <c r="EC1479" s="6"/>
      <c r="ED1479" s="6"/>
      <c r="EE1479" s="6"/>
      <c r="EF1479" s="6"/>
      <c r="EG1479" s="6"/>
      <c r="EH1479" s="6"/>
      <c r="EI1479" s="6"/>
      <c r="EJ1479" s="6"/>
      <c r="EK1479" s="6"/>
      <c r="EL1479" s="6"/>
      <c r="EM1479" s="6"/>
      <c r="EN1479" s="6"/>
      <c r="EO1479" s="6"/>
      <c r="EP1479" s="6"/>
      <c r="EQ1479" s="6"/>
      <c r="ER1479" s="6"/>
      <c r="ES1479" s="6"/>
      <c r="ET1479" s="6"/>
      <c r="EU1479" s="6"/>
      <c r="EV1479" s="6"/>
      <c r="EW1479" s="6"/>
      <c r="EX1479" s="6"/>
      <c r="EY1479" s="6"/>
      <c r="EZ1479" s="6"/>
      <c r="FA1479" s="6"/>
      <c r="FB1479" s="6"/>
      <c r="FC1479" s="6"/>
      <c r="FD1479" s="6"/>
      <c r="FE1479" s="6"/>
      <c r="FF1479" s="6"/>
      <c r="FG1479" s="6"/>
      <c r="FH1479" s="6"/>
      <c r="FI1479" s="6"/>
      <c r="FJ1479" s="6"/>
      <c r="FK1479" s="6"/>
      <c r="FL1479" s="6"/>
      <c r="FM1479" s="6"/>
      <c r="FN1479" s="6"/>
      <c r="FO1479" s="6"/>
      <c r="FP1479" s="6"/>
      <c r="FQ1479" s="6"/>
      <c r="FR1479" s="6"/>
      <c r="FS1479" s="6"/>
      <c r="FT1479" s="6"/>
      <c r="FU1479" s="6"/>
      <c r="FV1479" s="6"/>
      <c r="FW1479" s="6"/>
      <c r="FX1479" s="6"/>
      <c r="FY1479" s="6"/>
      <c r="FZ1479" s="6"/>
      <c r="GA1479" s="6"/>
      <c r="GB1479" s="6"/>
      <c r="GC1479" s="6"/>
      <c r="GD1479" s="6"/>
      <c r="GE1479" s="6"/>
      <c r="GF1479" s="6"/>
      <c r="GG1479" s="6"/>
      <c r="GH1479" s="6"/>
      <c r="GI1479" s="6"/>
      <c r="GJ1479" s="6"/>
      <c r="GK1479" s="6"/>
      <c r="GL1479" s="6"/>
      <c r="GM1479" s="6"/>
      <c r="GN1479" s="6"/>
      <c r="GO1479" s="6"/>
      <c r="GP1479" s="6"/>
      <c r="GQ1479" s="6"/>
      <c r="GR1479" s="6"/>
      <c r="GS1479" s="6"/>
      <c r="GT1479" s="6"/>
      <c r="GU1479" s="6"/>
      <c r="GV1479" s="6"/>
      <c r="GW1479" s="6"/>
      <c r="GX1479" s="6"/>
      <c r="GY1479" s="6"/>
      <c r="GZ1479" s="6"/>
      <c r="HA1479" s="6"/>
      <c r="HB1479" s="6"/>
      <c r="HC1479" s="6"/>
      <c r="HD1479" s="6"/>
      <c r="HE1479" s="6"/>
      <c r="HF1479" s="6"/>
      <c r="HG1479" s="6"/>
      <c r="HH1479" s="6"/>
    </row>
    <row r="1480" spans="1:216" x14ac:dyDescent="0.3">
      <c r="A1480" s="8"/>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6"/>
      <c r="AR1480" s="6"/>
      <c r="AS1480" s="6"/>
      <c r="AT1480" s="6"/>
      <c r="AU1480" s="6"/>
      <c r="AV1480" s="6"/>
      <c r="AW1480" s="6"/>
      <c r="AX1480" s="6"/>
      <c r="AY1480" s="6"/>
      <c r="AZ1480" s="6"/>
      <c r="BA1480" s="6"/>
      <c r="BB1480" s="6"/>
      <c r="BC1480" s="6"/>
      <c r="BD1480" s="6"/>
      <c r="BE1480" s="6"/>
      <c r="BF1480" s="6"/>
      <c r="BG1480" s="6"/>
      <c r="BH1480" s="6"/>
      <c r="BI1480" s="6"/>
      <c r="BJ1480" s="6"/>
      <c r="BK1480" s="6"/>
      <c r="BL1480" s="6"/>
      <c r="BM1480" s="6"/>
      <c r="BN1480" s="6"/>
      <c r="BO1480" s="6"/>
      <c r="BP1480" s="6"/>
      <c r="BQ1480" s="6"/>
      <c r="BR1480" s="6"/>
      <c r="BS1480" s="6"/>
      <c r="BT1480" s="6"/>
      <c r="BU1480" s="6"/>
      <c r="BV1480" s="6"/>
      <c r="BW1480" s="6"/>
      <c r="BX1480" s="6"/>
      <c r="BY1480" s="6"/>
      <c r="BZ1480" s="6"/>
      <c r="CA1480" s="6"/>
      <c r="CB1480" s="6"/>
      <c r="CC1480" s="6"/>
      <c r="CD1480" s="6"/>
      <c r="CE1480" s="6"/>
      <c r="CF1480" s="6"/>
      <c r="CG1480" s="6"/>
      <c r="CH1480" s="6"/>
      <c r="CI1480" s="6"/>
      <c r="CJ1480" s="6"/>
      <c r="CK1480" s="6"/>
      <c r="CL1480" s="6"/>
      <c r="CM1480" s="6"/>
      <c r="CN1480" s="6"/>
      <c r="CO1480" s="6"/>
      <c r="CP1480" s="6"/>
      <c r="CQ1480" s="6"/>
      <c r="CR1480" s="6"/>
      <c r="CS1480" s="6"/>
      <c r="CT1480" s="6"/>
      <c r="CU1480" s="6"/>
      <c r="CV1480" s="6"/>
      <c r="CW1480" s="6"/>
      <c r="CX1480" s="6"/>
      <c r="CY1480" s="6"/>
      <c r="CZ1480" s="6"/>
      <c r="DA1480" s="6"/>
      <c r="DB1480" s="6"/>
      <c r="DC1480" s="6"/>
      <c r="DD1480" s="6"/>
      <c r="DE1480" s="6"/>
      <c r="DF1480" s="6"/>
      <c r="DG1480" s="6"/>
      <c r="DH1480" s="6"/>
      <c r="DI1480" s="6"/>
      <c r="DJ1480" s="6"/>
      <c r="DK1480" s="6"/>
      <c r="DL1480" s="6"/>
      <c r="DM1480" s="6"/>
      <c r="DN1480" s="6"/>
      <c r="DO1480" s="6"/>
      <c r="DP1480" s="6"/>
      <c r="DQ1480" s="6"/>
      <c r="DR1480" s="6"/>
      <c r="DS1480" s="6"/>
      <c r="DT1480" s="6"/>
      <c r="DU1480" s="6"/>
      <c r="DV1480" s="6"/>
      <c r="DW1480" s="6"/>
      <c r="DX1480" s="6"/>
      <c r="DY1480" s="6"/>
      <c r="DZ1480" s="6"/>
      <c r="EA1480" s="6"/>
      <c r="EB1480" s="6"/>
      <c r="EC1480" s="6"/>
      <c r="ED1480" s="6"/>
      <c r="EE1480" s="6"/>
      <c r="EF1480" s="6"/>
      <c r="EG1480" s="6"/>
      <c r="EH1480" s="6"/>
      <c r="EI1480" s="6"/>
      <c r="EJ1480" s="6"/>
      <c r="EK1480" s="6"/>
      <c r="EL1480" s="6"/>
      <c r="EM1480" s="6"/>
      <c r="EN1480" s="6"/>
      <c r="EO1480" s="6"/>
      <c r="EP1480" s="6"/>
      <c r="EQ1480" s="6"/>
      <c r="ER1480" s="6"/>
      <c r="ES1480" s="6"/>
      <c r="ET1480" s="6"/>
      <c r="EU1480" s="6"/>
      <c r="EV1480" s="6"/>
      <c r="EW1480" s="6"/>
      <c r="EX1480" s="6"/>
      <c r="EY1480" s="6"/>
      <c r="EZ1480" s="6"/>
      <c r="FA1480" s="6"/>
      <c r="FB1480" s="6"/>
      <c r="FC1480" s="6"/>
      <c r="FD1480" s="6"/>
      <c r="FE1480" s="6"/>
      <c r="FF1480" s="6"/>
      <c r="FG1480" s="6"/>
      <c r="FH1480" s="6"/>
      <c r="FI1480" s="6"/>
      <c r="FJ1480" s="6"/>
      <c r="FK1480" s="6"/>
      <c r="FL1480" s="6"/>
      <c r="FM1480" s="6"/>
      <c r="FN1480" s="6"/>
      <c r="FO1480" s="6"/>
      <c r="FP1480" s="6"/>
      <c r="FQ1480" s="6"/>
      <c r="FR1480" s="6"/>
      <c r="FS1480" s="6"/>
      <c r="FT1480" s="6"/>
      <c r="FU1480" s="6"/>
      <c r="FV1480" s="6"/>
      <c r="FW1480" s="6"/>
      <c r="FX1480" s="6"/>
      <c r="FY1480" s="6"/>
      <c r="FZ1480" s="6"/>
      <c r="GA1480" s="6"/>
      <c r="GB1480" s="6"/>
      <c r="GC1480" s="6"/>
      <c r="GD1480" s="6"/>
      <c r="GE1480" s="6"/>
      <c r="GF1480" s="6"/>
      <c r="GG1480" s="6"/>
      <c r="GH1480" s="6"/>
      <c r="GI1480" s="6"/>
      <c r="GJ1480" s="6"/>
      <c r="GK1480" s="6"/>
      <c r="GL1480" s="6"/>
      <c r="GM1480" s="6"/>
      <c r="GN1480" s="6"/>
      <c r="GO1480" s="6"/>
      <c r="GP1480" s="6"/>
      <c r="GQ1480" s="6"/>
      <c r="GR1480" s="6"/>
      <c r="GS1480" s="6"/>
      <c r="GT1480" s="6"/>
      <c r="GU1480" s="6"/>
      <c r="GV1480" s="6"/>
      <c r="GW1480" s="6"/>
      <c r="GX1480" s="6"/>
      <c r="GY1480" s="6"/>
      <c r="GZ1480" s="6"/>
      <c r="HA1480" s="6"/>
      <c r="HB1480" s="6"/>
      <c r="HC1480" s="6"/>
      <c r="HD1480" s="6"/>
      <c r="HE1480" s="6"/>
      <c r="HF1480" s="6"/>
      <c r="HG1480" s="6"/>
      <c r="HH1480" s="6"/>
    </row>
    <row r="1481" spans="1:216" x14ac:dyDescent="0.3">
      <c r="A1481" s="8"/>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6"/>
      <c r="AR1481" s="6"/>
      <c r="AS1481" s="6"/>
      <c r="AT1481" s="6"/>
      <c r="AU1481" s="6"/>
      <c r="AV1481" s="6"/>
      <c r="AW1481" s="6"/>
      <c r="AX1481" s="6"/>
      <c r="AY1481" s="6"/>
      <c r="AZ1481" s="6"/>
      <c r="BA1481" s="6"/>
      <c r="BB1481" s="6"/>
      <c r="BC1481" s="6"/>
      <c r="BD1481" s="6"/>
      <c r="BE1481" s="6"/>
      <c r="BF1481" s="6"/>
      <c r="BG1481" s="6"/>
      <c r="BH1481" s="6"/>
      <c r="BI1481" s="6"/>
      <c r="BJ1481" s="6"/>
      <c r="BK1481" s="6"/>
      <c r="BL1481" s="6"/>
      <c r="BM1481" s="6"/>
      <c r="BN1481" s="6"/>
      <c r="BO1481" s="6"/>
      <c r="BP1481" s="6"/>
      <c r="BQ1481" s="6"/>
      <c r="BR1481" s="6"/>
      <c r="BS1481" s="6"/>
      <c r="BT1481" s="6"/>
      <c r="BU1481" s="6"/>
      <c r="BV1481" s="6"/>
      <c r="BW1481" s="6"/>
      <c r="BX1481" s="6"/>
      <c r="BY1481" s="6"/>
      <c r="BZ1481" s="6"/>
      <c r="CA1481" s="6"/>
      <c r="CB1481" s="6"/>
      <c r="CC1481" s="6"/>
      <c r="CD1481" s="6"/>
      <c r="CE1481" s="6"/>
      <c r="CF1481" s="6"/>
      <c r="CG1481" s="6"/>
      <c r="CH1481" s="6"/>
      <c r="CI1481" s="6"/>
      <c r="CJ1481" s="6"/>
      <c r="CK1481" s="6"/>
      <c r="CL1481" s="6"/>
      <c r="CM1481" s="6"/>
      <c r="CN1481" s="6"/>
      <c r="CO1481" s="6"/>
      <c r="CP1481" s="6"/>
      <c r="CQ1481" s="6"/>
      <c r="CR1481" s="6"/>
      <c r="CS1481" s="6"/>
      <c r="CT1481" s="6"/>
      <c r="CU1481" s="6"/>
      <c r="CV1481" s="6"/>
      <c r="CW1481" s="6"/>
      <c r="CX1481" s="6"/>
      <c r="CY1481" s="6"/>
      <c r="CZ1481" s="6"/>
      <c r="DA1481" s="6"/>
      <c r="DB1481" s="6"/>
      <c r="DC1481" s="6"/>
      <c r="DD1481" s="6"/>
      <c r="DE1481" s="6"/>
      <c r="DF1481" s="6"/>
      <c r="DG1481" s="6"/>
      <c r="DH1481" s="6"/>
      <c r="DI1481" s="6"/>
      <c r="DJ1481" s="6"/>
      <c r="DK1481" s="6"/>
      <c r="DL1481" s="6"/>
      <c r="DM1481" s="6"/>
      <c r="DN1481" s="6"/>
      <c r="DO1481" s="6"/>
      <c r="DP1481" s="6"/>
      <c r="DQ1481" s="6"/>
      <c r="DR1481" s="6"/>
      <c r="DS1481" s="6"/>
      <c r="DT1481" s="6"/>
      <c r="DU1481" s="6"/>
      <c r="DV1481" s="6"/>
      <c r="DW1481" s="6"/>
      <c r="DX1481" s="6"/>
      <c r="DY1481" s="6"/>
      <c r="DZ1481" s="6"/>
      <c r="EA1481" s="6"/>
      <c r="EB1481" s="6"/>
      <c r="EC1481" s="6"/>
      <c r="ED1481" s="6"/>
      <c r="EE1481" s="6"/>
      <c r="EF1481" s="6"/>
      <c r="EG1481" s="6"/>
      <c r="EH1481" s="6"/>
      <c r="EI1481" s="6"/>
      <c r="EJ1481" s="6"/>
      <c r="EK1481" s="6"/>
      <c r="EL1481" s="6"/>
      <c r="EM1481" s="6"/>
      <c r="EN1481" s="6"/>
      <c r="EO1481" s="6"/>
      <c r="EP1481" s="6"/>
      <c r="EQ1481" s="6"/>
      <c r="ER1481" s="6"/>
      <c r="ES1481" s="6"/>
      <c r="ET1481" s="6"/>
      <c r="EU1481" s="6"/>
      <c r="EV1481" s="6"/>
      <c r="EW1481" s="6"/>
      <c r="EX1481" s="6"/>
      <c r="EY1481" s="6"/>
      <c r="EZ1481" s="6"/>
      <c r="FA1481" s="6"/>
      <c r="FB1481" s="6"/>
      <c r="FC1481" s="6"/>
      <c r="FD1481" s="6"/>
      <c r="FE1481" s="6"/>
      <c r="FF1481" s="6"/>
      <c r="FG1481" s="6"/>
      <c r="FH1481" s="6"/>
      <c r="FI1481" s="6"/>
      <c r="FJ1481" s="6"/>
      <c r="FK1481" s="6"/>
      <c r="FL1481" s="6"/>
      <c r="FM1481" s="6"/>
      <c r="FN1481" s="6"/>
      <c r="FO1481" s="6"/>
      <c r="FP1481" s="6"/>
      <c r="FQ1481" s="6"/>
      <c r="FR1481" s="6"/>
      <c r="FS1481" s="6"/>
      <c r="FT1481" s="6"/>
      <c r="FU1481" s="6"/>
      <c r="FV1481" s="6"/>
      <c r="FW1481" s="6"/>
      <c r="FX1481" s="6"/>
      <c r="FY1481" s="6"/>
      <c r="FZ1481" s="6"/>
      <c r="GA1481" s="6"/>
      <c r="GB1481" s="6"/>
      <c r="GC1481" s="6"/>
      <c r="GD1481" s="6"/>
      <c r="GE1481" s="6"/>
      <c r="GF1481" s="6"/>
      <c r="GG1481" s="6"/>
      <c r="GH1481" s="6"/>
      <c r="GI1481" s="6"/>
      <c r="GJ1481" s="6"/>
      <c r="GK1481" s="6"/>
      <c r="GL1481" s="6"/>
      <c r="GM1481" s="6"/>
      <c r="GN1481" s="6"/>
      <c r="GO1481" s="6"/>
      <c r="GP1481" s="6"/>
      <c r="GQ1481" s="6"/>
      <c r="GR1481" s="6"/>
      <c r="GS1481" s="6"/>
      <c r="GT1481" s="6"/>
      <c r="GU1481" s="6"/>
      <c r="GV1481" s="6"/>
      <c r="GW1481" s="6"/>
      <c r="GX1481" s="6"/>
      <c r="GY1481" s="6"/>
      <c r="GZ1481" s="6"/>
      <c r="HA1481" s="6"/>
      <c r="HB1481" s="6"/>
      <c r="HC1481" s="6"/>
      <c r="HD1481" s="6"/>
      <c r="HE1481" s="6"/>
      <c r="HF1481" s="6"/>
      <c r="HG1481" s="6"/>
      <c r="HH1481" s="6"/>
    </row>
    <row r="1482" spans="1:216" x14ac:dyDescent="0.3">
      <c r="A1482" s="8"/>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6"/>
      <c r="AR1482" s="6"/>
      <c r="AS1482" s="6"/>
      <c r="AT1482" s="6"/>
      <c r="AU1482" s="6"/>
      <c r="AV1482" s="6"/>
      <c r="AW1482" s="6"/>
      <c r="AX1482" s="6"/>
      <c r="AY1482" s="6"/>
      <c r="AZ1482" s="6"/>
      <c r="BA1482" s="6"/>
      <c r="BB1482" s="6"/>
      <c r="BC1482" s="6"/>
      <c r="BD1482" s="6"/>
      <c r="BE1482" s="6"/>
      <c r="BF1482" s="6"/>
      <c r="BG1482" s="6"/>
      <c r="BH1482" s="6"/>
      <c r="BI1482" s="6"/>
      <c r="BJ1482" s="6"/>
      <c r="BK1482" s="6"/>
      <c r="BL1482" s="6"/>
      <c r="BM1482" s="6"/>
      <c r="BN1482" s="6"/>
      <c r="BO1482" s="6"/>
      <c r="BP1482" s="6"/>
      <c r="BQ1482" s="6"/>
      <c r="BR1482" s="6"/>
      <c r="BS1482" s="6"/>
      <c r="BT1482" s="6"/>
      <c r="BU1482" s="6"/>
      <c r="BV1482" s="6"/>
      <c r="BW1482" s="6"/>
      <c r="BX1482" s="6"/>
      <c r="BY1482" s="6"/>
      <c r="BZ1482" s="6"/>
      <c r="CA1482" s="6"/>
      <c r="CB1482" s="6"/>
      <c r="CC1482" s="6"/>
      <c r="CD1482" s="6"/>
      <c r="CE1482" s="6"/>
      <c r="CF1482" s="6"/>
      <c r="CG1482" s="6"/>
      <c r="CH1482" s="6"/>
      <c r="CI1482" s="6"/>
      <c r="CJ1482" s="6"/>
      <c r="CK1482" s="6"/>
      <c r="CL1482" s="6"/>
      <c r="CM1482" s="6"/>
      <c r="CN1482" s="6"/>
      <c r="CO1482" s="6"/>
      <c r="CP1482" s="6"/>
      <c r="CQ1482" s="6"/>
      <c r="CR1482" s="6"/>
      <c r="CS1482" s="6"/>
      <c r="CT1482" s="6"/>
      <c r="CU1482" s="6"/>
      <c r="CV1482" s="6"/>
      <c r="CW1482" s="6"/>
      <c r="CX1482" s="6"/>
      <c r="CY1482" s="6"/>
      <c r="CZ1482" s="6"/>
      <c r="DA1482" s="6"/>
      <c r="DB1482" s="6"/>
      <c r="DC1482" s="6"/>
      <c r="DD1482" s="6"/>
      <c r="DE1482" s="6"/>
      <c r="DF1482" s="6"/>
      <c r="DG1482" s="6"/>
      <c r="DH1482" s="6"/>
      <c r="DI1482" s="6"/>
      <c r="DJ1482" s="6"/>
      <c r="DK1482" s="6"/>
      <c r="DL1482" s="6"/>
      <c r="DM1482" s="6"/>
      <c r="DN1482" s="6"/>
      <c r="DO1482" s="6"/>
      <c r="DP1482" s="6"/>
      <c r="DQ1482" s="6"/>
      <c r="DR1482" s="6"/>
      <c r="DS1482" s="6"/>
      <c r="DT1482" s="6"/>
      <c r="DU1482" s="6"/>
      <c r="DV1482" s="6"/>
      <c r="DW1482" s="6"/>
      <c r="DX1482" s="6"/>
      <c r="DY1482" s="6"/>
      <c r="DZ1482" s="6"/>
      <c r="EA1482" s="6"/>
      <c r="EB1482" s="6"/>
      <c r="EC1482" s="6"/>
      <c r="ED1482" s="6"/>
      <c r="EE1482" s="6"/>
      <c r="EF1482" s="6"/>
      <c r="EG1482" s="6"/>
      <c r="EH1482" s="6"/>
      <c r="EI1482" s="6"/>
      <c r="EJ1482" s="6"/>
      <c r="EK1482" s="6"/>
      <c r="EL1482" s="6"/>
      <c r="EM1482" s="6"/>
      <c r="EN1482" s="6"/>
      <c r="EO1482" s="6"/>
      <c r="EP1482" s="6"/>
      <c r="EQ1482" s="6"/>
      <c r="ER1482" s="6"/>
      <c r="ES1482" s="6"/>
      <c r="ET1482" s="6"/>
      <c r="EU1482" s="6"/>
      <c r="EV1482" s="6"/>
      <c r="EW1482" s="6"/>
      <c r="EX1482" s="6"/>
      <c r="EY1482" s="6"/>
      <c r="EZ1482" s="6"/>
      <c r="FA1482" s="6"/>
      <c r="FB1482" s="6"/>
      <c r="FC1482" s="6"/>
      <c r="FD1482" s="6"/>
      <c r="FE1482" s="6"/>
      <c r="FF1482" s="6"/>
      <c r="FG1482" s="6"/>
      <c r="FH1482" s="6"/>
      <c r="FI1482" s="6"/>
      <c r="FJ1482" s="6"/>
      <c r="FK1482" s="6"/>
      <c r="FL1482" s="6"/>
      <c r="FM1482" s="6"/>
      <c r="FN1482" s="6"/>
      <c r="FO1482" s="6"/>
      <c r="FP1482" s="6"/>
      <c r="FQ1482" s="6"/>
      <c r="FR1482" s="6"/>
      <c r="FS1482" s="6"/>
      <c r="FT1482" s="6"/>
      <c r="FU1482" s="6"/>
      <c r="FV1482" s="6"/>
      <c r="FW1482" s="6"/>
      <c r="FX1482" s="6"/>
      <c r="FY1482" s="6"/>
      <c r="FZ1482" s="6"/>
      <c r="GA1482" s="6"/>
      <c r="GB1482" s="6"/>
      <c r="GC1482" s="6"/>
      <c r="GD1482" s="6"/>
      <c r="GE1482" s="6"/>
      <c r="GF1482" s="6"/>
      <c r="GG1482" s="6"/>
      <c r="GH1482" s="6"/>
      <c r="GI1482" s="6"/>
      <c r="GJ1482" s="6"/>
      <c r="GK1482" s="6"/>
      <c r="GL1482" s="6"/>
      <c r="GM1482" s="6"/>
      <c r="GN1482" s="6"/>
      <c r="GO1482" s="6"/>
      <c r="GP1482" s="6"/>
      <c r="GQ1482" s="6"/>
      <c r="GR1482" s="6"/>
      <c r="GS1482" s="6"/>
      <c r="GT1482" s="6"/>
      <c r="GU1482" s="6"/>
      <c r="GV1482" s="6"/>
      <c r="GW1482" s="6"/>
      <c r="GX1482" s="6"/>
      <c r="GY1482" s="6"/>
      <c r="GZ1482" s="6"/>
      <c r="HA1482" s="6"/>
      <c r="HB1482" s="6"/>
      <c r="HC1482" s="6"/>
      <c r="HD1482" s="6"/>
      <c r="HE1482" s="6"/>
      <c r="HF1482" s="6"/>
      <c r="HG1482" s="6"/>
      <c r="HH1482" s="6"/>
    </row>
    <row r="1483" spans="1:216" x14ac:dyDescent="0.3">
      <c r="A1483" s="8"/>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6"/>
      <c r="AR1483" s="6"/>
      <c r="AS1483" s="6"/>
      <c r="AT1483" s="6"/>
      <c r="AU1483" s="6"/>
      <c r="AV1483" s="6"/>
      <c r="AW1483" s="6"/>
      <c r="AX1483" s="6"/>
      <c r="AY1483" s="6"/>
      <c r="AZ1483" s="6"/>
      <c r="BA1483" s="6"/>
      <c r="BB1483" s="6"/>
      <c r="BC1483" s="6"/>
      <c r="BD1483" s="6"/>
      <c r="BE1483" s="6"/>
      <c r="BF1483" s="6"/>
      <c r="BG1483" s="6"/>
      <c r="BH1483" s="6"/>
      <c r="BI1483" s="6"/>
      <c r="BJ1483" s="6"/>
      <c r="BK1483" s="6"/>
      <c r="BL1483" s="6"/>
      <c r="BM1483" s="6"/>
      <c r="BN1483" s="6"/>
      <c r="BO1483" s="6"/>
      <c r="BP1483" s="6"/>
      <c r="BQ1483" s="6"/>
      <c r="BR1483" s="6"/>
      <c r="BS1483" s="6"/>
      <c r="BT1483" s="6"/>
      <c r="BU1483" s="6"/>
      <c r="BV1483" s="6"/>
      <c r="BW1483" s="6"/>
      <c r="BX1483" s="6"/>
      <c r="BY1483" s="6"/>
      <c r="BZ1483" s="6"/>
      <c r="CA1483" s="6"/>
      <c r="CB1483" s="6"/>
      <c r="CC1483" s="6"/>
      <c r="CD1483" s="6"/>
      <c r="CE1483" s="6"/>
      <c r="CF1483" s="6"/>
      <c r="CG1483" s="6"/>
      <c r="CH1483" s="6"/>
      <c r="CI1483" s="6"/>
      <c r="CJ1483" s="6"/>
      <c r="CK1483" s="6"/>
      <c r="CL1483" s="6"/>
      <c r="CM1483" s="6"/>
      <c r="CN1483" s="6"/>
      <c r="CO1483" s="6"/>
      <c r="CP1483" s="6"/>
      <c r="CQ1483" s="6"/>
      <c r="CR1483" s="6"/>
      <c r="CS1483" s="6"/>
      <c r="CT1483" s="6"/>
      <c r="CU1483" s="6"/>
      <c r="CV1483" s="6"/>
      <c r="CW1483" s="6"/>
      <c r="CX1483" s="6"/>
      <c r="CY1483" s="6"/>
      <c r="CZ1483" s="6"/>
      <c r="DA1483" s="6"/>
      <c r="DB1483" s="6"/>
      <c r="DC1483" s="6"/>
      <c r="DD1483" s="6"/>
      <c r="DE1483" s="6"/>
      <c r="DF1483" s="6"/>
      <c r="DG1483" s="6"/>
      <c r="DH1483" s="6"/>
      <c r="DI1483" s="6"/>
      <c r="DJ1483" s="6"/>
      <c r="DK1483" s="6"/>
      <c r="DL1483" s="6"/>
      <c r="DM1483" s="6"/>
      <c r="DN1483" s="6"/>
      <c r="DO1483" s="6"/>
      <c r="DP1483" s="6"/>
      <c r="DQ1483" s="6"/>
      <c r="DR1483" s="6"/>
      <c r="DS1483" s="6"/>
      <c r="DT1483" s="6"/>
      <c r="DU1483" s="6"/>
      <c r="DV1483" s="6"/>
      <c r="DW1483" s="6"/>
      <c r="DX1483" s="6"/>
      <c r="DY1483" s="6"/>
      <c r="DZ1483" s="6"/>
      <c r="EA1483" s="6"/>
      <c r="EB1483" s="6"/>
      <c r="EC1483" s="6"/>
      <c r="ED1483" s="6"/>
      <c r="EE1483" s="6"/>
      <c r="EF1483" s="6"/>
      <c r="EG1483" s="6"/>
      <c r="EH1483" s="6"/>
      <c r="EI1483" s="6"/>
      <c r="EJ1483" s="6"/>
      <c r="EK1483" s="6"/>
      <c r="EL1483" s="6"/>
      <c r="EM1483" s="6"/>
      <c r="EN1483" s="6"/>
      <c r="EO1483" s="6"/>
      <c r="EP1483" s="6"/>
      <c r="EQ1483" s="6"/>
      <c r="ER1483" s="6"/>
      <c r="ES1483" s="6"/>
      <c r="ET1483" s="6"/>
      <c r="EU1483" s="6"/>
      <c r="EV1483" s="6"/>
      <c r="EW1483" s="6"/>
      <c r="EX1483" s="6"/>
      <c r="EY1483" s="6"/>
      <c r="EZ1483" s="6"/>
      <c r="FA1483" s="6"/>
      <c r="FB1483" s="6"/>
      <c r="FC1483" s="6"/>
      <c r="FD1483" s="6"/>
      <c r="FE1483" s="6"/>
      <c r="FF1483" s="6"/>
      <c r="FG1483" s="6"/>
      <c r="FH1483" s="6"/>
      <c r="FI1483" s="6"/>
      <c r="FJ1483" s="6"/>
      <c r="FK1483" s="6"/>
      <c r="FL1483" s="6"/>
      <c r="FM1483" s="6"/>
      <c r="FN1483" s="6"/>
      <c r="FO1483" s="6"/>
      <c r="FP1483" s="6"/>
      <c r="FQ1483" s="6"/>
      <c r="FR1483" s="6"/>
      <c r="FS1483" s="6"/>
      <c r="FT1483" s="6"/>
      <c r="FU1483" s="6"/>
      <c r="FV1483" s="6"/>
      <c r="FW1483" s="6"/>
      <c r="FX1483" s="6"/>
      <c r="FY1483" s="6"/>
      <c r="FZ1483" s="6"/>
      <c r="GA1483" s="6"/>
      <c r="GB1483" s="6"/>
      <c r="GC1483" s="6"/>
      <c r="GD1483" s="6"/>
      <c r="GE1483" s="6"/>
      <c r="GF1483" s="6"/>
      <c r="GG1483" s="6"/>
      <c r="GH1483" s="6"/>
      <c r="GI1483" s="6"/>
      <c r="GJ1483" s="6"/>
      <c r="GK1483" s="6"/>
      <c r="GL1483" s="6"/>
      <c r="GM1483" s="6"/>
      <c r="GN1483" s="6"/>
      <c r="GO1483" s="6"/>
      <c r="GP1483" s="6"/>
      <c r="GQ1483" s="6"/>
      <c r="GR1483" s="6"/>
      <c r="GS1483" s="6"/>
      <c r="GT1483" s="6"/>
      <c r="GU1483" s="6"/>
      <c r="GV1483" s="6"/>
      <c r="GW1483" s="6"/>
      <c r="GX1483" s="6"/>
      <c r="GY1483" s="6"/>
      <c r="GZ1483" s="6"/>
      <c r="HA1483" s="6"/>
      <c r="HB1483" s="6"/>
      <c r="HC1483" s="6"/>
      <c r="HD1483" s="6"/>
      <c r="HE1483" s="6"/>
      <c r="HF1483" s="6"/>
      <c r="HG1483" s="6"/>
      <c r="HH1483" s="6"/>
    </row>
    <row r="1484" spans="1:216" x14ac:dyDescent="0.3">
      <c r="A1484" s="8"/>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6"/>
      <c r="AR1484" s="6"/>
      <c r="AS1484" s="6"/>
      <c r="AT1484" s="6"/>
      <c r="AU1484" s="6"/>
      <c r="AV1484" s="6"/>
      <c r="AW1484" s="6"/>
      <c r="AX1484" s="6"/>
      <c r="AY1484" s="6"/>
      <c r="AZ1484" s="6"/>
      <c r="BA1484" s="6"/>
      <c r="BB1484" s="6"/>
      <c r="BC1484" s="6"/>
      <c r="BD1484" s="6"/>
      <c r="BE1484" s="6"/>
      <c r="BF1484" s="6"/>
      <c r="BG1484" s="6"/>
      <c r="BH1484" s="6"/>
      <c r="BI1484" s="6"/>
      <c r="BJ1484" s="6"/>
      <c r="BK1484" s="6"/>
      <c r="BL1484" s="6"/>
      <c r="BM1484" s="6"/>
      <c r="BN1484" s="6"/>
      <c r="BO1484" s="6"/>
      <c r="BP1484" s="6"/>
      <c r="BQ1484" s="6"/>
      <c r="BR1484" s="6"/>
      <c r="BS1484" s="6"/>
      <c r="BT1484" s="6"/>
      <c r="BU1484" s="6"/>
      <c r="BV1484" s="6"/>
      <c r="BW1484" s="6"/>
      <c r="BX1484" s="6"/>
      <c r="BY1484" s="6"/>
      <c r="BZ1484" s="6"/>
      <c r="CA1484" s="6"/>
      <c r="CB1484" s="6"/>
      <c r="CC1484" s="6"/>
      <c r="CD1484" s="6"/>
      <c r="CE1484" s="6"/>
      <c r="CF1484" s="6"/>
      <c r="CG1484" s="6"/>
      <c r="CH1484" s="6"/>
      <c r="CI1484" s="6"/>
      <c r="CJ1484" s="6"/>
      <c r="CK1484" s="6"/>
      <c r="CL1484" s="6"/>
      <c r="CM1484" s="6"/>
      <c r="CN1484" s="6"/>
      <c r="CO1484" s="6"/>
      <c r="CP1484" s="6"/>
      <c r="CQ1484" s="6"/>
      <c r="CR1484" s="6"/>
      <c r="CS1484" s="6"/>
      <c r="CT1484" s="6"/>
      <c r="CU1484" s="6"/>
      <c r="CV1484" s="6"/>
      <c r="CW1484" s="6"/>
      <c r="CX1484" s="6"/>
      <c r="CY1484" s="6"/>
      <c r="CZ1484" s="6"/>
      <c r="DA1484" s="6"/>
      <c r="DB1484" s="6"/>
      <c r="DC1484" s="6"/>
      <c r="DD1484" s="6"/>
      <c r="DE1484" s="6"/>
      <c r="DF1484" s="6"/>
      <c r="DG1484" s="6"/>
      <c r="DH1484" s="6"/>
      <c r="DI1484" s="6"/>
      <c r="DJ1484" s="6"/>
      <c r="DK1484" s="6"/>
      <c r="DL1484" s="6"/>
      <c r="DM1484" s="6"/>
      <c r="DN1484" s="6"/>
      <c r="DO1484" s="6"/>
      <c r="DP1484" s="6"/>
      <c r="DQ1484" s="6"/>
      <c r="DR1484" s="6"/>
      <c r="DS1484" s="6"/>
      <c r="DT1484" s="6"/>
      <c r="DU1484" s="6"/>
      <c r="DV1484" s="6"/>
      <c r="DW1484" s="6"/>
      <c r="DX1484" s="6"/>
      <c r="DY1484" s="6"/>
      <c r="DZ1484" s="6"/>
      <c r="EA1484" s="6"/>
      <c r="EB1484" s="6"/>
      <c r="EC1484" s="6"/>
      <c r="ED1484" s="6"/>
      <c r="EE1484" s="6"/>
      <c r="EF1484" s="6"/>
      <c r="EG1484" s="6"/>
      <c r="EH1484" s="6"/>
      <c r="EI1484" s="6"/>
      <c r="EJ1484" s="6"/>
      <c r="EK1484" s="6"/>
      <c r="EL1484" s="6"/>
      <c r="EM1484" s="6"/>
      <c r="EN1484" s="6"/>
      <c r="EO1484" s="6"/>
      <c r="EP1484" s="6"/>
      <c r="EQ1484" s="6"/>
      <c r="ER1484" s="6"/>
      <c r="ES1484" s="6"/>
      <c r="ET1484" s="6"/>
      <c r="EU1484" s="6"/>
      <c r="EV1484" s="6"/>
      <c r="EW1484" s="6"/>
      <c r="EX1484" s="6"/>
      <c r="EY1484" s="6"/>
      <c r="EZ1484" s="6"/>
      <c r="FA1484" s="6"/>
      <c r="FB1484" s="6"/>
      <c r="FC1484" s="6"/>
      <c r="FD1484" s="6"/>
      <c r="FE1484" s="6"/>
      <c r="FF1484" s="6"/>
      <c r="FG1484" s="6"/>
      <c r="FH1484" s="6"/>
      <c r="FI1484" s="6"/>
      <c r="FJ1484" s="6"/>
      <c r="FK1484" s="6"/>
      <c r="FL1484" s="6"/>
      <c r="FM1484" s="6"/>
      <c r="FN1484" s="6"/>
      <c r="FO1484" s="6"/>
      <c r="FP1484" s="6"/>
      <c r="FQ1484" s="6"/>
      <c r="FR1484" s="6"/>
      <c r="FS1484" s="6"/>
      <c r="FT1484" s="6"/>
      <c r="FU1484" s="6"/>
      <c r="FV1484" s="6"/>
      <c r="FW1484" s="6"/>
      <c r="FX1484" s="6"/>
      <c r="FY1484" s="6"/>
      <c r="FZ1484" s="6"/>
      <c r="GA1484" s="6"/>
      <c r="GB1484" s="6"/>
      <c r="GC1484" s="6"/>
      <c r="GD1484" s="6"/>
      <c r="GE1484" s="6"/>
      <c r="GF1484" s="6"/>
      <c r="GG1484" s="6"/>
      <c r="GH1484" s="6"/>
      <c r="GI1484" s="6"/>
      <c r="GJ1484" s="6"/>
      <c r="GK1484" s="6"/>
      <c r="GL1484" s="6"/>
      <c r="GM1484" s="6"/>
      <c r="GN1484" s="6"/>
      <c r="GO1484" s="6"/>
      <c r="GP1484" s="6"/>
      <c r="GQ1484" s="6"/>
      <c r="GR1484" s="6"/>
      <c r="GS1484" s="6"/>
      <c r="GT1484" s="6"/>
      <c r="GU1484" s="6"/>
      <c r="GV1484" s="6"/>
      <c r="GW1484" s="6"/>
      <c r="GX1484" s="6"/>
      <c r="GY1484" s="6"/>
      <c r="GZ1484" s="6"/>
      <c r="HA1484" s="6"/>
      <c r="HB1484" s="6"/>
      <c r="HC1484" s="6"/>
      <c r="HD1484" s="6"/>
      <c r="HE1484" s="6"/>
      <c r="HF1484" s="6"/>
      <c r="HG1484" s="6"/>
      <c r="HH1484" s="6"/>
    </row>
    <row r="1485" spans="1:216" x14ac:dyDescent="0.3">
      <c r="A1485" s="8"/>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6"/>
      <c r="AR1485" s="6"/>
      <c r="AS1485" s="6"/>
      <c r="AT1485" s="6"/>
      <c r="AU1485" s="6"/>
      <c r="AV1485" s="6"/>
      <c r="AW1485" s="6"/>
      <c r="AX1485" s="6"/>
      <c r="AY1485" s="6"/>
      <c r="AZ1485" s="6"/>
      <c r="BA1485" s="6"/>
      <c r="BB1485" s="6"/>
      <c r="BC1485" s="6"/>
      <c r="BD1485" s="6"/>
      <c r="BE1485" s="6"/>
      <c r="BF1485" s="6"/>
      <c r="BG1485" s="6"/>
      <c r="BH1485" s="6"/>
      <c r="BI1485" s="6"/>
      <c r="BJ1485" s="6"/>
      <c r="BK1485" s="6"/>
      <c r="BL1485" s="6"/>
      <c r="BM1485" s="6"/>
      <c r="BN1485" s="6"/>
      <c r="BO1485" s="6"/>
      <c r="BP1485" s="6"/>
      <c r="BQ1485" s="6"/>
      <c r="BR1485" s="6"/>
      <c r="BS1485" s="6"/>
      <c r="BT1485" s="6"/>
      <c r="BU1485" s="6"/>
      <c r="BV1485" s="6"/>
      <c r="BW1485" s="6"/>
      <c r="BX1485" s="6"/>
      <c r="BY1485" s="6"/>
      <c r="BZ1485" s="6"/>
      <c r="CA1485" s="6"/>
      <c r="CB1485" s="6"/>
      <c r="CC1485" s="6"/>
      <c r="CD1485" s="6"/>
      <c r="CE1485" s="6"/>
      <c r="CF1485" s="6"/>
      <c r="CG1485" s="6"/>
      <c r="CH1485" s="6"/>
      <c r="CI1485" s="6"/>
      <c r="CJ1485" s="6"/>
      <c r="CK1485" s="6"/>
      <c r="CL1485" s="6"/>
      <c r="CM1485" s="6"/>
      <c r="CN1485" s="6"/>
      <c r="CO1485" s="6"/>
      <c r="CP1485" s="6"/>
      <c r="CQ1485" s="6"/>
      <c r="CR1485" s="6"/>
      <c r="CS1485" s="6"/>
      <c r="CT1485" s="6"/>
      <c r="CU1485" s="6"/>
      <c r="CV1485" s="6"/>
      <c r="CW1485" s="6"/>
      <c r="CX1485" s="6"/>
      <c r="CY1485" s="6"/>
      <c r="CZ1485" s="6"/>
      <c r="DA1485" s="6"/>
      <c r="DB1485" s="6"/>
      <c r="DC1485" s="6"/>
      <c r="DD1485" s="6"/>
      <c r="DE1485" s="6"/>
      <c r="DF1485" s="6"/>
      <c r="DG1485" s="6"/>
      <c r="DH1485" s="6"/>
      <c r="DI1485" s="6"/>
      <c r="DJ1485" s="6"/>
      <c r="DK1485" s="6"/>
      <c r="DL1485" s="6"/>
      <c r="DM1485" s="6"/>
      <c r="DN1485" s="6"/>
      <c r="DO1485" s="6"/>
      <c r="DP1485" s="6"/>
      <c r="DQ1485" s="6"/>
      <c r="DR1485" s="6"/>
      <c r="DS1485" s="6"/>
      <c r="DT1485" s="6"/>
      <c r="DU1485" s="6"/>
      <c r="DV1485" s="6"/>
      <c r="DW1485" s="6"/>
      <c r="DX1485" s="6"/>
      <c r="DY1485" s="6"/>
      <c r="DZ1485" s="6"/>
      <c r="EA1485" s="6"/>
      <c r="EB1485" s="6"/>
      <c r="EC1485" s="6"/>
      <c r="ED1485" s="6"/>
      <c r="EE1485" s="6"/>
      <c r="EF1485" s="6"/>
      <c r="EG1485" s="6"/>
      <c r="EH1485" s="6"/>
      <c r="EI1485" s="6"/>
      <c r="EJ1485" s="6"/>
      <c r="EK1485" s="6"/>
      <c r="EL1485" s="6"/>
      <c r="EM1485" s="6"/>
      <c r="EN1485" s="6"/>
      <c r="EO1485" s="6"/>
      <c r="EP1485" s="6"/>
      <c r="EQ1485" s="6"/>
      <c r="ER1485" s="6"/>
      <c r="ES1485" s="6"/>
      <c r="ET1485" s="6"/>
      <c r="EU1485" s="6"/>
      <c r="EV1485" s="6"/>
      <c r="EW1485" s="6"/>
      <c r="EX1485" s="6"/>
      <c r="EY1485" s="6"/>
      <c r="EZ1485" s="6"/>
      <c r="FA1485" s="6"/>
      <c r="FB1485" s="6"/>
      <c r="FC1485" s="6"/>
      <c r="FD1485" s="6"/>
      <c r="FE1485" s="6"/>
      <c r="FF1485" s="6"/>
      <c r="FG1485" s="6"/>
      <c r="FH1485" s="6"/>
      <c r="FI1485" s="6"/>
      <c r="FJ1485" s="6"/>
      <c r="FK1485" s="6"/>
      <c r="FL1485" s="6"/>
      <c r="FM1485" s="6"/>
      <c r="FN1485" s="6"/>
      <c r="FO1485" s="6"/>
      <c r="FP1485" s="6"/>
      <c r="FQ1485" s="6"/>
      <c r="FR1485" s="6"/>
      <c r="FS1485" s="6"/>
      <c r="FT1485" s="6"/>
      <c r="FU1485" s="6"/>
      <c r="FV1485" s="6"/>
      <c r="FW1485" s="6"/>
      <c r="FX1485" s="6"/>
      <c r="FY1485" s="6"/>
      <c r="FZ1485" s="6"/>
      <c r="GA1485" s="6"/>
      <c r="GB1485" s="6"/>
      <c r="GC1485" s="6"/>
      <c r="GD1485" s="6"/>
      <c r="GE1485" s="6"/>
      <c r="GF1485" s="6"/>
      <c r="GG1485" s="6"/>
      <c r="GH1485" s="6"/>
      <c r="GI1485" s="6"/>
      <c r="GJ1485" s="6"/>
      <c r="GK1485" s="6"/>
      <c r="GL1485" s="6"/>
      <c r="GM1485" s="6"/>
      <c r="GN1485" s="6"/>
      <c r="GO1485" s="6"/>
      <c r="GP1485" s="6"/>
      <c r="GQ1485" s="6"/>
      <c r="GR1485" s="6"/>
      <c r="GS1485" s="6"/>
      <c r="GT1485" s="6"/>
      <c r="GU1485" s="6"/>
      <c r="GV1485" s="6"/>
      <c r="GW1485" s="6"/>
      <c r="GX1485" s="6"/>
      <c r="GY1485" s="6"/>
      <c r="GZ1485" s="6"/>
      <c r="HA1485" s="6"/>
      <c r="HB1485" s="6"/>
      <c r="HC1485" s="6"/>
      <c r="HD1485" s="6"/>
      <c r="HE1485" s="6"/>
      <c r="HF1485" s="6"/>
      <c r="HG1485" s="6"/>
      <c r="HH1485" s="6"/>
    </row>
    <row r="1486" spans="1:216" x14ac:dyDescent="0.3">
      <c r="A1486" s="8"/>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6"/>
      <c r="AR1486" s="6"/>
      <c r="AS1486" s="6"/>
      <c r="AT1486" s="6"/>
      <c r="AU1486" s="6"/>
      <c r="AV1486" s="6"/>
      <c r="AW1486" s="6"/>
      <c r="AX1486" s="6"/>
      <c r="AY1486" s="6"/>
      <c r="AZ1486" s="6"/>
      <c r="BA1486" s="6"/>
      <c r="BB1486" s="6"/>
      <c r="BC1486" s="6"/>
      <c r="BD1486" s="6"/>
      <c r="BE1486" s="6"/>
      <c r="BF1486" s="6"/>
      <c r="BG1486" s="6"/>
      <c r="BH1486" s="6"/>
      <c r="BI1486" s="6"/>
      <c r="BJ1486" s="6"/>
      <c r="BK1486" s="6"/>
      <c r="BL1486" s="6"/>
      <c r="BM1486" s="6"/>
      <c r="BN1486" s="6"/>
      <c r="BO1486" s="6"/>
      <c r="BP1486" s="6"/>
      <c r="BQ1486" s="6"/>
      <c r="BR1486" s="6"/>
      <c r="BS1486" s="6"/>
      <c r="BT1486" s="6"/>
      <c r="BU1486" s="6"/>
      <c r="BV1486" s="6"/>
      <c r="BW1486" s="6"/>
      <c r="BX1486" s="6"/>
      <c r="BY1486" s="6"/>
      <c r="BZ1486" s="6"/>
      <c r="CA1486" s="6"/>
      <c r="CB1486" s="6"/>
      <c r="CC1486" s="6"/>
      <c r="CD1486" s="6"/>
      <c r="CE1486" s="6"/>
      <c r="CF1486" s="6"/>
      <c r="CG1486" s="6"/>
      <c r="CH1486" s="6"/>
      <c r="CI1486" s="6"/>
      <c r="CJ1486" s="6"/>
      <c r="CK1486" s="6"/>
      <c r="CL1486" s="6"/>
      <c r="CM1486" s="6"/>
      <c r="CN1486" s="6"/>
      <c r="CO1486" s="6"/>
      <c r="CP1486" s="6"/>
      <c r="CQ1486" s="6"/>
      <c r="CR1486" s="6"/>
      <c r="CS1486" s="6"/>
      <c r="CT1486" s="6"/>
      <c r="CU1486" s="6"/>
      <c r="CV1486" s="6"/>
      <c r="CW1486" s="6"/>
      <c r="CX1486" s="6"/>
      <c r="CY1486" s="6"/>
      <c r="CZ1486" s="6"/>
      <c r="DA1486" s="6"/>
      <c r="DB1486" s="6"/>
      <c r="DC1486" s="6"/>
      <c r="DD1486" s="6"/>
      <c r="DE1486" s="6"/>
      <c r="DF1486" s="6"/>
      <c r="DG1486" s="6"/>
      <c r="DH1486" s="6"/>
      <c r="DI1486" s="6"/>
      <c r="DJ1486" s="6"/>
      <c r="DK1486" s="6"/>
      <c r="DL1486" s="6"/>
      <c r="DM1486" s="6"/>
      <c r="DN1486" s="6"/>
      <c r="DO1486" s="6"/>
      <c r="DP1486" s="6"/>
      <c r="DQ1486" s="6"/>
      <c r="DR1486" s="6"/>
      <c r="DS1486" s="6"/>
      <c r="DT1486" s="6"/>
      <c r="DU1486" s="6"/>
      <c r="DV1486" s="6"/>
      <c r="DW1486" s="6"/>
      <c r="DX1486" s="6"/>
      <c r="DY1486" s="6"/>
      <c r="DZ1486" s="6"/>
      <c r="EA1486" s="6"/>
      <c r="EB1486" s="6"/>
      <c r="EC1486" s="6"/>
      <c r="ED1486" s="6"/>
      <c r="EE1486" s="6"/>
      <c r="EF1486" s="6"/>
      <c r="EG1486" s="6"/>
      <c r="EH1486" s="6"/>
      <c r="EI1486" s="6"/>
      <c r="EJ1486" s="6"/>
      <c r="EK1486" s="6"/>
      <c r="EL1486" s="6"/>
      <c r="EM1486" s="6"/>
      <c r="EN1486" s="6"/>
      <c r="EO1486" s="6"/>
      <c r="EP1486" s="6"/>
      <c r="EQ1486" s="6"/>
      <c r="ER1486" s="6"/>
      <c r="ES1486" s="6"/>
      <c r="ET1486" s="6"/>
      <c r="EU1486" s="6"/>
      <c r="EV1486" s="6"/>
      <c r="EW1486" s="6"/>
      <c r="EX1486" s="6"/>
      <c r="EY1486" s="6"/>
      <c r="EZ1486" s="6"/>
      <c r="FA1486" s="6"/>
      <c r="FB1486" s="6"/>
      <c r="FC1486" s="6"/>
      <c r="FD1486" s="6"/>
      <c r="FE1486" s="6"/>
      <c r="FF1486" s="6"/>
      <c r="FG1486" s="6"/>
      <c r="FH1486" s="6"/>
      <c r="FI1486" s="6"/>
      <c r="FJ1486" s="6"/>
      <c r="FK1486" s="6"/>
      <c r="FL1486" s="6"/>
      <c r="FM1486" s="6"/>
      <c r="FN1486" s="6"/>
      <c r="FO1486" s="6"/>
      <c r="FP1486" s="6"/>
      <c r="FQ1486" s="6"/>
      <c r="FR1486" s="6"/>
      <c r="FS1486" s="6"/>
      <c r="FT1486" s="6"/>
      <c r="FU1486" s="6"/>
      <c r="FV1486" s="6"/>
      <c r="FW1486" s="6"/>
      <c r="FX1486" s="6"/>
      <c r="FY1486" s="6"/>
      <c r="FZ1486" s="6"/>
      <c r="GA1486" s="6"/>
      <c r="GB1486" s="6"/>
      <c r="GC1486" s="6"/>
      <c r="GD1486" s="6"/>
      <c r="GE1486" s="6"/>
      <c r="GF1486" s="6"/>
      <c r="GG1486" s="6"/>
      <c r="GH1486" s="6"/>
      <c r="GI1486" s="6"/>
      <c r="GJ1486" s="6"/>
      <c r="GK1486" s="6"/>
      <c r="GL1486" s="6"/>
      <c r="GM1486" s="6"/>
      <c r="GN1486" s="6"/>
      <c r="GO1486" s="6"/>
      <c r="GP1486" s="6"/>
      <c r="GQ1486" s="6"/>
      <c r="GR1486" s="6"/>
      <c r="GS1486" s="6"/>
      <c r="GT1486" s="6"/>
      <c r="GU1486" s="6"/>
      <c r="GV1486" s="6"/>
      <c r="GW1486" s="6"/>
      <c r="GX1486" s="6"/>
      <c r="GY1486" s="6"/>
      <c r="GZ1486" s="6"/>
      <c r="HA1486" s="6"/>
      <c r="HB1486" s="6"/>
      <c r="HC1486" s="6"/>
      <c r="HD1486" s="6"/>
      <c r="HE1486" s="6"/>
      <c r="HF1486" s="6"/>
      <c r="HG1486" s="6"/>
      <c r="HH1486" s="6"/>
    </row>
    <row r="1487" spans="1:216" x14ac:dyDescent="0.3">
      <c r="A1487" s="8"/>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6"/>
      <c r="AR1487" s="6"/>
      <c r="AS1487" s="6"/>
      <c r="AT1487" s="6"/>
      <c r="AU1487" s="6"/>
      <c r="AV1487" s="6"/>
      <c r="AW1487" s="6"/>
      <c r="AX1487" s="6"/>
      <c r="AY1487" s="6"/>
      <c r="AZ1487" s="6"/>
      <c r="BA1487" s="6"/>
      <c r="BB1487" s="6"/>
      <c r="BC1487" s="6"/>
      <c r="BD1487" s="6"/>
      <c r="BE1487" s="6"/>
      <c r="BF1487" s="6"/>
      <c r="BG1487" s="6"/>
      <c r="BH1487" s="6"/>
      <c r="BI1487" s="6"/>
      <c r="BJ1487" s="6"/>
      <c r="BK1487" s="6"/>
      <c r="BL1487" s="6"/>
      <c r="BM1487" s="6"/>
      <c r="BN1487" s="6"/>
      <c r="BO1487" s="6"/>
      <c r="BP1487" s="6"/>
      <c r="BQ1487" s="6"/>
      <c r="BR1487" s="6"/>
      <c r="BS1487" s="6"/>
      <c r="BT1487" s="6"/>
      <c r="BU1487" s="6"/>
      <c r="BV1487" s="6"/>
      <c r="BW1487" s="6"/>
      <c r="BX1487" s="6"/>
      <c r="BY1487" s="6"/>
      <c r="BZ1487" s="6"/>
      <c r="CA1487" s="6"/>
      <c r="CB1487" s="6"/>
      <c r="CC1487" s="6"/>
      <c r="CD1487" s="6"/>
      <c r="CE1487" s="6"/>
      <c r="CF1487" s="6"/>
      <c r="CG1487" s="6"/>
      <c r="CH1487" s="6"/>
      <c r="CI1487" s="6"/>
      <c r="CJ1487" s="6"/>
      <c r="CK1487" s="6"/>
      <c r="CL1487" s="6"/>
      <c r="CM1487" s="6"/>
      <c r="CN1487" s="6"/>
      <c r="CO1487" s="6"/>
      <c r="CP1487" s="6"/>
      <c r="CQ1487" s="6"/>
      <c r="CR1487" s="6"/>
      <c r="CS1487" s="6"/>
      <c r="CT1487" s="6"/>
      <c r="CU1487" s="6"/>
      <c r="CV1487" s="6"/>
      <c r="CW1487" s="6"/>
      <c r="CX1487" s="6"/>
      <c r="CY1487" s="6"/>
      <c r="CZ1487" s="6"/>
      <c r="DA1487" s="6"/>
      <c r="DB1487" s="6"/>
      <c r="DC1487" s="6"/>
      <c r="DD1487" s="6"/>
      <c r="DE1487" s="6"/>
      <c r="DF1487" s="6"/>
      <c r="DG1487" s="6"/>
      <c r="DH1487" s="6"/>
      <c r="DI1487" s="6"/>
      <c r="DJ1487" s="6"/>
      <c r="DK1487" s="6"/>
      <c r="DL1487" s="6"/>
      <c r="DM1487" s="6"/>
      <c r="DN1487" s="6"/>
      <c r="DO1487" s="6"/>
      <c r="DP1487" s="6"/>
      <c r="DQ1487" s="6"/>
      <c r="DR1487" s="6"/>
      <c r="DS1487" s="6"/>
      <c r="DT1487" s="6"/>
      <c r="DU1487" s="6"/>
      <c r="DV1487" s="6"/>
      <c r="DW1487" s="6"/>
      <c r="DX1487" s="6"/>
      <c r="DY1487" s="6"/>
      <c r="DZ1487" s="6"/>
      <c r="EA1487" s="6"/>
      <c r="EB1487" s="6"/>
      <c r="EC1487" s="6"/>
      <c r="ED1487" s="6"/>
      <c r="EE1487" s="6"/>
      <c r="EF1487" s="6"/>
      <c r="EG1487" s="6"/>
      <c r="EH1487" s="6"/>
      <c r="EI1487" s="6"/>
      <c r="EJ1487" s="6"/>
      <c r="EK1487" s="6"/>
      <c r="EL1487" s="6"/>
      <c r="EM1487" s="6"/>
      <c r="EN1487" s="6"/>
      <c r="EO1487" s="6"/>
      <c r="EP1487" s="6"/>
      <c r="EQ1487" s="6"/>
      <c r="ER1487" s="6"/>
      <c r="ES1487" s="6"/>
      <c r="ET1487" s="6"/>
      <c r="EU1487" s="6"/>
      <c r="EV1487" s="6"/>
      <c r="EW1487" s="6"/>
      <c r="EX1487" s="6"/>
      <c r="EY1487" s="6"/>
      <c r="EZ1487" s="6"/>
      <c r="FA1487" s="6"/>
      <c r="FB1487" s="6"/>
      <c r="FC1487" s="6"/>
      <c r="FD1487" s="6"/>
      <c r="FE1487" s="6"/>
      <c r="FF1487" s="6"/>
      <c r="FG1487" s="6"/>
      <c r="FH1487" s="6"/>
      <c r="FI1487" s="6"/>
      <c r="FJ1487" s="6"/>
      <c r="FK1487" s="6"/>
      <c r="FL1487" s="6"/>
      <c r="FM1487" s="6"/>
      <c r="FN1487" s="6"/>
      <c r="FO1487" s="6"/>
      <c r="FP1487" s="6"/>
      <c r="FQ1487" s="6"/>
      <c r="FR1487" s="6"/>
      <c r="FS1487" s="6"/>
      <c r="FT1487" s="6"/>
      <c r="FU1487" s="6"/>
      <c r="FV1487" s="6"/>
      <c r="FW1487" s="6"/>
      <c r="FX1487" s="6"/>
      <c r="FY1487" s="6"/>
      <c r="FZ1487" s="6"/>
      <c r="GA1487" s="6"/>
      <c r="GB1487" s="6"/>
      <c r="GC1487" s="6"/>
      <c r="GD1487" s="6"/>
      <c r="GE1487" s="6"/>
      <c r="GF1487" s="6"/>
      <c r="GG1487" s="6"/>
      <c r="GH1487" s="6"/>
      <c r="GI1487" s="6"/>
      <c r="GJ1487" s="6"/>
      <c r="GK1487" s="6"/>
      <c r="GL1487" s="6"/>
      <c r="GM1487" s="6"/>
      <c r="GN1487" s="6"/>
      <c r="GO1487" s="6"/>
      <c r="GP1487" s="6"/>
      <c r="GQ1487" s="6"/>
      <c r="GR1487" s="6"/>
      <c r="GS1487" s="6"/>
      <c r="GT1487" s="6"/>
      <c r="GU1487" s="6"/>
      <c r="GV1487" s="6"/>
      <c r="GW1487" s="6"/>
      <c r="GX1487" s="6"/>
      <c r="GY1487" s="6"/>
      <c r="GZ1487" s="6"/>
      <c r="HA1487" s="6"/>
      <c r="HB1487" s="6"/>
      <c r="HC1487" s="6"/>
      <c r="HD1487" s="6"/>
      <c r="HE1487" s="6"/>
      <c r="HF1487" s="6"/>
      <c r="HG1487" s="6"/>
      <c r="HH1487" s="6"/>
    </row>
    <row r="1488" spans="1:216" x14ac:dyDescent="0.3">
      <c r="A1488" s="8"/>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6"/>
      <c r="AR1488" s="6"/>
      <c r="AS1488" s="6"/>
      <c r="AT1488" s="6"/>
      <c r="AU1488" s="6"/>
      <c r="AV1488" s="6"/>
      <c r="AW1488" s="6"/>
      <c r="AX1488" s="6"/>
      <c r="AY1488" s="6"/>
      <c r="AZ1488" s="6"/>
      <c r="BA1488" s="6"/>
      <c r="BB1488" s="6"/>
      <c r="BC1488" s="6"/>
      <c r="BD1488" s="6"/>
      <c r="BE1488" s="6"/>
      <c r="BF1488" s="6"/>
      <c r="BG1488" s="6"/>
      <c r="BH1488" s="6"/>
      <c r="BI1488" s="6"/>
      <c r="BJ1488" s="6"/>
      <c r="BK1488" s="6"/>
      <c r="BL1488" s="6"/>
      <c r="BM1488" s="6"/>
      <c r="BN1488" s="6"/>
      <c r="BO1488" s="6"/>
      <c r="BP1488" s="6"/>
      <c r="BQ1488" s="6"/>
      <c r="BR1488" s="6"/>
      <c r="BS1488" s="6"/>
      <c r="BT1488" s="6"/>
      <c r="BU1488" s="6"/>
      <c r="BV1488" s="6"/>
      <c r="BW1488" s="6"/>
      <c r="BX1488" s="6"/>
      <c r="BY1488" s="6"/>
      <c r="BZ1488" s="6"/>
      <c r="CA1488" s="6"/>
      <c r="CB1488" s="6"/>
      <c r="CC1488" s="6"/>
      <c r="CD1488" s="6"/>
      <c r="CE1488" s="6"/>
      <c r="CF1488" s="6"/>
      <c r="CG1488" s="6"/>
      <c r="CH1488" s="6"/>
      <c r="CI1488" s="6"/>
      <c r="CJ1488" s="6"/>
      <c r="CK1488" s="6"/>
      <c r="CL1488" s="6"/>
      <c r="CM1488" s="6"/>
      <c r="CN1488" s="6"/>
      <c r="CO1488" s="6"/>
      <c r="CP1488" s="6"/>
      <c r="CQ1488" s="6"/>
      <c r="CR1488" s="6"/>
      <c r="CS1488" s="6"/>
      <c r="CT1488" s="6"/>
      <c r="CU1488" s="6"/>
      <c r="CV1488" s="6"/>
      <c r="CW1488" s="6"/>
      <c r="CX1488" s="6"/>
      <c r="CY1488" s="6"/>
      <c r="CZ1488" s="6"/>
      <c r="DA1488" s="6"/>
      <c r="DB1488" s="6"/>
      <c r="DC1488" s="6"/>
      <c r="DD1488" s="6"/>
      <c r="DE1488" s="6"/>
      <c r="DF1488" s="6"/>
      <c r="DG1488" s="6"/>
      <c r="DH1488" s="6"/>
      <c r="DI1488" s="6"/>
      <c r="DJ1488" s="6"/>
      <c r="DK1488" s="6"/>
      <c r="DL1488" s="6"/>
      <c r="DM1488" s="6"/>
      <c r="DN1488" s="6"/>
      <c r="DO1488" s="6"/>
      <c r="DP1488" s="6"/>
      <c r="DQ1488" s="6"/>
      <c r="DR1488" s="6"/>
      <c r="DS1488" s="6"/>
      <c r="DT1488" s="6"/>
      <c r="DU1488" s="6"/>
      <c r="DV1488" s="6"/>
      <c r="DW1488" s="6"/>
      <c r="DX1488" s="6"/>
      <c r="DY1488" s="6"/>
      <c r="DZ1488" s="6"/>
      <c r="EA1488" s="6"/>
      <c r="EB1488" s="6"/>
      <c r="EC1488" s="6"/>
      <c r="ED1488" s="6"/>
      <c r="EE1488" s="6"/>
      <c r="EF1488" s="6"/>
      <c r="EG1488" s="6"/>
      <c r="EH1488" s="6"/>
      <c r="EI1488" s="6"/>
      <c r="EJ1488" s="6"/>
      <c r="EK1488" s="6"/>
      <c r="EL1488" s="6"/>
      <c r="EM1488" s="6"/>
      <c r="EN1488" s="6"/>
      <c r="EO1488" s="6"/>
      <c r="EP1488" s="6"/>
      <c r="EQ1488" s="6"/>
      <c r="ER1488" s="6"/>
      <c r="ES1488" s="6"/>
      <c r="ET1488" s="6"/>
      <c r="EU1488" s="6"/>
      <c r="EV1488" s="6"/>
      <c r="EW1488" s="6"/>
      <c r="EX1488" s="6"/>
      <c r="EY1488" s="6"/>
      <c r="EZ1488" s="6"/>
      <c r="FA1488" s="6"/>
      <c r="FB1488" s="6"/>
      <c r="FC1488" s="6"/>
      <c r="FD1488" s="6"/>
      <c r="FE1488" s="6"/>
      <c r="FF1488" s="6"/>
      <c r="FG1488" s="6"/>
      <c r="FH1488" s="6"/>
      <c r="FI1488" s="6"/>
      <c r="FJ1488" s="6"/>
      <c r="FK1488" s="6"/>
      <c r="FL1488" s="6"/>
      <c r="FM1488" s="6"/>
      <c r="FN1488" s="6"/>
      <c r="FO1488" s="6"/>
      <c r="FP1488" s="6"/>
      <c r="FQ1488" s="6"/>
      <c r="FR1488" s="6"/>
      <c r="FS1488" s="6"/>
      <c r="FT1488" s="6"/>
      <c r="FU1488" s="6"/>
      <c r="FV1488" s="6"/>
      <c r="FW1488" s="6"/>
      <c r="FX1488" s="6"/>
      <c r="FY1488" s="6"/>
      <c r="FZ1488" s="6"/>
      <c r="GA1488" s="6"/>
      <c r="GB1488" s="6"/>
      <c r="GC1488" s="6"/>
      <c r="GD1488" s="6"/>
      <c r="GE1488" s="6"/>
      <c r="GF1488" s="6"/>
      <c r="GG1488" s="6"/>
      <c r="GH1488" s="6"/>
      <c r="GI1488" s="6"/>
      <c r="GJ1488" s="6"/>
      <c r="GK1488" s="6"/>
      <c r="GL1488" s="6"/>
      <c r="GM1488" s="6"/>
      <c r="GN1488" s="6"/>
      <c r="GO1488" s="6"/>
      <c r="GP1488" s="6"/>
      <c r="GQ1488" s="6"/>
      <c r="GR1488" s="6"/>
      <c r="GS1488" s="6"/>
      <c r="GT1488" s="6"/>
      <c r="GU1488" s="6"/>
      <c r="GV1488" s="6"/>
      <c r="GW1488" s="6"/>
      <c r="GX1488" s="6"/>
      <c r="GY1488" s="6"/>
      <c r="GZ1488" s="6"/>
      <c r="HA1488" s="6"/>
      <c r="HB1488" s="6"/>
      <c r="HC1488" s="6"/>
      <c r="HD1488" s="6"/>
      <c r="HE1488" s="6"/>
      <c r="HF1488" s="6"/>
      <c r="HG1488" s="6"/>
      <c r="HH1488" s="6"/>
    </row>
    <row r="1489" spans="1:216" x14ac:dyDescent="0.3">
      <c r="A1489" s="8"/>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6"/>
      <c r="AR1489" s="6"/>
      <c r="AS1489" s="6"/>
      <c r="AT1489" s="6"/>
      <c r="AU1489" s="6"/>
      <c r="AV1489" s="6"/>
      <c r="AW1489" s="6"/>
      <c r="AX1489" s="6"/>
      <c r="AY1489" s="6"/>
      <c r="AZ1489" s="6"/>
      <c r="BA1489" s="6"/>
      <c r="BB1489" s="6"/>
      <c r="BC1489" s="6"/>
      <c r="BD1489" s="6"/>
      <c r="BE1489" s="6"/>
      <c r="BF1489" s="6"/>
      <c r="BG1489" s="6"/>
      <c r="BH1489" s="6"/>
      <c r="BI1489" s="6"/>
      <c r="BJ1489" s="6"/>
      <c r="BK1489" s="6"/>
      <c r="BL1489" s="6"/>
      <c r="BM1489" s="6"/>
      <c r="BN1489" s="6"/>
      <c r="BO1489" s="6"/>
      <c r="BP1489" s="6"/>
      <c r="BQ1489" s="6"/>
      <c r="BR1489" s="6"/>
      <c r="BS1489" s="6"/>
      <c r="BT1489" s="6"/>
      <c r="BU1489" s="6"/>
      <c r="BV1489" s="6"/>
      <c r="BW1489" s="6"/>
      <c r="BX1489" s="6"/>
      <c r="BY1489" s="6"/>
      <c r="BZ1489" s="6"/>
      <c r="CA1489" s="6"/>
      <c r="CB1489" s="6"/>
      <c r="CC1489" s="6"/>
      <c r="CD1489" s="6"/>
      <c r="CE1489" s="6"/>
      <c r="CF1489" s="6"/>
      <c r="CG1489" s="6"/>
      <c r="CH1489" s="6"/>
      <c r="CI1489" s="6"/>
      <c r="CJ1489" s="6"/>
      <c r="CK1489" s="6"/>
      <c r="CL1489" s="6"/>
      <c r="CM1489" s="6"/>
      <c r="CN1489" s="6"/>
      <c r="CO1489" s="6"/>
      <c r="CP1489" s="6"/>
      <c r="CQ1489" s="6"/>
      <c r="CR1489" s="6"/>
      <c r="CS1489" s="6"/>
      <c r="CT1489" s="6"/>
      <c r="CU1489" s="6"/>
      <c r="CV1489" s="6"/>
      <c r="CW1489" s="6"/>
      <c r="CX1489" s="6"/>
      <c r="CY1489" s="6"/>
      <c r="CZ1489" s="6"/>
      <c r="DA1489" s="6"/>
      <c r="DB1489" s="6"/>
      <c r="DC1489" s="6"/>
      <c r="DD1489" s="6"/>
      <c r="DE1489" s="6"/>
      <c r="DF1489" s="6"/>
      <c r="DG1489" s="6"/>
      <c r="DH1489" s="6"/>
      <c r="DI1489" s="6"/>
      <c r="DJ1489" s="6"/>
      <c r="DK1489" s="6"/>
      <c r="DL1489" s="6"/>
      <c r="DM1489" s="6"/>
      <c r="DN1489" s="6"/>
      <c r="DO1489" s="6"/>
      <c r="DP1489" s="6"/>
      <c r="DQ1489" s="6"/>
      <c r="DR1489" s="6"/>
      <c r="DS1489" s="6"/>
      <c r="DT1489" s="6"/>
      <c r="DU1489" s="6"/>
      <c r="DV1489" s="6"/>
      <c r="DW1489" s="6"/>
      <c r="DX1489" s="6"/>
      <c r="DY1489" s="6"/>
      <c r="DZ1489" s="6"/>
      <c r="EA1489" s="6"/>
      <c r="EB1489" s="6"/>
      <c r="EC1489" s="6"/>
      <c r="ED1489" s="6"/>
      <c r="EE1489" s="6"/>
      <c r="EF1489" s="6"/>
      <c r="EG1489" s="6"/>
      <c r="EH1489" s="6"/>
      <c r="EI1489" s="6"/>
      <c r="EJ1489" s="6"/>
      <c r="EK1489" s="6"/>
      <c r="EL1489" s="6"/>
      <c r="EM1489" s="6"/>
      <c r="EN1489" s="6"/>
      <c r="EO1489" s="6"/>
      <c r="EP1489" s="6"/>
      <c r="EQ1489" s="6"/>
      <c r="ER1489" s="6"/>
      <c r="ES1489" s="6"/>
      <c r="ET1489" s="6"/>
      <c r="EU1489" s="6"/>
      <c r="EV1489" s="6"/>
      <c r="EW1489" s="6"/>
      <c r="EX1489" s="6"/>
      <c r="EY1489" s="6"/>
      <c r="EZ1489" s="6"/>
      <c r="FA1489" s="6"/>
      <c r="FB1489" s="6"/>
      <c r="FC1489" s="6"/>
      <c r="FD1489" s="6"/>
      <c r="FE1489" s="6"/>
      <c r="FF1489" s="6"/>
      <c r="FG1489" s="6"/>
      <c r="FH1489" s="6"/>
      <c r="FI1489" s="6"/>
      <c r="FJ1489" s="6"/>
      <c r="FK1489" s="6"/>
      <c r="FL1489" s="6"/>
      <c r="FM1489" s="6"/>
      <c r="FN1489" s="6"/>
      <c r="FO1489" s="6"/>
      <c r="FP1489" s="6"/>
      <c r="FQ1489" s="6"/>
      <c r="FR1489" s="6"/>
      <c r="FS1489" s="6"/>
      <c r="FT1489" s="6"/>
      <c r="FU1489" s="6"/>
      <c r="FV1489" s="6"/>
      <c r="FW1489" s="6"/>
      <c r="FX1489" s="6"/>
      <c r="FY1489" s="6"/>
      <c r="FZ1489" s="6"/>
      <c r="GA1489" s="6"/>
      <c r="GB1489" s="6"/>
      <c r="GC1489" s="6"/>
      <c r="GD1489" s="6"/>
      <c r="GE1489" s="6"/>
      <c r="GF1489" s="6"/>
      <c r="GG1489" s="6"/>
      <c r="GH1489" s="6"/>
      <c r="GI1489" s="6"/>
      <c r="GJ1489" s="6"/>
      <c r="GK1489" s="6"/>
      <c r="GL1489" s="6"/>
      <c r="GM1489" s="6"/>
      <c r="GN1489" s="6"/>
      <c r="GO1489" s="6"/>
      <c r="GP1489" s="6"/>
      <c r="GQ1489" s="6"/>
      <c r="GR1489" s="6"/>
      <c r="GS1489" s="6"/>
      <c r="GT1489" s="6"/>
      <c r="GU1489" s="6"/>
      <c r="GV1489" s="6"/>
      <c r="GW1489" s="6"/>
      <c r="GX1489" s="6"/>
      <c r="GY1489" s="6"/>
      <c r="GZ1489" s="6"/>
      <c r="HA1489" s="6"/>
      <c r="HB1489" s="6"/>
      <c r="HC1489" s="6"/>
      <c r="HD1489" s="6"/>
      <c r="HE1489" s="6"/>
      <c r="HF1489" s="6"/>
      <c r="HG1489" s="6"/>
      <c r="HH1489" s="6"/>
    </row>
    <row r="1490" spans="1:216" x14ac:dyDescent="0.3">
      <c r="A1490" s="8"/>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6"/>
      <c r="BF1490" s="6"/>
      <c r="BG1490" s="6"/>
      <c r="BH1490" s="6"/>
      <c r="BI1490" s="6"/>
      <c r="BJ1490" s="6"/>
      <c r="BK1490" s="6"/>
      <c r="BL1490" s="6"/>
      <c r="BM1490" s="6"/>
      <c r="BN1490" s="6"/>
      <c r="BO1490" s="6"/>
      <c r="BP1490" s="6"/>
      <c r="BQ1490" s="6"/>
      <c r="BR1490" s="6"/>
      <c r="BS1490" s="6"/>
      <c r="BT1490" s="6"/>
      <c r="BU1490" s="6"/>
      <c r="BV1490" s="6"/>
      <c r="BW1490" s="6"/>
      <c r="BX1490" s="6"/>
      <c r="BY1490" s="6"/>
      <c r="BZ1490" s="6"/>
      <c r="CA1490" s="6"/>
      <c r="CB1490" s="6"/>
      <c r="CC1490" s="6"/>
      <c r="CD1490" s="6"/>
      <c r="CE1490" s="6"/>
      <c r="CF1490" s="6"/>
      <c r="CG1490" s="6"/>
      <c r="CH1490" s="6"/>
      <c r="CI1490" s="6"/>
      <c r="CJ1490" s="6"/>
      <c r="CK1490" s="6"/>
      <c r="CL1490" s="6"/>
      <c r="CM1490" s="6"/>
      <c r="CN1490" s="6"/>
      <c r="CO1490" s="6"/>
      <c r="CP1490" s="6"/>
      <c r="CQ1490" s="6"/>
      <c r="CR1490" s="6"/>
      <c r="CS1490" s="6"/>
      <c r="CT1490" s="6"/>
      <c r="CU1490" s="6"/>
      <c r="CV1490" s="6"/>
      <c r="CW1490" s="6"/>
      <c r="CX1490" s="6"/>
      <c r="CY1490" s="6"/>
      <c r="CZ1490" s="6"/>
      <c r="DA1490" s="6"/>
      <c r="DB1490" s="6"/>
      <c r="DC1490" s="6"/>
      <c r="DD1490" s="6"/>
      <c r="DE1490" s="6"/>
      <c r="DF1490" s="6"/>
      <c r="DG1490" s="6"/>
      <c r="DH1490" s="6"/>
      <c r="DI1490" s="6"/>
      <c r="DJ1490" s="6"/>
      <c r="DK1490" s="6"/>
      <c r="DL1490" s="6"/>
      <c r="DM1490" s="6"/>
      <c r="DN1490" s="6"/>
      <c r="DO1490" s="6"/>
      <c r="DP1490" s="6"/>
      <c r="DQ1490" s="6"/>
      <c r="DR1490" s="6"/>
      <c r="DS1490" s="6"/>
      <c r="DT1490" s="6"/>
      <c r="DU1490" s="6"/>
      <c r="DV1490" s="6"/>
      <c r="DW1490" s="6"/>
      <c r="DX1490" s="6"/>
      <c r="DY1490" s="6"/>
      <c r="DZ1490" s="6"/>
      <c r="EA1490" s="6"/>
      <c r="EB1490" s="6"/>
      <c r="EC1490" s="6"/>
      <c r="ED1490" s="6"/>
      <c r="EE1490" s="6"/>
      <c r="EF1490" s="6"/>
      <c r="EG1490" s="6"/>
      <c r="EH1490" s="6"/>
      <c r="EI1490" s="6"/>
      <c r="EJ1490" s="6"/>
      <c r="EK1490" s="6"/>
      <c r="EL1490" s="6"/>
      <c r="EM1490" s="6"/>
      <c r="EN1490" s="6"/>
      <c r="EO1490" s="6"/>
      <c r="EP1490" s="6"/>
      <c r="EQ1490" s="6"/>
      <c r="ER1490" s="6"/>
      <c r="ES1490" s="6"/>
      <c r="ET1490" s="6"/>
      <c r="EU1490" s="6"/>
      <c r="EV1490" s="6"/>
      <c r="EW1490" s="6"/>
      <c r="EX1490" s="6"/>
      <c r="EY1490" s="6"/>
      <c r="EZ1490" s="6"/>
      <c r="FA1490" s="6"/>
      <c r="FB1490" s="6"/>
      <c r="FC1490" s="6"/>
      <c r="FD1490" s="6"/>
      <c r="FE1490" s="6"/>
      <c r="FF1490" s="6"/>
      <c r="FG1490" s="6"/>
      <c r="FH1490" s="6"/>
      <c r="FI1490" s="6"/>
      <c r="FJ1490" s="6"/>
      <c r="FK1490" s="6"/>
      <c r="FL1490" s="6"/>
      <c r="FM1490" s="6"/>
      <c r="FN1490" s="6"/>
      <c r="FO1490" s="6"/>
      <c r="FP1490" s="6"/>
      <c r="FQ1490" s="6"/>
      <c r="FR1490" s="6"/>
      <c r="FS1490" s="6"/>
      <c r="FT1490" s="6"/>
      <c r="FU1490" s="6"/>
      <c r="FV1490" s="6"/>
      <c r="FW1490" s="6"/>
      <c r="FX1490" s="6"/>
      <c r="FY1490" s="6"/>
      <c r="FZ1490" s="6"/>
      <c r="GA1490" s="6"/>
      <c r="GB1490" s="6"/>
      <c r="GC1490" s="6"/>
      <c r="GD1490" s="6"/>
      <c r="GE1490" s="6"/>
      <c r="GF1490" s="6"/>
      <c r="GG1490" s="6"/>
      <c r="GH1490" s="6"/>
      <c r="GI1490" s="6"/>
      <c r="GJ1490" s="6"/>
      <c r="GK1490" s="6"/>
      <c r="GL1490" s="6"/>
      <c r="GM1490" s="6"/>
      <c r="GN1490" s="6"/>
      <c r="GO1490" s="6"/>
      <c r="GP1490" s="6"/>
      <c r="GQ1490" s="6"/>
      <c r="GR1490" s="6"/>
      <c r="GS1490" s="6"/>
      <c r="GT1490" s="6"/>
      <c r="GU1490" s="6"/>
      <c r="GV1490" s="6"/>
      <c r="GW1490" s="6"/>
      <c r="GX1490" s="6"/>
      <c r="GY1490" s="6"/>
      <c r="GZ1490" s="6"/>
      <c r="HA1490" s="6"/>
      <c r="HB1490" s="6"/>
      <c r="HC1490" s="6"/>
      <c r="HD1490" s="6"/>
      <c r="HE1490" s="6"/>
      <c r="HF1490" s="6"/>
      <c r="HG1490" s="6"/>
      <c r="HH1490" s="6"/>
    </row>
    <row r="1491" spans="1:216" x14ac:dyDescent="0.3">
      <c r="A1491" s="8"/>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6"/>
      <c r="AR1491" s="6"/>
      <c r="AS1491" s="6"/>
      <c r="AT1491" s="6"/>
      <c r="AU1491" s="6"/>
      <c r="AV1491" s="6"/>
      <c r="AW1491" s="6"/>
      <c r="AX1491" s="6"/>
      <c r="AY1491" s="6"/>
      <c r="AZ1491" s="6"/>
      <c r="BA1491" s="6"/>
      <c r="BB1491" s="6"/>
      <c r="BC1491" s="6"/>
      <c r="BD1491" s="6"/>
      <c r="BE1491" s="6"/>
      <c r="BF1491" s="6"/>
      <c r="BG1491" s="6"/>
      <c r="BH1491" s="6"/>
      <c r="BI1491" s="6"/>
      <c r="BJ1491" s="6"/>
      <c r="BK1491" s="6"/>
      <c r="BL1491" s="6"/>
      <c r="BM1491" s="6"/>
      <c r="BN1491" s="6"/>
      <c r="BO1491" s="6"/>
      <c r="BP1491" s="6"/>
      <c r="BQ1491" s="6"/>
      <c r="BR1491" s="6"/>
      <c r="BS1491" s="6"/>
      <c r="BT1491" s="6"/>
      <c r="BU1491" s="6"/>
      <c r="BV1491" s="6"/>
      <c r="BW1491" s="6"/>
      <c r="BX1491" s="6"/>
      <c r="BY1491" s="6"/>
      <c r="BZ1491" s="6"/>
      <c r="CA1491" s="6"/>
      <c r="CB1491" s="6"/>
      <c r="CC1491" s="6"/>
      <c r="CD1491" s="6"/>
      <c r="CE1491" s="6"/>
      <c r="CF1491" s="6"/>
      <c r="CG1491" s="6"/>
      <c r="CH1491" s="6"/>
      <c r="CI1491" s="6"/>
      <c r="CJ1491" s="6"/>
      <c r="CK1491" s="6"/>
      <c r="CL1491" s="6"/>
      <c r="CM1491" s="6"/>
      <c r="CN1491" s="6"/>
      <c r="CO1491" s="6"/>
      <c r="CP1491" s="6"/>
      <c r="CQ1491" s="6"/>
      <c r="CR1491" s="6"/>
      <c r="CS1491" s="6"/>
      <c r="CT1491" s="6"/>
      <c r="CU1491" s="6"/>
      <c r="CV1491" s="6"/>
      <c r="CW1491" s="6"/>
      <c r="CX1491" s="6"/>
      <c r="CY1491" s="6"/>
      <c r="CZ1491" s="6"/>
      <c r="DA1491" s="6"/>
      <c r="DB1491" s="6"/>
      <c r="DC1491" s="6"/>
      <c r="DD1491" s="6"/>
      <c r="DE1491" s="6"/>
      <c r="DF1491" s="6"/>
      <c r="DG1491" s="6"/>
      <c r="DH1491" s="6"/>
      <c r="DI1491" s="6"/>
      <c r="DJ1491" s="6"/>
      <c r="DK1491" s="6"/>
      <c r="DL1491" s="6"/>
      <c r="DM1491" s="6"/>
      <c r="DN1491" s="6"/>
      <c r="DO1491" s="6"/>
      <c r="DP1491" s="6"/>
      <c r="DQ1491" s="6"/>
      <c r="DR1491" s="6"/>
      <c r="DS1491" s="6"/>
      <c r="DT1491" s="6"/>
      <c r="DU1491" s="6"/>
      <c r="DV1491" s="6"/>
      <c r="DW1491" s="6"/>
      <c r="DX1491" s="6"/>
      <c r="DY1491" s="6"/>
      <c r="DZ1491" s="6"/>
      <c r="EA1491" s="6"/>
      <c r="EB1491" s="6"/>
      <c r="EC1491" s="6"/>
      <c r="ED1491" s="6"/>
      <c r="EE1491" s="6"/>
      <c r="EF1491" s="6"/>
      <c r="EG1491" s="6"/>
      <c r="EH1491" s="6"/>
      <c r="EI1491" s="6"/>
      <c r="EJ1491" s="6"/>
      <c r="EK1491" s="6"/>
      <c r="EL1491" s="6"/>
      <c r="EM1491" s="6"/>
      <c r="EN1491" s="6"/>
      <c r="EO1491" s="6"/>
      <c r="EP1491" s="6"/>
      <c r="EQ1491" s="6"/>
      <c r="ER1491" s="6"/>
      <c r="ES1491" s="6"/>
      <c r="ET1491" s="6"/>
      <c r="EU1491" s="6"/>
      <c r="EV1491" s="6"/>
      <c r="EW1491" s="6"/>
      <c r="EX1491" s="6"/>
      <c r="EY1491" s="6"/>
      <c r="EZ1491" s="6"/>
      <c r="FA1491" s="6"/>
      <c r="FB1491" s="6"/>
      <c r="FC1491" s="6"/>
      <c r="FD1491" s="6"/>
      <c r="FE1491" s="6"/>
      <c r="FF1491" s="6"/>
      <c r="FG1491" s="6"/>
      <c r="FH1491" s="6"/>
      <c r="FI1491" s="6"/>
      <c r="FJ1491" s="6"/>
      <c r="FK1491" s="6"/>
      <c r="FL1491" s="6"/>
      <c r="FM1491" s="6"/>
      <c r="FN1491" s="6"/>
      <c r="FO1491" s="6"/>
      <c r="FP1491" s="6"/>
      <c r="FQ1491" s="6"/>
      <c r="FR1491" s="6"/>
      <c r="FS1491" s="6"/>
      <c r="FT1491" s="6"/>
      <c r="FU1491" s="6"/>
      <c r="FV1491" s="6"/>
      <c r="FW1491" s="6"/>
      <c r="FX1491" s="6"/>
      <c r="FY1491" s="6"/>
      <c r="FZ1491" s="6"/>
      <c r="GA1491" s="6"/>
      <c r="GB1491" s="6"/>
      <c r="GC1491" s="6"/>
      <c r="GD1491" s="6"/>
      <c r="GE1491" s="6"/>
      <c r="GF1491" s="6"/>
      <c r="GG1491" s="6"/>
      <c r="GH1491" s="6"/>
      <c r="GI1491" s="6"/>
      <c r="GJ1491" s="6"/>
      <c r="GK1491" s="6"/>
      <c r="GL1491" s="6"/>
      <c r="GM1491" s="6"/>
      <c r="GN1491" s="6"/>
      <c r="GO1491" s="6"/>
      <c r="GP1491" s="6"/>
      <c r="GQ1491" s="6"/>
      <c r="GR1491" s="6"/>
      <c r="GS1491" s="6"/>
      <c r="GT1491" s="6"/>
      <c r="GU1491" s="6"/>
      <c r="GV1491" s="6"/>
      <c r="GW1491" s="6"/>
      <c r="GX1491" s="6"/>
      <c r="GY1491" s="6"/>
      <c r="GZ1491" s="6"/>
      <c r="HA1491" s="6"/>
      <c r="HB1491" s="6"/>
      <c r="HC1491" s="6"/>
      <c r="HD1491" s="6"/>
      <c r="HE1491" s="6"/>
      <c r="HF1491" s="6"/>
      <c r="HG1491" s="6"/>
      <c r="HH1491" s="6"/>
    </row>
    <row r="1492" spans="1:216" x14ac:dyDescent="0.3">
      <c r="A1492" s="8"/>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6"/>
      <c r="AR1492" s="6"/>
      <c r="AS1492" s="6"/>
      <c r="AT1492" s="6"/>
      <c r="AU1492" s="6"/>
      <c r="AV1492" s="6"/>
      <c r="AW1492" s="6"/>
      <c r="AX1492" s="6"/>
      <c r="AY1492" s="6"/>
      <c r="AZ1492" s="6"/>
      <c r="BA1492" s="6"/>
      <c r="BB1492" s="6"/>
      <c r="BC1492" s="6"/>
      <c r="BD1492" s="6"/>
      <c r="BE1492" s="6"/>
      <c r="BF1492" s="6"/>
      <c r="BG1492" s="6"/>
      <c r="BH1492" s="6"/>
      <c r="BI1492" s="6"/>
      <c r="BJ1492" s="6"/>
      <c r="BK1492" s="6"/>
      <c r="BL1492" s="6"/>
      <c r="BM1492" s="6"/>
      <c r="BN1492" s="6"/>
      <c r="BO1492" s="6"/>
      <c r="BP1492" s="6"/>
      <c r="BQ1492" s="6"/>
      <c r="BR1492" s="6"/>
      <c r="BS1492" s="6"/>
      <c r="BT1492" s="6"/>
      <c r="BU1492" s="6"/>
      <c r="BV1492" s="6"/>
      <c r="BW1492" s="6"/>
      <c r="BX1492" s="6"/>
      <c r="BY1492" s="6"/>
      <c r="BZ1492" s="6"/>
      <c r="CA1492" s="6"/>
      <c r="CB1492" s="6"/>
      <c r="CC1492" s="6"/>
      <c r="CD1492" s="6"/>
      <c r="CE1492" s="6"/>
      <c r="CF1492" s="6"/>
      <c r="CG1492" s="6"/>
      <c r="CH1492" s="6"/>
      <c r="CI1492" s="6"/>
      <c r="CJ1492" s="6"/>
      <c r="CK1492" s="6"/>
      <c r="CL1492" s="6"/>
      <c r="CM1492" s="6"/>
      <c r="CN1492" s="6"/>
      <c r="CO1492" s="6"/>
      <c r="CP1492" s="6"/>
      <c r="CQ1492" s="6"/>
      <c r="CR1492" s="6"/>
      <c r="CS1492" s="6"/>
      <c r="CT1492" s="6"/>
      <c r="CU1492" s="6"/>
      <c r="CV1492" s="6"/>
      <c r="CW1492" s="6"/>
      <c r="CX1492" s="6"/>
      <c r="CY1492" s="6"/>
      <c r="CZ1492" s="6"/>
      <c r="DA1492" s="6"/>
      <c r="DB1492" s="6"/>
      <c r="DC1492" s="6"/>
      <c r="DD1492" s="6"/>
      <c r="DE1492" s="6"/>
      <c r="DF1492" s="6"/>
      <c r="DG1492" s="6"/>
      <c r="DH1492" s="6"/>
      <c r="DI1492" s="6"/>
      <c r="DJ1492" s="6"/>
      <c r="DK1492" s="6"/>
      <c r="DL1492" s="6"/>
      <c r="DM1492" s="6"/>
      <c r="DN1492" s="6"/>
      <c r="DO1492" s="6"/>
      <c r="DP1492" s="6"/>
      <c r="DQ1492" s="6"/>
      <c r="DR1492" s="6"/>
      <c r="DS1492" s="6"/>
      <c r="DT1492" s="6"/>
      <c r="DU1492" s="6"/>
      <c r="DV1492" s="6"/>
      <c r="DW1492" s="6"/>
      <c r="DX1492" s="6"/>
      <c r="DY1492" s="6"/>
      <c r="DZ1492" s="6"/>
      <c r="EA1492" s="6"/>
      <c r="EB1492" s="6"/>
      <c r="EC1492" s="6"/>
      <c r="ED1492" s="6"/>
      <c r="EE1492" s="6"/>
      <c r="EF1492" s="6"/>
      <c r="EG1492" s="6"/>
      <c r="EH1492" s="6"/>
      <c r="EI1492" s="6"/>
      <c r="EJ1492" s="6"/>
      <c r="EK1492" s="6"/>
      <c r="EL1492" s="6"/>
      <c r="EM1492" s="6"/>
      <c r="EN1492" s="6"/>
      <c r="EO1492" s="6"/>
      <c r="EP1492" s="6"/>
      <c r="EQ1492" s="6"/>
      <c r="ER1492" s="6"/>
      <c r="ES1492" s="6"/>
      <c r="ET1492" s="6"/>
      <c r="EU1492" s="6"/>
      <c r="EV1492" s="6"/>
      <c r="EW1492" s="6"/>
      <c r="EX1492" s="6"/>
      <c r="EY1492" s="6"/>
      <c r="EZ1492" s="6"/>
      <c r="FA1492" s="6"/>
      <c r="FB1492" s="6"/>
      <c r="FC1492" s="6"/>
      <c r="FD1492" s="6"/>
      <c r="FE1492" s="6"/>
      <c r="FF1492" s="6"/>
      <c r="FG1492" s="6"/>
      <c r="FH1492" s="6"/>
      <c r="FI1492" s="6"/>
      <c r="FJ1492" s="6"/>
      <c r="FK1492" s="6"/>
      <c r="FL1492" s="6"/>
      <c r="FM1492" s="6"/>
      <c r="FN1492" s="6"/>
      <c r="FO1492" s="6"/>
      <c r="FP1492" s="6"/>
      <c r="FQ1492" s="6"/>
      <c r="FR1492" s="6"/>
      <c r="FS1492" s="6"/>
      <c r="FT1492" s="6"/>
      <c r="FU1492" s="6"/>
      <c r="FV1492" s="6"/>
      <c r="FW1492" s="6"/>
      <c r="FX1492" s="6"/>
      <c r="FY1492" s="6"/>
      <c r="FZ1492" s="6"/>
      <c r="GA1492" s="6"/>
      <c r="GB1492" s="6"/>
      <c r="GC1492" s="6"/>
      <c r="GD1492" s="6"/>
      <c r="GE1492" s="6"/>
      <c r="GF1492" s="6"/>
      <c r="GG1492" s="6"/>
      <c r="GH1492" s="6"/>
      <c r="GI1492" s="6"/>
      <c r="GJ1492" s="6"/>
      <c r="GK1492" s="6"/>
      <c r="GL1492" s="6"/>
      <c r="GM1492" s="6"/>
      <c r="GN1492" s="6"/>
      <c r="GO1492" s="6"/>
      <c r="GP1492" s="6"/>
      <c r="GQ1492" s="6"/>
      <c r="GR1492" s="6"/>
      <c r="GS1492" s="6"/>
      <c r="GT1492" s="6"/>
      <c r="GU1492" s="6"/>
      <c r="GV1492" s="6"/>
      <c r="GW1492" s="6"/>
      <c r="GX1492" s="6"/>
      <c r="GY1492" s="6"/>
      <c r="GZ1492" s="6"/>
      <c r="HA1492" s="6"/>
      <c r="HB1492" s="6"/>
      <c r="HC1492" s="6"/>
      <c r="HD1492" s="6"/>
      <c r="HE1492" s="6"/>
      <c r="HF1492" s="6"/>
      <c r="HG1492" s="6"/>
      <c r="HH1492" s="6"/>
    </row>
    <row r="1493" spans="1:216" x14ac:dyDescent="0.3">
      <c r="A1493" s="8"/>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6"/>
      <c r="AR1493" s="6"/>
      <c r="AS1493" s="6"/>
      <c r="AT1493" s="6"/>
      <c r="AU1493" s="6"/>
      <c r="AV1493" s="6"/>
      <c r="AW1493" s="6"/>
      <c r="AX1493" s="6"/>
      <c r="AY1493" s="6"/>
      <c r="AZ1493" s="6"/>
      <c r="BA1493" s="6"/>
      <c r="BB1493" s="6"/>
      <c r="BC1493" s="6"/>
      <c r="BD1493" s="6"/>
      <c r="BE1493" s="6"/>
      <c r="BF1493" s="6"/>
      <c r="BG1493" s="6"/>
      <c r="BH1493" s="6"/>
      <c r="BI1493" s="6"/>
      <c r="BJ1493" s="6"/>
      <c r="BK1493" s="6"/>
      <c r="BL1493" s="6"/>
      <c r="BM1493" s="6"/>
      <c r="BN1493" s="6"/>
      <c r="BO1493" s="6"/>
      <c r="BP1493" s="6"/>
      <c r="BQ1493" s="6"/>
      <c r="BR1493" s="6"/>
      <c r="BS1493" s="6"/>
      <c r="BT1493" s="6"/>
      <c r="BU1493" s="6"/>
      <c r="BV1493" s="6"/>
      <c r="BW1493" s="6"/>
      <c r="BX1493" s="6"/>
      <c r="BY1493" s="6"/>
      <c r="BZ1493" s="6"/>
      <c r="CA1493" s="6"/>
      <c r="CB1493" s="6"/>
      <c r="CC1493" s="6"/>
      <c r="CD1493" s="6"/>
      <c r="CE1493" s="6"/>
      <c r="CF1493" s="6"/>
      <c r="CG1493" s="6"/>
      <c r="CH1493" s="6"/>
      <c r="CI1493" s="6"/>
      <c r="CJ1493" s="6"/>
      <c r="CK1493" s="6"/>
      <c r="CL1493" s="6"/>
      <c r="CM1493" s="6"/>
      <c r="CN1493" s="6"/>
      <c r="CO1493" s="6"/>
      <c r="CP1493" s="6"/>
      <c r="CQ1493" s="6"/>
      <c r="CR1493" s="6"/>
      <c r="CS1493" s="6"/>
      <c r="CT1493" s="6"/>
      <c r="CU1493" s="6"/>
      <c r="CV1493" s="6"/>
      <c r="CW1493" s="6"/>
      <c r="CX1493" s="6"/>
      <c r="CY1493" s="6"/>
      <c r="CZ1493" s="6"/>
      <c r="DA1493" s="6"/>
      <c r="DB1493" s="6"/>
      <c r="DC1493" s="6"/>
      <c r="DD1493" s="6"/>
      <c r="DE1493" s="6"/>
      <c r="DF1493" s="6"/>
      <c r="DG1493" s="6"/>
      <c r="DH1493" s="6"/>
      <c r="DI1493" s="6"/>
      <c r="DJ1493" s="6"/>
      <c r="DK1493" s="6"/>
      <c r="DL1493" s="6"/>
      <c r="DM1493" s="6"/>
      <c r="DN1493" s="6"/>
      <c r="DO1493" s="6"/>
      <c r="DP1493" s="6"/>
      <c r="DQ1493" s="6"/>
      <c r="DR1493" s="6"/>
      <c r="DS1493" s="6"/>
      <c r="DT1493" s="6"/>
      <c r="DU1493" s="6"/>
      <c r="DV1493" s="6"/>
      <c r="DW1493" s="6"/>
      <c r="DX1493" s="6"/>
      <c r="DY1493" s="6"/>
      <c r="DZ1493" s="6"/>
      <c r="EA1493" s="6"/>
      <c r="EB1493" s="6"/>
      <c r="EC1493" s="6"/>
      <c r="ED1493" s="6"/>
      <c r="EE1493" s="6"/>
      <c r="EF1493" s="6"/>
      <c r="EG1493" s="6"/>
      <c r="EH1493" s="6"/>
      <c r="EI1493" s="6"/>
      <c r="EJ1493" s="6"/>
      <c r="EK1493" s="6"/>
      <c r="EL1493" s="6"/>
      <c r="EM1493" s="6"/>
      <c r="EN1493" s="6"/>
      <c r="EO1493" s="6"/>
      <c r="EP1493" s="6"/>
      <c r="EQ1493" s="6"/>
      <c r="ER1493" s="6"/>
      <c r="ES1493" s="6"/>
      <c r="ET1493" s="6"/>
      <c r="EU1493" s="6"/>
      <c r="EV1493" s="6"/>
      <c r="EW1493" s="6"/>
      <c r="EX1493" s="6"/>
      <c r="EY1493" s="6"/>
      <c r="EZ1493" s="6"/>
      <c r="FA1493" s="6"/>
      <c r="FB1493" s="6"/>
      <c r="FC1493" s="6"/>
      <c r="FD1493" s="6"/>
      <c r="FE1493" s="6"/>
      <c r="FF1493" s="6"/>
      <c r="FG1493" s="6"/>
      <c r="FH1493" s="6"/>
      <c r="FI1493" s="6"/>
      <c r="FJ1493" s="6"/>
      <c r="FK1493" s="6"/>
      <c r="FL1493" s="6"/>
      <c r="FM1493" s="6"/>
      <c r="FN1493" s="6"/>
      <c r="FO1493" s="6"/>
      <c r="FP1493" s="6"/>
      <c r="FQ1493" s="6"/>
      <c r="FR1493" s="6"/>
      <c r="FS1493" s="6"/>
      <c r="FT1493" s="6"/>
      <c r="FU1493" s="6"/>
      <c r="FV1493" s="6"/>
      <c r="FW1493" s="6"/>
      <c r="FX1493" s="6"/>
      <c r="FY1493" s="6"/>
      <c r="FZ1493" s="6"/>
      <c r="GA1493" s="6"/>
      <c r="GB1493" s="6"/>
      <c r="GC1493" s="6"/>
      <c r="GD1493" s="6"/>
      <c r="GE1493" s="6"/>
      <c r="GF1493" s="6"/>
      <c r="GG1493" s="6"/>
      <c r="GH1493" s="6"/>
      <c r="GI1493" s="6"/>
      <c r="GJ1493" s="6"/>
      <c r="GK1493" s="6"/>
      <c r="GL1493" s="6"/>
      <c r="GM1493" s="6"/>
      <c r="GN1493" s="6"/>
      <c r="GO1493" s="6"/>
      <c r="GP1493" s="6"/>
      <c r="GQ1493" s="6"/>
      <c r="GR1493" s="6"/>
      <c r="GS1493" s="6"/>
      <c r="GT1493" s="6"/>
      <c r="GU1493" s="6"/>
      <c r="GV1493" s="6"/>
      <c r="GW1493" s="6"/>
      <c r="GX1493" s="6"/>
      <c r="GY1493" s="6"/>
      <c r="GZ1493" s="6"/>
      <c r="HA1493" s="6"/>
      <c r="HB1493" s="6"/>
      <c r="HC1493" s="6"/>
      <c r="HD1493" s="6"/>
      <c r="HE1493" s="6"/>
      <c r="HF1493" s="6"/>
      <c r="HG1493" s="6"/>
      <c r="HH1493" s="6"/>
    </row>
    <row r="1494" spans="1:216" x14ac:dyDescent="0.3">
      <c r="A1494" s="8"/>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6"/>
      <c r="AR1494" s="6"/>
      <c r="AS1494" s="6"/>
      <c r="AT1494" s="6"/>
      <c r="AU1494" s="6"/>
      <c r="AV1494" s="6"/>
      <c r="AW1494" s="6"/>
      <c r="AX1494" s="6"/>
      <c r="AY1494" s="6"/>
      <c r="AZ1494" s="6"/>
      <c r="BA1494" s="6"/>
      <c r="BB1494" s="6"/>
      <c r="BC1494" s="6"/>
      <c r="BD1494" s="6"/>
      <c r="BE1494" s="6"/>
      <c r="BF1494" s="6"/>
      <c r="BG1494" s="6"/>
      <c r="BH1494" s="6"/>
      <c r="BI1494" s="6"/>
      <c r="BJ1494" s="6"/>
      <c r="BK1494" s="6"/>
      <c r="BL1494" s="6"/>
      <c r="BM1494" s="6"/>
      <c r="BN1494" s="6"/>
      <c r="BO1494" s="6"/>
      <c r="BP1494" s="6"/>
      <c r="BQ1494" s="6"/>
      <c r="BR1494" s="6"/>
      <c r="BS1494" s="6"/>
      <c r="BT1494" s="6"/>
      <c r="BU1494" s="6"/>
      <c r="BV1494" s="6"/>
      <c r="BW1494" s="6"/>
      <c r="BX1494" s="6"/>
      <c r="BY1494" s="6"/>
      <c r="BZ1494" s="6"/>
      <c r="CA1494" s="6"/>
      <c r="CB1494" s="6"/>
      <c r="CC1494" s="6"/>
      <c r="CD1494" s="6"/>
      <c r="CE1494" s="6"/>
      <c r="CF1494" s="6"/>
      <c r="CG1494" s="6"/>
      <c r="CH1494" s="6"/>
      <c r="CI1494" s="6"/>
      <c r="CJ1494" s="6"/>
      <c r="CK1494" s="6"/>
      <c r="CL1494" s="6"/>
      <c r="CM1494" s="6"/>
      <c r="CN1494" s="6"/>
      <c r="CO1494" s="6"/>
      <c r="CP1494" s="6"/>
      <c r="CQ1494" s="6"/>
      <c r="CR1494" s="6"/>
      <c r="CS1494" s="6"/>
      <c r="CT1494" s="6"/>
      <c r="CU1494" s="6"/>
      <c r="CV1494" s="6"/>
      <c r="CW1494" s="6"/>
      <c r="CX1494" s="6"/>
      <c r="CY1494" s="6"/>
      <c r="CZ1494" s="6"/>
      <c r="DA1494" s="6"/>
      <c r="DB1494" s="6"/>
      <c r="DC1494" s="6"/>
      <c r="DD1494" s="6"/>
      <c r="DE1494" s="6"/>
      <c r="DF1494" s="6"/>
      <c r="DG1494" s="6"/>
      <c r="DH1494" s="6"/>
      <c r="DI1494" s="6"/>
      <c r="DJ1494" s="6"/>
      <c r="DK1494" s="6"/>
      <c r="DL1494" s="6"/>
      <c r="DM1494" s="6"/>
      <c r="DN1494" s="6"/>
      <c r="DO1494" s="6"/>
      <c r="DP1494" s="6"/>
      <c r="DQ1494" s="6"/>
      <c r="DR1494" s="6"/>
      <c r="DS1494" s="6"/>
      <c r="DT1494" s="6"/>
      <c r="DU1494" s="6"/>
      <c r="DV1494" s="6"/>
      <c r="DW1494" s="6"/>
      <c r="DX1494" s="6"/>
      <c r="DY1494" s="6"/>
      <c r="DZ1494" s="6"/>
      <c r="EA1494" s="6"/>
      <c r="EB1494" s="6"/>
      <c r="EC1494" s="6"/>
      <c r="ED1494" s="6"/>
      <c r="EE1494" s="6"/>
      <c r="EF1494" s="6"/>
      <c r="EG1494" s="6"/>
      <c r="EH1494" s="6"/>
      <c r="EI1494" s="6"/>
      <c r="EJ1494" s="6"/>
      <c r="EK1494" s="6"/>
      <c r="EL1494" s="6"/>
      <c r="EM1494" s="6"/>
      <c r="EN1494" s="6"/>
      <c r="EO1494" s="6"/>
      <c r="EP1494" s="6"/>
      <c r="EQ1494" s="6"/>
      <c r="ER1494" s="6"/>
      <c r="ES1494" s="6"/>
      <c r="ET1494" s="6"/>
      <c r="EU1494" s="6"/>
      <c r="EV1494" s="6"/>
      <c r="EW1494" s="6"/>
      <c r="EX1494" s="6"/>
      <c r="EY1494" s="6"/>
      <c r="EZ1494" s="6"/>
      <c r="FA1494" s="6"/>
      <c r="FB1494" s="6"/>
      <c r="FC1494" s="6"/>
      <c r="FD1494" s="6"/>
      <c r="FE1494" s="6"/>
      <c r="FF1494" s="6"/>
      <c r="FG1494" s="6"/>
      <c r="FH1494" s="6"/>
      <c r="FI1494" s="6"/>
      <c r="FJ1494" s="6"/>
      <c r="FK1494" s="6"/>
      <c r="FL1494" s="6"/>
      <c r="FM1494" s="6"/>
      <c r="FN1494" s="6"/>
      <c r="FO1494" s="6"/>
      <c r="FP1494" s="6"/>
      <c r="FQ1494" s="6"/>
      <c r="FR1494" s="6"/>
      <c r="FS1494" s="6"/>
      <c r="FT1494" s="6"/>
      <c r="FU1494" s="6"/>
      <c r="FV1494" s="6"/>
      <c r="FW1494" s="6"/>
      <c r="FX1494" s="6"/>
      <c r="FY1494" s="6"/>
      <c r="FZ1494" s="6"/>
      <c r="GA1494" s="6"/>
      <c r="GB1494" s="6"/>
      <c r="GC1494" s="6"/>
      <c r="GD1494" s="6"/>
      <c r="GE1494" s="6"/>
      <c r="GF1494" s="6"/>
      <c r="GG1494" s="6"/>
      <c r="GH1494" s="6"/>
      <c r="GI1494" s="6"/>
      <c r="GJ1494" s="6"/>
      <c r="GK1494" s="6"/>
      <c r="GL1494" s="6"/>
      <c r="GM1494" s="6"/>
      <c r="GN1494" s="6"/>
      <c r="GO1494" s="6"/>
      <c r="GP1494" s="6"/>
      <c r="GQ1494" s="6"/>
      <c r="GR1494" s="6"/>
      <c r="GS1494" s="6"/>
      <c r="GT1494" s="6"/>
      <c r="GU1494" s="6"/>
      <c r="GV1494" s="6"/>
      <c r="GW1494" s="6"/>
      <c r="GX1494" s="6"/>
      <c r="GY1494" s="6"/>
      <c r="GZ1494" s="6"/>
      <c r="HA1494" s="6"/>
      <c r="HB1494" s="6"/>
      <c r="HC1494" s="6"/>
      <c r="HD1494" s="6"/>
      <c r="HE1494" s="6"/>
      <c r="HF1494" s="6"/>
      <c r="HG1494" s="6"/>
      <c r="HH1494" s="6"/>
    </row>
    <row r="1495" spans="1:216" x14ac:dyDescent="0.3">
      <c r="A1495" s="8"/>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6"/>
      <c r="AR1495" s="6"/>
      <c r="AS1495" s="6"/>
      <c r="AT1495" s="6"/>
      <c r="AU1495" s="6"/>
      <c r="AV1495" s="6"/>
      <c r="AW1495" s="6"/>
      <c r="AX1495" s="6"/>
      <c r="AY1495" s="6"/>
      <c r="AZ1495" s="6"/>
      <c r="BA1495" s="6"/>
      <c r="BB1495" s="6"/>
      <c r="BC1495" s="6"/>
      <c r="BD1495" s="6"/>
      <c r="BE1495" s="6"/>
      <c r="BF1495" s="6"/>
      <c r="BG1495" s="6"/>
      <c r="BH1495" s="6"/>
      <c r="BI1495" s="6"/>
      <c r="BJ1495" s="6"/>
      <c r="BK1495" s="6"/>
      <c r="BL1495" s="6"/>
      <c r="BM1495" s="6"/>
      <c r="BN1495" s="6"/>
      <c r="BO1495" s="6"/>
      <c r="BP1495" s="6"/>
      <c r="BQ1495" s="6"/>
      <c r="BR1495" s="6"/>
      <c r="BS1495" s="6"/>
      <c r="BT1495" s="6"/>
      <c r="BU1495" s="6"/>
      <c r="BV1495" s="6"/>
      <c r="BW1495" s="6"/>
      <c r="BX1495" s="6"/>
      <c r="BY1495" s="6"/>
      <c r="BZ1495" s="6"/>
      <c r="CA1495" s="6"/>
      <c r="CB1495" s="6"/>
      <c r="CC1495" s="6"/>
      <c r="CD1495" s="6"/>
      <c r="CE1495" s="6"/>
      <c r="CF1495" s="6"/>
      <c r="CG1495" s="6"/>
      <c r="CH1495" s="6"/>
      <c r="CI1495" s="6"/>
      <c r="CJ1495" s="6"/>
      <c r="CK1495" s="6"/>
      <c r="CL1495" s="6"/>
      <c r="CM1495" s="6"/>
      <c r="CN1495" s="6"/>
      <c r="CO1495" s="6"/>
      <c r="CP1495" s="6"/>
      <c r="CQ1495" s="6"/>
      <c r="CR1495" s="6"/>
      <c r="CS1495" s="6"/>
      <c r="CT1495" s="6"/>
      <c r="CU1495" s="6"/>
      <c r="CV1495" s="6"/>
      <c r="CW1495" s="6"/>
      <c r="CX1495" s="6"/>
      <c r="CY1495" s="6"/>
      <c r="CZ1495" s="6"/>
      <c r="DA1495" s="6"/>
      <c r="DB1495" s="6"/>
      <c r="DC1495" s="6"/>
      <c r="DD1495" s="6"/>
      <c r="DE1495" s="6"/>
      <c r="DF1495" s="6"/>
      <c r="DG1495" s="6"/>
      <c r="DH1495" s="6"/>
      <c r="DI1495" s="6"/>
      <c r="DJ1495" s="6"/>
      <c r="DK1495" s="6"/>
      <c r="DL1495" s="6"/>
      <c r="DM1495" s="6"/>
      <c r="DN1495" s="6"/>
      <c r="DO1495" s="6"/>
      <c r="DP1495" s="6"/>
      <c r="DQ1495" s="6"/>
      <c r="DR1495" s="6"/>
      <c r="DS1495" s="6"/>
      <c r="DT1495" s="6"/>
      <c r="DU1495" s="6"/>
      <c r="DV1495" s="6"/>
      <c r="DW1495" s="6"/>
      <c r="DX1495" s="6"/>
      <c r="DY1495" s="6"/>
      <c r="DZ1495" s="6"/>
      <c r="EA1495" s="6"/>
      <c r="EB1495" s="6"/>
      <c r="EC1495" s="6"/>
      <c r="ED1495" s="6"/>
      <c r="EE1495" s="6"/>
      <c r="EF1495" s="6"/>
      <c r="EG1495" s="6"/>
      <c r="EH1495" s="6"/>
      <c r="EI1495" s="6"/>
      <c r="EJ1495" s="6"/>
      <c r="EK1495" s="6"/>
      <c r="EL1495" s="6"/>
      <c r="EM1495" s="6"/>
      <c r="EN1495" s="6"/>
      <c r="EO1495" s="6"/>
      <c r="EP1495" s="6"/>
      <c r="EQ1495" s="6"/>
      <c r="ER1495" s="6"/>
      <c r="ES1495" s="6"/>
      <c r="ET1495" s="6"/>
      <c r="EU1495" s="6"/>
      <c r="EV1495" s="6"/>
      <c r="EW1495" s="6"/>
      <c r="EX1495" s="6"/>
      <c r="EY1495" s="6"/>
      <c r="EZ1495" s="6"/>
      <c r="FA1495" s="6"/>
      <c r="FB1495" s="6"/>
      <c r="FC1495" s="6"/>
      <c r="FD1495" s="6"/>
      <c r="FE1495" s="6"/>
      <c r="FF1495" s="6"/>
      <c r="FG1495" s="6"/>
      <c r="FH1495" s="6"/>
      <c r="FI1495" s="6"/>
      <c r="FJ1495" s="6"/>
      <c r="FK1495" s="6"/>
      <c r="FL1495" s="6"/>
      <c r="FM1495" s="6"/>
      <c r="FN1495" s="6"/>
      <c r="FO1495" s="6"/>
      <c r="FP1495" s="6"/>
      <c r="FQ1495" s="6"/>
      <c r="FR1495" s="6"/>
      <c r="FS1495" s="6"/>
      <c r="FT1495" s="6"/>
      <c r="FU1495" s="6"/>
      <c r="FV1495" s="6"/>
      <c r="FW1495" s="6"/>
      <c r="FX1495" s="6"/>
      <c r="FY1495" s="6"/>
      <c r="FZ1495" s="6"/>
      <c r="GA1495" s="6"/>
      <c r="GB1495" s="6"/>
      <c r="GC1495" s="6"/>
      <c r="GD1495" s="6"/>
      <c r="GE1495" s="6"/>
      <c r="GF1495" s="6"/>
      <c r="GG1495" s="6"/>
      <c r="GH1495" s="6"/>
      <c r="GI1495" s="6"/>
      <c r="GJ1495" s="6"/>
      <c r="GK1495" s="6"/>
      <c r="GL1495" s="6"/>
      <c r="GM1495" s="6"/>
      <c r="GN1495" s="6"/>
      <c r="GO1495" s="6"/>
      <c r="GP1495" s="6"/>
      <c r="GQ1495" s="6"/>
      <c r="GR1495" s="6"/>
      <c r="GS1495" s="6"/>
      <c r="GT1495" s="6"/>
      <c r="GU1495" s="6"/>
      <c r="GV1495" s="6"/>
      <c r="GW1495" s="6"/>
      <c r="GX1495" s="6"/>
      <c r="GY1495" s="6"/>
      <c r="GZ1495" s="6"/>
      <c r="HA1495" s="6"/>
      <c r="HB1495" s="6"/>
      <c r="HC1495" s="6"/>
      <c r="HD1495" s="6"/>
      <c r="HE1495" s="6"/>
      <c r="HF1495" s="6"/>
      <c r="HG1495" s="6"/>
      <c r="HH1495" s="6"/>
    </row>
    <row r="1496" spans="1:216" x14ac:dyDescent="0.3">
      <c r="A1496" s="8"/>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6"/>
      <c r="AR1496" s="6"/>
      <c r="AS1496" s="6"/>
      <c r="AT1496" s="6"/>
      <c r="AU1496" s="6"/>
      <c r="AV1496" s="6"/>
      <c r="AW1496" s="6"/>
      <c r="AX1496" s="6"/>
      <c r="AY1496" s="6"/>
      <c r="AZ1496" s="6"/>
      <c r="BA1496" s="6"/>
      <c r="BB1496" s="6"/>
      <c r="BC1496" s="6"/>
      <c r="BD1496" s="6"/>
      <c r="BE1496" s="6"/>
      <c r="BF1496" s="6"/>
      <c r="BG1496" s="6"/>
      <c r="BH1496" s="6"/>
      <c r="BI1496" s="6"/>
      <c r="BJ1496" s="6"/>
      <c r="BK1496" s="6"/>
      <c r="BL1496" s="6"/>
      <c r="BM1496" s="6"/>
      <c r="BN1496" s="6"/>
      <c r="BO1496" s="6"/>
      <c r="BP1496" s="6"/>
      <c r="BQ1496" s="6"/>
      <c r="BR1496" s="6"/>
      <c r="BS1496" s="6"/>
      <c r="BT1496" s="6"/>
      <c r="BU1496" s="6"/>
      <c r="BV1496" s="6"/>
      <c r="BW1496" s="6"/>
      <c r="BX1496" s="6"/>
      <c r="BY1496" s="6"/>
      <c r="BZ1496" s="6"/>
      <c r="CA1496" s="6"/>
      <c r="CB1496" s="6"/>
      <c r="CC1496" s="6"/>
      <c r="CD1496" s="6"/>
      <c r="CE1496" s="6"/>
      <c r="CF1496" s="6"/>
      <c r="CG1496" s="6"/>
      <c r="CH1496" s="6"/>
      <c r="CI1496" s="6"/>
      <c r="CJ1496" s="6"/>
      <c r="CK1496" s="6"/>
      <c r="CL1496" s="6"/>
      <c r="CM1496" s="6"/>
      <c r="CN1496" s="6"/>
      <c r="CO1496" s="6"/>
      <c r="CP1496" s="6"/>
      <c r="CQ1496" s="6"/>
      <c r="CR1496" s="6"/>
      <c r="CS1496" s="6"/>
      <c r="CT1496" s="6"/>
      <c r="CU1496" s="6"/>
      <c r="CV1496" s="6"/>
      <c r="CW1496" s="6"/>
      <c r="CX1496" s="6"/>
      <c r="CY1496" s="6"/>
      <c r="CZ1496" s="6"/>
      <c r="DA1496" s="6"/>
      <c r="DB1496" s="6"/>
      <c r="DC1496" s="6"/>
      <c r="DD1496" s="6"/>
      <c r="DE1496" s="6"/>
      <c r="DF1496" s="6"/>
      <c r="DG1496" s="6"/>
      <c r="DH1496" s="6"/>
      <c r="DI1496" s="6"/>
      <c r="DJ1496" s="6"/>
      <c r="DK1496" s="6"/>
      <c r="DL1496" s="6"/>
      <c r="DM1496" s="6"/>
      <c r="DN1496" s="6"/>
      <c r="DO1496" s="6"/>
      <c r="DP1496" s="6"/>
      <c r="DQ1496" s="6"/>
      <c r="DR1496" s="6"/>
      <c r="DS1496" s="6"/>
      <c r="DT1496" s="6"/>
      <c r="DU1496" s="6"/>
      <c r="DV1496" s="6"/>
      <c r="DW1496" s="6"/>
      <c r="DX1496" s="6"/>
      <c r="DY1496" s="6"/>
      <c r="DZ1496" s="6"/>
      <c r="EA1496" s="6"/>
      <c r="EB1496" s="6"/>
      <c r="EC1496" s="6"/>
      <c r="ED1496" s="6"/>
      <c r="EE1496" s="6"/>
      <c r="EF1496" s="6"/>
      <c r="EG1496" s="6"/>
      <c r="EH1496" s="6"/>
      <c r="EI1496" s="6"/>
      <c r="EJ1496" s="6"/>
      <c r="EK1496" s="6"/>
      <c r="EL1496" s="6"/>
      <c r="EM1496" s="6"/>
      <c r="EN1496" s="6"/>
      <c r="EO1496" s="6"/>
      <c r="EP1496" s="6"/>
      <c r="EQ1496" s="6"/>
      <c r="ER1496" s="6"/>
      <c r="ES1496" s="6"/>
      <c r="ET1496" s="6"/>
      <c r="EU1496" s="6"/>
      <c r="EV1496" s="6"/>
      <c r="EW1496" s="6"/>
      <c r="EX1496" s="6"/>
      <c r="EY1496" s="6"/>
      <c r="EZ1496" s="6"/>
      <c r="FA1496" s="6"/>
      <c r="FB1496" s="6"/>
      <c r="FC1496" s="6"/>
      <c r="FD1496" s="6"/>
      <c r="FE1496" s="6"/>
      <c r="FF1496" s="6"/>
      <c r="FG1496" s="6"/>
      <c r="FH1496" s="6"/>
      <c r="FI1496" s="6"/>
      <c r="FJ1496" s="6"/>
      <c r="FK1496" s="6"/>
      <c r="FL1496" s="6"/>
      <c r="FM1496" s="6"/>
      <c r="FN1496" s="6"/>
      <c r="FO1496" s="6"/>
      <c r="FP1496" s="6"/>
      <c r="FQ1496" s="6"/>
      <c r="FR1496" s="6"/>
      <c r="FS1496" s="6"/>
      <c r="FT1496" s="6"/>
      <c r="FU1496" s="6"/>
      <c r="FV1496" s="6"/>
      <c r="FW1496" s="6"/>
      <c r="FX1496" s="6"/>
      <c r="FY1496" s="6"/>
      <c r="FZ1496" s="6"/>
      <c r="GA1496" s="6"/>
      <c r="GB1496" s="6"/>
      <c r="GC1496" s="6"/>
      <c r="GD1496" s="6"/>
      <c r="GE1496" s="6"/>
      <c r="GF1496" s="6"/>
      <c r="GG1496" s="6"/>
      <c r="GH1496" s="6"/>
      <c r="GI1496" s="6"/>
      <c r="GJ1496" s="6"/>
      <c r="GK1496" s="6"/>
      <c r="GL1496" s="6"/>
      <c r="GM1496" s="6"/>
      <c r="GN1496" s="6"/>
      <c r="GO1496" s="6"/>
      <c r="GP1496" s="6"/>
      <c r="GQ1496" s="6"/>
      <c r="GR1496" s="6"/>
      <c r="GS1496" s="6"/>
      <c r="GT1496" s="6"/>
      <c r="GU1496" s="6"/>
      <c r="GV1496" s="6"/>
      <c r="GW1496" s="6"/>
      <c r="GX1496" s="6"/>
      <c r="GY1496" s="6"/>
      <c r="GZ1496" s="6"/>
      <c r="HA1496" s="6"/>
      <c r="HB1496" s="6"/>
      <c r="HC1496" s="6"/>
      <c r="HD1496" s="6"/>
      <c r="HE1496" s="6"/>
      <c r="HF1496" s="6"/>
      <c r="HG1496" s="6"/>
      <c r="HH1496" s="6"/>
    </row>
    <row r="1497" spans="1:216" x14ac:dyDescent="0.3">
      <c r="A1497" s="8"/>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6"/>
      <c r="AR1497" s="6"/>
      <c r="AS1497" s="6"/>
      <c r="AT1497" s="6"/>
      <c r="AU1497" s="6"/>
      <c r="AV1497" s="6"/>
      <c r="AW1497" s="6"/>
      <c r="AX1497" s="6"/>
      <c r="AY1497" s="6"/>
      <c r="AZ1497" s="6"/>
      <c r="BA1497" s="6"/>
      <c r="BB1497" s="6"/>
      <c r="BC1497" s="6"/>
      <c r="BD1497" s="6"/>
      <c r="BE1497" s="6"/>
      <c r="BF1497" s="6"/>
      <c r="BG1497" s="6"/>
      <c r="BH1497" s="6"/>
      <c r="BI1497" s="6"/>
      <c r="BJ1497" s="6"/>
      <c r="BK1497" s="6"/>
      <c r="BL1497" s="6"/>
      <c r="BM1497" s="6"/>
      <c r="BN1497" s="6"/>
      <c r="BO1497" s="6"/>
      <c r="BP1497" s="6"/>
      <c r="BQ1497" s="6"/>
      <c r="BR1497" s="6"/>
      <c r="BS1497" s="6"/>
      <c r="BT1497" s="6"/>
      <c r="BU1497" s="6"/>
      <c r="BV1497" s="6"/>
      <c r="BW1497" s="6"/>
      <c r="BX1497" s="6"/>
      <c r="BY1497" s="6"/>
      <c r="BZ1497" s="6"/>
      <c r="CA1497" s="6"/>
      <c r="CB1497" s="6"/>
      <c r="CC1497" s="6"/>
      <c r="CD1497" s="6"/>
      <c r="CE1497" s="6"/>
      <c r="CF1497" s="6"/>
      <c r="CG1497" s="6"/>
      <c r="CH1497" s="6"/>
      <c r="CI1497" s="6"/>
      <c r="CJ1497" s="6"/>
      <c r="CK1497" s="6"/>
      <c r="CL1497" s="6"/>
      <c r="CM1497" s="6"/>
      <c r="CN1497" s="6"/>
      <c r="CO1497" s="6"/>
      <c r="CP1497" s="6"/>
      <c r="CQ1497" s="6"/>
      <c r="CR1497" s="6"/>
      <c r="CS1497" s="6"/>
      <c r="CT1497" s="6"/>
      <c r="CU1497" s="6"/>
      <c r="CV1497" s="6"/>
      <c r="CW1497" s="6"/>
      <c r="CX1497" s="6"/>
      <c r="CY1497" s="6"/>
      <c r="CZ1497" s="6"/>
      <c r="DA1497" s="6"/>
      <c r="DB1497" s="6"/>
      <c r="DC1497" s="6"/>
      <c r="DD1497" s="6"/>
      <c r="DE1497" s="6"/>
      <c r="DF1497" s="6"/>
      <c r="DG1497" s="6"/>
      <c r="DH1497" s="6"/>
      <c r="DI1497" s="6"/>
      <c r="DJ1497" s="6"/>
      <c r="DK1497" s="6"/>
      <c r="DL1497" s="6"/>
      <c r="DM1497" s="6"/>
      <c r="DN1497" s="6"/>
      <c r="DO1497" s="6"/>
      <c r="DP1497" s="6"/>
      <c r="DQ1497" s="6"/>
      <c r="DR1497" s="6"/>
      <c r="DS1497" s="6"/>
      <c r="DT1497" s="6"/>
      <c r="DU1497" s="6"/>
      <c r="DV1497" s="6"/>
      <c r="DW1497" s="6"/>
      <c r="DX1497" s="6"/>
      <c r="DY1497" s="6"/>
      <c r="DZ1497" s="6"/>
      <c r="EA1497" s="6"/>
      <c r="EB1497" s="6"/>
      <c r="EC1497" s="6"/>
      <c r="ED1497" s="6"/>
      <c r="EE1497" s="6"/>
      <c r="EF1497" s="6"/>
      <c r="EG1497" s="6"/>
      <c r="EH1497" s="6"/>
      <c r="EI1497" s="6"/>
      <c r="EJ1497" s="6"/>
      <c r="EK1497" s="6"/>
      <c r="EL1497" s="6"/>
      <c r="EM1497" s="6"/>
      <c r="EN1497" s="6"/>
      <c r="EO1497" s="6"/>
      <c r="EP1497" s="6"/>
      <c r="EQ1497" s="6"/>
      <c r="ER1497" s="6"/>
      <c r="ES1497" s="6"/>
      <c r="ET1497" s="6"/>
      <c r="EU1497" s="6"/>
      <c r="EV1497" s="6"/>
      <c r="EW1497" s="6"/>
      <c r="EX1497" s="6"/>
      <c r="EY1497" s="6"/>
      <c r="EZ1497" s="6"/>
      <c r="FA1497" s="6"/>
      <c r="FB1497" s="6"/>
      <c r="FC1497" s="6"/>
      <c r="FD1497" s="6"/>
      <c r="FE1497" s="6"/>
      <c r="FF1497" s="6"/>
      <c r="FG1497" s="6"/>
      <c r="FH1497" s="6"/>
      <c r="FI1497" s="6"/>
      <c r="FJ1497" s="6"/>
      <c r="FK1497" s="6"/>
      <c r="FL1497" s="6"/>
      <c r="FM1497" s="6"/>
      <c r="FN1497" s="6"/>
      <c r="FO1497" s="6"/>
      <c r="FP1497" s="6"/>
      <c r="FQ1497" s="6"/>
      <c r="FR1497" s="6"/>
      <c r="FS1497" s="6"/>
      <c r="FT1497" s="6"/>
      <c r="FU1497" s="6"/>
      <c r="FV1497" s="6"/>
      <c r="FW1497" s="6"/>
      <c r="FX1497" s="6"/>
      <c r="FY1497" s="6"/>
      <c r="FZ1497" s="6"/>
      <c r="GA1497" s="6"/>
      <c r="GB1497" s="6"/>
      <c r="GC1497" s="6"/>
      <c r="GD1497" s="6"/>
      <c r="GE1497" s="6"/>
      <c r="GF1497" s="6"/>
      <c r="GG1497" s="6"/>
      <c r="GH1497" s="6"/>
      <c r="GI1497" s="6"/>
      <c r="GJ1497" s="6"/>
      <c r="GK1497" s="6"/>
      <c r="GL1497" s="6"/>
      <c r="GM1497" s="6"/>
      <c r="GN1497" s="6"/>
      <c r="GO1497" s="6"/>
      <c r="GP1497" s="6"/>
      <c r="GQ1497" s="6"/>
      <c r="GR1497" s="6"/>
      <c r="GS1497" s="6"/>
      <c r="GT1497" s="6"/>
      <c r="GU1497" s="6"/>
      <c r="GV1497" s="6"/>
      <c r="GW1497" s="6"/>
      <c r="GX1497" s="6"/>
      <c r="GY1497" s="6"/>
      <c r="GZ1497" s="6"/>
      <c r="HA1497" s="6"/>
      <c r="HB1497" s="6"/>
      <c r="HC1497" s="6"/>
      <c r="HD1497" s="6"/>
      <c r="HE1497" s="6"/>
      <c r="HF1497" s="6"/>
      <c r="HG1497" s="6"/>
      <c r="HH1497" s="6"/>
    </row>
    <row r="1498" spans="1:216" x14ac:dyDescent="0.3">
      <c r="A1498" s="8"/>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6"/>
      <c r="AR1498" s="6"/>
      <c r="AS1498" s="6"/>
      <c r="AT1498" s="6"/>
      <c r="AU1498" s="6"/>
      <c r="AV1498" s="6"/>
      <c r="AW1498" s="6"/>
      <c r="AX1498" s="6"/>
      <c r="AY1498" s="6"/>
      <c r="AZ1498" s="6"/>
      <c r="BA1498" s="6"/>
      <c r="BB1498" s="6"/>
      <c r="BC1498" s="6"/>
      <c r="BD1498" s="6"/>
      <c r="BE1498" s="6"/>
      <c r="BF1498" s="6"/>
      <c r="BG1498" s="6"/>
      <c r="BH1498" s="6"/>
      <c r="BI1498" s="6"/>
      <c r="BJ1498" s="6"/>
      <c r="BK1498" s="6"/>
      <c r="BL1498" s="6"/>
      <c r="BM1498" s="6"/>
      <c r="BN1498" s="6"/>
      <c r="BO1498" s="6"/>
      <c r="BP1498" s="6"/>
      <c r="BQ1498" s="6"/>
      <c r="BR1498" s="6"/>
      <c r="BS1498" s="6"/>
      <c r="BT1498" s="6"/>
      <c r="BU1498" s="6"/>
      <c r="BV1498" s="6"/>
      <c r="BW1498" s="6"/>
      <c r="BX1498" s="6"/>
      <c r="BY1498" s="6"/>
      <c r="BZ1498" s="6"/>
      <c r="CA1498" s="6"/>
      <c r="CB1498" s="6"/>
      <c r="CC1498" s="6"/>
      <c r="CD1498" s="6"/>
      <c r="CE1498" s="6"/>
      <c r="CF1498" s="6"/>
      <c r="CG1498" s="6"/>
      <c r="CH1498" s="6"/>
      <c r="CI1498" s="6"/>
      <c r="CJ1498" s="6"/>
      <c r="CK1498" s="6"/>
      <c r="CL1498" s="6"/>
      <c r="CM1498" s="6"/>
      <c r="CN1498" s="6"/>
      <c r="CO1498" s="6"/>
      <c r="CP1498" s="6"/>
      <c r="CQ1498" s="6"/>
      <c r="CR1498" s="6"/>
      <c r="CS1498" s="6"/>
      <c r="CT1498" s="6"/>
      <c r="CU1498" s="6"/>
      <c r="CV1498" s="6"/>
      <c r="CW1498" s="6"/>
      <c r="CX1498" s="6"/>
      <c r="CY1498" s="6"/>
      <c r="CZ1498" s="6"/>
      <c r="DA1498" s="6"/>
      <c r="DB1498" s="6"/>
      <c r="DC1498" s="6"/>
      <c r="DD1498" s="6"/>
      <c r="DE1498" s="6"/>
      <c r="DF1498" s="6"/>
      <c r="DG1498" s="6"/>
      <c r="DH1498" s="6"/>
      <c r="DI1498" s="6"/>
      <c r="DJ1498" s="6"/>
      <c r="DK1498" s="6"/>
      <c r="DL1498" s="6"/>
      <c r="DM1498" s="6"/>
      <c r="DN1498" s="6"/>
      <c r="DO1498" s="6"/>
      <c r="DP1498" s="6"/>
      <c r="DQ1498" s="6"/>
      <c r="DR1498" s="6"/>
      <c r="DS1498" s="6"/>
      <c r="DT1498" s="6"/>
      <c r="DU1498" s="6"/>
      <c r="DV1498" s="6"/>
      <c r="DW1498" s="6"/>
      <c r="DX1498" s="6"/>
      <c r="DY1498" s="6"/>
      <c r="DZ1498" s="6"/>
      <c r="EA1498" s="6"/>
      <c r="EB1498" s="6"/>
      <c r="EC1498" s="6"/>
      <c r="ED1498" s="6"/>
      <c r="EE1498" s="6"/>
      <c r="EF1498" s="6"/>
      <c r="EG1498" s="6"/>
      <c r="EH1498" s="6"/>
      <c r="EI1498" s="6"/>
      <c r="EJ1498" s="6"/>
      <c r="EK1498" s="6"/>
      <c r="EL1498" s="6"/>
      <c r="EM1498" s="6"/>
      <c r="EN1498" s="6"/>
      <c r="EO1498" s="6"/>
      <c r="EP1498" s="6"/>
      <c r="EQ1498" s="6"/>
      <c r="ER1498" s="6"/>
      <c r="ES1498" s="6"/>
      <c r="ET1498" s="6"/>
      <c r="EU1498" s="6"/>
      <c r="EV1498" s="6"/>
      <c r="EW1498" s="6"/>
      <c r="EX1498" s="6"/>
      <c r="EY1498" s="6"/>
      <c r="EZ1498" s="6"/>
      <c r="FA1498" s="6"/>
      <c r="FB1498" s="6"/>
      <c r="FC1498" s="6"/>
      <c r="FD1498" s="6"/>
      <c r="FE1498" s="6"/>
      <c r="FF1498" s="6"/>
      <c r="FG1498" s="6"/>
      <c r="FH1498" s="6"/>
      <c r="FI1498" s="6"/>
      <c r="FJ1498" s="6"/>
      <c r="FK1498" s="6"/>
      <c r="FL1498" s="6"/>
      <c r="FM1498" s="6"/>
      <c r="FN1498" s="6"/>
      <c r="FO1498" s="6"/>
      <c r="FP1498" s="6"/>
      <c r="FQ1498" s="6"/>
      <c r="FR1498" s="6"/>
      <c r="FS1498" s="6"/>
      <c r="FT1498" s="6"/>
      <c r="FU1498" s="6"/>
      <c r="FV1498" s="6"/>
      <c r="FW1498" s="6"/>
      <c r="FX1498" s="6"/>
      <c r="FY1498" s="6"/>
      <c r="FZ1498" s="6"/>
      <c r="GA1498" s="6"/>
      <c r="GB1498" s="6"/>
      <c r="GC1498" s="6"/>
      <c r="GD1498" s="6"/>
      <c r="GE1498" s="6"/>
      <c r="GF1498" s="6"/>
      <c r="GG1498" s="6"/>
      <c r="GH1498" s="6"/>
      <c r="GI1498" s="6"/>
      <c r="GJ1498" s="6"/>
      <c r="GK1498" s="6"/>
      <c r="GL1498" s="6"/>
      <c r="GM1498" s="6"/>
      <c r="GN1498" s="6"/>
      <c r="GO1498" s="6"/>
      <c r="GP1498" s="6"/>
      <c r="GQ1498" s="6"/>
      <c r="GR1498" s="6"/>
      <c r="GS1498" s="6"/>
      <c r="GT1498" s="6"/>
      <c r="GU1498" s="6"/>
      <c r="GV1498" s="6"/>
      <c r="GW1498" s="6"/>
      <c r="GX1498" s="6"/>
      <c r="GY1498" s="6"/>
      <c r="GZ1498" s="6"/>
      <c r="HA1498" s="6"/>
      <c r="HB1498" s="6"/>
      <c r="HC1498" s="6"/>
      <c r="HD1498" s="6"/>
      <c r="HE1498" s="6"/>
      <c r="HF1498" s="6"/>
      <c r="HG1498" s="6"/>
      <c r="HH1498" s="6"/>
    </row>
    <row r="1499" spans="1:216" x14ac:dyDescent="0.3">
      <c r="A1499" s="8"/>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6"/>
      <c r="AR1499" s="6"/>
      <c r="AS1499" s="6"/>
      <c r="AT1499" s="6"/>
      <c r="AU1499" s="6"/>
      <c r="AV1499" s="6"/>
      <c r="AW1499" s="6"/>
      <c r="AX1499" s="6"/>
      <c r="AY1499" s="6"/>
      <c r="AZ1499" s="6"/>
      <c r="BA1499" s="6"/>
      <c r="BB1499" s="6"/>
      <c r="BC1499" s="6"/>
      <c r="BD1499" s="6"/>
      <c r="BE1499" s="6"/>
      <c r="BF1499" s="6"/>
      <c r="BG1499" s="6"/>
      <c r="BH1499" s="6"/>
      <c r="BI1499" s="6"/>
      <c r="BJ1499" s="6"/>
      <c r="BK1499" s="6"/>
      <c r="BL1499" s="6"/>
      <c r="BM1499" s="6"/>
      <c r="BN1499" s="6"/>
      <c r="BO1499" s="6"/>
      <c r="BP1499" s="6"/>
      <c r="BQ1499" s="6"/>
      <c r="BR1499" s="6"/>
      <c r="BS1499" s="6"/>
      <c r="BT1499" s="6"/>
      <c r="BU1499" s="6"/>
      <c r="BV1499" s="6"/>
      <c r="BW1499" s="6"/>
      <c r="BX1499" s="6"/>
      <c r="BY1499" s="6"/>
      <c r="BZ1499" s="6"/>
      <c r="CA1499" s="6"/>
      <c r="CB1499" s="6"/>
      <c r="CC1499" s="6"/>
      <c r="CD1499" s="6"/>
      <c r="CE1499" s="6"/>
      <c r="CF1499" s="6"/>
      <c r="CG1499" s="6"/>
      <c r="CH1499" s="6"/>
      <c r="CI1499" s="6"/>
      <c r="CJ1499" s="6"/>
      <c r="CK1499" s="6"/>
      <c r="CL1499" s="6"/>
      <c r="CM1499" s="6"/>
      <c r="CN1499" s="6"/>
      <c r="CO1499" s="6"/>
      <c r="CP1499" s="6"/>
      <c r="CQ1499" s="6"/>
      <c r="CR1499" s="6"/>
      <c r="CS1499" s="6"/>
      <c r="CT1499" s="6"/>
      <c r="CU1499" s="6"/>
      <c r="CV1499" s="6"/>
      <c r="CW1499" s="6"/>
      <c r="CX1499" s="6"/>
      <c r="CY1499" s="6"/>
      <c r="CZ1499" s="6"/>
      <c r="DA1499" s="6"/>
      <c r="DB1499" s="6"/>
      <c r="DC1499" s="6"/>
      <c r="DD1499" s="6"/>
      <c r="DE1499" s="6"/>
      <c r="DF1499" s="6"/>
      <c r="DG1499" s="6"/>
      <c r="DH1499" s="6"/>
      <c r="DI1499" s="6"/>
      <c r="DJ1499" s="6"/>
      <c r="DK1499" s="6"/>
      <c r="DL1499" s="6"/>
      <c r="DM1499" s="6"/>
      <c r="DN1499" s="6"/>
      <c r="DO1499" s="6"/>
      <c r="DP1499" s="6"/>
      <c r="DQ1499" s="6"/>
      <c r="DR1499" s="6"/>
      <c r="DS1499" s="6"/>
      <c r="DT1499" s="6"/>
      <c r="DU1499" s="6"/>
      <c r="DV1499" s="6"/>
      <c r="DW1499" s="6"/>
      <c r="DX1499" s="6"/>
      <c r="DY1499" s="6"/>
      <c r="DZ1499" s="6"/>
      <c r="EA1499" s="6"/>
      <c r="EB1499" s="6"/>
      <c r="EC1499" s="6"/>
      <c r="ED1499" s="6"/>
      <c r="EE1499" s="6"/>
      <c r="EF1499" s="6"/>
      <c r="EG1499" s="6"/>
      <c r="EH1499" s="6"/>
      <c r="EI1499" s="6"/>
      <c r="EJ1499" s="6"/>
      <c r="EK1499" s="6"/>
      <c r="EL1499" s="6"/>
      <c r="EM1499" s="6"/>
      <c r="EN1499" s="6"/>
      <c r="EO1499" s="6"/>
      <c r="EP1499" s="6"/>
      <c r="EQ1499" s="6"/>
      <c r="ER1499" s="6"/>
      <c r="ES1499" s="6"/>
      <c r="ET1499" s="6"/>
      <c r="EU1499" s="6"/>
      <c r="EV1499" s="6"/>
      <c r="EW1499" s="6"/>
      <c r="EX1499" s="6"/>
      <c r="EY1499" s="6"/>
      <c r="EZ1499" s="6"/>
      <c r="FA1499" s="6"/>
      <c r="FB1499" s="6"/>
      <c r="FC1499" s="6"/>
      <c r="FD1499" s="6"/>
      <c r="FE1499" s="6"/>
      <c r="FF1499" s="6"/>
      <c r="FG1499" s="6"/>
      <c r="FH1499" s="6"/>
      <c r="FI1499" s="6"/>
      <c r="FJ1499" s="6"/>
      <c r="FK1499" s="6"/>
      <c r="FL1499" s="6"/>
      <c r="FM1499" s="6"/>
      <c r="FN1499" s="6"/>
      <c r="FO1499" s="6"/>
      <c r="FP1499" s="6"/>
      <c r="FQ1499" s="6"/>
      <c r="FR1499" s="6"/>
      <c r="FS1499" s="6"/>
      <c r="FT1499" s="6"/>
      <c r="FU1499" s="6"/>
      <c r="FV1499" s="6"/>
      <c r="FW1499" s="6"/>
      <c r="FX1499" s="6"/>
      <c r="FY1499" s="6"/>
      <c r="FZ1499" s="6"/>
      <c r="GA1499" s="6"/>
      <c r="GB1499" s="6"/>
      <c r="GC1499" s="6"/>
      <c r="GD1499" s="6"/>
      <c r="GE1499" s="6"/>
      <c r="GF1499" s="6"/>
      <c r="GG1499" s="6"/>
      <c r="GH1499" s="6"/>
      <c r="GI1499" s="6"/>
      <c r="GJ1499" s="6"/>
      <c r="GK1499" s="6"/>
      <c r="GL1499" s="6"/>
      <c r="GM1499" s="6"/>
      <c r="GN1499" s="6"/>
      <c r="GO1499" s="6"/>
      <c r="GP1499" s="6"/>
      <c r="GQ1499" s="6"/>
      <c r="GR1499" s="6"/>
      <c r="GS1499" s="6"/>
      <c r="GT1499" s="6"/>
      <c r="GU1499" s="6"/>
      <c r="GV1499" s="6"/>
      <c r="GW1499" s="6"/>
      <c r="GX1499" s="6"/>
      <c r="GY1499" s="6"/>
      <c r="GZ1499" s="6"/>
      <c r="HA1499" s="6"/>
      <c r="HB1499" s="6"/>
      <c r="HC1499" s="6"/>
      <c r="HD1499" s="6"/>
      <c r="HE1499" s="6"/>
      <c r="HF1499" s="6"/>
      <c r="HG1499" s="6"/>
      <c r="HH1499" s="6"/>
    </row>
    <row r="1500" spans="1:216" x14ac:dyDescent="0.3">
      <c r="A1500" s="8"/>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6"/>
      <c r="AR1500" s="6"/>
      <c r="AS1500" s="6"/>
      <c r="AT1500" s="6"/>
      <c r="AU1500" s="6"/>
      <c r="AV1500" s="6"/>
      <c r="AW1500" s="6"/>
      <c r="AX1500" s="6"/>
      <c r="AY1500" s="6"/>
      <c r="AZ1500" s="6"/>
      <c r="BA1500" s="6"/>
      <c r="BB1500" s="6"/>
      <c r="BC1500" s="6"/>
      <c r="BD1500" s="6"/>
      <c r="BE1500" s="6"/>
      <c r="BF1500" s="6"/>
      <c r="BG1500" s="6"/>
      <c r="BH1500" s="6"/>
      <c r="BI1500" s="6"/>
      <c r="BJ1500" s="6"/>
      <c r="BK1500" s="6"/>
      <c r="BL1500" s="6"/>
      <c r="BM1500" s="6"/>
      <c r="BN1500" s="6"/>
      <c r="BO1500" s="6"/>
      <c r="BP1500" s="6"/>
      <c r="BQ1500" s="6"/>
      <c r="BR1500" s="6"/>
      <c r="BS1500" s="6"/>
      <c r="BT1500" s="6"/>
      <c r="BU1500" s="6"/>
      <c r="BV1500" s="6"/>
      <c r="BW1500" s="6"/>
      <c r="BX1500" s="6"/>
      <c r="BY1500" s="6"/>
      <c r="BZ1500" s="6"/>
      <c r="CA1500" s="6"/>
      <c r="CB1500" s="6"/>
      <c r="CC1500" s="6"/>
      <c r="CD1500" s="6"/>
      <c r="CE1500" s="6"/>
      <c r="CF1500" s="6"/>
      <c r="CG1500" s="6"/>
      <c r="CH1500" s="6"/>
      <c r="CI1500" s="6"/>
      <c r="CJ1500" s="6"/>
      <c r="CK1500" s="6"/>
      <c r="CL1500" s="6"/>
      <c r="CM1500" s="6"/>
      <c r="CN1500" s="6"/>
      <c r="CO1500" s="6"/>
      <c r="CP1500" s="6"/>
      <c r="CQ1500" s="6"/>
      <c r="CR1500" s="6"/>
      <c r="CS1500" s="6"/>
      <c r="CT1500" s="6"/>
      <c r="CU1500" s="6"/>
      <c r="CV1500" s="6"/>
      <c r="CW1500" s="6"/>
      <c r="CX1500" s="6"/>
      <c r="CY1500" s="6"/>
      <c r="CZ1500" s="6"/>
      <c r="DA1500" s="6"/>
      <c r="DB1500" s="6"/>
      <c r="DC1500" s="6"/>
      <c r="DD1500" s="6"/>
      <c r="DE1500" s="6"/>
      <c r="DF1500" s="6"/>
      <c r="DG1500" s="6"/>
      <c r="DH1500" s="6"/>
      <c r="DI1500" s="6"/>
      <c r="DJ1500" s="6"/>
      <c r="DK1500" s="6"/>
      <c r="DL1500" s="6"/>
      <c r="DM1500" s="6"/>
      <c r="DN1500" s="6"/>
      <c r="DO1500" s="6"/>
      <c r="DP1500" s="6"/>
      <c r="DQ1500" s="6"/>
      <c r="DR1500" s="6"/>
      <c r="DS1500" s="6"/>
      <c r="DT1500" s="6"/>
      <c r="DU1500" s="6"/>
      <c r="DV1500" s="6"/>
      <c r="DW1500" s="6"/>
      <c r="DX1500" s="6"/>
      <c r="DY1500" s="6"/>
      <c r="DZ1500" s="6"/>
      <c r="EA1500" s="6"/>
      <c r="EB1500" s="6"/>
      <c r="EC1500" s="6"/>
      <c r="ED1500" s="6"/>
      <c r="EE1500" s="6"/>
      <c r="EF1500" s="6"/>
      <c r="EG1500" s="6"/>
      <c r="EH1500" s="6"/>
      <c r="EI1500" s="6"/>
      <c r="EJ1500" s="6"/>
      <c r="EK1500" s="6"/>
      <c r="EL1500" s="6"/>
      <c r="EM1500" s="6"/>
      <c r="EN1500" s="6"/>
      <c r="EO1500" s="6"/>
      <c r="EP1500" s="6"/>
      <c r="EQ1500" s="6"/>
      <c r="ER1500" s="6"/>
      <c r="ES1500" s="6"/>
      <c r="ET1500" s="6"/>
      <c r="EU1500" s="6"/>
      <c r="EV1500" s="6"/>
      <c r="EW1500" s="6"/>
      <c r="EX1500" s="6"/>
      <c r="EY1500" s="6"/>
      <c r="EZ1500" s="6"/>
      <c r="FA1500" s="6"/>
      <c r="FB1500" s="6"/>
      <c r="FC1500" s="6"/>
      <c r="FD1500" s="6"/>
      <c r="FE1500" s="6"/>
      <c r="FF1500" s="6"/>
      <c r="FG1500" s="6"/>
      <c r="FH1500" s="6"/>
      <c r="FI1500" s="6"/>
      <c r="FJ1500" s="6"/>
      <c r="FK1500" s="6"/>
      <c r="FL1500" s="6"/>
      <c r="FM1500" s="6"/>
      <c r="FN1500" s="6"/>
      <c r="FO1500" s="6"/>
      <c r="FP1500" s="6"/>
      <c r="FQ1500" s="6"/>
      <c r="FR1500" s="6"/>
      <c r="FS1500" s="6"/>
      <c r="FT1500" s="6"/>
      <c r="FU1500" s="6"/>
      <c r="FV1500" s="6"/>
      <c r="FW1500" s="6"/>
      <c r="FX1500" s="6"/>
      <c r="FY1500" s="6"/>
      <c r="FZ1500" s="6"/>
      <c r="GA1500" s="6"/>
      <c r="GB1500" s="6"/>
      <c r="GC1500" s="6"/>
      <c r="GD1500" s="6"/>
      <c r="GE1500" s="6"/>
      <c r="GF1500" s="6"/>
      <c r="GG1500" s="6"/>
      <c r="GH1500" s="6"/>
      <c r="GI1500" s="6"/>
      <c r="GJ1500" s="6"/>
      <c r="GK1500" s="6"/>
      <c r="GL1500" s="6"/>
      <c r="GM1500" s="6"/>
      <c r="GN1500" s="6"/>
      <c r="GO1500" s="6"/>
      <c r="GP1500" s="6"/>
      <c r="GQ1500" s="6"/>
      <c r="GR1500" s="6"/>
      <c r="GS1500" s="6"/>
      <c r="GT1500" s="6"/>
      <c r="GU1500" s="6"/>
      <c r="GV1500" s="6"/>
      <c r="GW1500" s="6"/>
      <c r="GX1500" s="6"/>
      <c r="GY1500" s="6"/>
      <c r="GZ1500" s="6"/>
      <c r="HA1500" s="6"/>
      <c r="HB1500" s="6"/>
      <c r="HC1500" s="6"/>
      <c r="HD1500" s="6"/>
      <c r="HE1500" s="6"/>
      <c r="HF1500" s="6"/>
      <c r="HG1500" s="6"/>
      <c r="HH1500" s="6"/>
    </row>
    <row r="1501" spans="1:216" x14ac:dyDescent="0.3">
      <c r="A1501" s="8"/>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6"/>
      <c r="AR1501" s="6"/>
      <c r="AS1501" s="6"/>
      <c r="AT1501" s="6"/>
      <c r="AU1501" s="6"/>
      <c r="AV1501" s="6"/>
      <c r="AW1501" s="6"/>
      <c r="AX1501" s="6"/>
      <c r="AY1501" s="6"/>
      <c r="AZ1501" s="6"/>
      <c r="BA1501" s="6"/>
      <c r="BB1501" s="6"/>
      <c r="BC1501" s="6"/>
      <c r="BD1501" s="6"/>
      <c r="BE1501" s="6"/>
      <c r="BF1501" s="6"/>
      <c r="BG1501" s="6"/>
      <c r="BH1501" s="6"/>
      <c r="BI1501" s="6"/>
      <c r="BJ1501" s="6"/>
      <c r="BK1501" s="6"/>
      <c r="BL1501" s="6"/>
      <c r="BM1501" s="6"/>
      <c r="BN1501" s="6"/>
      <c r="BO1501" s="6"/>
      <c r="BP1501" s="6"/>
      <c r="BQ1501" s="6"/>
      <c r="BR1501" s="6"/>
      <c r="BS1501" s="6"/>
      <c r="BT1501" s="6"/>
      <c r="BU1501" s="6"/>
      <c r="BV1501" s="6"/>
      <c r="BW1501" s="6"/>
      <c r="BX1501" s="6"/>
      <c r="BY1501" s="6"/>
      <c r="BZ1501" s="6"/>
      <c r="CA1501" s="6"/>
      <c r="CB1501" s="6"/>
      <c r="CC1501" s="6"/>
      <c r="CD1501" s="6"/>
      <c r="CE1501" s="6"/>
      <c r="CF1501" s="6"/>
      <c r="CG1501" s="6"/>
      <c r="CH1501" s="6"/>
      <c r="CI1501" s="6"/>
      <c r="CJ1501" s="6"/>
      <c r="CK1501" s="6"/>
      <c r="CL1501" s="6"/>
      <c r="CM1501" s="6"/>
      <c r="CN1501" s="6"/>
      <c r="CO1501" s="6"/>
      <c r="CP1501" s="6"/>
      <c r="CQ1501" s="6"/>
      <c r="CR1501" s="6"/>
      <c r="CS1501" s="6"/>
      <c r="CT1501" s="6"/>
      <c r="CU1501" s="6"/>
      <c r="CV1501" s="6"/>
      <c r="CW1501" s="6"/>
      <c r="CX1501" s="6"/>
      <c r="CY1501" s="6"/>
      <c r="CZ1501" s="6"/>
      <c r="DA1501" s="6"/>
      <c r="DB1501" s="6"/>
      <c r="DC1501" s="6"/>
      <c r="DD1501" s="6"/>
      <c r="DE1501" s="6"/>
      <c r="DF1501" s="6"/>
      <c r="DG1501" s="6"/>
      <c r="DH1501" s="6"/>
      <c r="DI1501" s="6"/>
      <c r="DJ1501" s="6"/>
      <c r="DK1501" s="6"/>
      <c r="DL1501" s="6"/>
      <c r="DM1501" s="6"/>
      <c r="DN1501" s="6"/>
      <c r="DO1501" s="6"/>
      <c r="DP1501" s="6"/>
      <c r="DQ1501" s="6"/>
      <c r="DR1501" s="6"/>
      <c r="DS1501" s="6"/>
      <c r="DT1501" s="6"/>
      <c r="DU1501" s="6"/>
      <c r="DV1501" s="6"/>
      <c r="DW1501" s="6"/>
      <c r="DX1501" s="6"/>
      <c r="DY1501" s="6"/>
      <c r="DZ1501" s="6"/>
      <c r="EA1501" s="6"/>
      <c r="EB1501" s="6"/>
      <c r="EC1501" s="6"/>
      <c r="ED1501" s="6"/>
      <c r="EE1501" s="6"/>
      <c r="EF1501" s="6"/>
      <c r="EG1501" s="6"/>
      <c r="EH1501" s="6"/>
      <c r="EI1501" s="6"/>
      <c r="EJ1501" s="6"/>
      <c r="EK1501" s="6"/>
      <c r="EL1501" s="6"/>
      <c r="EM1501" s="6"/>
      <c r="EN1501" s="6"/>
      <c r="EO1501" s="6"/>
      <c r="EP1501" s="6"/>
      <c r="EQ1501" s="6"/>
      <c r="ER1501" s="6"/>
      <c r="ES1501" s="6"/>
      <c r="ET1501" s="6"/>
      <c r="EU1501" s="6"/>
      <c r="EV1501" s="6"/>
      <c r="EW1501" s="6"/>
      <c r="EX1501" s="6"/>
      <c r="EY1501" s="6"/>
      <c r="EZ1501" s="6"/>
      <c r="FA1501" s="6"/>
      <c r="FB1501" s="6"/>
      <c r="FC1501" s="6"/>
      <c r="FD1501" s="6"/>
      <c r="FE1501" s="6"/>
      <c r="FF1501" s="6"/>
      <c r="FG1501" s="6"/>
      <c r="FH1501" s="6"/>
      <c r="FI1501" s="6"/>
      <c r="FJ1501" s="6"/>
      <c r="FK1501" s="6"/>
      <c r="FL1501" s="6"/>
      <c r="FM1501" s="6"/>
      <c r="FN1501" s="6"/>
      <c r="FO1501" s="6"/>
      <c r="FP1501" s="6"/>
      <c r="FQ1501" s="6"/>
      <c r="FR1501" s="6"/>
      <c r="FS1501" s="6"/>
      <c r="FT1501" s="6"/>
      <c r="FU1501" s="6"/>
      <c r="FV1501" s="6"/>
      <c r="FW1501" s="6"/>
      <c r="FX1501" s="6"/>
      <c r="FY1501" s="6"/>
      <c r="FZ1501" s="6"/>
      <c r="GA1501" s="6"/>
      <c r="GB1501" s="6"/>
      <c r="GC1501" s="6"/>
      <c r="GD1501" s="6"/>
      <c r="GE1501" s="6"/>
      <c r="GF1501" s="6"/>
      <c r="GG1501" s="6"/>
      <c r="GH1501" s="6"/>
      <c r="GI1501" s="6"/>
      <c r="GJ1501" s="6"/>
      <c r="GK1501" s="6"/>
      <c r="GL1501" s="6"/>
      <c r="GM1501" s="6"/>
      <c r="GN1501" s="6"/>
      <c r="GO1501" s="6"/>
      <c r="GP1501" s="6"/>
      <c r="GQ1501" s="6"/>
      <c r="GR1501" s="6"/>
      <c r="GS1501" s="6"/>
      <c r="GT1501" s="6"/>
      <c r="GU1501" s="6"/>
      <c r="GV1501" s="6"/>
      <c r="GW1501" s="6"/>
      <c r="GX1501" s="6"/>
      <c r="GY1501" s="6"/>
      <c r="GZ1501" s="6"/>
      <c r="HA1501" s="6"/>
      <c r="HB1501" s="6"/>
      <c r="HC1501" s="6"/>
      <c r="HD1501" s="6"/>
      <c r="HE1501" s="6"/>
      <c r="HF1501" s="6"/>
      <c r="HG1501" s="6"/>
      <c r="HH1501" s="6"/>
    </row>
    <row r="1502" spans="1:216" x14ac:dyDescent="0.3">
      <c r="A1502" s="8"/>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6"/>
      <c r="AR1502" s="6"/>
      <c r="AS1502" s="6"/>
      <c r="AT1502" s="6"/>
      <c r="AU1502" s="6"/>
      <c r="AV1502" s="6"/>
      <c r="AW1502" s="6"/>
      <c r="AX1502" s="6"/>
      <c r="AY1502" s="6"/>
      <c r="AZ1502" s="6"/>
      <c r="BA1502" s="6"/>
      <c r="BB1502" s="6"/>
      <c r="BC1502" s="6"/>
      <c r="BD1502" s="6"/>
      <c r="BE1502" s="6"/>
      <c r="BF1502" s="6"/>
      <c r="BG1502" s="6"/>
      <c r="BH1502" s="6"/>
      <c r="BI1502" s="6"/>
      <c r="BJ1502" s="6"/>
      <c r="BK1502" s="6"/>
      <c r="BL1502" s="6"/>
      <c r="BM1502" s="6"/>
      <c r="BN1502" s="6"/>
      <c r="BO1502" s="6"/>
      <c r="BP1502" s="6"/>
      <c r="BQ1502" s="6"/>
      <c r="BR1502" s="6"/>
      <c r="BS1502" s="6"/>
      <c r="BT1502" s="6"/>
      <c r="BU1502" s="6"/>
      <c r="BV1502" s="6"/>
      <c r="BW1502" s="6"/>
      <c r="BX1502" s="6"/>
      <c r="BY1502" s="6"/>
      <c r="BZ1502" s="6"/>
      <c r="CA1502" s="6"/>
      <c r="CB1502" s="6"/>
      <c r="CC1502" s="6"/>
      <c r="CD1502" s="6"/>
      <c r="CE1502" s="6"/>
      <c r="CF1502" s="6"/>
      <c r="CG1502" s="6"/>
      <c r="CH1502" s="6"/>
      <c r="CI1502" s="6"/>
      <c r="CJ1502" s="6"/>
      <c r="CK1502" s="6"/>
      <c r="CL1502" s="6"/>
      <c r="CM1502" s="6"/>
      <c r="CN1502" s="6"/>
      <c r="CO1502" s="6"/>
      <c r="CP1502" s="6"/>
      <c r="CQ1502" s="6"/>
      <c r="CR1502" s="6"/>
      <c r="CS1502" s="6"/>
      <c r="CT1502" s="6"/>
      <c r="CU1502" s="6"/>
      <c r="CV1502" s="6"/>
      <c r="CW1502" s="6"/>
      <c r="CX1502" s="6"/>
      <c r="CY1502" s="6"/>
      <c r="CZ1502" s="6"/>
      <c r="DA1502" s="6"/>
      <c r="DB1502" s="6"/>
      <c r="DC1502" s="6"/>
      <c r="DD1502" s="6"/>
      <c r="DE1502" s="6"/>
      <c r="DF1502" s="6"/>
      <c r="DG1502" s="6"/>
      <c r="DH1502" s="6"/>
      <c r="DI1502" s="6"/>
      <c r="DJ1502" s="6"/>
      <c r="DK1502" s="6"/>
      <c r="DL1502" s="6"/>
      <c r="DM1502" s="6"/>
      <c r="DN1502" s="6"/>
      <c r="DO1502" s="6"/>
      <c r="DP1502" s="6"/>
      <c r="DQ1502" s="6"/>
      <c r="DR1502" s="6"/>
      <c r="DS1502" s="6"/>
      <c r="DT1502" s="6"/>
      <c r="DU1502" s="6"/>
      <c r="DV1502" s="6"/>
      <c r="DW1502" s="6"/>
      <c r="DX1502" s="6"/>
      <c r="DY1502" s="6"/>
      <c r="DZ1502" s="6"/>
      <c r="EA1502" s="6"/>
      <c r="EB1502" s="6"/>
      <c r="EC1502" s="6"/>
      <c r="ED1502" s="6"/>
      <c r="EE1502" s="6"/>
      <c r="EF1502" s="6"/>
      <c r="EG1502" s="6"/>
      <c r="EH1502" s="6"/>
      <c r="EI1502" s="6"/>
      <c r="EJ1502" s="6"/>
      <c r="EK1502" s="6"/>
      <c r="EL1502" s="6"/>
      <c r="EM1502" s="6"/>
      <c r="EN1502" s="6"/>
      <c r="EO1502" s="6"/>
      <c r="EP1502" s="6"/>
      <c r="EQ1502" s="6"/>
      <c r="ER1502" s="6"/>
      <c r="ES1502" s="6"/>
      <c r="ET1502" s="6"/>
      <c r="EU1502" s="6"/>
      <c r="EV1502" s="6"/>
      <c r="EW1502" s="6"/>
      <c r="EX1502" s="6"/>
      <c r="EY1502" s="6"/>
      <c r="EZ1502" s="6"/>
      <c r="FA1502" s="6"/>
      <c r="FB1502" s="6"/>
      <c r="FC1502" s="6"/>
      <c r="FD1502" s="6"/>
      <c r="FE1502" s="6"/>
      <c r="FF1502" s="6"/>
      <c r="FG1502" s="6"/>
      <c r="FH1502" s="6"/>
      <c r="FI1502" s="6"/>
      <c r="FJ1502" s="6"/>
      <c r="FK1502" s="6"/>
      <c r="FL1502" s="6"/>
      <c r="FM1502" s="6"/>
      <c r="FN1502" s="6"/>
      <c r="FO1502" s="6"/>
      <c r="FP1502" s="6"/>
      <c r="FQ1502" s="6"/>
      <c r="FR1502" s="6"/>
      <c r="FS1502" s="6"/>
      <c r="FT1502" s="6"/>
      <c r="FU1502" s="6"/>
      <c r="FV1502" s="6"/>
      <c r="FW1502" s="6"/>
      <c r="FX1502" s="6"/>
      <c r="FY1502" s="6"/>
      <c r="FZ1502" s="6"/>
      <c r="GA1502" s="6"/>
      <c r="GB1502" s="6"/>
      <c r="GC1502" s="6"/>
      <c r="GD1502" s="6"/>
      <c r="GE1502" s="6"/>
      <c r="GF1502" s="6"/>
      <c r="GG1502" s="6"/>
      <c r="GH1502" s="6"/>
      <c r="GI1502" s="6"/>
      <c r="GJ1502" s="6"/>
      <c r="GK1502" s="6"/>
      <c r="GL1502" s="6"/>
      <c r="GM1502" s="6"/>
      <c r="GN1502" s="6"/>
      <c r="GO1502" s="6"/>
      <c r="GP1502" s="6"/>
      <c r="GQ1502" s="6"/>
      <c r="GR1502" s="6"/>
      <c r="GS1502" s="6"/>
      <c r="GT1502" s="6"/>
      <c r="GU1502" s="6"/>
      <c r="GV1502" s="6"/>
      <c r="GW1502" s="6"/>
      <c r="GX1502" s="6"/>
      <c r="GY1502" s="6"/>
      <c r="GZ1502" s="6"/>
      <c r="HA1502" s="6"/>
      <c r="HB1502" s="6"/>
      <c r="HC1502" s="6"/>
      <c r="HD1502" s="6"/>
      <c r="HE1502" s="6"/>
      <c r="HF1502" s="6"/>
      <c r="HG1502" s="6"/>
      <c r="HH1502" s="6"/>
    </row>
    <row r="1503" spans="1:216" x14ac:dyDescent="0.3">
      <c r="A1503" s="8"/>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6"/>
      <c r="AR1503" s="6"/>
      <c r="AS1503" s="6"/>
      <c r="AT1503" s="6"/>
      <c r="AU1503" s="6"/>
      <c r="AV1503" s="6"/>
      <c r="AW1503" s="6"/>
      <c r="AX1503" s="6"/>
      <c r="AY1503" s="6"/>
      <c r="AZ1503" s="6"/>
      <c r="BA1503" s="6"/>
      <c r="BB1503" s="6"/>
      <c r="BC1503" s="6"/>
      <c r="BD1503" s="6"/>
      <c r="BE1503" s="6"/>
      <c r="BF1503" s="6"/>
      <c r="BG1503" s="6"/>
      <c r="BH1503" s="6"/>
      <c r="BI1503" s="6"/>
      <c r="BJ1503" s="6"/>
      <c r="BK1503" s="6"/>
      <c r="BL1503" s="6"/>
      <c r="BM1503" s="6"/>
      <c r="BN1503" s="6"/>
      <c r="BO1503" s="6"/>
      <c r="BP1503" s="6"/>
      <c r="BQ1503" s="6"/>
      <c r="BR1503" s="6"/>
      <c r="BS1503" s="6"/>
      <c r="BT1503" s="6"/>
      <c r="BU1503" s="6"/>
      <c r="BV1503" s="6"/>
      <c r="BW1503" s="6"/>
      <c r="BX1503" s="6"/>
      <c r="BY1503" s="6"/>
      <c r="BZ1503" s="6"/>
      <c r="CA1503" s="6"/>
      <c r="CB1503" s="6"/>
      <c r="CC1503" s="6"/>
      <c r="CD1503" s="6"/>
      <c r="CE1503" s="6"/>
      <c r="CF1503" s="6"/>
      <c r="CG1503" s="6"/>
      <c r="CH1503" s="6"/>
      <c r="CI1503" s="6"/>
      <c r="CJ1503" s="6"/>
      <c r="CK1503" s="6"/>
      <c r="CL1503" s="6"/>
      <c r="CM1503" s="6"/>
      <c r="CN1503" s="6"/>
      <c r="CO1503" s="6"/>
      <c r="CP1503" s="6"/>
      <c r="CQ1503" s="6"/>
      <c r="CR1503" s="6"/>
      <c r="CS1503" s="6"/>
      <c r="CT1503" s="6"/>
      <c r="CU1503" s="6"/>
      <c r="CV1503" s="6"/>
      <c r="CW1503" s="6"/>
      <c r="CX1503" s="6"/>
      <c r="CY1503" s="6"/>
      <c r="CZ1503" s="6"/>
      <c r="DA1503" s="6"/>
      <c r="DB1503" s="6"/>
      <c r="DC1503" s="6"/>
      <c r="DD1503" s="6"/>
      <c r="DE1503" s="6"/>
      <c r="DF1503" s="6"/>
      <c r="DG1503" s="6"/>
      <c r="DH1503" s="6"/>
      <c r="DI1503" s="6"/>
      <c r="DJ1503" s="6"/>
      <c r="DK1503" s="6"/>
      <c r="DL1503" s="6"/>
      <c r="DM1503" s="6"/>
      <c r="DN1503" s="6"/>
      <c r="DO1503" s="6"/>
      <c r="DP1503" s="6"/>
      <c r="DQ1503" s="6"/>
      <c r="DR1503" s="6"/>
      <c r="DS1503" s="6"/>
      <c r="DT1503" s="6"/>
      <c r="DU1503" s="6"/>
      <c r="DV1503" s="6"/>
      <c r="DW1503" s="6"/>
      <c r="DX1503" s="6"/>
      <c r="DY1503" s="6"/>
      <c r="DZ1503" s="6"/>
      <c r="EA1503" s="6"/>
      <c r="EB1503" s="6"/>
      <c r="EC1503" s="6"/>
      <c r="ED1503" s="6"/>
      <c r="EE1503" s="6"/>
      <c r="EF1503" s="6"/>
      <c r="EG1503" s="6"/>
      <c r="EH1503" s="6"/>
      <c r="EI1503" s="6"/>
      <c r="EJ1503" s="6"/>
      <c r="EK1503" s="6"/>
      <c r="EL1503" s="6"/>
      <c r="EM1503" s="6"/>
      <c r="EN1503" s="6"/>
      <c r="EO1503" s="6"/>
      <c r="EP1503" s="6"/>
      <c r="EQ1503" s="6"/>
      <c r="ER1503" s="6"/>
      <c r="ES1503" s="6"/>
      <c r="ET1503" s="6"/>
      <c r="EU1503" s="6"/>
      <c r="EV1503" s="6"/>
      <c r="EW1503" s="6"/>
      <c r="EX1503" s="6"/>
      <c r="EY1503" s="6"/>
      <c r="EZ1503" s="6"/>
      <c r="FA1503" s="6"/>
      <c r="FB1503" s="6"/>
      <c r="FC1503" s="6"/>
      <c r="FD1503" s="6"/>
      <c r="FE1503" s="6"/>
      <c r="FF1503" s="6"/>
      <c r="FG1503" s="6"/>
      <c r="FH1503" s="6"/>
      <c r="FI1503" s="6"/>
      <c r="FJ1503" s="6"/>
      <c r="FK1503" s="6"/>
      <c r="FL1503" s="6"/>
      <c r="FM1503" s="6"/>
      <c r="FN1503" s="6"/>
      <c r="FO1503" s="6"/>
      <c r="FP1503" s="6"/>
      <c r="FQ1503" s="6"/>
      <c r="FR1503" s="6"/>
      <c r="FS1503" s="6"/>
      <c r="FT1503" s="6"/>
      <c r="FU1503" s="6"/>
      <c r="FV1503" s="6"/>
      <c r="FW1503" s="6"/>
      <c r="FX1503" s="6"/>
      <c r="FY1503" s="6"/>
      <c r="FZ1503" s="6"/>
      <c r="GA1503" s="6"/>
      <c r="GB1503" s="6"/>
      <c r="GC1503" s="6"/>
      <c r="GD1503" s="6"/>
      <c r="GE1503" s="6"/>
      <c r="GF1503" s="6"/>
      <c r="GG1503" s="6"/>
      <c r="GH1503" s="6"/>
      <c r="GI1503" s="6"/>
      <c r="GJ1503" s="6"/>
      <c r="GK1503" s="6"/>
      <c r="GL1503" s="6"/>
      <c r="GM1503" s="6"/>
      <c r="GN1503" s="6"/>
      <c r="GO1503" s="6"/>
      <c r="GP1503" s="6"/>
      <c r="GQ1503" s="6"/>
      <c r="GR1503" s="6"/>
      <c r="GS1503" s="6"/>
      <c r="GT1503" s="6"/>
      <c r="GU1503" s="6"/>
      <c r="GV1503" s="6"/>
      <c r="GW1503" s="6"/>
      <c r="GX1503" s="6"/>
      <c r="GY1503" s="6"/>
      <c r="GZ1503" s="6"/>
      <c r="HA1503" s="6"/>
      <c r="HB1503" s="6"/>
      <c r="HC1503" s="6"/>
      <c r="HD1503" s="6"/>
      <c r="HE1503" s="6"/>
      <c r="HF1503" s="6"/>
      <c r="HG1503" s="6"/>
      <c r="HH1503" s="6"/>
    </row>
    <row r="1504" spans="1:216" x14ac:dyDescent="0.3">
      <c r="A1504" s="8"/>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6"/>
      <c r="AR1504" s="6"/>
      <c r="AS1504" s="6"/>
      <c r="AT1504" s="6"/>
      <c r="AU1504" s="6"/>
      <c r="AV1504" s="6"/>
      <c r="AW1504" s="6"/>
      <c r="AX1504" s="6"/>
      <c r="AY1504" s="6"/>
      <c r="AZ1504" s="6"/>
      <c r="BA1504" s="6"/>
      <c r="BB1504" s="6"/>
      <c r="BC1504" s="6"/>
      <c r="BD1504" s="6"/>
      <c r="BE1504" s="6"/>
      <c r="BF1504" s="6"/>
      <c r="BG1504" s="6"/>
      <c r="BH1504" s="6"/>
      <c r="BI1504" s="6"/>
      <c r="BJ1504" s="6"/>
      <c r="BK1504" s="6"/>
      <c r="BL1504" s="6"/>
      <c r="BM1504" s="6"/>
      <c r="BN1504" s="6"/>
      <c r="BO1504" s="6"/>
      <c r="BP1504" s="6"/>
      <c r="BQ1504" s="6"/>
      <c r="BR1504" s="6"/>
      <c r="BS1504" s="6"/>
      <c r="BT1504" s="6"/>
      <c r="BU1504" s="6"/>
      <c r="BV1504" s="6"/>
      <c r="BW1504" s="6"/>
      <c r="BX1504" s="6"/>
      <c r="BY1504" s="6"/>
      <c r="BZ1504" s="6"/>
      <c r="CA1504" s="6"/>
      <c r="CB1504" s="6"/>
      <c r="CC1504" s="6"/>
      <c r="CD1504" s="6"/>
      <c r="CE1504" s="6"/>
      <c r="CF1504" s="6"/>
      <c r="CG1504" s="6"/>
      <c r="CH1504" s="6"/>
      <c r="CI1504" s="6"/>
      <c r="CJ1504" s="6"/>
      <c r="CK1504" s="6"/>
      <c r="CL1504" s="6"/>
      <c r="CM1504" s="6"/>
      <c r="CN1504" s="6"/>
      <c r="CO1504" s="6"/>
      <c r="CP1504" s="6"/>
      <c r="CQ1504" s="6"/>
      <c r="CR1504" s="6"/>
      <c r="CS1504" s="6"/>
      <c r="CT1504" s="6"/>
      <c r="CU1504" s="6"/>
      <c r="CV1504" s="6"/>
      <c r="CW1504" s="6"/>
      <c r="CX1504" s="6"/>
      <c r="CY1504" s="6"/>
      <c r="CZ1504" s="6"/>
      <c r="DA1504" s="6"/>
      <c r="DB1504" s="6"/>
      <c r="DC1504" s="6"/>
      <c r="DD1504" s="6"/>
      <c r="DE1504" s="6"/>
      <c r="DF1504" s="6"/>
      <c r="DG1504" s="6"/>
      <c r="DH1504" s="6"/>
      <c r="DI1504" s="6"/>
      <c r="DJ1504" s="6"/>
      <c r="DK1504" s="6"/>
      <c r="DL1504" s="6"/>
      <c r="DM1504" s="6"/>
      <c r="DN1504" s="6"/>
      <c r="DO1504" s="6"/>
      <c r="DP1504" s="6"/>
      <c r="DQ1504" s="6"/>
      <c r="DR1504" s="6"/>
      <c r="DS1504" s="6"/>
      <c r="DT1504" s="6"/>
      <c r="DU1504" s="6"/>
      <c r="DV1504" s="6"/>
      <c r="DW1504" s="6"/>
      <c r="DX1504" s="6"/>
      <c r="DY1504" s="6"/>
      <c r="DZ1504" s="6"/>
      <c r="EA1504" s="6"/>
      <c r="EB1504" s="6"/>
      <c r="EC1504" s="6"/>
      <c r="ED1504" s="6"/>
      <c r="EE1504" s="6"/>
      <c r="EF1504" s="6"/>
      <c r="EG1504" s="6"/>
      <c r="EH1504" s="6"/>
      <c r="EI1504" s="6"/>
      <c r="EJ1504" s="6"/>
      <c r="EK1504" s="6"/>
      <c r="EL1504" s="6"/>
      <c r="EM1504" s="6"/>
      <c r="EN1504" s="6"/>
      <c r="EO1504" s="6"/>
      <c r="EP1504" s="6"/>
      <c r="EQ1504" s="6"/>
      <c r="ER1504" s="6"/>
      <c r="ES1504" s="6"/>
      <c r="ET1504" s="6"/>
      <c r="EU1504" s="6"/>
      <c r="EV1504" s="6"/>
      <c r="EW1504" s="6"/>
      <c r="EX1504" s="6"/>
      <c r="EY1504" s="6"/>
      <c r="EZ1504" s="6"/>
      <c r="FA1504" s="6"/>
      <c r="FB1504" s="6"/>
      <c r="FC1504" s="6"/>
      <c r="FD1504" s="6"/>
      <c r="FE1504" s="6"/>
      <c r="FF1504" s="6"/>
      <c r="FG1504" s="6"/>
      <c r="FH1504" s="6"/>
      <c r="FI1504" s="6"/>
      <c r="FJ1504" s="6"/>
      <c r="FK1504" s="6"/>
      <c r="FL1504" s="6"/>
      <c r="FM1504" s="6"/>
      <c r="FN1504" s="6"/>
      <c r="FO1504" s="6"/>
      <c r="FP1504" s="6"/>
      <c r="FQ1504" s="6"/>
      <c r="FR1504" s="6"/>
      <c r="FS1504" s="6"/>
      <c r="FT1504" s="6"/>
      <c r="FU1504" s="6"/>
      <c r="FV1504" s="6"/>
      <c r="FW1504" s="6"/>
      <c r="FX1504" s="6"/>
      <c r="FY1504" s="6"/>
      <c r="FZ1504" s="6"/>
      <c r="GA1504" s="6"/>
      <c r="GB1504" s="6"/>
      <c r="GC1504" s="6"/>
      <c r="GD1504" s="6"/>
      <c r="GE1504" s="6"/>
      <c r="GF1504" s="6"/>
      <c r="GG1504" s="6"/>
      <c r="GH1504" s="6"/>
      <c r="GI1504" s="6"/>
      <c r="GJ1504" s="6"/>
      <c r="GK1504" s="6"/>
      <c r="GL1504" s="6"/>
      <c r="GM1504" s="6"/>
      <c r="GN1504" s="6"/>
      <c r="GO1504" s="6"/>
      <c r="GP1504" s="6"/>
      <c r="GQ1504" s="6"/>
      <c r="GR1504" s="6"/>
      <c r="GS1504" s="6"/>
      <c r="GT1504" s="6"/>
      <c r="GU1504" s="6"/>
      <c r="GV1504" s="6"/>
      <c r="GW1504" s="6"/>
      <c r="GX1504" s="6"/>
      <c r="GY1504" s="6"/>
      <c r="GZ1504" s="6"/>
      <c r="HA1504" s="6"/>
      <c r="HB1504" s="6"/>
      <c r="HC1504" s="6"/>
      <c r="HD1504" s="6"/>
      <c r="HE1504" s="6"/>
      <c r="HF1504" s="6"/>
      <c r="HG1504" s="6"/>
      <c r="HH1504" s="6"/>
    </row>
    <row r="1505" spans="1:216" x14ac:dyDescent="0.3">
      <c r="A1505" s="8"/>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6"/>
      <c r="AR1505" s="6"/>
      <c r="AS1505" s="6"/>
      <c r="AT1505" s="6"/>
      <c r="AU1505" s="6"/>
      <c r="AV1505" s="6"/>
      <c r="AW1505" s="6"/>
      <c r="AX1505" s="6"/>
      <c r="AY1505" s="6"/>
      <c r="AZ1505" s="6"/>
      <c r="BA1505" s="6"/>
      <c r="BB1505" s="6"/>
      <c r="BC1505" s="6"/>
      <c r="BD1505" s="6"/>
      <c r="BE1505" s="6"/>
      <c r="BF1505" s="6"/>
      <c r="BG1505" s="6"/>
      <c r="BH1505" s="6"/>
      <c r="BI1505" s="6"/>
      <c r="BJ1505" s="6"/>
      <c r="BK1505" s="6"/>
      <c r="BL1505" s="6"/>
      <c r="BM1505" s="6"/>
      <c r="BN1505" s="6"/>
      <c r="BO1505" s="6"/>
      <c r="BP1505" s="6"/>
      <c r="BQ1505" s="6"/>
      <c r="BR1505" s="6"/>
      <c r="BS1505" s="6"/>
      <c r="BT1505" s="6"/>
      <c r="BU1505" s="6"/>
      <c r="BV1505" s="6"/>
      <c r="BW1505" s="6"/>
      <c r="BX1505" s="6"/>
      <c r="BY1505" s="6"/>
      <c r="BZ1505" s="6"/>
      <c r="CA1505" s="6"/>
      <c r="CB1505" s="6"/>
      <c r="CC1505" s="6"/>
      <c r="CD1505" s="6"/>
      <c r="CE1505" s="6"/>
      <c r="CF1505" s="6"/>
      <c r="CG1505" s="6"/>
      <c r="CH1505" s="6"/>
      <c r="CI1505" s="6"/>
      <c r="CJ1505" s="6"/>
      <c r="CK1505" s="6"/>
      <c r="CL1505" s="6"/>
      <c r="CM1505" s="6"/>
      <c r="CN1505" s="6"/>
      <c r="CO1505" s="6"/>
      <c r="CP1505" s="6"/>
      <c r="CQ1505" s="6"/>
      <c r="CR1505" s="6"/>
      <c r="CS1505" s="6"/>
      <c r="CT1505" s="6"/>
      <c r="CU1505" s="6"/>
      <c r="CV1505" s="6"/>
      <c r="CW1505" s="6"/>
      <c r="CX1505" s="6"/>
      <c r="CY1505" s="6"/>
      <c r="CZ1505" s="6"/>
      <c r="DA1505" s="6"/>
      <c r="DB1505" s="6"/>
      <c r="DC1505" s="6"/>
      <c r="DD1505" s="6"/>
      <c r="DE1505" s="6"/>
      <c r="DF1505" s="6"/>
      <c r="DG1505" s="6"/>
      <c r="DH1505" s="6"/>
      <c r="DI1505" s="6"/>
      <c r="DJ1505" s="6"/>
      <c r="DK1505" s="6"/>
      <c r="DL1505" s="6"/>
      <c r="DM1505" s="6"/>
      <c r="DN1505" s="6"/>
      <c r="DO1505" s="6"/>
      <c r="DP1505" s="6"/>
      <c r="DQ1505" s="6"/>
      <c r="DR1505" s="6"/>
      <c r="DS1505" s="6"/>
      <c r="DT1505" s="6"/>
      <c r="DU1505" s="6"/>
      <c r="DV1505" s="6"/>
      <c r="DW1505" s="6"/>
      <c r="DX1505" s="6"/>
      <c r="DY1505" s="6"/>
      <c r="DZ1505" s="6"/>
      <c r="EA1505" s="6"/>
      <c r="EB1505" s="6"/>
      <c r="EC1505" s="6"/>
      <c r="ED1505" s="6"/>
      <c r="EE1505" s="6"/>
      <c r="EF1505" s="6"/>
      <c r="EG1505" s="6"/>
      <c r="EH1505" s="6"/>
      <c r="EI1505" s="6"/>
      <c r="EJ1505" s="6"/>
      <c r="EK1505" s="6"/>
      <c r="EL1505" s="6"/>
      <c r="EM1505" s="6"/>
      <c r="EN1505" s="6"/>
      <c r="EO1505" s="6"/>
      <c r="EP1505" s="6"/>
      <c r="EQ1505" s="6"/>
      <c r="ER1505" s="6"/>
      <c r="ES1505" s="6"/>
      <c r="ET1505" s="6"/>
      <c r="EU1505" s="6"/>
      <c r="EV1505" s="6"/>
      <c r="EW1505" s="6"/>
      <c r="EX1505" s="6"/>
      <c r="EY1505" s="6"/>
      <c r="EZ1505" s="6"/>
      <c r="FA1505" s="6"/>
      <c r="FB1505" s="6"/>
      <c r="FC1505" s="6"/>
      <c r="FD1505" s="6"/>
      <c r="FE1505" s="6"/>
      <c r="FF1505" s="6"/>
      <c r="FG1505" s="6"/>
      <c r="FH1505" s="6"/>
      <c r="FI1505" s="6"/>
      <c r="FJ1505" s="6"/>
      <c r="FK1505" s="6"/>
      <c r="FL1505" s="6"/>
      <c r="FM1505" s="6"/>
      <c r="FN1505" s="6"/>
      <c r="FO1505" s="6"/>
      <c r="FP1505" s="6"/>
      <c r="FQ1505" s="6"/>
      <c r="FR1505" s="6"/>
      <c r="FS1505" s="6"/>
      <c r="FT1505" s="6"/>
      <c r="FU1505" s="6"/>
      <c r="FV1505" s="6"/>
      <c r="FW1505" s="6"/>
      <c r="FX1505" s="6"/>
      <c r="FY1505" s="6"/>
      <c r="FZ1505" s="6"/>
      <c r="GA1505" s="6"/>
      <c r="GB1505" s="6"/>
      <c r="GC1505" s="6"/>
      <c r="GD1505" s="6"/>
      <c r="GE1505" s="6"/>
      <c r="GF1505" s="6"/>
      <c r="GG1505" s="6"/>
      <c r="GH1505" s="6"/>
      <c r="GI1505" s="6"/>
      <c r="GJ1505" s="6"/>
      <c r="GK1505" s="6"/>
      <c r="GL1505" s="6"/>
      <c r="GM1505" s="6"/>
      <c r="GN1505" s="6"/>
      <c r="GO1505" s="6"/>
      <c r="GP1505" s="6"/>
      <c r="GQ1505" s="6"/>
      <c r="GR1505" s="6"/>
      <c r="GS1505" s="6"/>
      <c r="GT1505" s="6"/>
      <c r="GU1505" s="6"/>
      <c r="GV1505" s="6"/>
      <c r="GW1505" s="6"/>
      <c r="GX1505" s="6"/>
      <c r="GY1505" s="6"/>
      <c r="GZ1505" s="6"/>
      <c r="HA1505" s="6"/>
      <c r="HB1505" s="6"/>
      <c r="HC1505" s="6"/>
      <c r="HD1505" s="6"/>
      <c r="HE1505" s="6"/>
      <c r="HF1505" s="6"/>
      <c r="HG1505" s="6"/>
      <c r="HH1505" s="6"/>
    </row>
    <row r="1506" spans="1:216" x14ac:dyDescent="0.3">
      <c r="A1506" s="8"/>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6"/>
      <c r="AR1506" s="6"/>
      <c r="AS1506" s="6"/>
      <c r="AT1506" s="6"/>
      <c r="AU1506" s="6"/>
      <c r="AV1506" s="6"/>
      <c r="AW1506" s="6"/>
      <c r="AX1506" s="6"/>
      <c r="AY1506" s="6"/>
      <c r="AZ1506" s="6"/>
      <c r="BA1506" s="6"/>
      <c r="BB1506" s="6"/>
      <c r="BC1506" s="6"/>
      <c r="BD1506" s="6"/>
      <c r="BE1506" s="6"/>
      <c r="BF1506" s="6"/>
      <c r="BG1506" s="6"/>
      <c r="BH1506" s="6"/>
      <c r="BI1506" s="6"/>
      <c r="BJ1506" s="6"/>
      <c r="BK1506" s="6"/>
      <c r="BL1506" s="6"/>
      <c r="BM1506" s="6"/>
      <c r="BN1506" s="6"/>
      <c r="BO1506" s="6"/>
      <c r="BP1506" s="6"/>
      <c r="BQ1506" s="6"/>
      <c r="BR1506" s="6"/>
      <c r="BS1506" s="6"/>
      <c r="BT1506" s="6"/>
      <c r="BU1506" s="6"/>
      <c r="BV1506" s="6"/>
      <c r="BW1506" s="6"/>
      <c r="BX1506" s="6"/>
      <c r="BY1506" s="6"/>
      <c r="BZ1506" s="6"/>
      <c r="CA1506" s="6"/>
      <c r="CB1506" s="6"/>
      <c r="CC1506" s="6"/>
      <c r="CD1506" s="6"/>
      <c r="CE1506" s="6"/>
      <c r="CF1506" s="6"/>
      <c r="CG1506" s="6"/>
      <c r="CH1506" s="6"/>
      <c r="CI1506" s="6"/>
      <c r="CJ1506" s="6"/>
      <c r="CK1506" s="6"/>
      <c r="CL1506" s="6"/>
      <c r="CM1506" s="6"/>
      <c r="CN1506" s="6"/>
      <c r="CO1506" s="6"/>
      <c r="CP1506" s="6"/>
      <c r="CQ1506" s="6"/>
      <c r="CR1506" s="6"/>
      <c r="CS1506" s="6"/>
      <c r="CT1506" s="6"/>
      <c r="CU1506" s="6"/>
      <c r="CV1506" s="6"/>
      <c r="CW1506" s="6"/>
      <c r="CX1506" s="6"/>
      <c r="CY1506" s="6"/>
      <c r="CZ1506" s="6"/>
      <c r="DA1506" s="6"/>
      <c r="DB1506" s="6"/>
      <c r="DC1506" s="6"/>
      <c r="DD1506" s="6"/>
      <c r="DE1506" s="6"/>
      <c r="DF1506" s="6"/>
      <c r="DG1506" s="6"/>
      <c r="DH1506" s="6"/>
      <c r="DI1506" s="6"/>
      <c r="DJ1506" s="6"/>
      <c r="DK1506" s="6"/>
      <c r="DL1506" s="6"/>
      <c r="DM1506" s="6"/>
      <c r="DN1506" s="6"/>
      <c r="DO1506" s="6"/>
      <c r="DP1506" s="6"/>
      <c r="DQ1506" s="6"/>
      <c r="DR1506" s="6"/>
      <c r="DS1506" s="6"/>
      <c r="DT1506" s="6"/>
      <c r="DU1506" s="6"/>
      <c r="DV1506" s="6"/>
      <c r="DW1506" s="6"/>
      <c r="DX1506" s="6"/>
      <c r="DY1506" s="6"/>
      <c r="DZ1506" s="6"/>
      <c r="EA1506" s="6"/>
      <c r="EB1506" s="6"/>
      <c r="EC1506" s="6"/>
      <c r="ED1506" s="6"/>
      <c r="EE1506" s="6"/>
      <c r="EF1506" s="6"/>
      <c r="EG1506" s="6"/>
      <c r="EH1506" s="6"/>
      <c r="EI1506" s="6"/>
      <c r="EJ1506" s="6"/>
      <c r="EK1506" s="6"/>
      <c r="EL1506" s="6"/>
      <c r="EM1506" s="6"/>
      <c r="EN1506" s="6"/>
      <c r="EO1506" s="6"/>
      <c r="EP1506" s="6"/>
      <c r="EQ1506" s="6"/>
      <c r="ER1506" s="6"/>
      <c r="ES1506" s="6"/>
      <c r="ET1506" s="6"/>
      <c r="EU1506" s="6"/>
      <c r="EV1506" s="6"/>
      <c r="EW1506" s="6"/>
      <c r="EX1506" s="6"/>
      <c r="EY1506" s="6"/>
      <c r="EZ1506" s="6"/>
      <c r="FA1506" s="6"/>
      <c r="FB1506" s="6"/>
      <c r="FC1506" s="6"/>
      <c r="FD1506" s="6"/>
      <c r="FE1506" s="6"/>
      <c r="FF1506" s="6"/>
      <c r="FG1506" s="6"/>
      <c r="FH1506" s="6"/>
      <c r="FI1506" s="6"/>
      <c r="FJ1506" s="6"/>
      <c r="FK1506" s="6"/>
      <c r="FL1506" s="6"/>
      <c r="FM1506" s="6"/>
      <c r="FN1506" s="6"/>
      <c r="FO1506" s="6"/>
      <c r="FP1506" s="6"/>
      <c r="FQ1506" s="6"/>
      <c r="FR1506" s="6"/>
      <c r="FS1506" s="6"/>
      <c r="FT1506" s="6"/>
      <c r="FU1506" s="6"/>
      <c r="FV1506" s="6"/>
      <c r="FW1506" s="6"/>
      <c r="FX1506" s="6"/>
      <c r="FY1506" s="6"/>
      <c r="FZ1506" s="6"/>
      <c r="GA1506" s="6"/>
      <c r="GB1506" s="6"/>
      <c r="GC1506" s="6"/>
      <c r="GD1506" s="6"/>
      <c r="GE1506" s="6"/>
      <c r="GF1506" s="6"/>
      <c r="GG1506" s="6"/>
      <c r="GH1506" s="6"/>
      <c r="GI1506" s="6"/>
      <c r="GJ1506" s="6"/>
      <c r="GK1506" s="6"/>
      <c r="GL1506" s="6"/>
      <c r="GM1506" s="6"/>
      <c r="GN1506" s="6"/>
      <c r="GO1506" s="6"/>
      <c r="GP1506" s="6"/>
      <c r="GQ1506" s="6"/>
      <c r="GR1506" s="6"/>
      <c r="GS1506" s="6"/>
      <c r="GT1506" s="6"/>
      <c r="GU1506" s="6"/>
      <c r="GV1506" s="6"/>
      <c r="GW1506" s="6"/>
      <c r="GX1506" s="6"/>
      <c r="GY1506" s="6"/>
      <c r="GZ1506" s="6"/>
      <c r="HA1506" s="6"/>
      <c r="HB1506" s="6"/>
      <c r="HC1506" s="6"/>
      <c r="HD1506" s="6"/>
      <c r="HE1506" s="6"/>
      <c r="HF1506" s="6"/>
      <c r="HG1506" s="6"/>
      <c r="HH1506" s="6"/>
    </row>
    <row r="1507" spans="1:216" x14ac:dyDescent="0.3">
      <c r="A1507" s="8"/>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6"/>
      <c r="AR1507" s="6"/>
      <c r="AS1507" s="6"/>
      <c r="AT1507" s="6"/>
      <c r="AU1507" s="6"/>
      <c r="AV1507" s="6"/>
      <c r="AW1507" s="6"/>
      <c r="AX1507" s="6"/>
      <c r="AY1507" s="6"/>
      <c r="AZ1507" s="6"/>
      <c r="BA1507" s="6"/>
      <c r="BB1507" s="6"/>
      <c r="BC1507" s="6"/>
      <c r="BD1507" s="6"/>
      <c r="BE1507" s="6"/>
      <c r="BF1507" s="6"/>
      <c r="BG1507" s="6"/>
      <c r="BH1507" s="6"/>
      <c r="BI1507" s="6"/>
      <c r="BJ1507" s="6"/>
      <c r="BK1507" s="6"/>
      <c r="BL1507" s="6"/>
      <c r="BM1507" s="6"/>
      <c r="BN1507" s="6"/>
      <c r="BO1507" s="6"/>
      <c r="BP1507" s="6"/>
      <c r="BQ1507" s="6"/>
      <c r="BR1507" s="6"/>
      <c r="BS1507" s="6"/>
      <c r="BT1507" s="6"/>
      <c r="BU1507" s="6"/>
      <c r="BV1507" s="6"/>
      <c r="BW1507" s="6"/>
      <c r="BX1507" s="6"/>
      <c r="BY1507" s="6"/>
      <c r="BZ1507" s="6"/>
      <c r="CA1507" s="6"/>
      <c r="CB1507" s="6"/>
      <c r="CC1507" s="6"/>
      <c r="CD1507" s="6"/>
      <c r="CE1507" s="6"/>
      <c r="CF1507" s="6"/>
      <c r="CG1507" s="6"/>
      <c r="CH1507" s="6"/>
      <c r="CI1507" s="6"/>
      <c r="CJ1507" s="6"/>
      <c r="CK1507" s="6"/>
      <c r="CL1507" s="6"/>
      <c r="CM1507" s="6"/>
      <c r="CN1507" s="6"/>
      <c r="CO1507" s="6"/>
      <c r="CP1507" s="6"/>
      <c r="CQ1507" s="6"/>
      <c r="CR1507" s="6"/>
      <c r="CS1507" s="6"/>
      <c r="CT1507" s="6"/>
      <c r="CU1507" s="6"/>
      <c r="CV1507" s="6"/>
      <c r="CW1507" s="6"/>
      <c r="CX1507" s="6"/>
      <c r="CY1507" s="6"/>
      <c r="CZ1507" s="6"/>
      <c r="DA1507" s="6"/>
      <c r="DB1507" s="6"/>
      <c r="DC1507" s="6"/>
      <c r="DD1507" s="6"/>
      <c r="DE1507" s="6"/>
      <c r="DF1507" s="6"/>
      <c r="DG1507" s="6"/>
      <c r="DH1507" s="6"/>
      <c r="DI1507" s="6"/>
      <c r="DJ1507" s="6"/>
      <c r="DK1507" s="6"/>
      <c r="DL1507" s="6"/>
      <c r="DM1507" s="6"/>
      <c r="DN1507" s="6"/>
      <c r="DO1507" s="6"/>
      <c r="DP1507" s="6"/>
      <c r="DQ1507" s="6"/>
      <c r="DR1507" s="6"/>
      <c r="DS1507" s="6"/>
      <c r="DT1507" s="6"/>
      <c r="DU1507" s="6"/>
      <c r="DV1507" s="6"/>
      <c r="DW1507" s="6"/>
      <c r="DX1507" s="6"/>
      <c r="DY1507" s="6"/>
      <c r="DZ1507" s="6"/>
      <c r="EA1507" s="6"/>
      <c r="EB1507" s="6"/>
      <c r="EC1507" s="6"/>
      <c r="ED1507" s="6"/>
      <c r="EE1507" s="6"/>
      <c r="EF1507" s="6"/>
      <c r="EG1507" s="6"/>
      <c r="EH1507" s="6"/>
      <c r="EI1507" s="6"/>
      <c r="EJ1507" s="6"/>
      <c r="EK1507" s="6"/>
      <c r="EL1507" s="6"/>
      <c r="EM1507" s="6"/>
      <c r="EN1507" s="6"/>
      <c r="EO1507" s="6"/>
      <c r="EP1507" s="6"/>
      <c r="EQ1507" s="6"/>
      <c r="ER1507" s="6"/>
      <c r="ES1507" s="6"/>
      <c r="ET1507" s="6"/>
      <c r="EU1507" s="6"/>
      <c r="EV1507" s="6"/>
      <c r="EW1507" s="6"/>
      <c r="EX1507" s="6"/>
      <c r="EY1507" s="6"/>
      <c r="EZ1507" s="6"/>
      <c r="FA1507" s="6"/>
      <c r="FB1507" s="6"/>
      <c r="FC1507" s="6"/>
      <c r="FD1507" s="6"/>
      <c r="FE1507" s="6"/>
      <c r="FF1507" s="6"/>
      <c r="FG1507" s="6"/>
      <c r="FH1507" s="6"/>
      <c r="FI1507" s="6"/>
      <c r="FJ1507" s="6"/>
      <c r="FK1507" s="6"/>
      <c r="FL1507" s="6"/>
      <c r="FM1507" s="6"/>
      <c r="FN1507" s="6"/>
      <c r="FO1507" s="6"/>
      <c r="FP1507" s="6"/>
      <c r="FQ1507" s="6"/>
      <c r="FR1507" s="6"/>
      <c r="FS1507" s="6"/>
      <c r="FT1507" s="6"/>
      <c r="FU1507" s="6"/>
      <c r="FV1507" s="6"/>
      <c r="FW1507" s="6"/>
      <c r="FX1507" s="6"/>
      <c r="FY1507" s="6"/>
      <c r="FZ1507" s="6"/>
      <c r="GA1507" s="6"/>
      <c r="GB1507" s="6"/>
      <c r="GC1507" s="6"/>
      <c r="GD1507" s="6"/>
      <c r="GE1507" s="6"/>
      <c r="GF1507" s="6"/>
      <c r="GG1507" s="6"/>
      <c r="GH1507" s="6"/>
      <c r="GI1507" s="6"/>
      <c r="GJ1507" s="6"/>
      <c r="GK1507" s="6"/>
      <c r="GL1507" s="6"/>
      <c r="GM1507" s="6"/>
      <c r="GN1507" s="6"/>
      <c r="GO1507" s="6"/>
      <c r="GP1507" s="6"/>
      <c r="GQ1507" s="6"/>
      <c r="GR1507" s="6"/>
      <c r="GS1507" s="6"/>
      <c r="GT1507" s="6"/>
      <c r="GU1507" s="6"/>
      <c r="GV1507" s="6"/>
      <c r="GW1507" s="6"/>
      <c r="GX1507" s="6"/>
      <c r="GY1507" s="6"/>
      <c r="GZ1507" s="6"/>
      <c r="HA1507" s="6"/>
      <c r="HB1507" s="6"/>
      <c r="HC1507" s="6"/>
      <c r="HD1507" s="6"/>
      <c r="HE1507" s="6"/>
      <c r="HF1507" s="6"/>
      <c r="HG1507" s="6"/>
      <c r="HH1507" s="6"/>
    </row>
    <row r="1508" spans="1:216" x14ac:dyDescent="0.3">
      <c r="A1508" s="8"/>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6"/>
      <c r="AR1508" s="6"/>
      <c r="AS1508" s="6"/>
      <c r="AT1508" s="6"/>
      <c r="AU1508" s="6"/>
      <c r="AV1508" s="6"/>
      <c r="AW1508" s="6"/>
      <c r="AX1508" s="6"/>
      <c r="AY1508" s="6"/>
      <c r="AZ1508" s="6"/>
      <c r="BA1508" s="6"/>
      <c r="BB1508" s="6"/>
      <c r="BC1508" s="6"/>
      <c r="BD1508" s="6"/>
      <c r="BE1508" s="6"/>
      <c r="BF1508" s="6"/>
      <c r="BG1508" s="6"/>
      <c r="BH1508" s="6"/>
      <c r="BI1508" s="6"/>
      <c r="BJ1508" s="6"/>
      <c r="BK1508" s="6"/>
      <c r="BL1508" s="6"/>
      <c r="BM1508" s="6"/>
      <c r="BN1508" s="6"/>
      <c r="BO1508" s="6"/>
      <c r="BP1508" s="6"/>
      <c r="BQ1508" s="6"/>
      <c r="BR1508" s="6"/>
      <c r="BS1508" s="6"/>
      <c r="BT1508" s="6"/>
      <c r="BU1508" s="6"/>
      <c r="BV1508" s="6"/>
      <c r="BW1508" s="6"/>
      <c r="BX1508" s="6"/>
      <c r="BY1508" s="6"/>
      <c r="BZ1508" s="6"/>
      <c r="CA1508" s="6"/>
      <c r="CB1508" s="6"/>
      <c r="CC1508" s="6"/>
      <c r="CD1508" s="6"/>
      <c r="CE1508" s="6"/>
      <c r="CF1508" s="6"/>
      <c r="CG1508" s="6"/>
      <c r="CH1508" s="6"/>
      <c r="CI1508" s="6"/>
      <c r="CJ1508" s="6"/>
      <c r="CK1508" s="6"/>
      <c r="CL1508" s="6"/>
      <c r="CM1508" s="6"/>
      <c r="CN1508" s="6"/>
      <c r="CO1508" s="6"/>
      <c r="CP1508" s="6"/>
      <c r="CQ1508" s="6"/>
      <c r="CR1508" s="6"/>
      <c r="CS1508" s="6"/>
      <c r="CT1508" s="6"/>
      <c r="CU1508" s="6"/>
      <c r="CV1508" s="6"/>
      <c r="CW1508" s="6"/>
      <c r="CX1508" s="6"/>
      <c r="CY1508" s="6"/>
      <c r="CZ1508" s="6"/>
      <c r="DA1508" s="6"/>
      <c r="DB1508" s="6"/>
      <c r="DC1508" s="6"/>
      <c r="DD1508" s="6"/>
      <c r="DE1508" s="6"/>
      <c r="DF1508" s="6"/>
      <c r="DG1508" s="6"/>
      <c r="DH1508" s="6"/>
      <c r="DI1508" s="6"/>
      <c r="DJ1508" s="6"/>
      <c r="DK1508" s="6"/>
      <c r="DL1508" s="6"/>
      <c r="DM1508" s="6"/>
      <c r="DN1508" s="6"/>
      <c r="DO1508" s="6"/>
      <c r="DP1508" s="6"/>
      <c r="DQ1508" s="6"/>
      <c r="DR1508" s="6"/>
      <c r="DS1508" s="6"/>
      <c r="DT1508" s="6"/>
      <c r="DU1508" s="6"/>
      <c r="DV1508" s="6"/>
      <c r="DW1508" s="6"/>
      <c r="DX1508" s="6"/>
      <c r="DY1508" s="6"/>
      <c r="DZ1508" s="6"/>
      <c r="EA1508" s="6"/>
      <c r="EB1508" s="6"/>
      <c r="EC1508" s="6"/>
      <c r="ED1508" s="6"/>
      <c r="EE1508" s="6"/>
      <c r="EF1508" s="6"/>
      <c r="EG1508" s="6"/>
      <c r="EH1508" s="6"/>
      <c r="EI1508" s="6"/>
      <c r="EJ1508" s="6"/>
      <c r="EK1508" s="6"/>
      <c r="EL1508" s="6"/>
      <c r="EM1508" s="6"/>
      <c r="EN1508" s="6"/>
      <c r="EO1508" s="6"/>
      <c r="EP1508" s="6"/>
      <c r="EQ1508" s="6"/>
      <c r="ER1508" s="6"/>
      <c r="ES1508" s="6"/>
      <c r="ET1508" s="6"/>
      <c r="EU1508" s="6"/>
      <c r="EV1508" s="6"/>
      <c r="EW1508" s="6"/>
      <c r="EX1508" s="6"/>
      <c r="EY1508" s="6"/>
      <c r="EZ1508" s="6"/>
      <c r="FA1508" s="6"/>
      <c r="FB1508" s="6"/>
      <c r="FC1508" s="6"/>
      <c r="FD1508" s="6"/>
      <c r="FE1508" s="6"/>
      <c r="FF1508" s="6"/>
      <c r="FG1508" s="6"/>
      <c r="FH1508" s="6"/>
      <c r="FI1508" s="6"/>
      <c r="FJ1508" s="6"/>
      <c r="FK1508" s="6"/>
      <c r="FL1508" s="6"/>
      <c r="FM1508" s="6"/>
      <c r="FN1508" s="6"/>
      <c r="FO1508" s="6"/>
      <c r="FP1508" s="6"/>
      <c r="FQ1508" s="6"/>
      <c r="FR1508" s="6"/>
      <c r="FS1508" s="6"/>
      <c r="FT1508" s="6"/>
      <c r="FU1508" s="6"/>
      <c r="FV1508" s="6"/>
      <c r="FW1508" s="6"/>
      <c r="FX1508" s="6"/>
      <c r="FY1508" s="6"/>
      <c r="FZ1508" s="6"/>
      <c r="GA1508" s="6"/>
      <c r="GB1508" s="6"/>
      <c r="GC1508" s="6"/>
      <c r="GD1508" s="6"/>
      <c r="GE1508" s="6"/>
      <c r="GF1508" s="6"/>
      <c r="GG1508" s="6"/>
      <c r="GH1508" s="6"/>
      <c r="GI1508" s="6"/>
      <c r="GJ1508" s="6"/>
      <c r="GK1508" s="6"/>
      <c r="GL1508" s="6"/>
      <c r="GM1508" s="6"/>
      <c r="GN1508" s="6"/>
      <c r="GO1508" s="6"/>
      <c r="GP1508" s="6"/>
      <c r="GQ1508" s="6"/>
      <c r="GR1508" s="6"/>
      <c r="GS1508" s="6"/>
      <c r="GT1508" s="6"/>
      <c r="GU1508" s="6"/>
      <c r="GV1508" s="6"/>
      <c r="GW1508" s="6"/>
      <c r="GX1508" s="6"/>
      <c r="GY1508" s="6"/>
      <c r="GZ1508" s="6"/>
      <c r="HA1508" s="6"/>
      <c r="HB1508" s="6"/>
      <c r="HC1508" s="6"/>
      <c r="HD1508" s="6"/>
      <c r="HE1508" s="6"/>
      <c r="HF1508" s="6"/>
      <c r="HG1508" s="6"/>
      <c r="HH1508" s="6"/>
    </row>
    <row r="1509" spans="1:216" x14ac:dyDescent="0.3">
      <c r="A1509" s="8"/>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6"/>
      <c r="AR1509" s="6"/>
      <c r="AS1509" s="6"/>
      <c r="AT1509" s="6"/>
      <c r="AU1509" s="6"/>
      <c r="AV1509" s="6"/>
      <c r="AW1509" s="6"/>
      <c r="AX1509" s="6"/>
      <c r="AY1509" s="6"/>
      <c r="AZ1509" s="6"/>
      <c r="BA1509" s="6"/>
      <c r="BB1509" s="6"/>
      <c r="BC1509" s="6"/>
      <c r="BD1509" s="6"/>
      <c r="BE1509" s="6"/>
      <c r="BF1509" s="6"/>
      <c r="BG1509" s="6"/>
      <c r="BH1509" s="6"/>
      <c r="BI1509" s="6"/>
      <c r="BJ1509" s="6"/>
      <c r="BK1509" s="6"/>
      <c r="BL1509" s="6"/>
      <c r="BM1509" s="6"/>
      <c r="BN1509" s="6"/>
      <c r="BO1509" s="6"/>
      <c r="BP1509" s="6"/>
      <c r="BQ1509" s="6"/>
      <c r="BR1509" s="6"/>
      <c r="BS1509" s="6"/>
      <c r="BT1509" s="6"/>
      <c r="BU1509" s="6"/>
      <c r="BV1509" s="6"/>
      <c r="BW1509" s="6"/>
      <c r="BX1509" s="6"/>
      <c r="BY1509" s="6"/>
      <c r="BZ1509" s="6"/>
      <c r="CA1509" s="6"/>
      <c r="CB1509" s="6"/>
      <c r="CC1509" s="6"/>
      <c r="CD1509" s="6"/>
      <c r="CE1509" s="6"/>
      <c r="CF1509" s="6"/>
      <c r="CG1509" s="6"/>
      <c r="CH1509" s="6"/>
      <c r="CI1509" s="6"/>
      <c r="CJ1509" s="6"/>
      <c r="CK1509" s="6"/>
      <c r="CL1509" s="6"/>
      <c r="CM1509" s="6"/>
      <c r="CN1509" s="6"/>
      <c r="CO1509" s="6"/>
      <c r="CP1509" s="6"/>
      <c r="CQ1509" s="6"/>
      <c r="CR1509" s="6"/>
      <c r="CS1509" s="6"/>
      <c r="CT1509" s="6"/>
      <c r="CU1509" s="6"/>
      <c r="CV1509" s="6"/>
      <c r="CW1509" s="6"/>
      <c r="CX1509" s="6"/>
      <c r="CY1509" s="6"/>
      <c r="CZ1509" s="6"/>
      <c r="DA1509" s="6"/>
      <c r="DB1509" s="6"/>
      <c r="DC1509" s="6"/>
      <c r="DD1509" s="6"/>
      <c r="DE1509" s="6"/>
      <c r="DF1509" s="6"/>
      <c r="DG1509" s="6"/>
      <c r="DH1509" s="6"/>
      <c r="DI1509" s="6"/>
      <c r="DJ1509" s="6"/>
      <c r="DK1509" s="6"/>
      <c r="DL1509" s="6"/>
      <c r="DM1509" s="6"/>
      <c r="DN1509" s="6"/>
      <c r="DO1509" s="6"/>
      <c r="DP1509" s="6"/>
      <c r="DQ1509" s="6"/>
      <c r="DR1509" s="6"/>
      <c r="DS1509" s="6"/>
      <c r="DT1509" s="6"/>
      <c r="DU1509" s="6"/>
      <c r="DV1509" s="6"/>
      <c r="DW1509" s="6"/>
      <c r="DX1509" s="6"/>
      <c r="DY1509" s="6"/>
      <c r="DZ1509" s="6"/>
      <c r="EA1509" s="6"/>
      <c r="EB1509" s="6"/>
      <c r="EC1509" s="6"/>
      <c r="ED1509" s="6"/>
      <c r="EE1509" s="6"/>
      <c r="EF1509" s="6"/>
      <c r="EG1509" s="6"/>
      <c r="EH1509" s="6"/>
      <c r="EI1509" s="6"/>
      <c r="EJ1509" s="6"/>
      <c r="EK1509" s="6"/>
      <c r="EL1509" s="6"/>
      <c r="EM1509" s="6"/>
      <c r="EN1509" s="6"/>
      <c r="EO1509" s="6"/>
      <c r="EP1509" s="6"/>
      <c r="EQ1509" s="6"/>
      <c r="ER1509" s="6"/>
      <c r="ES1509" s="6"/>
      <c r="ET1509" s="6"/>
      <c r="EU1509" s="6"/>
      <c r="EV1509" s="6"/>
      <c r="EW1509" s="6"/>
      <c r="EX1509" s="6"/>
      <c r="EY1509" s="6"/>
      <c r="EZ1509" s="6"/>
      <c r="FA1509" s="6"/>
      <c r="FB1509" s="6"/>
      <c r="FC1509" s="6"/>
      <c r="FD1509" s="6"/>
      <c r="FE1509" s="6"/>
      <c r="FF1509" s="6"/>
      <c r="FG1509" s="6"/>
      <c r="FH1509" s="6"/>
      <c r="FI1509" s="6"/>
      <c r="FJ1509" s="6"/>
      <c r="FK1509" s="6"/>
      <c r="FL1509" s="6"/>
      <c r="FM1509" s="6"/>
      <c r="FN1509" s="6"/>
      <c r="FO1509" s="6"/>
      <c r="FP1509" s="6"/>
      <c r="FQ1509" s="6"/>
      <c r="FR1509" s="6"/>
      <c r="FS1509" s="6"/>
      <c r="FT1509" s="6"/>
      <c r="FU1509" s="6"/>
      <c r="FV1509" s="6"/>
      <c r="FW1509" s="6"/>
      <c r="FX1509" s="6"/>
      <c r="FY1509" s="6"/>
      <c r="FZ1509" s="6"/>
      <c r="GA1509" s="6"/>
      <c r="GB1509" s="6"/>
      <c r="GC1509" s="6"/>
      <c r="GD1509" s="6"/>
      <c r="GE1509" s="6"/>
      <c r="GF1509" s="6"/>
      <c r="GG1509" s="6"/>
      <c r="GH1509" s="6"/>
      <c r="GI1509" s="6"/>
      <c r="GJ1509" s="6"/>
      <c r="GK1509" s="6"/>
      <c r="GL1509" s="6"/>
      <c r="GM1509" s="6"/>
      <c r="GN1509" s="6"/>
      <c r="GO1509" s="6"/>
      <c r="GP1509" s="6"/>
      <c r="GQ1509" s="6"/>
      <c r="GR1509" s="6"/>
      <c r="GS1509" s="6"/>
      <c r="GT1509" s="6"/>
      <c r="GU1509" s="6"/>
      <c r="GV1509" s="6"/>
      <c r="GW1509" s="6"/>
      <c r="GX1509" s="6"/>
      <c r="GY1509" s="6"/>
      <c r="GZ1509" s="6"/>
      <c r="HA1509" s="6"/>
      <c r="HB1509" s="6"/>
      <c r="HC1509" s="6"/>
      <c r="HD1509" s="6"/>
      <c r="HE1509" s="6"/>
      <c r="HF1509" s="6"/>
      <c r="HG1509" s="6"/>
      <c r="HH1509" s="6"/>
    </row>
    <row r="1510" spans="1:216" x14ac:dyDescent="0.3">
      <c r="A1510" s="8"/>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6"/>
      <c r="AR1510" s="6"/>
      <c r="AS1510" s="6"/>
      <c r="AT1510" s="6"/>
      <c r="AU1510" s="6"/>
      <c r="AV1510" s="6"/>
      <c r="AW1510" s="6"/>
      <c r="AX1510" s="6"/>
      <c r="AY1510" s="6"/>
      <c r="AZ1510" s="6"/>
      <c r="BA1510" s="6"/>
      <c r="BB1510" s="6"/>
      <c r="BC1510" s="6"/>
      <c r="BD1510" s="6"/>
      <c r="BE1510" s="6"/>
      <c r="BF1510" s="6"/>
      <c r="BG1510" s="6"/>
      <c r="BH1510" s="6"/>
      <c r="BI1510" s="6"/>
      <c r="BJ1510" s="6"/>
      <c r="BK1510" s="6"/>
      <c r="BL1510" s="6"/>
      <c r="BM1510" s="6"/>
      <c r="BN1510" s="6"/>
      <c r="BO1510" s="6"/>
      <c r="BP1510" s="6"/>
      <c r="BQ1510" s="6"/>
      <c r="BR1510" s="6"/>
      <c r="BS1510" s="6"/>
      <c r="BT1510" s="6"/>
      <c r="BU1510" s="6"/>
      <c r="BV1510" s="6"/>
      <c r="BW1510" s="6"/>
      <c r="BX1510" s="6"/>
      <c r="BY1510" s="6"/>
      <c r="BZ1510" s="6"/>
      <c r="CA1510" s="6"/>
      <c r="CB1510" s="6"/>
      <c r="CC1510" s="6"/>
      <c r="CD1510" s="6"/>
      <c r="CE1510" s="6"/>
      <c r="CF1510" s="6"/>
      <c r="CG1510" s="6"/>
      <c r="CH1510" s="6"/>
      <c r="CI1510" s="6"/>
      <c r="CJ1510" s="6"/>
      <c r="CK1510" s="6"/>
      <c r="CL1510" s="6"/>
      <c r="CM1510" s="6"/>
      <c r="CN1510" s="6"/>
      <c r="CO1510" s="6"/>
      <c r="CP1510" s="6"/>
      <c r="CQ1510" s="6"/>
      <c r="CR1510" s="6"/>
      <c r="CS1510" s="6"/>
      <c r="CT1510" s="6"/>
      <c r="CU1510" s="6"/>
      <c r="CV1510" s="6"/>
      <c r="CW1510" s="6"/>
      <c r="CX1510" s="6"/>
      <c r="CY1510" s="6"/>
      <c r="CZ1510" s="6"/>
      <c r="DA1510" s="6"/>
      <c r="DB1510" s="6"/>
      <c r="DC1510" s="6"/>
      <c r="DD1510" s="6"/>
      <c r="DE1510" s="6"/>
      <c r="DF1510" s="6"/>
      <c r="DG1510" s="6"/>
      <c r="DH1510" s="6"/>
      <c r="DI1510" s="6"/>
      <c r="DJ1510" s="6"/>
      <c r="DK1510" s="6"/>
      <c r="DL1510" s="6"/>
      <c r="DM1510" s="6"/>
      <c r="DN1510" s="6"/>
      <c r="DO1510" s="6"/>
      <c r="DP1510" s="6"/>
      <c r="DQ1510" s="6"/>
      <c r="DR1510" s="6"/>
      <c r="DS1510" s="6"/>
      <c r="DT1510" s="6"/>
      <c r="DU1510" s="6"/>
      <c r="DV1510" s="6"/>
      <c r="DW1510" s="6"/>
      <c r="DX1510" s="6"/>
      <c r="DY1510" s="6"/>
      <c r="DZ1510" s="6"/>
      <c r="EA1510" s="6"/>
      <c r="EB1510" s="6"/>
      <c r="EC1510" s="6"/>
      <c r="ED1510" s="6"/>
      <c r="EE1510" s="6"/>
      <c r="EF1510" s="6"/>
      <c r="EG1510" s="6"/>
      <c r="EH1510" s="6"/>
      <c r="EI1510" s="6"/>
      <c r="EJ1510" s="6"/>
      <c r="EK1510" s="6"/>
      <c r="EL1510" s="6"/>
      <c r="EM1510" s="6"/>
      <c r="EN1510" s="6"/>
      <c r="EO1510" s="6"/>
      <c r="EP1510" s="6"/>
      <c r="EQ1510" s="6"/>
      <c r="ER1510" s="6"/>
      <c r="ES1510" s="6"/>
      <c r="ET1510" s="6"/>
      <c r="EU1510" s="6"/>
      <c r="EV1510" s="6"/>
      <c r="EW1510" s="6"/>
      <c r="EX1510" s="6"/>
      <c r="EY1510" s="6"/>
      <c r="EZ1510" s="6"/>
      <c r="FA1510" s="6"/>
      <c r="FB1510" s="6"/>
      <c r="FC1510" s="6"/>
      <c r="FD1510" s="6"/>
      <c r="FE1510" s="6"/>
      <c r="FF1510" s="6"/>
      <c r="FG1510" s="6"/>
      <c r="FH1510" s="6"/>
      <c r="FI1510" s="6"/>
      <c r="FJ1510" s="6"/>
      <c r="FK1510" s="6"/>
      <c r="FL1510" s="6"/>
      <c r="FM1510" s="6"/>
      <c r="FN1510" s="6"/>
      <c r="FO1510" s="6"/>
      <c r="FP1510" s="6"/>
      <c r="FQ1510" s="6"/>
      <c r="FR1510" s="6"/>
      <c r="FS1510" s="6"/>
      <c r="FT1510" s="6"/>
      <c r="FU1510" s="6"/>
      <c r="FV1510" s="6"/>
      <c r="FW1510" s="6"/>
      <c r="FX1510" s="6"/>
      <c r="FY1510" s="6"/>
      <c r="FZ1510" s="6"/>
      <c r="GA1510" s="6"/>
      <c r="GB1510" s="6"/>
      <c r="GC1510" s="6"/>
      <c r="GD1510" s="6"/>
      <c r="GE1510" s="6"/>
      <c r="GF1510" s="6"/>
      <c r="GG1510" s="6"/>
      <c r="GH1510" s="6"/>
      <c r="GI1510" s="6"/>
      <c r="GJ1510" s="6"/>
      <c r="GK1510" s="6"/>
      <c r="GL1510" s="6"/>
      <c r="GM1510" s="6"/>
      <c r="GN1510" s="6"/>
      <c r="GO1510" s="6"/>
      <c r="GP1510" s="6"/>
      <c r="GQ1510" s="6"/>
      <c r="GR1510" s="6"/>
      <c r="GS1510" s="6"/>
      <c r="GT1510" s="6"/>
      <c r="GU1510" s="6"/>
      <c r="GV1510" s="6"/>
      <c r="GW1510" s="6"/>
      <c r="GX1510" s="6"/>
      <c r="GY1510" s="6"/>
      <c r="GZ1510" s="6"/>
      <c r="HA1510" s="6"/>
      <c r="HB1510" s="6"/>
      <c r="HC1510" s="6"/>
      <c r="HD1510" s="6"/>
      <c r="HE1510" s="6"/>
      <c r="HF1510" s="6"/>
      <c r="HG1510" s="6"/>
      <c r="HH1510" s="6"/>
    </row>
    <row r="1511" spans="1:216" x14ac:dyDescent="0.3">
      <c r="A1511" s="8"/>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6"/>
      <c r="AR1511" s="6"/>
      <c r="AS1511" s="6"/>
      <c r="AT1511" s="6"/>
      <c r="AU1511" s="6"/>
      <c r="AV1511" s="6"/>
      <c r="AW1511" s="6"/>
      <c r="AX1511" s="6"/>
      <c r="AY1511" s="6"/>
      <c r="AZ1511" s="6"/>
      <c r="BA1511" s="6"/>
      <c r="BB1511" s="6"/>
      <c r="BC1511" s="6"/>
      <c r="BD1511" s="6"/>
      <c r="BE1511" s="6"/>
      <c r="BF1511" s="6"/>
      <c r="BG1511" s="6"/>
      <c r="BH1511" s="6"/>
      <c r="BI1511" s="6"/>
      <c r="BJ1511" s="6"/>
      <c r="BK1511" s="6"/>
      <c r="BL1511" s="6"/>
      <c r="BM1511" s="6"/>
      <c r="BN1511" s="6"/>
      <c r="BO1511" s="6"/>
      <c r="BP1511" s="6"/>
      <c r="BQ1511" s="6"/>
      <c r="BR1511" s="6"/>
      <c r="BS1511" s="6"/>
      <c r="BT1511" s="6"/>
      <c r="BU1511" s="6"/>
      <c r="BV1511" s="6"/>
      <c r="BW1511" s="6"/>
      <c r="BX1511" s="6"/>
      <c r="BY1511" s="6"/>
      <c r="BZ1511" s="6"/>
      <c r="CA1511" s="6"/>
      <c r="CB1511" s="6"/>
      <c r="CC1511" s="6"/>
      <c r="CD1511" s="6"/>
      <c r="CE1511" s="6"/>
      <c r="CF1511" s="6"/>
      <c r="CG1511" s="6"/>
      <c r="CH1511" s="6"/>
      <c r="CI1511" s="6"/>
      <c r="CJ1511" s="6"/>
      <c r="CK1511" s="6"/>
      <c r="CL1511" s="6"/>
      <c r="CM1511" s="6"/>
      <c r="CN1511" s="6"/>
      <c r="CO1511" s="6"/>
      <c r="CP1511" s="6"/>
      <c r="CQ1511" s="6"/>
      <c r="CR1511" s="6"/>
      <c r="CS1511" s="6"/>
      <c r="CT1511" s="6"/>
      <c r="CU1511" s="6"/>
      <c r="CV1511" s="6"/>
      <c r="CW1511" s="6"/>
      <c r="CX1511" s="6"/>
      <c r="CY1511" s="6"/>
      <c r="CZ1511" s="6"/>
      <c r="DA1511" s="6"/>
      <c r="DB1511" s="6"/>
      <c r="DC1511" s="6"/>
      <c r="DD1511" s="6"/>
      <c r="DE1511" s="6"/>
      <c r="DF1511" s="6"/>
      <c r="DG1511" s="6"/>
      <c r="DH1511" s="6"/>
      <c r="DI1511" s="6"/>
      <c r="DJ1511" s="6"/>
      <c r="DK1511" s="6"/>
      <c r="DL1511" s="6"/>
      <c r="DM1511" s="6"/>
      <c r="DN1511" s="6"/>
      <c r="DO1511" s="6"/>
      <c r="DP1511" s="6"/>
      <c r="DQ1511" s="6"/>
      <c r="DR1511" s="6"/>
      <c r="DS1511" s="6"/>
      <c r="DT1511" s="6"/>
      <c r="DU1511" s="6"/>
      <c r="DV1511" s="6"/>
      <c r="DW1511" s="6"/>
      <c r="DX1511" s="6"/>
      <c r="DY1511" s="6"/>
      <c r="DZ1511" s="6"/>
      <c r="EA1511" s="6"/>
      <c r="EB1511" s="6"/>
      <c r="EC1511" s="6"/>
      <c r="ED1511" s="6"/>
      <c r="EE1511" s="6"/>
      <c r="EF1511" s="6"/>
      <c r="EG1511" s="6"/>
      <c r="EH1511" s="6"/>
      <c r="EI1511" s="6"/>
      <c r="EJ1511" s="6"/>
      <c r="EK1511" s="6"/>
      <c r="EL1511" s="6"/>
      <c r="EM1511" s="6"/>
      <c r="EN1511" s="6"/>
      <c r="EO1511" s="6"/>
      <c r="EP1511" s="6"/>
      <c r="EQ1511" s="6"/>
      <c r="ER1511" s="6"/>
      <c r="ES1511" s="6"/>
      <c r="ET1511" s="6"/>
      <c r="EU1511" s="6"/>
      <c r="EV1511" s="6"/>
      <c r="EW1511" s="6"/>
      <c r="EX1511" s="6"/>
      <c r="EY1511" s="6"/>
      <c r="EZ1511" s="6"/>
      <c r="FA1511" s="6"/>
      <c r="FB1511" s="6"/>
      <c r="FC1511" s="6"/>
      <c r="FD1511" s="6"/>
      <c r="FE1511" s="6"/>
      <c r="FF1511" s="6"/>
      <c r="FG1511" s="6"/>
      <c r="FH1511" s="6"/>
      <c r="FI1511" s="6"/>
      <c r="FJ1511" s="6"/>
      <c r="FK1511" s="6"/>
      <c r="FL1511" s="6"/>
      <c r="FM1511" s="6"/>
      <c r="FN1511" s="6"/>
      <c r="FO1511" s="6"/>
      <c r="FP1511" s="6"/>
      <c r="FQ1511" s="6"/>
      <c r="FR1511" s="6"/>
      <c r="FS1511" s="6"/>
      <c r="FT1511" s="6"/>
      <c r="FU1511" s="6"/>
      <c r="FV1511" s="6"/>
      <c r="FW1511" s="6"/>
      <c r="FX1511" s="6"/>
      <c r="FY1511" s="6"/>
      <c r="FZ1511" s="6"/>
      <c r="GA1511" s="6"/>
      <c r="GB1511" s="6"/>
      <c r="GC1511" s="6"/>
      <c r="GD1511" s="6"/>
      <c r="GE1511" s="6"/>
      <c r="GF1511" s="6"/>
      <c r="GG1511" s="6"/>
      <c r="GH1511" s="6"/>
      <c r="GI1511" s="6"/>
      <c r="GJ1511" s="6"/>
      <c r="GK1511" s="6"/>
      <c r="GL1511" s="6"/>
      <c r="GM1511" s="6"/>
      <c r="GN1511" s="6"/>
      <c r="GO1511" s="6"/>
      <c r="GP1511" s="6"/>
      <c r="GQ1511" s="6"/>
      <c r="GR1511" s="6"/>
      <c r="GS1511" s="6"/>
      <c r="GT1511" s="6"/>
      <c r="GU1511" s="6"/>
      <c r="GV1511" s="6"/>
      <c r="GW1511" s="6"/>
      <c r="GX1511" s="6"/>
      <c r="GY1511" s="6"/>
      <c r="GZ1511" s="6"/>
      <c r="HA1511" s="6"/>
      <c r="HB1511" s="6"/>
      <c r="HC1511" s="6"/>
      <c r="HD1511" s="6"/>
      <c r="HE1511" s="6"/>
      <c r="HF1511" s="6"/>
      <c r="HG1511" s="6"/>
      <c r="HH1511" s="6"/>
    </row>
    <row r="1512" spans="1:216" x14ac:dyDescent="0.3">
      <c r="A1512" s="8"/>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6"/>
      <c r="AR1512" s="6"/>
      <c r="AS1512" s="6"/>
      <c r="AT1512" s="6"/>
      <c r="AU1512" s="6"/>
      <c r="AV1512" s="6"/>
      <c r="AW1512" s="6"/>
      <c r="AX1512" s="6"/>
      <c r="AY1512" s="6"/>
      <c r="AZ1512" s="6"/>
      <c r="BA1512" s="6"/>
      <c r="BB1512" s="6"/>
      <c r="BC1512" s="6"/>
      <c r="BD1512" s="6"/>
      <c r="BE1512" s="6"/>
      <c r="BF1512" s="6"/>
      <c r="BG1512" s="6"/>
      <c r="BH1512" s="6"/>
      <c r="BI1512" s="6"/>
      <c r="BJ1512" s="6"/>
      <c r="BK1512" s="6"/>
      <c r="BL1512" s="6"/>
      <c r="BM1512" s="6"/>
      <c r="BN1512" s="6"/>
      <c r="BO1512" s="6"/>
      <c r="BP1512" s="6"/>
      <c r="BQ1512" s="6"/>
      <c r="BR1512" s="6"/>
      <c r="BS1512" s="6"/>
      <c r="BT1512" s="6"/>
      <c r="BU1512" s="6"/>
      <c r="BV1512" s="6"/>
      <c r="BW1512" s="6"/>
      <c r="BX1512" s="6"/>
      <c r="BY1512" s="6"/>
      <c r="BZ1512" s="6"/>
      <c r="CA1512" s="6"/>
      <c r="CB1512" s="6"/>
      <c r="CC1512" s="6"/>
      <c r="CD1512" s="6"/>
      <c r="CE1512" s="6"/>
      <c r="CF1512" s="6"/>
      <c r="CG1512" s="6"/>
      <c r="CH1512" s="6"/>
      <c r="CI1512" s="6"/>
      <c r="CJ1512" s="6"/>
      <c r="CK1512" s="6"/>
      <c r="CL1512" s="6"/>
      <c r="CM1512" s="6"/>
      <c r="CN1512" s="6"/>
      <c r="CO1512" s="6"/>
      <c r="CP1512" s="6"/>
      <c r="CQ1512" s="6"/>
      <c r="CR1512" s="6"/>
      <c r="CS1512" s="6"/>
      <c r="CT1512" s="6"/>
      <c r="CU1512" s="6"/>
      <c r="CV1512" s="6"/>
      <c r="CW1512" s="6"/>
      <c r="CX1512" s="6"/>
      <c r="CY1512" s="6"/>
      <c r="CZ1512" s="6"/>
      <c r="DA1512" s="6"/>
      <c r="DB1512" s="6"/>
      <c r="DC1512" s="6"/>
      <c r="DD1512" s="6"/>
      <c r="DE1512" s="6"/>
      <c r="DF1512" s="6"/>
      <c r="DG1512" s="6"/>
      <c r="DH1512" s="6"/>
      <c r="DI1512" s="6"/>
      <c r="DJ1512" s="6"/>
      <c r="DK1512" s="6"/>
      <c r="DL1512" s="6"/>
      <c r="DM1512" s="6"/>
      <c r="DN1512" s="6"/>
      <c r="DO1512" s="6"/>
      <c r="DP1512" s="6"/>
      <c r="DQ1512" s="6"/>
      <c r="DR1512" s="6"/>
      <c r="DS1512" s="6"/>
      <c r="DT1512" s="6"/>
      <c r="DU1512" s="6"/>
      <c r="DV1512" s="6"/>
      <c r="DW1512" s="6"/>
      <c r="DX1512" s="6"/>
      <c r="DY1512" s="6"/>
      <c r="DZ1512" s="6"/>
      <c r="EA1512" s="6"/>
      <c r="EB1512" s="6"/>
      <c r="EC1512" s="6"/>
      <c r="ED1512" s="6"/>
      <c r="EE1512" s="6"/>
      <c r="EF1512" s="6"/>
      <c r="EG1512" s="6"/>
      <c r="EH1512" s="6"/>
      <c r="EI1512" s="6"/>
      <c r="EJ1512" s="6"/>
      <c r="EK1512" s="6"/>
      <c r="EL1512" s="6"/>
      <c r="EM1512" s="6"/>
      <c r="EN1512" s="6"/>
      <c r="EO1512" s="6"/>
      <c r="EP1512" s="6"/>
      <c r="EQ1512" s="6"/>
      <c r="ER1512" s="6"/>
      <c r="ES1512" s="6"/>
      <c r="ET1512" s="6"/>
      <c r="EU1512" s="6"/>
      <c r="EV1512" s="6"/>
      <c r="EW1512" s="6"/>
      <c r="EX1512" s="6"/>
      <c r="EY1512" s="6"/>
      <c r="EZ1512" s="6"/>
      <c r="FA1512" s="6"/>
      <c r="FB1512" s="6"/>
      <c r="FC1512" s="6"/>
      <c r="FD1512" s="6"/>
      <c r="FE1512" s="6"/>
      <c r="FF1512" s="6"/>
      <c r="FG1512" s="6"/>
      <c r="FH1512" s="6"/>
      <c r="FI1512" s="6"/>
      <c r="FJ1512" s="6"/>
      <c r="FK1512" s="6"/>
      <c r="FL1512" s="6"/>
      <c r="FM1512" s="6"/>
      <c r="FN1512" s="6"/>
      <c r="FO1512" s="6"/>
      <c r="FP1512" s="6"/>
      <c r="FQ1512" s="6"/>
      <c r="FR1512" s="6"/>
      <c r="FS1512" s="6"/>
      <c r="FT1512" s="6"/>
      <c r="FU1512" s="6"/>
      <c r="FV1512" s="6"/>
      <c r="FW1512" s="6"/>
      <c r="FX1512" s="6"/>
      <c r="FY1512" s="6"/>
      <c r="FZ1512" s="6"/>
      <c r="GA1512" s="6"/>
      <c r="GB1512" s="6"/>
      <c r="GC1512" s="6"/>
      <c r="GD1512" s="6"/>
      <c r="GE1512" s="6"/>
      <c r="GF1512" s="6"/>
      <c r="GG1512" s="6"/>
      <c r="GH1512" s="6"/>
      <c r="GI1512" s="6"/>
      <c r="GJ1512" s="6"/>
      <c r="GK1512" s="6"/>
      <c r="GL1512" s="6"/>
      <c r="GM1512" s="6"/>
      <c r="GN1512" s="6"/>
      <c r="GO1512" s="6"/>
      <c r="GP1512" s="6"/>
      <c r="GQ1512" s="6"/>
      <c r="GR1512" s="6"/>
      <c r="GS1512" s="6"/>
      <c r="GT1512" s="6"/>
      <c r="GU1512" s="6"/>
      <c r="GV1512" s="6"/>
      <c r="GW1512" s="6"/>
      <c r="GX1512" s="6"/>
      <c r="GY1512" s="6"/>
      <c r="GZ1512" s="6"/>
      <c r="HA1512" s="6"/>
      <c r="HB1512" s="6"/>
      <c r="HC1512" s="6"/>
      <c r="HD1512" s="6"/>
      <c r="HE1512" s="6"/>
      <c r="HF1512" s="6"/>
      <c r="HG1512" s="6"/>
      <c r="HH1512" s="6"/>
    </row>
    <row r="1513" spans="1:216" x14ac:dyDescent="0.3">
      <c r="A1513" s="8"/>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6"/>
      <c r="AR1513" s="6"/>
      <c r="AS1513" s="6"/>
      <c r="AT1513" s="6"/>
      <c r="AU1513" s="6"/>
      <c r="AV1513" s="6"/>
      <c r="AW1513" s="6"/>
      <c r="AX1513" s="6"/>
      <c r="AY1513" s="6"/>
      <c r="AZ1513" s="6"/>
      <c r="BA1513" s="6"/>
      <c r="BB1513" s="6"/>
      <c r="BC1513" s="6"/>
      <c r="BD1513" s="6"/>
      <c r="BE1513" s="6"/>
      <c r="BF1513" s="6"/>
      <c r="BG1513" s="6"/>
      <c r="BH1513" s="6"/>
      <c r="BI1513" s="6"/>
      <c r="BJ1513" s="6"/>
      <c r="BK1513" s="6"/>
      <c r="BL1513" s="6"/>
      <c r="BM1513" s="6"/>
      <c r="BN1513" s="6"/>
      <c r="BO1513" s="6"/>
      <c r="BP1513" s="6"/>
      <c r="BQ1513" s="6"/>
      <c r="BR1513" s="6"/>
      <c r="BS1513" s="6"/>
      <c r="BT1513" s="6"/>
      <c r="BU1513" s="6"/>
      <c r="BV1513" s="6"/>
      <c r="BW1513" s="6"/>
      <c r="BX1513" s="6"/>
      <c r="BY1513" s="6"/>
      <c r="BZ1513" s="6"/>
      <c r="CA1513" s="6"/>
      <c r="CB1513" s="6"/>
      <c r="CC1513" s="6"/>
      <c r="CD1513" s="6"/>
      <c r="CE1513" s="6"/>
      <c r="CF1513" s="6"/>
      <c r="CG1513" s="6"/>
      <c r="CH1513" s="6"/>
      <c r="CI1513" s="6"/>
      <c r="CJ1513" s="6"/>
      <c r="CK1513" s="6"/>
      <c r="CL1513" s="6"/>
      <c r="CM1513" s="6"/>
      <c r="CN1513" s="6"/>
      <c r="CO1513" s="6"/>
      <c r="CP1513" s="6"/>
      <c r="CQ1513" s="6"/>
      <c r="CR1513" s="6"/>
      <c r="CS1513" s="6"/>
      <c r="CT1513" s="6"/>
      <c r="CU1513" s="6"/>
      <c r="CV1513" s="6"/>
      <c r="CW1513" s="6"/>
      <c r="CX1513" s="6"/>
      <c r="CY1513" s="6"/>
      <c r="CZ1513" s="6"/>
      <c r="DA1513" s="6"/>
      <c r="DB1513" s="6"/>
      <c r="DC1513" s="6"/>
      <c r="DD1513" s="6"/>
      <c r="DE1513" s="6"/>
      <c r="DF1513" s="6"/>
      <c r="DG1513" s="6"/>
      <c r="DH1513" s="6"/>
      <c r="DI1513" s="6"/>
      <c r="DJ1513" s="6"/>
      <c r="DK1513" s="6"/>
      <c r="DL1513" s="6"/>
      <c r="DM1513" s="6"/>
      <c r="DN1513" s="6"/>
      <c r="DO1513" s="6"/>
      <c r="DP1513" s="6"/>
      <c r="DQ1513" s="6"/>
      <c r="DR1513" s="6"/>
      <c r="DS1513" s="6"/>
      <c r="DT1513" s="6"/>
      <c r="DU1513" s="6"/>
      <c r="DV1513" s="6"/>
      <c r="DW1513" s="6"/>
      <c r="DX1513" s="6"/>
      <c r="DY1513" s="6"/>
      <c r="DZ1513" s="6"/>
      <c r="EA1513" s="6"/>
      <c r="EB1513" s="6"/>
      <c r="EC1513" s="6"/>
      <c r="ED1513" s="6"/>
      <c r="EE1513" s="6"/>
      <c r="EF1513" s="6"/>
      <c r="EG1513" s="6"/>
      <c r="EH1513" s="6"/>
      <c r="EI1513" s="6"/>
      <c r="EJ1513" s="6"/>
      <c r="EK1513" s="6"/>
      <c r="EL1513" s="6"/>
      <c r="EM1513" s="6"/>
      <c r="EN1513" s="6"/>
      <c r="EO1513" s="6"/>
      <c r="EP1513" s="6"/>
      <c r="EQ1513" s="6"/>
      <c r="ER1513" s="6"/>
      <c r="ES1513" s="6"/>
      <c r="ET1513" s="6"/>
      <c r="EU1513" s="6"/>
      <c r="EV1513" s="6"/>
      <c r="EW1513" s="6"/>
      <c r="EX1513" s="6"/>
      <c r="EY1513" s="6"/>
      <c r="EZ1513" s="6"/>
      <c r="FA1513" s="6"/>
      <c r="FB1513" s="6"/>
      <c r="FC1513" s="6"/>
      <c r="FD1513" s="6"/>
      <c r="FE1513" s="6"/>
      <c r="FF1513" s="6"/>
      <c r="FG1513" s="6"/>
      <c r="FH1513" s="6"/>
      <c r="FI1513" s="6"/>
      <c r="FJ1513" s="6"/>
      <c r="FK1513" s="6"/>
      <c r="FL1513" s="6"/>
      <c r="FM1513" s="6"/>
      <c r="FN1513" s="6"/>
      <c r="FO1513" s="6"/>
      <c r="FP1513" s="6"/>
      <c r="FQ1513" s="6"/>
      <c r="FR1513" s="6"/>
      <c r="FS1513" s="6"/>
      <c r="FT1513" s="6"/>
      <c r="FU1513" s="6"/>
      <c r="FV1513" s="6"/>
      <c r="FW1513" s="6"/>
      <c r="FX1513" s="6"/>
      <c r="FY1513" s="6"/>
      <c r="FZ1513" s="6"/>
      <c r="GA1513" s="6"/>
      <c r="GB1513" s="6"/>
      <c r="GC1513" s="6"/>
      <c r="GD1513" s="6"/>
      <c r="GE1513" s="6"/>
      <c r="GF1513" s="6"/>
      <c r="GG1513" s="6"/>
      <c r="GH1513" s="6"/>
      <c r="GI1513" s="6"/>
      <c r="GJ1513" s="6"/>
      <c r="GK1513" s="6"/>
      <c r="GL1513" s="6"/>
      <c r="GM1513" s="6"/>
      <c r="GN1513" s="6"/>
      <c r="GO1513" s="6"/>
      <c r="GP1513" s="6"/>
      <c r="GQ1513" s="6"/>
      <c r="GR1513" s="6"/>
      <c r="GS1513" s="6"/>
      <c r="GT1513" s="6"/>
      <c r="GU1513" s="6"/>
      <c r="GV1513" s="6"/>
      <c r="GW1513" s="6"/>
      <c r="GX1513" s="6"/>
      <c r="GY1513" s="6"/>
      <c r="GZ1513" s="6"/>
      <c r="HA1513" s="6"/>
      <c r="HB1513" s="6"/>
      <c r="HC1513" s="6"/>
      <c r="HD1513" s="6"/>
      <c r="HE1513" s="6"/>
      <c r="HF1513" s="6"/>
      <c r="HG1513" s="6"/>
      <c r="HH1513" s="6"/>
    </row>
    <row r="1514" spans="1:216" x14ac:dyDescent="0.3">
      <c r="A1514" s="8"/>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6"/>
      <c r="AR1514" s="6"/>
      <c r="AS1514" s="6"/>
      <c r="AT1514" s="6"/>
      <c r="AU1514" s="6"/>
      <c r="AV1514" s="6"/>
      <c r="AW1514" s="6"/>
      <c r="AX1514" s="6"/>
      <c r="AY1514" s="6"/>
      <c r="AZ1514" s="6"/>
      <c r="BA1514" s="6"/>
      <c r="BB1514" s="6"/>
      <c r="BC1514" s="6"/>
      <c r="BD1514" s="6"/>
      <c r="BE1514" s="6"/>
      <c r="BF1514" s="6"/>
      <c r="BG1514" s="6"/>
      <c r="BH1514" s="6"/>
      <c r="BI1514" s="6"/>
      <c r="BJ1514" s="6"/>
      <c r="BK1514" s="6"/>
      <c r="BL1514" s="6"/>
      <c r="BM1514" s="6"/>
      <c r="BN1514" s="6"/>
      <c r="BO1514" s="6"/>
      <c r="BP1514" s="6"/>
      <c r="BQ1514" s="6"/>
      <c r="BR1514" s="6"/>
      <c r="BS1514" s="6"/>
      <c r="BT1514" s="6"/>
      <c r="BU1514" s="6"/>
      <c r="BV1514" s="6"/>
      <c r="BW1514" s="6"/>
      <c r="BX1514" s="6"/>
      <c r="BY1514" s="6"/>
      <c r="BZ1514" s="6"/>
      <c r="CA1514" s="6"/>
      <c r="CB1514" s="6"/>
      <c r="CC1514" s="6"/>
      <c r="CD1514" s="6"/>
      <c r="CE1514" s="6"/>
      <c r="CF1514" s="6"/>
      <c r="CG1514" s="6"/>
      <c r="CH1514" s="6"/>
      <c r="CI1514" s="6"/>
      <c r="CJ1514" s="6"/>
      <c r="CK1514" s="6"/>
      <c r="CL1514" s="6"/>
      <c r="CM1514" s="6"/>
      <c r="CN1514" s="6"/>
      <c r="CO1514" s="6"/>
      <c r="CP1514" s="6"/>
      <c r="CQ1514" s="6"/>
      <c r="CR1514" s="6"/>
      <c r="CS1514" s="6"/>
      <c r="CT1514" s="6"/>
      <c r="CU1514" s="6"/>
      <c r="CV1514" s="6"/>
      <c r="CW1514" s="6"/>
      <c r="CX1514" s="6"/>
      <c r="CY1514" s="6"/>
      <c r="CZ1514" s="6"/>
      <c r="DA1514" s="6"/>
      <c r="DB1514" s="6"/>
      <c r="DC1514" s="6"/>
      <c r="DD1514" s="6"/>
      <c r="DE1514" s="6"/>
      <c r="DF1514" s="6"/>
      <c r="DG1514" s="6"/>
      <c r="DH1514" s="6"/>
      <c r="DI1514" s="6"/>
      <c r="DJ1514" s="6"/>
      <c r="DK1514" s="6"/>
      <c r="DL1514" s="6"/>
      <c r="DM1514" s="6"/>
      <c r="DN1514" s="6"/>
      <c r="DO1514" s="6"/>
      <c r="DP1514" s="6"/>
      <c r="DQ1514" s="6"/>
      <c r="DR1514" s="6"/>
      <c r="DS1514" s="6"/>
      <c r="DT1514" s="6"/>
      <c r="DU1514" s="6"/>
      <c r="DV1514" s="6"/>
      <c r="DW1514" s="6"/>
      <c r="DX1514" s="6"/>
      <c r="DY1514" s="6"/>
      <c r="DZ1514" s="6"/>
      <c r="EA1514" s="6"/>
      <c r="EB1514" s="6"/>
      <c r="EC1514" s="6"/>
      <c r="ED1514" s="6"/>
      <c r="EE1514" s="6"/>
      <c r="EF1514" s="6"/>
      <c r="EG1514" s="6"/>
      <c r="EH1514" s="6"/>
      <c r="EI1514" s="6"/>
      <c r="EJ1514" s="6"/>
      <c r="EK1514" s="6"/>
      <c r="EL1514" s="6"/>
      <c r="EM1514" s="6"/>
      <c r="EN1514" s="6"/>
      <c r="EO1514" s="6"/>
      <c r="EP1514" s="6"/>
      <c r="EQ1514" s="6"/>
      <c r="ER1514" s="6"/>
      <c r="ES1514" s="6"/>
      <c r="ET1514" s="6"/>
      <c r="EU1514" s="6"/>
      <c r="EV1514" s="6"/>
      <c r="EW1514" s="6"/>
      <c r="EX1514" s="6"/>
      <c r="EY1514" s="6"/>
      <c r="EZ1514" s="6"/>
      <c r="FA1514" s="6"/>
      <c r="FB1514" s="6"/>
      <c r="FC1514" s="6"/>
      <c r="FD1514" s="6"/>
      <c r="FE1514" s="6"/>
      <c r="FF1514" s="6"/>
      <c r="FG1514" s="6"/>
      <c r="FH1514" s="6"/>
      <c r="FI1514" s="6"/>
      <c r="FJ1514" s="6"/>
      <c r="FK1514" s="6"/>
      <c r="FL1514" s="6"/>
      <c r="FM1514" s="6"/>
      <c r="FN1514" s="6"/>
      <c r="FO1514" s="6"/>
      <c r="FP1514" s="6"/>
      <c r="FQ1514" s="6"/>
      <c r="FR1514" s="6"/>
      <c r="FS1514" s="6"/>
      <c r="FT1514" s="6"/>
      <c r="FU1514" s="6"/>
      <c r="FV1514" s="6"/>
      <c r="FW1514" s="6"/>
      <c r="FX1514" s="6"/>
      <c r="FY1514" s="6"/>
      <c r="FZ1514" s="6"/>
      <c r="GA1514" s="6"/>
      <c r="GB1514" s="6"/>
      <c r="GC1514" s="6"/>
      <c r="GD1514" s="6"/>
      <c r="GE1514" s="6"/>
      <c r="GF1514" s="6"/>
      <c r="GG1514" s="6"/>
      <c r="GH1514" s="6"/>
      <c r="GI1514" s="6"/>
      <c r="GJ1514" s="6"/>
      <c r="GK1514" s="6"/>
      <c r="GL1514" s="6"/>
      <c r="GM1514" s="6"/>
      <c r="GN1514" s="6"/>
      <c r="GO1514" s="6"/>
      <c r="GP1514" s="6"/>
      <c r="GQ1514" s="6"/>
      <c r="GR1514" s="6"/>
      <c r="GS1514" s="6"/>
      <c r="GT1514" s="6"/>
      <c r="GU1514" s="6"/>
      <c r="GV1514" s="6"/>
      <c r="GW1514" s="6"/>
      <c r="GX1514" s="6"/>
      <c r="GY1514" s="6"/>
      <c r="GZ1514" s="6"/>
      <c r="HA1514" s="6"/>
      <c r="HB1514" s="6"/>
      <c r="HC1514" s="6"/>
      <c r="HD1514" s="6"/>
      <c r="HE1514" s="6"/>
      <c r="HF1514" s="6"/>
      <c r="HG1514" s="6"/>
      <c r="HH1514" s="6"/>
    </row>
    <row r="1515" spans="1:216" x14ac:dyDescent="0.3">
      <c r="A1515" s="8"/>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6"/>
      <c r="AR1515" s="6"/>
      <c r="AS1515" s="6"/>
      <c r="AT1515" s="6"/>
      <c r="AU1515" s="6"/>
      <c r="AV1515" s="6"/>
      <c r="AW1515" s="6"/>
      <c r="AX1515" s="6"/>
      <c r="AY1515" s="6"/>
      <c r="AZ1515" s="6"/>
      <c r="BA1515" s="6"/>
      <c r="BB1515" s="6"/>
      <c r="BC1515" s="6"/>
      <c r="BD1515" s="6"/>
      <c r="BE1515" s="6"/>
      <c r="BF1515" s="6"/>
      <c r="BG1515" s="6"/>
      <c r="BH1515" s="6"/>
      <c r="BI1515" s="6"/>
      <c r="BJ1515" s="6"/>
      <c r="BK1515" s="6"/>
      <c r="BL1515" s="6"/>
      <c r="BM1515" s="6"/>
      <c r="BN1515" s="6"/>
      <c r="BO1515" s="6"/>
      <c r="BP1515" s="6"/>
      <c r="BQ1515" s="6"/>
      <c r="BR1515" s="6"/>
      <c r="BS1515" s="6"/>
      <c r="BT1515" s="6"/>
      <c r="BU1515" s="6"/>
      <c r="BV1515" s="6"/>
      <c r="BW1515" s="6"/>
      <c r="BX1515" s="6"/>
      <c r="BY1515" s="6"/>
      <c r="BZ1515" s="6"/>
      <c r="CA1515" s="6"/>
      <c r="CB1515" s="6"/>
      <c r="CC1515" s="6"/>
      <c r="CD1515" s="6"/>
      <c r="CE1515" s="6"/>
      <c r="CF1515" s="6"/>
      <c r="CG1515" s="6"/>
      <c r="CH1515" s="6"/>
      <c r="CI1515" s="6"/>
      <c r="CJ1515" s="6"/>
      <c r="CK1515" s="6"/>
      <c r="CL1515" s="6"/>
      <c r="CM1515" s="6"/>
      <c r="CN1515" s="6"/>
      <c r="CO1515" s="6"/>
      <c r="CP1515" s="6"/>
      <c r="CQ1515" s="6"/>
      <c r="CR1515" s="6"/>
      <c r="CS1515" s="6"/>
      <c r="CT1515" s="6"/>
      <c r="CU1515" s="6"/>
      <c r="CV1515" s="6"/>
      <c r="CW1515" s="6"/>
      <c r="CX1515" s="6"/>
      <c r="CY1515" s="6"/>
      <c r="CZ1515" s="6"/>
      <c r="DA1515" s="6"/>
      <c r="DB1515" s="6"/>
      <c r="DC1515" s="6"/>
      <c r="DD1515" s="6"/>
      <c r="DE1515" s="6"/>
      <c r="DF1515" s="6"/>
      <c r="DG1515" s="6"/>
      <c r="DH1515" s="6"/>
      <c r="DI1515" s="6"/>
      <c r="DJ1515" s="6"/>
      <c r="DK1515" s="6"/>
      <c r="DL1515" s="6"/>
      <c r="DM1515" s="6"/>
      <c r="DN1515" s="6"/>
      <c r="DO1515" s="6"/>
      <c r="DP1515" s="6"/>
      <c r="DQ1515" s="6"/>
      <c r="DR1515" s="6"/>
      <c r="DS1515" s="6"/>
      <c r="DT1515" s="6"/>
      <c r="DU1515" s="6"/>
      <c r="DV1515" s="6"/>
      <c r="DW1515" s="6"/>
      <c r="DX1515" s="6"/>
      <c r="DY1515" s="6"/>
      <c r="DZ1515" s="6"/>
      <c r="EA1515" s="6"/>
      <c r="EB1515" s="6"/>
      <c r="EC1515" s="6"/>
      <c r="ED1515" s="6"/>
      <c r="EE1515" s="6"/>
      <c r="EF1515" s="6"/>
      <c r="EG1515" s="6"/>
      <c r="EH1515" s="6"/>
      <c r="EI1515" s="6"/>
      <c r="EJ1515" s="6"/>
      <c r="EK1515" s="6"/>
      <c r="EL1515" s="6"/>
      <c r="EM1515" s="6"/>
      <c r="EN1515" s="6"/>
      <c r="EO1515" s="6"/>
      <c r="EP1515" s="6"/>
      <c r="EQ1515" s="6"/>
      <c r="ER1515" s="6"/>
      <c r="ES1515" s="6"/>
      <c r="ET1515" s="6"/>
      <c r="EU1515" s="6"/>
      <c r="EV1515" s="6"/>
      <c r="EW1515" s="6"/>
      <c r="EX1515" s="6"/>
      <c r="EY1515" s="6"/>
      <c r="EZ1515" s="6"/>
      <c r="FA1515" s="6"/>
      <c r="FB1515" s="6"/>
      <c r="FC1515" s="6"/>
      <c r="FD1515" s="6"/>
      <c r="FE1515" s="6"/>
      <c r="FF1515" s="6"/>
      <c r="FG1515" s="6"/>
      <c r="FH1515" s="6"/>
      <c r="FI1515" s="6"/>
      <c r="FJ1515" s="6"/>
      <c r="FK1515" s="6"/>
      <c r="FL1515" s="6"/>
      <c r="FM1515" s="6"/>
      <c r="FN1515" s="6"/>
      <c r="FO1515" s="6"/>
      <c r="FP1515" s="6"/>
      <c r="FQ1515" s="6"/>
      <c r="FR1515" s="6"/>
      <c r="FS1515" s="6"/>
      <c r="FT1515" s="6"/>
      <c r="FU1515" s="6"/>
      <c r="FV1515" s="6"/>
      <c r="FW1515" s="6"/>
      <c r="FX1515" s="6"/>
      <c r="FY1515" s="6"/>
      <c r="FZ1515" s="6"/>
      <c r="GA1515" s="6"/>
      <c r="GB1515" s="6"/>
      <c r="GC1515" s="6"/>
      <c r="GD1515" s="6"/>
      <c r="GE1515" s="6"/>
      <c r="GF1515" s="6"/>
      <c r="GG1515" s="6"/>
      <c r="GH1515" s="6"/>
      <c r="GI1515" s="6"/>
      <c r="GJ1515" s="6"/>
      <c r="GK1515" s="6"/>
      <c r="GL1515" s="6"/>
      <c r="GM1515" s="6"/>
      <c r="GN1515" s="6"/>
      <c r="GO1515" s="6"/>
      <c r="GP1515" s="6"/>
      <c r="GQ1515" s="6"/>
      <c r="GR1515" s="6"/>
      <c r="GS1515" s="6"/>
      <c r="GT1515" s="6"/>
      <c r="GU1515" s="6"/>
      <c r="GV1515" s="6"/>
      <c r="GW1515" s="6"/>
      <c r="GX1515" s="6"/>
      <c r="GY1515" s="6"/>
      <c r="GZ1515" s="6"/>
      <c r="HA1515" s="6"/>
      <c r="HB1515" s="6"/>
      <c r="HC1515" s="6"/>
      <c r="HD1515" s="6"/>
      <c r="HE1515" s="6"/>
      <c r="HF1515" s="6"/>
      <c r="HG1515" s="6"/>
      <c r="HH1515" s="6"/>
    </row>
    <row r="1516" spans="1:216" x14ac:dyDescent="0.3">
      <c r="A1516" s="8"/>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6"/>
      <c r="AR1516" s="6"/>
      <c r="AS1516" s="6"/>
      <c r="AT1516" s="6"/>
      <c r="AU1516" s="6"/>
      <c r="AV1516" s="6"/>
      <c r="AW1516" s="6"/>
      <c r="AX1516" s="6"/>
      <c r="AY1516" s="6"/>
      <c r="AZ1516" s="6"/>
      <c r="BA1516" s="6"/>
      <c r="BB1516" s="6"/>
      <c r="BC1516" s="6"/>
      <c r="BD1516" s="6"/>
      <c r="BE1516" s="6"/>
      <c r="BF1516" s="6"/>
      <c r="BG1516" s="6"/>
      <c r="BH1516" s="6"/>
      <c r="BI1516" s="6"/>
      <c r="BJ1516" s="6"/>
      <c r="BK1516" s="6"/>
      <c r="BL1516" s="6"/>
      <c r="BM1516" s="6"/>
      <c r="BN1516" s="6"/>
      <c r="BO1516" s="6"/>
      <c r="BP1516" s="6"/>
      <c r="BQ1516" s="6"/>
      <c r="BR1516" s="6"/>
      <c r="BS1516" s="6"/>
      <c r="BT1516" s="6"/>
      <c r="BU1516" s="6"/>
      <c r="BV1516" s="6"/>
      <c r="BW1516" s="6"/>
      <c r="BX1516" s="6"/>
      <c r="BY1516" s="6"/>
      <c r="BZ1516" s="6"/>
      <c r="CA1516" s="6"/>
      <c r="CB1516" s="6"/>
      <c r="CC1516" s="6"/>
      <c r="CD1516" s="6"/>
      <c r="CE1516" s="6"/>
      <c r="CF1516" s="6"/>
      <c r="CG1516" s="6"/>
      <c r="CH1516" s="6"/>
      <c r="CI1516" s="6"/>
      <c r="CJ1516" s="6"/>
      <c r="CK1516" s="6"/>
      <c r="CL1516" s="6"/>
      <c r="CM1516" s="6"/>
      <c r="CN1516" s="6"/>
      <c r="CO1516" s="6"/>
      <c r="CP1516" s="6"/>
      <c r="CQ1516" s="6"/>
      <c r="CR1516" s="6"/>
      <c r="CS1516" s="6"/>
      <c r="CT1516" s="6"/>
      <c r="CU1516" s="6"/>
      <c r="CV1516" s="6"/>
      <c r="CW1516" s="6"/>
      <c r="CX1516" s="6"/>
      <c r="CY1516" s="6"/>
      <c r="CZ1516" s="6"/>
      <c r="DA1516" s="6"/>
      <c r="DB1516" s="6"/>
      <c r="DC1516" s="6"/>
      <c r="DD1516" s="6"/>
      <c r="DE1516" s="6"/>
      <c r="DF1516" s="6"/>
      <c r="DG1516" s="6"/>
      <c r="DH1516" s="6"/>
      <c r="DI1516" s="6"/>
      <c r="DJ1516" s="6"/>
      <c r="DK1516" s="6"/>
      <c r="DL1516" s="6"/>
      <c r="DM1516" s="6"/>
      <c r="DN1516" s="6"/>
      <c r="DO1516" s="6"/>
      <c r="DP1516" s="6"/>
      <c r="DQ1516" s="6"/>
      <c r="DR1516" s="6"/>
      <c r="DS1516" s="6"/>
      <c r="DT1516" s="6"/>
      <c r="DU1516" s="6"/>
      <c r="DV1516" s="6"/>
      <c r="DW1516" s="6"/>
      <c r="DX1516" s="6"/>
      <c r="DY1516" s="6"/>
      <c r="DZ1516" s="6"/>
      <c r="EA1516" s="6"/>
      <c r="EB1516" s="6"/>
      <c r="EC1516" s="6"/>
      <c r="ED1516" s="6"/>
      <c r="EE1516" s="6"/>
      <c r="EF1516" s="6"/>
      <c r="EG1516" s="6"/>
      <c r="EH1516" s="6"/>
      <c r="EI1516" s="6"/>
      <c r="EJ1516" s="6"/>
      <c r="EK1516" s="6"/>
      <c r="EL1516" s="6"/>
      <c r="EM1516" s="6"/>
      <c r="EN1516" s="6"/>
      <c r="EO1516" s="6"/>
      <c r="EP1516" s="6"/>
      <c r="EQ1516" s="6"/>
      <c r="ER1516" s="6"/>
      <c r="ES1516" s="6"/>
      <c r="ET1516" s="6"/>
      <c r="EU1516" s="6"/>
      <c r="EV1516" s="6"/>
      <c r="EW1516" s="6"/>
      <c r="EX1516" s="6"/>
      <c r="EY1516" s="6"/>
      <c r="EZ1516" s="6"/>
      <c r="FA1516" s="6"/>
      <c r="FB1516" s="6"/>
      <c r="FC1516" s="6"/>
      <c r="FD1516" s="6"/>
      <c r="FE1516" s="6"/>
      <c r="FF1516" s="6"/>
      <c r="FG1516" s="6"/>
      <c r="FH1516" s="6"/>
      <c r="FI1516" s="6"/>
      <c r="FJ1516" s="6"/>
      <c r="FK1516" s="6"/>
      <c r="FL1516" s="6"/>
      <c r="FM1516" s="6"/>
      <c r="FN1516" s="6"/>
      <c r="FO1516" s="6"/>
      <c r="FP1516" s="6"/>
      <c r="FQ1516" s="6"/>
      <c r="FR1516" s="6"/>
      <c r="FS1516" s="6"/>
      <c r="FT1516" s="6"/>
      <c r="FU1516" s="6"/>
      <c r="FV1516" s="6"/>
      <c r="FW1516" s="6"/>
      <c r="FX1516" s="6"/>
      <c r="FY1516" s="6"/>
      <c r="FZ1516" s="6"/>
      <c r="GA1516" s="6"/>
      <c r="GB1516" s="6"/>
      <c r="GC1516" s="6"/>
      <c r="GD1516" s="6"/>
      <c r="GE1516" s="6"/>
      <c r="GF1516" s="6"/>
      <c r="GG1516" s="6"/>
      <c r="GH1516" s="6"/>
      <c r="GI1516" s="6"/>
      <c r="GJ1516" s="6"/>
      <c r="GK1516" s="6"/>
      <c r="GL1516" s="6"/>
      <c r="GM1516" s="6"/>
      <c r="GN1516" s="6"/>
      <c r="GO1516" s="6"/>
      <c r="GP1516" s="6"/>
      <c r="GQ1516" s="6"/>
      <c r="GR1516" s="6"/>
      <c r="GS1516" s="6"/>
      <c r="GT1516" s="6"/>
      <c r="GU1516" s="6"/>
      <c r="GV1516" s="6"/>
      <c r="GW1516" s="6"/>
      <c r="GX1516" s="6"/>
      <c r="GY1516" s="6"/>
      <c r="GZ1516" s="6"/>
      <c r="HA1516" s="6"/>
      <c r="HB1516" s="6"/>
      <c r="HC1516" s="6"/>
      <c r="HD1516" s="6"/>
      <c r="HE1516" s="6"/>
      <c r="HF1516" s="6"/>
      <c r="HG1516" s="6"/>
      <c r="HH1516" s="6"/>
    </row>
    <row r="1517" spans="1:216" x14ac:dyDescent="0.3">
      <c r="A1517" s="8"/>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6"/>
      <c r="AR1517" s="6"/>
      <c r="AS1517" s="6"/>
      <c r="AT1517" s="6"/>
      <c r="AU1517" s="6"/>
      <c r="AV1517" s="6"/>
      <c r="AW1517" s="6"/>
      <c r="AX1517" s="6"/>
      <c r="AY1517" s="6"/>
      <c r="AZ1517" s="6"/>
      <c r="BA1517" s="6"/>
      <c r="BB1517" s="6"/>
      <c r="BC1517" s="6"/>
      <c r="BD1517" s="6"/>
      <c r="BE1517" s="6"/>
      <c r="BF1517" s="6"/>
      <c r="BG1517" s="6"/>
      <c r="BH1517" s="6"/>
      <c r="BI1517" s="6"/>
      <c r="BJ1517" s="6"/>
      <c r="BK1517" s="6"/>
      <c r="BL1517" s="6"/>
      <c r="BM1517" s="6"/>
      <c r="BN1517" s="6"/>
      <c r="BO1517" s="6"/>
      <c r="BP1517" s="6"/>
      <c r="BQ1517" s="6"/>
      <c r="BR1517" s="6"/>
      <c r="BS1517" s="6"/>
      <c r="BT1517" s="6"/>
      <c r="BU1517" s="6"/>
      <c r="BV1517" s="6"/>
      <c r="BW1517" s="6"/>
      <c r="BX1517" s="6"/>
      <c r="BY1517" s="6"/>
      <c r="BZ1517" s="6"/>
      <c r="CA1517" s="6"/>
      <c r="CB1517" s="6"/>
      <c r="CC1517" s="6"/>
      <c r="CD1517" s="6"/>
      <c r="CE1517" s="6"/>
      <c r="CF1517" s="6"/>
      <c r="CG1517" s="6"/>
      <c r="CH1517" s="6"/>
      <c r="CI1517" s="6"/>
      <c r="CJ1517" s="6"/>
      <c r="CK1517" s="6"/>
      <c r="CL1517" s="6"/>
      <c r="CM1517" s="6"/>
      <c r="CN1517" s="6"/>
      <c r="CO1517" s="6"/>
      <c r="CP1517" s="6"/>
      <c r="CQ1517" s="6"/>
      <c r="CR1517" s="6"/>
      <c r="CS1517" s="6"/>
      <c r="CT1517" s="6"/>
      <c r="CU1517" s="6"/>
      <c r="CV1517" s="6"/>
      <c r="CW1517" s="6"/>
      <c r="CX1517" s="6"/>
      <c r="CY1517" s="6"/>
      <c r="CZ1517" s="6"/>
      <c r="DA1517" s="6"/>
      <c r="DB1517" s="6"/>
      <c r="DC1517" s="6"/>
      <c r="DD1517" s="6"/>
      <c r="DE1517" s="6"/>
      <c r="DF1517" s="6"/>
      <c r="DG1517" s="6"/>
      <c r="DH1517" s="6"/>
      <c r="DI1517" s="6"/>
      <c r="DJ1517" s="6"/>
      <c r="DK1517" s="6"/>
      <c r="DL1517" s="6"/>
      <c r="DM1517" s="6"/>
      <c r="DN1517" s="6"/>
      <c r="DO1517" s="6"/>
      <c r="DP1517" s="6"/>
      <c r="DQ1517" s="6"/>
      <c r="DR1517" s="6"/>
      <c r="DS1517" s="6"/>
      <c r="DT1517" s="6"/>
      <c r="DU1517" s="6"/>
      <c r="DV1517" s="6"/>
      <c r="DW1517" s="6"/>
      <c r="DX1517" s="6"/>
      <c r="DY1517" s="6"/>
      <c r="DZ1517" s="6"/>
      <c r="EA1517" s="6"/>
      <c r="EB1517" s="6"/>
      <c r="EC1517" s="6"/>
      <c r="ED1517" s="6"/>
      <c r="EE1517" s="6"/>
      <c r="EF1517" s="6"/>
      <c r="EG1517" s="6"/>
      <c r="EH1517" s="6"/>
      <c r="EI1517" s="6"/>
      <c r="EJ1517" s="6"/>
      <c r="EK1517" s="6"/>
      <c r="EL1517" s="6"/>
      <c r="EM1517" s="6"/>
      <c r="EN1517" s="6"/>
      <c r="EO1517" s="6"/>
      <c r="EP1517" s="6"/>
      <c r="EQ1517" s="6"/>
      <c r="ER1517" s="6"/>
      <c r="ES1517" s="6"/>
      <c r="ET1517" s="6"/>
      <c r="EU1517" s="6"/>
      <c r="EV1517" s="6"/>
      <c r="EW1517" s="6"/>
      <c r="EX1517" s="6"/>
      <c r="EY1517" s="6"/>
      <c r="EZ1517" s="6"/>
      <c r="FA1517" s="6"/>
      <c r="FB1517" s="6"/>
      <c r="FC1517" s="6"/>
      <c r="FD1517" s="6"/>
      <c r="FE1517" s="6"/>
      <c r="FF1517" s="6"/>
      <c r="FG1517" s="6"/>
      <c r="FH1517" s="6"/>
      <c r="FI1517" s="6"/>
      <c r="FJ1517" s="6"/>
      <c r="FK1517" s="6"/>
      <c r="FL1517" s="6"/>
      <c r="FM1517" s="6"/>
      <c r="FN1517" s="6"/>
      <c r="FO1517" s="6"/>
      <c r="FP1517" s="6"/>
      <c r="FQ1517" s="6"/>
      <c r="FR1517" s="6"/>
      <c r="FS1517" s="6"/>
      <c r="FT1517" s="6"/>
      <c r="FU1517" s="6"/>
      <c r="FV1517" s="6"/>
      <c r="FW1517" s="6"/>
      <c r="FX1517" s="6"/>
      <c r="FY1517" s="6"/>
      <c r="FZ1517" s="6"/>
      <c r="GA1517" s="6"/>
      <c r="GB1517" s="6"/>
      <c r="GC1517" s="6"/>
      <c r="GD1517" s="6"/>
      <c r="GE1517" s="6"/>
      <c r="GF1517" s="6"/>
      <c r="GG1517" s="6"/>
      <c r="GH1517" s="6"/>
      <c r="GI1517" s="6"/>
      <c r="GJ1517" s="6"/>
      <c r="GK1517" s="6"/>
      <c r="GL1517" s="6"/>
      <c r="GM1517" s="6"/>
      <c r="GN1517" s="6"/>
      <c r="GO1517" s="6"/>
      <c r="GP1517" s="6"/>
      <c r="GQ1517" s="6"/>
      <c r="GR1517" s="6"/>
      <c r="GS1517" s="6"/>
      <c r="GT1517" s="6"/>
      <c r="GU1517" s="6"/>
      <c r="GV1517" s="6"/>
      <c r="GW1517" s="6"/>
      <c r="GX1517" s="6"/>
      <c r="GY1517" s="6"/>
      <c r="GZ1517" s="6"/>
      <c r="HA1517" s="6"/>
      <c r="HB1517" s="6"/>
      <c r="HC1517" s="6"/>
      <c r="HD1517" s="6"/>
      <c r="HE1517" s="6"/>
      <c r="HF1517" s="6"/>
      <c r="HG1517" s="6"/>
      <c r="HH1517" s="6"/>
    </row>
    <row r="1518" spans="1:216" x14ac:dyDescent="0.3">
      <c r="A1518" s="8"/>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6"/>
      <c r="AR1518" s="6"/>
      <c r="AS1518" s="6"/>
      <c r="AT1518" s="6"/>
      <c r="AU1518" s="6"/>
      <c r="AV1518" s="6"/>
      <c r="AW1518" s="6"/>
      <c r="AX1518" s="6"/>
      <c r="AY1518" s="6"/>
      <c r="AZ1518" s="6"/>
      <c r="BA1518" s="6"/>
      <c r="BB1518" s="6"/>
      <c r="BC1518" s="6"/>
      <c r="BD1518" s="6"/>
      <c r="BE1518" s="6"/>
      <c r="BF1518" s="6"/>
      <c r="BG1518" s="6"/>
      <c r="BH1518" s="6"/>
      <c r="BI1518" s="6"/>
      <c r="BJ1518" s="6"/>
      <c r="BK1518" s="6"/>
      <c r="BL1518" s="6"/>
      <c r="BM1518" s="6"/>
      <c r="BN1518" s="6"/>
      <c r="BO1518" s="6"/>
      <c r="BP1518" s="6"/>
      <c r="BQ1518" s="6"/>
      <c r="BR1518" s="6"/>
      <c r="BS1518" s="6"/>
      <c r="BT1518" s="6"/>
      <c r="BU1518" s="6"/>
      <c r="BV1518" s="6"/>
      <c r="BW1518" s="6"/>
      <c r="BX1518" s="6"/>
      <c r="BY1518" s="6"/>
      <c r="BZ1518" s="6"/>
      <c r="CA1518" s="6"/>
      <c r="CB1518" s="6"/>
      <c r="CC1518" s="6"/>
      <c r="CD1518" s="6"/>
      <c r="CE1518" s="6"/>
      <c r="CF1518" s="6"/>
      <c r="CG1518" s="6"/>
      <c r="CH1518" s="6"/>
      <c r="CI1518" s="6"/>
      <c r="CJ1518" s="6"/>
      <c r="CK1518" s="6"/>
      <c r="CL1518" s="6"/>
      <c r="CM1518" s="6"/>
      <c r="CN1518" s="6"/>
      <c r="CO1518" s="6"/>
      <c r="CP1518" s="6"/>
      <c r="CQ1518" s="6"/>
      <c r="CR1518" s="6"/>
      <c r="CS1518" s="6"/>
      <c r="CT1518" s="6"/>
      <c r="CU1518" s="6"/>
      <c r="CV1518" s="6"/>
      <c r="CW1518" s="6"/>
      <c r="CX1518" s="6"/>
      <c r="CY1518" s="6"/>
      <c r="CZ1518" s="6"/>
      <c r="DA1518" s="6"/>
      <c r="DB1518" s="6"/>
      <c r="DC1518" s="6"/>
      <c r="DD1518" s="6"/>
      <c r="DE1518" s="6"/>
      <c r="DF1518" s="6"/>
      <c r="DG1518" s="6"/>
      <c r="DH1518" s="6"/>
      <c r="DI1518" s="6"/>
      <c r="DJ1518" s="6"/>
      <c r="DK1518" s="6"/>
      <c r="DL1518" s="6"/>
      <c r="DM1518" s="6"/>
      <c r="DN1518" s="6"/>
      <c r="DO1518" s="6"/>
      <c r="DP1518" s="6"/>
      <c r="DQ1518" s="6"/>
      <c r="DR1518" s="6"/>
      <c r="DS1518" s="6"/>
      <c r="DT1518" s="6"/>
      <c r="DU1518" s="6"/>
      <c r="DV1518" s="6"/>
      <c r="DW1518" s="6"/>
      <c r="DX1518" s="6"/>
      <c r="DY1518" s="6"/>
      <c r="DZ1518" s="6"/>
      <c r="EA1518" s="6"/>
      <c r="EB1518" s="6"/>
      <c r="EC1518" s="6"/>
      <c r="ED1518" s="6"/>
      <c r="EE1518" s="6"/>
      <c r="EF1518" s="6"/>
      <c r="EG1518" s="6"/>
      <c r="EH1518" s="6"/>
      <c r="EI1518" s="6"/>
      <c r="EJ1518" s="6"/>
      <c r="EK1518" s="6"/>
      <c r="EL1518" s="6"/>
      <c r="EM1518" s="6"/>
      <c r="EN1518" s="6"/>
      <c r="EO1518" s="6"/>
      <c r="EP1518" s="6"/>
      <c r="EQ1518" s="6"/>
      <c r="ER1518" s="6"/>
      <c r="ES1518" s="6"/>
      <c r="ET1518" s="6"/>
      <c r="EU1518" s="6"/>
      <c r="EV1518" s="6"/>
      <c r="EW1518" s="6"/>
      <c r="EX1518" s="6"/>
      <c r="EY1518" s="6"/>
      <c r="EZ1518" s="6"/>
      <c r="FA1518" s="6"/>
      <c r="FB1518" s="6"/>
      <c r="FC1518" s="6"/>
      <c r="FD1518" s="6"/>
      <c r="FE1518" s="6"/>
      <c r="FF1518" s="6"/>
      <c r="FG1518" s="6"/>
      <c r="FH1518" s="6"/>
      <c r="FI1518" s="6"/>
      <c r="FJ1518" s="6"/>
      <c r="FK1518" s="6"/>
      <c r="FL1518" s="6"/>
      <c r="FM1518" s="6"/>
      <c r="FN1518" s="6"/>
      <c r="FO1518" s="6"/>
      <c r="FP1518" s="6"/>
      <c r="FQ1518" s="6"/>
      <c r="FR1518" s="6"/>
      <c r="FS1518" s="6"/>
      <c r="FT1518" s="6"/>
      <c r="FU1518" s="6"/>
      <c r="FV1518" s="6"/>
      <c r="FW1518" s="6"/>
      <c r="FX1518" s="6"/>
      <c r="FY1518" s="6"/>
      <c r="FZ1518" s="6"/>
      <c r="GA1518" s="6"/>
      <c r="GB1518" s="6"/>
      <c r="GC1518" s="6"/>
      <c r="GD1518" s="6"/>
      <c r="GE1518" s="6"/>
      <c r="GF1518" s="6"/>
      <c r="GG1518" s="6"/>
      <c r="GH1518" s="6"/>
      <c r="GI1518" s="6"/>
      <c r="GJ1518" s="6"/>
      <c r="GK1518" s="6"/>
      <c r="GL1518" s="6"/>
      <c r="GM1518" s="6"/>
      <c r="GN1518" s="6"/>
      <c r="GO1518" s="6"/>
      <c r="GP1518" s="6"/>
      <c r="GQ1518" s="6"/>
      <c r="GR1518" s="6"/>
      <c r="GS1518" s="6"/>
      <c r="GT1518" s="6"/>
      <c r="GU1518" s="6"/>
      <c r="GV1518" s="6"/>
      <c r="GW1518" s="6"/>
      <c r="GX1518" s="6"/>
      <c r="GY1518" s="6"/>
      <c r="GZ1518" s="6"/>
      <c r="HA1518" s="6"/>
      <c r="HB1518" s="6"/>
      <c r="HC1518" s="6"/>
      <c r="HD1518" s="6"/>
      <c r="HE1518" s="6"/>
      <c r="HF1518" s="6"/>
      <c r="HG1518" s="6"/>
      <c r="HH1518" s="6"/>
    </row>
    <row r="1519" spans="1:216" x14ac:dyDescent="0.3">
      <c r="A1519" s="8"/>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6"/>
      <c r="AR1519" s="6"/>
      <c r="AS1519" s="6"/>
      <c r="AT1519" s="6"/>
      <c r="AU1519" s="6"/>
      <c r="AV1519" s="6"/>
      <c r="AW1519" s="6"/>
      <c r="AX1519" s="6"/>
      <c r="AY1519" s="6"/>
      <c r="AZ1519" s="6"/>
      <c r="BA1519" s="6"/>
      <c r="BB1519" s="6"/>
      <c r="BC1519" s="6"/>
      <c r="BD1519" s="6"/>
      <c r="BE1519" s="6"/>
      <c r="BF1519" s="6"/>
      <c r="BG1519" s="6"/>
      <c r="BH1519" s="6"/>
      <c r="BI1519" s="6"/>
      <c r="BJ1519" s="6"/>
      <c r="BK1519" s="6"/>
      <c r="BL1519" s="6"/>
      <c r="BM1519" s="6"/>
      <c r="BN1519" s="6"/>
      <c r="BO1519" s="6"/>
      <c r="BP1519" s="6"/>
      <c r="BQ1519" s="6"/>
      <c r="BR1519" s="6"/>
      <c r="BS1519" s="6"/>
      <c r="BT1519" s="6"/>
      <c r="BU1519" s="6"/>
      <c r="BV1519" s="6"/>
      <c r="BW1519" s="6"/>
      <c r="BX1519" s="6"/>
      <c r="BY1519" s="6"/>
      <c r="BZ1519" s="6"/>
      <c r="CA1519" s="6"/>
      <c r="CB1519" s="6"/>
      <c r="CC1519" s="6"/>
      <c r="CD1519" s="6"/>
      <c r="CE1519" s="6"/>
      <c r="CF1519" s="6"/>
      <c r="CG1519" s="6"/>
      <c r="CH1519" s="6"/>
      <c r="CI1519" s="6"/>
      <c r="CJ1519" s="6"/>
      <c r="CK1519" s="6"/>
      <c r="CL1519" s="6"/>
      <c r="CM1519" s="6"/>
      <c r="CN1519" s="6"/>
      <c r="CO1519" s="6"/>
      <c r="CP1519" s="6"/>
      <c r="CQ1519" s="6"/>
      <c r="CR1519" s="6"/>
      <c r="CS1519" s="6"/>
      <c r="CT1519" s="6"/>
      <c r="CU1519" s="6"/>
      <c r="CV1519" s="6"/>
      <c r="CW1519" s="6"/>
      <c r="CX1519" s="6"/>
      <c r="CY1519" s="6"/>
      <c r="CZ1519" s="6"/>
      <c r="DA1519" s="6"/>
      <c r="DB1519" s="6"/>
      <c r="DC1519" s="6"/>
      <c r="DD1519" s="6"/>
      <c r="DE1519" s="6"/>
      <c r="DF1519" s="6"/>
      <c r="DG1519" s="6"/>
      <c r="DH1519" s="6"/>
      <c r="DI1519" s="6"/>
      <c r="DJ1519" s="6"/>
      <c r="DK1519" s="6"/>
      <c r="DL1519" s="6"/>
      <c r="DM1519" s="6"/>
      <c r="DN1519" s="6"/>
      <c r="DO1519" s="6"/>
      <c r="DP1519" s="6"/>
      <c r="DQ1519" s="6"/>
      <c r="DR1519" s="6"/>
      <c r="DS1519" s="6"/>
      <c r="DT1519" s="6"/>
      <c r="DU1519" s="6"/>
      <c r="DV1519" s="6"/>
      <c r="DW1519" s="6"/>
      <c r="DX1519" s="6"/>
      <c r="DY1519" s="6"/>
      <c r="DZ1519" s="6"/>
      <c r="EA1519" s="6"/>
      <c r="EB1519" s="6"/>
      <c r="EC1519" s="6"/>
      <c r="ED1519" s="6"/>
      <c r="EE1519" s="6"/>
      <c r="EF1519" s="6"/>
      <c r="EG1519" s="6"/>
      <c r="EH1519" s="6"/>
      <c r="EI1519" s="6"/>
      <c r="EJ1519" s="6"/>
      <c r="EK1519" s="6"/>
      <c r="EL1519" s="6"/>
      <c r="EM1519" s="6"/>
      <c r="EN1519" s="6"/>
      <c r="EO1519" s="6"/>
      <c r="EP1519" s="6"/>
      <c r="EQ1519" s="6"/>
      <c r="ER1519" s="6"/>
      <c r="ES1519" s="6"/>
      <c r="ET1519" s="6"/>
      <c r="EU1519" s="6"/>
      <c r="EV1519" s="6"/>
      <c r="EW1519" s="6"/>
      <c r="EX1519" s="6"/>
      <c r="EY1519" s="6"/>
      <c r="EZ1519" s="6"/>
      <c r="FA1519" s="6"/>
      <c r="FB1519" s="6"/>
      <c r="FC1519" s="6"/>
      <c r="FD1519" s="6"/>
      <c r="FE1519" s="6"/>
      <c r="FF1519" s="6"/>
      <c r="FG1519" s="6"/>
      <c r="FH1519" s="6"/>
      <c r="FI1519" s="6"/>
      <c r="FJ1519" s="6"/>
      <c r="FK1519" s="6"/>
      <c r="FL1519" s="6"/>
      <c r="FM1519" s="6"/>
      <c r="FN1519" s="6"/>
      <c r="FO1519" s="6"/>
      <c r="FP1519" s="6"/>
      <c r="FQ1519" s="6"/>
      <c r="FR1519" s="6"/>
      <c r="FS1519" s="6"/>
      <c r="FT1519" s="6"/>
      <c r="FU1519" s="6"/>
      <c r="FV1519" s="6"/>
      <c r="FW1519" s="6"/>
      <c r="FX1519" s="6"/>
      <c r="FY1519" s="6"/>
      <c r="FZ1519" s="6"/>
      <c r="GA1519" s="6"/>
      <c r="GB1519" s="6"/>
      <c r="GC1519" s="6"/>
      <c r="GD1519" s="6"/>
      <c r="GE1519" s="6"/>
      <c r="GF1519" s="6"/>
      <c r="GG1519" s="6"/>
      <c r="GH1519" s="6"/>
      <c r="GI1519" s="6"/>
      <c r="GJ1519" s="6"/>
      <c r="GK1519" s="6"/>
      <c r="GL1519" s="6"/>
      <c r="GM1519" s="6"/>
      <c r="GN1519" s="6"/>
      <c r="GO1519" s="6"/>
      <c r="GP1519" s="6"/>
      <c r="GQ1519" s="6"/>
      <c r="GR1519" s="6"/>
      <c r="GS1519" s="6"/>
      <c r="GT1519" s="6"/>
      <c r="GU1519" s="6"/>
      <c r="GV1519" s="6"/>
      <c r="GW1519" s="6"/>
      <c r="GX1519" s="6"/>
      <c r="GY1519" s="6"/>
      <c r="GZ1519" s="6"/>
      <c r="HA1519" s="6"/>
      <c r="HB1519" s="6"/>
      <c r="HC1519" s="6"/>
      <c r="HD1519" s="6"/>
      <c r="HE1519" s="6"/>
      <c r="HF1519" s="6"/>
      <c r="HG1519" s="6"/>
      <c r="HH1519" s="6"/>
    </row>
    <row r="1520" spans="1:216" x14ac:dyDescent="0.3">
      <c r="A1520" s="8"/>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6"/>
      <c r="AR1520" s="6"/>
      <c r="AS1520" s="6"/>
      <c r="AT1520" s="6"/>
      <c r="AU1520" s="6"/>
      <c r="AV1520" s="6"/>
      <c r="AW1520" s="6"/>
      <c r="AX1520" s="6"/>
      <c r="AY1520" s="6"/>
      <c r="AZ1520" s="6"/>
      <c r="BA1520" s="6"/>
      <c r="BB1520" s="6"/>
      <c r="BC1520" s="6"/>
      <c r="BD1520" s="6"/>
      <c r="BE1520" s="6"/>
      <c r="BF1520" s="6"/>
      <c r="BG1520" s="6"/>
      <c r="BH1520" s="6"/>
      <c r="BI1520" s="6"/>
      <c r="BJ1520" s="6"/>
      <c r="BK1520" s="6"/>
      <c r="BL1520" s="6"/>
      <c r="BM1520" s="6"/>
      <c r="BN1520" s="6"/>
      <c r="BO1520" s="6"/>
      <c r="BP1520" s="6"/>
      <c r="BQ1520" s="6"/>
      <c r="BR1520" s="6"/>
      <c r="BS1520" s="6"/>
      <c r="BT1520" s="6"/>
      <c r="BU1520" s="6"/>
      <c r="BV1520" s="6"/>
      <c r="BW1520" s="6"/>
      <c r="BX1520" s="6"/>
      <c r="BY1520" s="6"/>
      <c r="BZ1520" s="6"/>
      <c r="CA1520" s="6"/>
      <c r="CB1520" s="6"/>
      <c r="CC1520" s="6"/>
      <c r="CD1520" s="6"/>
      <c r="CE1520" s="6"/>
      <c r="CF1520" s="6"/>
      <c r="CG1520" s="6"/>
      <c r="CH1520" s="6"/>
      <c r="CI1520" s="6"/>
      <c r="CJ1520" s="6"/>
      <c r="CK1520" s="6"/>
      <c r="CL1520" s="6"/>
      <c r="CM1520" s="6"/>
      <c r="CN1520" s="6"/>
      <c r="CO1520" s="6"/>
      <c r="CP1520" s="6"/>
      <c r="CQ1520" s="6"/>
      <c r="CR1520" s="6"/>
      <c r="CS1520" s="6"/>
      <c r="CT1520" s="6"/>
      <c r="CU1520" s="6"/>
      <c r="CV1520" s="6"/>
      <c r="CW1520" s="6"/>
      <c r="CX1520" s="6"/>
      <c r="CY1520" s="6"/>
      <c r="CZ1520" s="6"/>
      <c r="DA1520" s="6"/>
      <c r="DB1520" s="6"/>
      <c r="DC1520" s="6"/>
      <c r="DD1520" s="6"/>
      <c r="DE1520" s="6"/>
      <c r="DF1520" s="6"/>
      <c r="DG1520" s="6"/>
      <c r="DH1520" s="6"/>
      <c r="DI1520" s="6"/>
      <c r="DJ1520" s="6"/>
      <c r="DK1520" s="6"/>
      <c r="DL1520" s="6"/>
      <c r="DM1520" s="6"/>
      <c r="DN1520" s="6"/>
      <c r="DO1520" s="6"/>
      <c r="DP1520" s="6"/>
      <c r="DQ1520" s="6"/>
      <c r="DR1520" s="6"/>
      <c r="DS1520" s="6"/>
      <c r="DT1520" s="6"/>
      <c r="DU1520" s="6"/>
      <c r="DV1520" s="6"/>
      <c r="DW1520" s="6"/>
      <c r="DX1520" s="6"/>
      <c r="DY1520" s="6"/>
      <c r="DZ1520" s="6"/>
      <c r="EA1520" s="6"/>
      <c r="EB1520" s="6"/>
      <c r="EC1520" s="6"/>
      <c r="ED1520" s="6"/>
      <c r="EE1520" s="6"/>
      <c r="EF1520" s="6"/>
      <c r="EG1520" s="6"/>
      <c r="EH1520" s="6"/>
      <c r="EI1520" s="6"/>
      <c r="EJ1520" s="6"/>
      <c r="EK1520" s="6"/>
      <c r="EL1520" s="6"/>
      <c r="EM1520" s="6"/>
      <c r="EN1520" s="6"/>
      <c r="EO1520" s="6"/>
      <c r="EP1520" s="6"/>
      <c r="EQ1520" s="6"/>
      <c r="ER1520" s="6"/>
      <c r="ES1520" s="6"/>
      <c r="ET1520" s="6"/>
      <c r="EU1520" s="6"/>
      <c r="EV1520" s="6"/>
      <c r="EW1520" s="6"/>
      <c r="EX1520" s="6"/>
      <c r="EY1520" s="6"/>
      <c r="EZ1520" s="6"/>
      <c r="FA1520" s="6"/>
      <c r="FB1520" s="6"/>
      <c r="FC1520" s="6"/>
      <c r="FD1520" s="6"/>
      <c r="FE1520" s="6"/>
      <c r="FF1520" s="6"/>
      <c r="FG1520" s="6"/>
      <c r="FH1520" s="6"/>
      <c r="FI1520" s="6"/>
      <c r="FJ1520" s="6"/>
      <c r="FK1520" s="6"/>
      <c r="FL1520" s="6"/>
      <c r="FM1520" s="6"/>
      <c r="FN1520" s="6"/>
      <c r="FO1520" s="6"/>
      <c r="FP1520" s="6"/>
      <c r="FQ1520" s="6"/>
      <c r="FR1520" s="6"/>
      <c r="FS1520" s="6"/>
      <c r="FT1520" s="6"/>
      <c r="FU1520" s="6"/>
      <c r="FV1520" s="6"/>
      <c r="FW1520" s="6"/>
      <c r="FX1520" s="6"/>
      <c r="FY1520" s="6"/>
      <c r="FZ1520" s="6"/>
      <c r="GA1520" s="6"/>
      <c r="GB1520" s="6"/>
      <c r="GC1520" s="6"/>
      <c r="GD1520" s="6"/>
      <c r="GE1520" s="6"/>
      <c r="GF1520" s="6"/>
      <c r="GG1520" s="6"/>
      <c r="GH1520" s="6"/>
      <c r="GI1520" s="6"/>
      <c r="GJ1520" s="6"/>
      <c r="GK1520" s="6"/>
      <c r="GL1520" s="6"/>
      <c r="GM1520" s="6"/>
      <c r="GN1520" s="6"/>
      <c r="GO1520" s="6"/>
      <c r="GP1520" s="6"/>
      <c r="GQ1520" s="6"/>
      <c r="GR1520" s="6"/>
      <c r="GS1520" s="6"/>
      <c r="GT1520" s="6"/>
      <c r="GU1520" s="6"/>
      <c r="GV1520" s="6"/>
      <c r="GW1520" s="6"/>
      <c r="GX1520" s="6"/>
      <c r="GY1520" s="6"/>
      <c r="GZ1520" s="6"/>
      <c r="HA1520" s="6"/>
      <c r="HB1520" s="6"/>
      <c r="HC1520" s="6"/>
      <c r="HD1520" s="6"/>
      <c r="HE1520" s="6"/>
      <c r="HF1520" s="6"/>
      <c r="HG1520" s="6"/>
      <c r="HH1520" s="6"/>
    </row>
    <row r="1521" spans="1:216" x14ac:dyDescent="0.3">
      <c r="A1521" s="8"/>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6"/>
      <c r="AR1521" s="6"/>
      <c r="AS1521" s="6"/>
      <c r="AT1521" s="6"/>
      <c r="AU1521" s="6"/>
      <c r="AV1521" s="6"/>
      <c r="AW1521" s="6"/>
      <c r="AX1521" s="6"/>
      <c r="AY1521" s="6"/>
      <c r="AZ1521" s="6"/>
      <c r="BA1521" s="6"/>
      <c r="BB1521" s="6"/>
      <c r="BC1521" s="6"/>
      <c r="BD1521" s="6"/>
      <c r="BE1521" s="6"/>
      <c r="BF1521" s="6"/>
      <c r="BG1521" s="6"/>
      <c r="BH1521" s="6"/>
      <c r="BI1521" s="6"/>
      <c r="BJ1521" s="6"/>
      <c r="BK1521" s="6"/>
      <c r="BL1521" s="6"/>
      <c r="BM1521" s="6"/>
      <c r="BN1521" s="6"/>
      <c r="BO1521" s="6"/>
      <c r="BP1521" s="6"/>
      <c r="BQ1521" s="6"/>
      <c r="BR1521" s="6"/>
      <c r="BS1521" s="6"/>
      <c r="BT1521" s="6"/>
      <c r="BU1521" s="6"/>
      <c r="BV1521" s="6"/>
      <c r="BW1521" s="6"/>
      <c r="BX1521" s="6"/>
      <c r="BY1521" s="6"/>
      <c r="BZ1521" s="6"/>
      <c r="CA1521" s="6"/>
      <c r="CB1521" s="6"/>
      <c r="CC1521" s="6"/>
      <c r="CD1521" s="6"/>
      <c r="CE1521" s="6"/>
      <c r="CF1521" s="6"/>
      <c r="CG1521" s="6"/>
      <c r="CH1521" s="6"/>
      <c r="CI1521" s="6"/>
      <c r="CJ1521" s="6"/>
      <c r="CK1521" s="6"/>
      <c r="CL1521" s="6"/>
      <c r="CM1521" s="6"/>
      <c r="CN1521" s="6"/>
      <c r="CO1521" s="6"/>
      <c r="CP1521" s="6"/>
      <c r="CQ1521" s="6"/>
      <c r="CR1521" s="6"/>
      <c r="CS1521" s="6"/>
      <c r="CT1521" s="6"/>
      <c r="CU1521" s="6"/>
      <c r="CV1521" s="6"/>
      <c r="CW1521" s="6"/>
      <c r="CX1521" s="6"/>
      <c r="CY1521" s="6"/>
      <c r="CZ1521" s="6"/>
      <c r="DA1521" s="6"/>
      <c r="DB1521" s="6"/>
      <c r="DC1521" s="6"/>
      <c r="DD1521" s="6"/>
      <c r="DE1521" s="6"/>
      <c r="DF1521" s="6"/>
      <c r="DG1521" s="6"/>
      <c r="DH1521" s="6"/>
      <c r="DI1521" s="6"/>
      <c r="DJ1521" s="6"/>
      <c r="DK1521" s="6"/>
      <c r="DL1521" s="6"/>
      <c r="DM1521" s="6"/>
      <c r="DN1521" s="6"/>
      <c r="DO1521" s="6"/>
      <c r="DP1521" s="6"/>
      <c r="DQ1521" s="6"/>
      <c r="DR1521" s="6"/>
      <c r="DS1521" s="6"/>
      <c r="DT1521" s="6"/>
      <c r="DU1521" s="6"/>
      <c r="DV1521" s="6"/>
      <c r="DW1521" s="6"/>
      <c r="DX1521" s="6"/>
      <c r="DY1521" s="6"/>
      <c r="DZ1521" s="6"/>
      <c r="EA1521" s="6"/>
      <c r="EB1521" s="6"/>
      <c r="EC1521" s="6"/>
      <c r="ED1521" s="6"/>
      <c r="EE1521" s="6"/>
      <c r="EF1521" s="6"/>
      <c r="EG1521" s="6"/>
      <c r="EH1521" s="6"/>
      <c r="EI1521" s="6"/>
      <c r="EJ1521" s="6"/>
      <c r="EK1521" s="6"/>
      <c r="EL1521" s="6"/>
      <c r="EM1521" s="6"/>
      <c r="EN1521" s="6"/>
      <c r="EO1521" s="6"/>
      <c r="EP1521" s="6"/>
      <c r="EQ1521" s="6"/>
      <c r="ER1521" s="6"/>
      <c r="ES1521" s="6"/>
      <c r="ET1521" s="6"/>
      <c r="EU1521" s="6"/>
      <c r="EV1521" s="6"/>
      <c r="EW1521" s="6"/>
      <c r="EX1521" s="6"/>
      <c r="EY1521" s="6"/>
      <c r="EZ1521" s="6"/>
      <c r="FA1521" s="6"/>
      <c r="FB1521" s="6"/>
      <c r="FC1521" s="6"/>
      <c r="FD1521" s="6"/>
      <c r="FE1521" s="6"/>
      <c r="FF1521" s="6"/>
      <c r="FG1521" s="6"/>
      <c r="FH1521" s="6"/>
      <c r="FI1521" s="6"/>
      <c r="FJ1521" s="6"/>
      <c r="FK1521" s="6"/>
      <c r="FL1521" s="6"/>
      <c r="FM1521" s="6"/>
      <c r="FN1521" s="6"/>
      <c r="FO1521" s="6"/>
      <c r="FP1521" s="6"/>
      <c r="FQ1521" s="6"/>
      <c r="FR1521" s="6"/>
      <c r="FS1521" s="6"/>
      <c r="FT1521" s="6"/>
      <c r="FU1521" s="6"/>
      <c r="FV1521" s="6"/>
      <c r="FW1521" s="6"/>
      <c r="FX1521" s="6"/>
      <c r="FY1521" s="6"/>
      <c r="FZ1521" s="6"/>
      <c r="GA1521" s="6"/>
      <c r="GB1521" s="6"/>
      <c r="GC1521" s="6"/>
      <c r="GD1521" s="6"/>
      <c r="GE1521" s="6"/>
      <c r="GF1521" s="6"/>
      <c r="GG1521" s="6"/>
      <c r="GH1521" s="6"/>
      <c r="GI1521" s="6"/>
      <c r="GJ1521" s="6"/>
      <c r="GK1521" s="6"/>
      <c r="GL1521" s="6"/>
      <c r="GM1521" s="6"/>
      <c r="GN1521" s="6"/>
      <c r="GO1521" s="6"/>
      <c r="GP1521" s="6"/>
      <c r="GQ1521" s="6"/>
      <c r="GR1521" s="6"/>
      <c r="GS1521" s="6"/>
      <c r="GT1521" s="6"/>
      <c r="GU1521" s="6"/>
      <c r="GV1521" s="6"/>
      <c r="GW1521" s="6"/>
      <c r="GX1521" s="6"/>
      <c r="GY1521" s="6"/>
      <c r="GZ1521" s="6"/>
      <c r="HA1521" s="6"/>
      <c r="HB1521" s="6"/>
      <c r="HC1521" s="6"/>
      <c r="HD1521" s="6"/>
      <c r="HE1521" s="6"/>
      <c r="HF1521" s="6"/>
      <c r="HG1521" s="6"/>
      <c r="HH1521" s="6"/>
    </row>
    <row r="1522" spans="1:216" x14ac:dyDescent="0.3">
      <c r="A1522" s="8"/>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6"/>
      <c r="AR1522" s="6"/>
      <c r="AS1522" s="6"/>
      <c r="AT1522" s="6"/>
      <c r="AU1522" s="6"/>
      <c r="AV1522" s="6"/>
      <c r="AW1522" s="6"/>
      <c r="AX1522" s="6"/>
      <c r="AY1522" s="6"/>
      <c r="AZ1522" s="6"/>
      <c r="BA1522" s="6"/>
      <c r="BB1522" s="6"/>
      <c r="BC1522" s="6"/>
      <c r="BD1522" s="6"/>
      <c r="BE1522" s="6"/>
      <c r="BF1522" s="6"/>
      <c r="BG1522" s="6"/>
      <c r="BH1522" s="6"/>
      <c r="BI1522" s="6"/>
      <c r="BJ1522" s="6"/>
      <c r="BK1522" s="6"/>
      <c r="BL1522" s="6"/>
      <c r="BM1522" s="6"/>
      <c r="BN1522" s="6"/>
      <c r="BO1522" s="6"/>
      <c r="BP1522" s="6"/>
      <c r="BQ1522" s="6"/>
      <c r="BR1522" s="6"/>
      <c r="BS1522" s="6"/>
      <c r="BT1522" s="6"/>
      <c r="BU1522" s="6"/>
      <c r="BV1522" s="6"/>
      <c r="BW1522" s="6"/>
      <c r="BX1522" s="6"/>
      <c r="BY1522" s="6"/>
      <c r="BZ1522" s="6"/>
      <c r="CA1522" s="6"/>
      <c r="CB1522" s="6"/>
      <c r="CC1522" s="6"/>
      <c r="CD1522" s="6"/>
      <c r="CE1522" s="6"/>
      <c r="CF1522" s="6"/>
      <c r="CG1522" s="6"/>
      <c r="CH1522" s="6"/>
      <c r="CI1522" s="6"/>
      <c r="CJ1522" s="6"/>
      <c r="CK1522" s="6"/>
      <c r="CL1522" s="6"/>
      <c r="CM1522" s="6"/>
      <c r="CN1522" s="6"/>
      <c r="CO1522" s="6"/>
      <c r="CP1522" s="6"/>
      <c r="CQ1522" s="6"/>
      <c r="CR1522" s="6"/>
      <c r="CS1522" s="6"/>
      <c r="CT1522" s="6"/>
      <c r="CU1522" s="6"/>
      <c r="CV1522" s="6"/>
      <c r="CW1522" s="6"/>
      <c r="CX1522" s="6"/>
      <c r="CY1522" s="6"/>
      <c r="CZ1522" s="6"/>
      <c r="DA1522" s="6"/>
      <c r="DB1522" s="6"/>
      <c r="DC1522" s="6"/>
      <c r="DD1522" s="6"/>
      <c r="DE1522" s="6"/>
      <c r="DF1522" s="6"/>
      <c r="DG1522" s="6"/>
      <c r="DH1522" s="6"/>
      <c r="DI1522" s="6"/>
      <c r="DJ1522" s="6"/>
      <c r="DK1522" s="6"/>
      <c r="DL1522" s="6"/>
      <c r="DM1522" s="6"/>
      <c r="DN1522" s="6"/>
      <c r="DO1522" s="6"/>
      <c r="DP1522" s="6"/>
      <c r="DQ1522" s="6"/>
      <c r="DR1522" s="6"/>
      <c r="DS1522" s="6"/>
      <c r="DT1522" s="6"/>
      <c r="DU1522" s="6"/>
      <c r="DV1522" s="6"/>
      <c r="DW1522" s="6"/>
      <c r="DX1522" s="6"/>
      <c r="DY1522" s="6"/>
      <c r="DZ1522" s="6"/>
      <c r="EA1522" s="6"/>
      <c r="EB1522" s="6"/>
      <c r="EC1522" s="6"/>
      <c r="ED1522" s="6"/>
      <c r="EE1522" s="6"/>
      <c r="EF1522" s="6"/>
      <c r="EG1522" s="6"/>
      <c r="EH1522" s="6"/>
      <c r="EI1522" s="6"/>
      <c r="EJ1522" s="6"/>
      <c r="EK1522" s="6"/>
      <c r="EL1522" s="6"/>
      <c r="EM1522" s="6"/>
      <c r="EN1522" s="6"/>
      <c r="EO1522" s="6"/>
      <c r="EP1522" s="6"/>
      <c r="EQ1522" s="6"/>
      <c r="ER1522" s="6"/>
      <c r="ES1522" s="6"/>
      <c r="ET1522" s="6"/>
      <c r="EU1522" s="6"/>
      <c r="EV1522" s="6"/>
      <c r="EW1522" s="6"/>
      <c r="EX1522" s="6"/>
      <c r="EY1522" s="6"/>
      <c r="EZ1522" s="6"/>
      <c r="FA1522" s="6"/>
      <c r="FB1522" s="6"/>
      <c r="FC1522" s="6"/>
      <c r="FD1522" s="6"/>
      <c r="FE1522" s="6"/>
      <c r="FF1522" s="6"/>
      <c r="FG1522" s="6"/>
      <c r="FH1522" s="6"/>
      <c r="FI1522" s="6"/>
      <c r="FJ1522" s="6"/>
      <c r="FK1522" s="6"/>
      <c r="FL1522" s="6"/>
      <c r="FM1522" s="6"/>
      <c r="FN1522" s="6"/>
      <c r="FO1522" s="6"/>
      <c r="FP1522" s="6"/>
      <c r="FQ1522" s="6"/>
      <c r="FR1522" s="6"/>
      <c r="FS1522" s="6"/>
      <c r="FT1522" s="6"/>
      <c r="FU1522" s="6"/>
      <c r="FV1522" s="6"/>
      <c r="FW1522" s="6"/>
      <c r="FX1522" s="6"/>
      <c r="FY1522" s="6"/>
      <c r="FZ1522" s="6"/>
      <c r="GA1522" s="6"/>
      <c r="GB1522" s="6"/>
      <c r="GC1522" s="6"/>
      <c r="GD1522" s="6"/>
      <c r="GE1522" s="6"/>
      <c r="GF1522" s="6"/>
      <c r="GG1522" s="6"/>
      <c r="GH1522" s="6"/>
      <c r="GI1522" s="6"/>
      <c r="GJ1522" s="6"/>
      <c r="GK1522" s="6"/>
      <c r="GL1522" s="6"/>
      <c r="GM1522" s="6"/>
      <c r="GN1522" s="6"/>
      <c r="GO1522" s="6"/>
      <c r="GP1522" s="6"/>
      <c r="GQ1522" s="6"/>
      <c r="GR1522" s="6"/>
      <c r="GS1522" s="6"/>
      <c r="GT1522" s="6"/>
      <c r="GU1522" s="6"/>
      <c r="GV1522" s="6"/>
      <c r="GW1522" s="6"/>
      <c r="GX1522" s="6"/>
      <c r="GY1522" s="6"/>
      <c r="GZ1522" s="6"/>
      <c r="HA1522" s="6"/>
      <c r="HB1522" s="6"/>
      <c r="HC1522" s="6"/>
      <c r="HD1522" s="6"/>
      <c r="HE1522" s="6"/>
      <c r="HF1522" s="6"/>
      <c r="HG1522" s="6"/>
      <c r="HH1522" s="6"/>
    </row>
    <row r="1523" spans="1:216" x14ac:dyDescent="0.3">
      <c r="A1523" s="8"/>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6"/>
      <c r="AR1523" s="6"/>
      <c r="AS1523" s="6"/>
      <c r="AT1523" s="6"/>
      <c r="AU1523" s="6"/>
      <c r="AV1523" s="6"/>
      <c r="AW1523" s="6"/>
      <c r="AX1523" s="6"/>
      <c r="AY1523" s="6"/>
      <c r="AZ1523" s="6"/>
      <c r="BA1523" s="6"/>
      <c r="BB1523" s="6"/>
      <c r="BC1523" s="6"/>
      <c r="BD1523" s="6"/>
      <c r="BE1523" s="6"/>
      <c r="BF1523" s="6"/>
      <c r="BG1523" s="6"/>
      <c r="BH1523" s="6"/>
      <c r="BI1523" s="6"/>
      <c r="BJ1523" s="6"/>
      <c r="BK1523" s="6"/>
      <c r="BL1523" s="6"/>
      <c r="BM1523" s="6"/>
      <c r="BN1523" s="6"/>
      <c r="BO1523" s="6"/>
      <c r="BP1523" s="6"/>
      <c r="BQ1523" s="6"/>
      <c r="BR1523" s="6"/>
      <c r="BS1523" s="6"/>
      <c r="BT1523" s="6"/>
      <c r="BU1523" s="6"/>
      <c r="BV1523" s="6"/>
      <c r="BW1523" s="6"/>
      <c r="BX1523" s="6"/>
      <c r="BY1523" s="6"/>
      <c r="BZ1523" s="6"/>
      <c r="CA1523" s="6"/>
      <c r="CB1523" s="6"/>
      <c r="CC1523" s="6"/>
      <c r="CD1523" s="6"/>
      <c r="CE1523" s="6"/>
      <c r="CF1523" s="6"/>
      <c r="CG1523" s="6"/>
      <c r="CH1523" s="6"/>
      <c r="CI1523" s="6"/>
      <c r="CJ1523" s="6"/>
      <c r="CK1523" s="6"/>
      <c r="CL1523" s="6"/>
      <c r="CM1523" s="6"/>
      <c r="CN1523" s="6"/>
      <c r="CO1523" s="6"/>
      <c r="CP1523" s="6"/>
      <c r="CQ1523" s="6"/>
      <c r="CR1523" s="6"/>
      <c r="CS1523" s="6"/>
      <c r="CT1523" s="6"/>
      <c r="CU1523" s="6"/>
      <c r="CV1523" s="6"/>
      <c r="CW1523" s="6"/>
      <c r="CX1523" s="6"/>
      <c r="CY1523" s="6"/>
      <c r="CZ1523" s="6"/>
      <c r="DA1523" s="6"/>
      <c r="DB1523" s="6"/>
      <c r="DC1523" s="6"/>
      <c r="DD1523" s="6"/>
      <c r="DE1523" s="6"/>
      <c r="DF1523" s="6"/>
      <c r="DG1523" s="6"/>
      <c r="DH1523" s="6"/>
      <c r="DI1523" s="6"/>
      <c r="DJ1523" s="6"/>
      <c r="DK1523" s="6"/>
      <c r="DL1523" s="6"/>
      <c r="DM1523" s="6"/>
      <c r="DN1523" s="6"/>
      <c r="DO1523" s="6"/>
      <c r="DP1523" s="6"/>
      <c r="DQ1523" s="6"/>
      <c r="DR1523" s="6"/>
      <c r="DS1523" s="6"/>
      <c r="DT1523" s="6"/>
      <c r="DU1523" s="6"/>
      <c r="DV1523" s="6"/>
      <c r="DW1523" s="6"/>
      <c r="DX1523" s="6"/>
      <c r="DY1523" s="6"/>
      <c r="DZ1523" s="6"/>
      <c r="EA1523" s="6"/>
      <c r="EB1523" s="6"/>
      <c r="EC1523" s="6"/>
      <c r="ED1523" s="6"/>
      <c r="EE1523" s="6"/>
      <c r="EF1523" s="6"/>
      <c r="EG1523" s="6"/>
      <c r="EH1523" s="6"/>
      <c r="EI1523" s="6"/>
      <c r="EJ1523" s="6"/>
      <c r="EK1523" s="6"/>
      <c r="EL1523" s="6"/>
      <c r="EM1523" s="6"/>
      <c r="EN1523" s="6"/>
      <c r="EO1523" s="6"/>
      <c r="EP1523" s="6"/>
      <c r="EQ1523" s="6"/>
      <c r="ER1523" s="6"/>
      <c r="ES1523" s="6"/>
      <c r="ET1523" s="6"/>
      <c r="EU1523" s="6"/>
      <c r="EV1523" s="6"/>
      <c r="EW1523" s="6"/>
      <c r="EX1523" s="6"/>
      <c r="EY1523" s="6"/>
      <c r="EZ1523" s="6"/>
      <c r="FA1523" s="6"/>
      <c r="FB1523" s="6"/>
      <c r="FC1523" s="6"/>
      <c r="FD1523" s="6"/>
      <c r="FE1523" s="6"/>
      <c r="FF1523" s="6"/>
      <c r="FG1523" s="6"/>
      <c r="FH1523" s="6"/>
      <c r="FI1523" s="6"/>
      <c r="FJ1523" s="6"/>
      <c r="FK1523" s="6"/>
      <c r="FL1523" s="6"/>
      <c r="FM1523" s="6"/>
      <c r="FN1523" s="6"/>
      <c r="FO1523" s="6"/>
      <c r="FP1523" s="6"/>
      <c r="FQ1523" s="6"/>
      <c r="FR1523" s="6"/>
      <c r="FS1523" s="6"/>
      <c r="FT1523" s="6"/>
      <c r="FU1523" s="6"/>
      <c r="FV1523" s="6"/>
      <c r="FW1523" s="6"/>
      <c r="FX1523" s="6"/>
      <c r="FY1523" s="6"/>
      <c r="FZ1523" s="6"/>
      <c r="GA1523" s="6"/>
      <c r="GB1523" s="6"/>
      <c r="GC1523" s="6"/>
      <c r="GD1523" s="6"/>
      <c r="GE1523" s="6"/>
      <c r="GF1523" s="6"/>
      <c r="GG1523" s="6"/>
      <c r="GH1523" s="6"/>
      <c r="GI1523" s="6"/>
      <c r="GJ1523" s="6"/>
      <c r="GK1523" s="6"/>
      <c r="GL1523" s="6"/>
      <c r="GM1523" s="6"/>
      <c r="GN1523" s="6"/>
      <c r="GO1523" s="6"/>
      <c r="GP1523" s="6"/>
      <c r="GQ1523" s="6"/>
      <c r="GR1523" s="6"/>
      <c r="GS1523" s="6"/>
      <c r="GT1523" s="6"/>
      <c r="GU1523" s="6"/>
      <c r="GV1523" s="6"/>
      <c r="GW1523" s="6"/>
      <c r="GX1523" s="6"/>
      <c r="GY1523" s="6"/>
      <c r="GZ1523" s="6"/>
      <c r="HA1523" s="6"/>
      <c r="HB1523" s="6"/>
      <c r="HC1523" s="6"/>
      <c r="HD1523" s="6"/>
      <c r="HE1523" s="6"/>
      <c r="HF1523" s="6"/>
      <c r="HG1523" s="6"/>
      <c r="HH1523" s="6"/>
    </row>
    <row r="1524" spans="1:216" x14ac:dyDescent="0.3">
      <c r="A1524" s="8"/>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6"/>
      <c r="AR1524" s="6"/>
      <c r="AS1524" s="6"/>
      <c r="AT1524" s="6"/>
      <c r="AU1524" s="6"/>
      <c r="AV1524" s="6"/>
      <c r="AW1524" s="6"/>
      <c r="AX1524" s="6"/>
      <c r="AY1524" s="6"/>
      <c r="AZ1524" s="6"/>
      <c r="BA1524" s="6"/>
      <c r="BB1524" s="6"/>
      <c r="BC1524" s="6"/>
      <c r="BD1524" s="6"/>
      <c r="BE1524" s="6"/>
      <c r="BF1524" s="6"/>
      <c r="BG1524" s="6"/>
      <c r="BH1524" s="6"/>
      <c r="BI1524" s="6"/>
      <c r="BJ1524" s="6"/>
      <c r="BK1524" s="6"/>
      <c r="BL1524" s="6"/>
      <c r="BM1524" s="6"/>
      <c r="BN1524" s="6"/>
      <c r="BO1524" s="6"/>
      <c r="BP1524" s="6"/>
      <c r="BQ1524" s="6"/>
      <c r="BR1524" s="6"/>
      <c r="BS1524" s="6"/>
      <c r="BT1524" s="6"/>
      <c r="BU1524" s="6"/>
      <c r="BV1524" s="6"/>
      <c r="BW1524" s="6"/>
      <c r="BX1524" s="6"/>
      <c r="BY1524" s="6"/>
      <c r="BZ1524" s="6"/>
      <c r="CA1524" s="6"/>
      <c r="CB1524" s="6"/>
      <c r="CC1524" s="6"/>
      <c r="CD1524" s="6"/>
      <c r="CE1524" s="6"/>
      <c r="CF1524" s="6"/>
      <c r="CG1524" s="6"/>
      <c r="CH1524" s="6"/>
      <c r="CI1524" s="6"/>
      <c r="CJ1524" s="6"/>
      <c r="CK1524" s="6"/>
      <c r="CL1524" s="6"/>
      <c r="CM1524" s="6"/>
      <c r="CN1524" s="6"/>
      <c r="CO1524" s="6"/>
      <c r="CP1524" s="6"/>
      <c r="CQ1524" s="6"/>
      <c r="CR1524" s="6"/>
      <c r="CS1524" s="6"/>
      <c r="CT1524" s="6"/>
      <c r="CU1524" s="6"/>
      <c r="CV1524" s="6"/>
      <c r="CW1524" s="6"/>
      <c r="CX1524" s="6"/>
      <c r="CY1524" s="6"/>
      <c r="CZ1524" s="6"/>
      <c r="DA1524" s="6"/>
      <c r="DB1524" s="6"/>
      <c r="DC1524" s="6"/>
      <c r="DD1524" s="6"/>
      <c r="DE1524" s="6"/>
      <c r="DF1524" s="6"/>
      <c r="DG1524" s="6"/>
      <c r="DH1524" s="6"/>
      <c r="DI1524" s="6"/>
      <c r="DJ1524" s="6"/>
      <c r="DK1524" s="6"/>
      <c r="DL1524" s="6"/>
      <c r="DM1524" s="6"/>
      <c r="DN1524" s="6"/>
      <c r="DO1524" s="6"/>
      <c r="DP1524" s="6"/>
      <c r="DQ1524" s="6"/>
      <c r="DR1524" s="6"/>
      <c r="DS1524" s="6"/>
      <c r="DT1524" s="6"/>
      <c r="DU1524" s="6"/>
      <c r="DV1524" s="6"/>
      <c r="DW1524" s="6"/>
      <c r="DX1524" s="6"/>
      <c r="DY1524" s="6"/>
      <c r="DZ1524" s="6"/>
      <c r="EA1524" s="6"/>
      <c r="EB1524" s="6"/>
      <c r="EC1524" s="6"/>
      <c r="ED1524" s="6"/>
      <c r="EE1524" s="6"/>
      <c r="EF1524" s="6"/>
      <c r="EG1524" s="6"/>
      <c r="EH1524" s="6"/>
      <c r="EI1524" s="6"/>
      <c r="EJ1524" s="6"/>
      <c r="EK1524" s="6"/>
      <c r="EL1524" s="6"/>
      <c r="EM1524" s="6"/>
      <c r="EN1524" s="6"/>
      <c r="EO1524" s="6"/>
      <c r="EP1524" s="6"/>
      <c r="EQ1524" s="6"/>
      <c r="ER1524" s="6"/>
      <c r="ES1524" s="6"/>
      <c r="ET1524" s="6"/>
      <c r="EU1524" s="6"/>
      <c r="EV1524" s="6"/>
      <c r="EW1524" s="6"/>
      <c r="EX1524" s="6"/>
      <c r="EY1524" s="6"/>
      <c r="EZ1524" s="6"/>
      <c r="FA1524" s="6"/>
      <c r="FB1524" s="6"/>
      <c r="FC1524" s="6"/>
      <c r="FD1524" s="6"/>
      <c r="FE1524" s="6"/>
      <c r="FF1524" s="6"/>
      <c r="FG1524" s="6"/>
      <c r="FH1524" s="6"/>
      <c r="FI1524" s="6"/>
      <c r="FJ1524" s="6"/>
      <c r="FK1524" s="6"/>
      <c r="FL1524" s="6"/>
      <c r="FM1524" s="6"/>
      <c r="FN1524" s="6"/>
      <c r="FO1524" s="6"/>
      <c r="FP1524" s="6"/>
      <c r="FQ1524" s="6"/>
      <c r="FR1524" s="6"/>
      <c r="FS1524" s="6"/>
      <c r="FT1524" s="6"/>
      <c r="FU1524" s="6"/>
      <c r="FV1524" s="6"/>
      <c r="FW1524" s="6"/>
      <c r="FX1524" s="6"/>
      <c r="FY1524" s="6"/>
      <c r="FZ1524" s="6"/>
      <c r="GA1524" s="6"/>
      <c r="GB1524" s="6"/>
      <c r="GC1524" s="6"/>
      <c r="GD1524" s="6"/>
      <c r="GE1524" s="6"/>
      <c r="GF1524" s="6"/>
      <c r="GG1524" s="6"/>
      <c r="GH1524" s="6"/>
      <c r="GI1524" s="6"/>
      <c r="GJ1524" s="6"/>
      <c r="GK1524" s="6"/>
      <c r="GL1524" s="6"/>
      <c r="GM1524" s="6"/>
      <c r="GN1524" s="6"/>
      <c r="GO1524" s="6"/>
      <c r="GP1524" s="6"/>
      <c r="GQ1524" s="6"/>
      <c r="GR1524" s="6"/>
      <c r="GS1524" s="6"/>
      <c r="GT1524" s="6"/>
      <c r="GU1524" s="6"/>
      <c r="GV1524" s="6"/>
      <c r="GW1524" s="6"/>
      <c r="GX1524" s="6"/>
      <c r="GY1524" s="6"/>
      <c r="GZ1524" s="6"/>
      <c r="HA1524" s="6"/>
      <c r="HB1524" s="6"/>
      <c r="HC1524" s="6"/>
      <c r="HD1524" s="6"/>
      <c r="HE1524" s="6"/>
      <c r="HF1524" s="6"/>
      <c r="HG1524" s="6"/>
      <c r="HH1524" s="6"/>
    </row>
    <row r="1525" spans="1:216" x14ac:dyDescent="0.3">
      <c r="A1525" s="8"/>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6"/>
      <c r="AR1525" s="6"/>
      <c r="AS1525" s="6"/>
      <c r="AT1525" s="6"/>
      <c r="AU1525" s="6"/>
      <c r="AV1525" s="6"/>
      <c r="AW1525" s="6"/>
      <c r="AX1525" s="6"/>
      <c r="AY1525" s="6"/>
      <c r="AZ1525" s="6"/>
      <c r="BA1525" s="6"/>
      <c r="BB1525" s="6"/>
      <c r="BC1525" s="6"/>
      <c r="BD1525" s="6"/>
      <c r="BE1525" s="6"/>
      <c r="BF1525" s="6"/>
      <c r="BG1525" s="6"/>
      <c r="BH1525" s="6"/>
      <c r="BI1525" s="6"/>
      <c r="BJ1525" s="6"/>
      <c r="BK1525" s="6"/>
      <c r="BL1525" s="6"/>
      <c r="BM1525" s="6"/>
      <c r="BN1525" s="6"/>
      <c r="BO1525" s="6"/>
      <c r="BP1525" s="6"/>
      <c r="BQ1525" s="6"/>
      <c r="BR1525" s="6"/>
      <c r="BS1525" s="6"/>
      <c r="BT1525" s="6"/>
      <c r="BU1525" s="6"/>
      <c r="BV1525" s="6"/>
      <c r="BW1525" s="6"/>
      <c r="BX1525" s="6"/>
      <c r="BY1525" s="6"/>
      <c r="BZ1525" s="6"/>
      <c r="CA1525" s="6"/>
      <c r="CB1525" s="6"/>
      <c r="CC1525" s="6"/>
      <c r="CD1525" s="6"/>
      <c r="CE1525" s="6"/>
      <c r="CF1525" s="6"/>
      <c r="CG1525" s="6"/>
      <c r="CH1525" s="6"/>
      <c r="CI1525" s="6"/>
      <c r="CJ1525" s="6"/>
      <c r="CK1525" s="6"/>
      <c r="CL1525" s="6"/>
      <c r="CM1525" s="6"/>
      <c r="CN1525" s="6"/>
      <c r="CO1525" s="6"/>
      <c r="CP1525" s="6"/>
      <c r="CQ1525" s="6"/>
      <c r="CR1525" s="6"/>
      <c r="CS1525" s="6"/>
      <c r="CT1525" s="6"/>
      <c r="CU1525" s="6"/>
      <c r="CV1525" s="6"/>
      <c r="CW1525" s="6"/>
      <c r="CX1525" s="6"/>
      <c r="CY1525" s="6"/>
      <c r="CZ1525" s="6"/>
      <c r="DA1525" s="6"/>
      <c r="DB1525" s="6"/>
      <c r="DC1525" s="6"/>
      <c r="DD1525" s="6"/>
      <c r="DE1525" s="6"/>
      <c r="DF1525" s="6"/>
      <c r="DG1525" s="6"/>
      <c r="DH1525" s="6"/>
      <c r="DI1525" s="6"/>
      <c r="DJ1525" s="6"/>
      <c r="DK1525" s="6"/>
      <c r="DL1525" s="6"/>
      <c r="DM1525" s="6"/>
      <c r="DN1525" s="6"/>
      <c r="DO1525" s="6"/>
      <c r="DP1525" s="6"/>
      <c r="DQ1525" s="6"/>
      <c r="DR1525" s="6"/>
      <c r="DS1525" s="6"/>
      <c r="DT1525" s="6"/>
      <c r="DU1525" s="6"/>
      <c r="DV1525" s="6"/>
      <c r="DW1525" s="6"/>
      <c r="DX1525" s="6"/>
      <c r="DY1525" s="6"/>
      <c r="DZ1525" s="6"/>
      <c r="EA1525" s="6"/>
      <c r="EB1525" s="6"/>
      <c r="EC1525" s="6"/>
      <c r="ED1525" s="6"/>
      <c r="EE1525" s="6"/>
      <c r="EF1525" s="6"/>
      <c r="EG1525" s="6"/>
      <c r="EH1525" s="6"/>
      <c r="EI1525" s="6"/>
      <c r="EJ1525" s="6"/>
      <c r="EK1525" s="6"/>
      <c r="EL1525" s="6"/>
      <c r="EM1525" s="6"/>
      <c r="EN1525" s="6"/>
      <c r="EO1525" s="6"/>
      <c r="EP1525" s="6"/>
      <c r="EQ1525" s="6"/>
      <c r="ER1525" s="6"/>
      <c r="ES1525" s="6"/>
      <c r="ET1525" s="6"/>
      <c r="EU1525" s="6"/>
      <c r="EV1525" s="6"/>
      <c r="EW1525" s="6"/>
      <c r="EX1525" s="6"/>
      <c r="EY1525" s="6"/>
      <c r="EZ1525" s="6"/>
      <c r="FA1525" s="6"/>
      <c r="FB1525" s="6"/>
      <c r="FC1525" s="6"/>
      <c r="FD1525" s="6"/>
      <c r="FE1525" s="6"/>
      <c r="FF1525" s="6"/>
      <c r="FG1525" s="6"/>
      <c r="FH1525" s="6"/>
      <c r="FI1525" s="6"/>
      <c r="FJ1525" s="6"/>
      <c r="FK1525" s="6"/>
      <c r="FL1525" s="6"/>
      <c r="FM1525" s="6"/>
      <c r="FN1525" s="6"/>
      <c r="FO1525" s="6"/>
      <c r="FP1525" s="6"/>
      <c r="FQ1525" s="6"/>
      <c r="FR1525" s="6"/>
      <c r="FS1525" s="6"/>
      <c r="FT1525" s="6"/>
      <c r="FU1525" s="6"/>
      <c r="FV1525" s="6"/>
      <c r="FW1525" s="6"/>
      <c r="FX1525" s="6"/>
      <c r="FY1525" s="6"/>
      <c r="FZ1525" s="6"/>
      <c r="GA1525" s="6"/>
      <c r="GB1525" s="6"/>
      <c r="GC1525" s="6"/>
      <c r="GD1525" s="6"/>
      <c r="GE1525" s="6"/>
      <c r="GF1525" s="6"/>
      <c r="GG1525" s="6"/>
      <c r="GH1525" s="6"/>
      <c r="GI1525" s="6"/>
      <c r="GJ1525" s="6"/>
      <c r="GK1525" s="6"/>
      <c r="GL1525" s="6"/>
      <c r="GM1525" s="6"/>
      <c r="GN1525" s="6"/>
      <c r="GO1525" s="6"/>
      <c r="GP1525" s="6"/>
      <c r="GQ1525" s="6"/>
      <c r="GR1525" s="6"/>
      <c r="GS1525" s="6"/>
      <c r="GT1525" s="6"/>
      <c r="GU1525" s="6"/>
      <c r="GV1525" s="6"/>
      <c r="GW1525" s="6"/>
      <c r="GX1525" s="6"/>
      <c r="GY1525" s="6"/>
      <c r="GZ1525" s="6"/>
      <c r="HA1525" s="6"/>
      <c r="HB1525" s="6"/>
      <c r="HC1525" s="6"/>
      <c r="HD1525" s="6"/>
      <c r="HE1525" s="6"/>
      <c r="HF1525" s="6"/>
      <c r="HG1525" s="6"/>
      <c r="HH1525" s="6"/>
    </row>
    <row r="1526" spans="1:216" x14ac:dyDescent="0.3">
      <c r="A1526" s="8"/>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6"/>
      <c r="AR1526" s="6"/>
      <c r="AS1526" s="6"/>
      <c r="AT1526" s="6"/>
      <c r="AU1526" s="6"/>
      <c r="AV1526" s="6"/>
      <c r="AW1526" s="6"/>
      <c r="AX1526" s="6"/>
      <c r="AY1526" s="6"/>
      <c r="AZ1526" s="6"/>
      <c r="BA1526" s="6"/>
      <c r="BB1526" s="6"/>
      <c r="BC1526" s="6"/>
      <c r="BD1526" s="6"/>
      <c r="BE1526" s="6"/>
      <c r="BF1526" s="6"/>
      <c r="BG1526" s="6"/>
      <c r="BH1526" s="6"/>
      <c r="BI1526" s="6"/>
      <c r="BJ1526" s="6"/>
      <c r="BK1526" s="6"/>
      <c r="BL1526" s="6"/>
      <c r="BM1526" s="6"/>
      <c r="BN1526" s="6"/>
      <c r="BO1526" s="6"/>
      <c r="BP1526" s="6"/>
      <c r="BQ1526" s="6"/>
      <c r="BR1526" s="6"/>
      <c r="BS1526" s="6"/>
      <c r="BT1526" s="6"/>
      <c r="BU1526" s="6"/>
      <c r="BV1526" s="6"/>
      <c r="BW1526" s="6"/>
      <c r="BX1526" s="6"/>
      <c r="BY1526" s="6"/>
      <c r="BZ1526" s="6"/>
      <c r="CA1526" s="6"/>
      <c r="CB1526" s="6"/>
      <c r="CC1526" s="6"/>
      <c r="CD1526" s="6"/>
      <c r="CE1526" s="6"/>
      <c r="CF1526" s="6"/>
      <c r="CG1526" s="6"/>
      <c r="CH1526" s="6"/>
      <c r="CI1526" s="6"/>
      <c r="CJ1526" s="6"/>
      <c r="CK1526" s="6"/>
      <c r="CL1526" s="6"/>
      <c r="CM1526" s="6"/>
      <c r="CN1526" s="6"/>
      <c r="CO1526" s="6"/>
      <c r="CP1526" s="6"/>
      <c r="CQ1526" s="6"/>
      <c r="CR1526" s="6"/>
      <c r="CS1526" s="6"/>
      <c r="CT1526" s="6"/>
      <c r="CU1526" s="6"/>
      <c r="CV1526" s="6"/>
      <c r="CW1526" s="6"/>
      <c r="CX1526" s="6"/>
      <c r="CY1526" s="6"/>
      <c r="CZ1526" s="6"/>
      <c r="DA1526" s="6"/>
      <c r="DB1526" s="6"/>
      <c r="DC1526" s="6"/>
      <c r="DD1526" s="6"/>
      <c r="DE1526" s="6"/>
      <c r="DF1526" s="6"/>
      <c r="DG1526" s="6"/>
      <c r="DH1526" s="6"/>
      <c r="DI1526" s="6"/>
      <c r="DJ1526" s="6"/>
      <c r="DK1526" s="6"/>
      <c r="DL1526" s="6"/>
      <c r="DM1526" s="6"/>
      <c r="DN1526" s="6"/>
      <c r="DO1526" s="6"/>
      <c r="DP1526" s="6"/>
      <c r="DQ1526" s="6"/>
      <c r="DR1526" s="6"/>
      <c r="DS1526" s="6"/>
      <c r="DT1526" s="6"/>
      <c r="DU1526" s="6"/>
      <c r="DV1526" s="6"/>
      <c r="DW1526" s="6"/>
      <c r="DX1526" s="6"/>
      <c r="DY1526" s="6"/>
      <c r="DZ1526" s="6"/>
      <c r="EA1526" s="6"/>
      <c r="EB1526" s="6"/>
      <c r="EC1526" s="6"/>
      <c r="ED1526" s="6"/>
      <c r="EE1526" s="6"/>
      <c r="EF1526" s="6"/>
      <c r="EG1526" s="6"/>
      <c r="EH1526" s="6"/>
      <c r="EI1526" s="6"/>
      <c r="EJ1526" s="6"/>
      <c r="EK1526" s="6"/>
      <c r="EL1526" s="6"/>
      <c r="EM1526" s="6"/>
      <c r="EN1526" s="6"/>
      <c r="EO1526" s="6"/>
      <c r="EP1526" s="6"/>
      <c r="EQ1526" s="6"/>
      <c r="ER1526" s="6"/>
      <c r="ES1526" s="6"/>
      <c r="ET1526" s="6"/>
      <c r="EU1526" s="6"/>
      <c r="EV1526" s="6"/>
      <c r="EW1526" s="6"/>
      <c r="EX1526" s="6"/>
      <c r="EY1526" s="6"/>
      <c r="EZ1526" s="6"/>
      <c r="FA1526" s="6"/>
      <c r="FB1526" s="6"/>
      <c r="FC1526" s="6"/>
      <c r="FD1526" s="6"/>
      <c r="FE1526" s="6"/>
      <c r="FF1526" s="6"/>
      <c r="FG1526" s="6"/>
      <c r="FH1526" s="6"/>
      <c r="FI1526" s="6"/>
      <c r="FJ1526" s="6"/>
      <c r="FK1526" s="6"/>
      <c r="FL1526" s="6"/>
      <c r="FM1526" s="6"/>
      <c r="FN1526" s="6"/>
      <c r="FO1526" s="6"/>
      <c r="FP1526" s="6"/>
      <c r="FQ1526" s="6"/>
      <c r="FR1526" s="6"/>
      <c r="FS1526" s="6"/>
      <c r="FT1526" s="6"/>
      <c r="FU1526" s="6"/>
      <c r="FV1526" s="6"/>
      <c r="FW1526" s="6"/>
      <c r="FX1526" s="6"/>
      <c r="FY1526" s="6"/>
      <c r="FZ1526" s="6"/>
      <c r="GA1526" s="6"/>
      <c r="GB1526" s="6"/>
      <c r="GC1526" s="6"/>
      <c r="GD1526" s="6"/>
      <c r="GE1526" s="6"/>
      <c r="GF1526" s="6"/>
      <c r="GG1526" s="6"/>
      <c r="GH1526" s="6"/>
      <c r="GI1526" s="6"/>
      <c r="GJ1526" s="6"/>
      <c r="GK1526" s="6"/>
      <c r="GL1526" s="6"/>
      <c r="GM1526" s="6"/>
      <c r="GN1526" s="6"/>
      <c r="GO1526" s="6"/>
      <c r="GP1526" s="6"/>
      <c r="GQ1526" s="6"/>
      <c r="GR1526" s="6"/>
      <c r="GS1526" s="6"/>
      <c r="GT1526" s="6"/>
      <c r="GU1526" s="6"/>
      <c r="GV1526" s="6"/>
      <c r="GW1526" s="6"/>
      <c r="GX1526" s="6"/>
      <c r="GY1526" s="6"/>
      <c r="GZ1526" s="6"/>
      <c r="HA1526" s="6"/>
      <c r="HB1526" s="6"/>
      <c r="HC1526" s="6"/>
      <c r="HD1526" s="6"/>
      <c r="HE1526" s="6"/>
      <c r="HF1526" s="6"/>
      <c r="HG1526" s="6"/>
      <c r="HH1526" s="6"/>
    </row>
    <row r="1527" spans="1:216" x14ac:dyDescent="0.3">
      <c r="A1527" s="8"/>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6"/>
      <c r="AR1527" s="6"/>
      <c r="AS1527" s="6"/>
      <c r="AT1527" s="6"/>
      <c r="AU1527" s="6"/>
      <c r="AV1527" s="6"/>
      <c r="AW1527" s="6"/>
      <c r="AX1527" s="6"/>
      <c r="AY1527" s="6"/>
      <c r="AZ1527" s="6"/>
      <c r="BA1527" s="6"/>
      <c r="BB1527" s="6"/>
      <c r="BC1527" s="6"/>
      <c r="BD1527" s="6"/>
      <c r="BE1527" s="6"/>
      <c r="BF1527" s="6"/>
      <c r="BG1527" s="6"/>
      <c r="BH1527" s="6"/>
      <c r="BI1527" s="6"/>
      <c r="BJ1527" s="6"/>
      <c r="BK1527" s="6"/>
      <c r="BL1527" s="6"/>
      <c r="BM1527" s="6"/>
      <c r="BN1527" s="6"/>
      <c r="BO1527" s="6"/>
      <c r="BP1527" s="6"/>
      <c r="BQ1527" s="6"/>
      <c r="BR1527" s="6"/>
      <c r="BS1527" s="6"/>
      <c r="BT1527" s="6"/>
      <c r="BU1527" s="6"/>
      <c r="BV1527" s="6"/>
      <c r="BW1527" s="6"/>
      <c r="BX1527" s="6"/>
      <c r="BY1527" s="6"/>
      <c r="BZ1527" s="6"/>
      <c r="CA1527" s="6"/>
      <c r="CB1527" s="6"/>
      <c r="CC1527" s="6"/>
      <c r="CD1527" s="6"/>
      <c r="CE1527" s="6"/>
      <c r="CF1527" s="6"/>
      <c r="CG1527" s="6"/>
      <c r="CH1527" s="6"/>
      <c r="CI1527" s="6"/>
      <c r="CJ1527" s="6"/>
      <c r="CK1527" s="6"/>
      <c r="CL1527" s="6"/>
      <c r="CM1527" s="6"/>
      <c r="CN1527" s="6"/>
      <c r="CO1527" s="6"/>
      <c r="CP1527" s="6"/>
      <c r="CQ1527" s="6"/>
      <c r="CR1527" s="6"/>
      <c r="CS1527" s="6"/>
      <c r="CT1527" s="6"/>
      <c r="CU1527" s="6"/>
      <c r="CV1527" s="6"/>
      <c r="CW1527" s="6"/>
      <c r="CX1527" s="6"/>
      <c r="CY1527" s="6"/>
      <c r="CZ1527" s="6"/>
      <c r="DA1527" s="6"/>
      <c r="DB1527" s="6"/>
      <c r="DC1527" s="6"/>
      <c r="DD1527" s="6"/>
      <c r="DE1527" s="6"/>
      <c r="DF1527" s="6"/>
      <c r="DG1527" s="6"/>
      <c r="DH1527" s="6"/>
      <c r="DI1527" s="6"/>
      <c r="DJ1527" s="6"/>
      <c r="DK1527" s="6"/>
      <c r="DL1527" s="6"/>
      <c r="DM1527" s="6"/>
      <c r="DN1527" s="6"/>
      <c r="DO1527" s="6"/>
      <c r="DP1527" s="6"/>
      <c r="DQ1527" s="6"/>
      <c r="DR1527" s="6"/>
      <c r="DS1527" s="6"/>
      <c r="DT1527" s="6"/>
      <c r="DU1527" s="6"/>
      <c r="DV1527" s="6"/>
      <c r="DW1527" s="6"/>
      <c r="DX1527" s="6"/>
      <c r="DY1527" s="6"/>
      <c r="DZ1527" s="6"/>
      <c r="EA1527" s="6"/>
      <c r="EB1527" s="6"/>
      <c r="EC1527" s="6"/>
      <c r="ED1527" s="6"/>
      <c r="EE1527" s="6"/>
      <c r="EF1527" s="6"/>
      <c r="EG1527" s="6"/>
      <c r="EH1527" s="6"/>
      <c r="EI1527" s="6"/>
      <c r="EJ1527" s="6"/>
      <c r="EK1527" s="6"/>
      <c r="EL1527" s="6"/>
      <c r="EM1527" s="6"/>
      <c r="EN1527" s="6"/>
      <c r="EO1527" s="6"/>
      <c r="EP1527" s="6"/>
      <c r="EQ1527" s="6"/>
      <c r="ER1527" s="6"/>
      <c r="ES1527" s="6"/>
      <c r="ET1527" s="6"/>
      <c r="EU1527" s="6"/>
      <c r="EV1527" s="6"/>
      <c r="EW1527" s="6"/>
      <c r="EX1527" s="6"/>
      <c r="EY1527" s="6"/>
      <c r="EZ1527" s="6"/>
      <c r="FA1527" s="6"/>
      <c r="FB1527" s="6"/>
      <c r="FC1527" s="6"/>
      <c r="FD1527" s="6"/>
      <c r="FE1527" s="6"/>
      <c r="FF1527" s="6"/>
      <c r="FG1527" s="6"/>
      <c r="FH1527" s="6"/>
      <c r="FI1527" s="6"/>
      <c r="FJ1527" s="6"/>
      <c r="FK1527" s="6"/>
      <c r="FL1527" s="6"/>
      <c r="FM1527" s="6"/>
      <c r="FN1527" s="6"/>
      <c r="FO1527" s="6"/>
      <c r="FP1527" s="6"/>
      <c r="FQ1527" s="6"/>
      <c r="FR1527" s="6"/>
      <c r="FS1527" s="6"/>
      <c r="FT1527" s="6"/>
      <c r="FU1527" s="6"/>
      <c r="FV1527" s="6"/>
      <c r="FW1527" s="6"/>
      <c r="FX1527" s="6"/>
      <c r="FY1527" s="6"/>
      <c r="FZ1527" s="6"/>
      <c r="GA1527" s="6"/>
      <c r="GB1527" s="6"/>
      <c r="GC1527" s="6"/>
      <c r="GD1527" s="6"/>
      <c r="GE1527" s="6"/>
      <c r="GF1527" s="6"/>
      <c r="GG1527" s="6"/>
      <c r="GH1527" s="6"/>
      <c r="GI1527" s="6"/>
      <c r="GJ1527" s="6"/>
      <c r="GK1527" s="6"/>
      <c r="GL1527" s="6"/>
      <c r="GM1527" s="6"/>
      <c r="GN1527" s="6"/>
      <c r="GO1527" s="6"/>
      <c r="GP1527" s="6"/>
      <c r="GQ1527" s="6"/>
      <c r="GR1527" s="6"/>
      <c r="GS1527" s="6"/>
      <c r="GT1527" s="6"/>
      <c r="GU1527" s="6"/>
      <c r="GV1527" s="6"/>
      <c r="GW1527" s="6"/>
      <c r="GX1527" s="6"/>
      <c r="GY1527" s="6"/>
      <c r="GZ1527" s="6"/>
      <c r="HA1527" s="6"/>
      <c r="HB1527" s="6"/>
      <c r="HC1527" s="6"/>
      <c r="HD1527" s="6"/>
      <c r="HE1527" s="6"/>
      <c r="HF1527" s="6"/>
      <c r="HG1527" s="6"/>
      <c r="HH1527" s="6"/>
    </row>
    <row r="1528" spans="1:216" x14ac:dyDescent="0.3">
      <c r="A1528" s="8"/>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6"/>
      <c r="AR1528" s="6"/>
      <c r="AS1528" s="6"/>
      <c r="AT1528" s="6"/>
      <c r="AU1528" s="6"/>
      <c r="AV1528" s="6"/>
      <c r="AW1528" s="6"/>
      <c r="AX1528" s="6"/>
      <c r="AY1528" s="6"/>
      <c r="AZ1528" s="6"/>
      <c r="BA1528" s="6"/>
      <c r="BB1528" s="6"/>
      <c r="BC1528" s="6"/>
      <c r="BD1528" s="6"/>
      <c r="BE1528" s="6"/>
      <c r="BF1528" s="6"/>
      <c r="BG1528" s="6"/>
      <c r="BH1528" s="6"/>
      <c r="BI1528" s="6"/>
      <c r="BJ1528" s="6"/>
      <c r="BK1528" s="6"/>
      <c r="BL1528" s="6"/>
      <c r="BM1528" s="6"/>
      <c r="BN1528" s="6"/>
      <c r="BO1528" s="6"/>
      <c r="BP1528" s="6"/>
      <c r="BQ1528" s="6"/>
      <c r="BR1528" s="6"/>
      <c r="BS1528" s="6"/>
      <c r="BT1528" s="6"/>
      <c r="BU1528" s="6"/>
      <c r="BV1528" s="6"/>
      <c r="BW1528" s="6"/>
      <c r="BX1528" s="6"/>
      <c r="BY1528" s="6"/>
      <c r="BZ1528" s="6"/>
      <c r="CA1528" s="6"/>
      <c r="CB1528" s="6"/>
      <c r="CC1528" s="6"/>
      <c r="CD1528" s="6"/>
      <c r="CE1528" s="6"/>
      <c r="CF1528" s="6"/>
      <c r="CG1528" s="6"/>
      <c r="CH1528" s="6"/>
      <c r="CI1528" s="6"/>
      <c r="CJ1528" s="6"/>
      <c r="CK1528" s="6"/>
      <c r="CL1528" s="6"/>
      <c r="CM1528" s="6"/>
      <c r="CN1528" s="6"/>
      <c r="CO1528" s="6"/>
      <c r="CP1528" s="6"/>
      <c r="CQ1528" s="6"/>
      <c r="CR1528" s="6"/>
      <c r="CS1528" s="6"/>
      <c r="CT1528" s="6"/>
      <c r="CU1528" s="6"/>
      <c r="CV1528" s="6"/>
      <c r="CW1528" s="6"/>
      <c r="CX1528" s="6"/>
      <c r="CY1528" s="6"/>
      <c r="CZ1528" s="6"/>
      <c r="DA1528" s="6"/>
      <c r="DB1528" s="6"/>
      <c r="DC1528" s="6"/>
      <c r="DD1528" s="6"/>
      <c r="DE1528" s="6"/>
      <c r="DF1528" s="6"/>
      <c r="DG1528" s="6"/>
      <c r="DH1528" s="6"/>
      <c r="DI1528" s="6"/>
      <c r="DJ1528" s="6"/>
      <c r="DK1528" s="6"/>
      <c r="DL1528" s="6"/>
      <c r="DM1528" s="6"/>
      <c r="DN1528" s="6"/>
      <c r="DO1528" s="6"/>
      <c r="DP1528" s="6"/>
      <c r="DQ1528" s="6"/>
      <c r="DR1528" s="6"/>
      <c r="DS1528" s="6"/>
      <c r="DT1528" s="6"/>
      <c r="DU1528" s="6"/>
      <c r="DV1528" s="6"/>
      <c r="DW1528" s="6"/>
      <c r="DX1528" s="6"/>
      <c r="DY1528" s="6"/>
      <c r="DZ1528" s="6"/>
      <c r="EA1528" s="6"/>
      <c r="EB1528" s="6"/>
      <c r="EC1528" s="6"/>
      <c r="ED1528" s="6"/>
      <c r="EE1528" s="6"/>
      <c r="EF1528" s="6"/>
      <c r="EG1528" s="6"/>
      <c r="EH1528" s="6"/>
      <c r="EI1528" s="6"/>
      <c r="EJ1528" s="6"/>
      <c r="EK1528" s="6"/>
      <c r="EL1528" s="6"/>
      <c r="EM1528" s="6"/>
      <c r="EN1528" s="6"/>
      <c r="EO1528" s="6"/>
      <c r="EP1528" s="6"/>
      <c r="EQ1528" s="6"/>
      <c r="ER1528" s="6"/>
      <c r="ES1528" s="6"/>
      <c r="ET1528" s="6"/>
      <c r="EU1528" s="6"/>
      <c r="EV1528" s="6"/>
      <c r="EW1528" s="6"/>
      <c r="EX1528" s="6"/>
      <c r="EY1528" s="6"/>
      <c r="EZ1528" s="6"/>
      <c r="FA1528" s="6"/>
      <c r="FB1528" s="6"/>
      <c r="FC1528" s="6"/>
      <c r="FD1528" s="6"/>
      <c r="FE1528" s="6"/>
      <c r="FF1528" s="6"/>
      <c r="FG1528" s="6"/>
      <c r="FH1528" s="6"/>
      <c r="FI1528" s="6"/>
      <c r="FJ1528" s="6"/>
      <c r="FK1528" s="6"/>
      <c r="FL1528" s="6"/>
      <c r="FM1528" s="6"/>
      <c r="FN1528" s="6"/>
      <c r="FO1528" s="6"/>
      <c r="FP1528" s="6"/>
      <c r="FQ1528" s="6"/>
      <c r="FR1528" s="6"/>
      <c r="FS1528" s="6"/>
      <c r="FT1528" s="6"/>
      <c r="FU1528" s="6"/>
      <c r="FV1528" s="6"/>
      <c r="FW1528" s="6"/>
      <c r="FX1528" s="6"/>
      <c r="FY1528" s="6"/>
      <c r="FZ1528" s="6"/>
      <c r="GA1528" s="6"/>
      <c r="GB1528" s="6"/>
      <c r="GC1528" s="6"/>
      <c r="GD1528" s="6"/>
      <c r="GE1528" s="6"/>
      <c r="GF1528" s="6"/>
      <c r="GG1528" s="6"/>
      <c r="GH1528" s="6"/>
      <c r="GI1528" s="6"/>
      <c r="GJ1528" s="6"/>
      <c r="GK1528" s="6"/>
      <c r="GL1528" s="6"/>
      <c r="GM1528" s="6"/>
      <c r="GN1528" s="6"/>
      <c r="GO1528" s="6"/>
      <c r="GP1528" s="6"/>
      <c r="GQ1528" s="6"/>
      <c r="GR1528" s="6"/>
      <c r="GS1528" s="6"/>
      <c r="GT1528" s="6"/>
      <c r="GU1528" s="6"/>
      <c r="GV1528" s="6"/>
      <c r="GW1528" s="6"/>
      <c r="GX1528" s="6"/>
      <c r="GY1528" s="6"/>
      <c r="GZ1528" s="6"/>
      <c r="HA1528" s="6"/>
      <c r="HB1528" s="6"/>
      <c r="HC1528" s="6"/>
      <c r="HD1528" s="6"/>
      <c r="HE1528" s="6"/>
      <c r="HF1528" s="6"/>
      <c r="HG1528" s="6"/>
      <c r="HH1528" s="6"/>
    </row>
    <row r="1529" spans="1:216" x14ac:dyDescent="0.3">
      <c r="A1529" s="8"/>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6"/>
      <c r="AR1529" s="6"/>
      <c r="AS1529" s="6"/>
      <c r="AT1529" s="6"/>
      <c r="AU1529" s="6"/>
      <c r="AV1529" s="6"/>
      <c r="AW1529" s="6"/>
      <c r="AX1529" s="6"/>
      <c r="AY1529" s="6"/>
      <c r="AZ1529" s="6"/>
      <c r="BA1529" s="6"/>
      <c r="BB1529" s="6"/>
      <c r="BC1529" s="6"/>
      <c r="BD1529" s="6"/>
      <c r="BE1529" s="6"/>
      <c r="BF1529" s="6"/>
      <c r="BG1529" s="6"/>
      <c r="BH1529" s="6"/>
      <c r="BI1529" s="6"/>
      <c r="BJ1529" s="6"/>
      <c r="BK1529" s="6"/>
      <c r="BL1529" s="6"/>
      <c r="BM1529" s="6"/>
      <c r="BN1529" s="6"/>
      <c r="BO1529" s="6"/>
      <c r="BP1529" s="6"/>
      <c r="BQ1529" s="6"/>
      <c r="BR1529" s="6"/>
      <c r="BS1529" s="6"/>
      <c r="BT1529" s="6"/>
      <c r="BU1529" s="6"/>
      <c r="BV1529" s="6"/>
      <c r="BW1529" s="6"/>
      <c r="BX1529" s="6"/>
      <c r="BY1529" s="6"/>
      <c r="BZ1529" s="6"/>
      <c r="CA1529" s="6"/>
      <c r="CB1529" s="6"/>
      <c r="CC1529" s="6"/>
      <c r="CD1529" s="6"/>
      <c r="CE1529" s="6"/>
      <c r="CF1529" s="6"/>
      <c r="CG1529" s="6"/>
      <c r="CH1529" s="6"/>
      <c r="CI1529" s="6"/>
      <c r="CJ1529" s="6"/>
      <c r="CK1529" s="6"/>
      <c r="CL1529" s="6"/>
      <c r="CM1529" s="6"/>
      <c r="CN1529" s="6"/>
      <c r="CO1529" s="6"/>
      <c r="CP1529" s="6"/>
      <c r="CQ1529" s="6"/>
      <c r="CR1529" s="6"/>
      <c r="CS1529" s="6"/>
      <c r="CT1529" s="6"/>
      <c r="CU1529" s="6"/>
      <c r="CV1529" s="6"/>
      <c r="CW1529" s="6"/>
      <c r="CX1529" s="6"/>
      <c r="CY1529" s="6"/>
      <c r="CZ1529" s="6"/>
      <c r="DA1529" s="6"/>
      <c r="DB1529" s="6"/>
      <c r="DC1529" s="6"/>
      <c r="DD1529" s="6"/>
      <c r="DE1529" s="6"/>
      <c r="DF1529" s="6"/>
      <c r="DG1529" s="6"/>
      <c r="DH1529" s="6"/>
      <c r="DI1529" s="6"/>
      <c r="DJ1529" s="6"/>
      <c r="DK1529" s="6"/>
      <c r="DL1529" s="6"/>
      <c r="DM1529" s="6"/>
      <c r="DN1529" s="6"/>
      <c r="DO1529" s="6"/>
      <c r="DP1529" s="6"/>
      <c r="DQ1529" s="6"/>
      <c r="DR1529" s="6"/>
      <c r="DS1529" s="6"/>
      <c r="DT1529" s="6"/>
      <c r="DU1529" s="6"/>
      <c r="DV1529" s="6"/>
      <c r="DW1529" s="6"/>
      <c r="DX1529" s="6"/>
      <c r="DY1529" s="6"/>
      <c r="DZ1529" s="6"/>
      <c r="EA1529" s="6"/>
      <c r="EB1529" s="6"/>
      <c r="EC1529" s="6"/>
      <c r="ED1529" s="6"/>
      <c r="EE1529" s="6"/>
      <c r="EF1529" s="6"/>
      <c r="EG1529" s="6"/>
      <c r="EH1529" s="6"/>
      <c r="EI1529" s="6"/>
      <c r="EJ1529" s="6"/>
      <c r="EK1529" s="6"/>
      <c r="EL1529" s="6"/>
      <c r="EM1529" s="6"/>
      <c r="EN1529" s="6"/>
      <c r="EO1529" s="6"/>
      <c r="EP1529" s="6"/>
      <c r="EQ1529" s="6"/>
      <c r="ER1529" s="6"/>
      <c r="ES1529" s="6"/>
      <c r="ET1529" s="6"/>
      <c r="EU1529" s="6"/>
      <c r="EV1529" s="6"/>
      <c r="EW1529" s="6"/>
      <c r="EX1529" s="6"/>
      <c r="EY1529" s="6"/>
      <c r="EZ1529" s="6"/>
      <c r="FA1529" s="6"/>
      <c r="FB1529" s="6"/>
      <c r="FC1529" s="6"/>
      <c r="FD1529" s="6"/>
      <c r="FE1529" s="6"/>
      <c r="FF1529" s="6"/>
      <c r="FG1529" s="6"/>
      <c r="FH1529" s="6"/>
      <c r="FI1529" s="6"/>
      <c r="FJ1529" s="6"/>
      <c r="FK1529" s="6"/>
      <c r="FL1529" s="6"/>
      <c r="FM1529" s="6"/>
      <c r="FN1529" s="6"/>
      <c r="FO1529" s="6"/>
      <c r="FP1529" s="6"/>
      <c r="FQ1529" s="6"/>
      <c r="FR1529" s="6"/>
      <c r="FS1529" s="6"/>
      <c r="FT1529" s="6"/>
      <c r="FU1529" s="6"/>
      <c r="FV1529" s="6"/>
      <c r="FW1529" s="6"/>
      <c r="FX1529" s="6"/>
      <c r="FY1529" s="6"/>
      <c r="FZ1529" s="6"/>
      <c r="GA1529" s="6"/>
      <c r="GB1529" s="6"/>
      <c r="GC1529" s="6"/>
      <c r="GD1529" s="6"/>
      <c r="GE1529" s="6"/>
      <c r="GF1529" s="6"/>
      <c r="GG1529" s="6"/>
      <c r="GH1529" s="6"/>
      <c r="GI1529" s="6"/>
      <c r="GJ1529" s="6"/>
      <c r="GK1529" s="6"/>
      <c r="GL1529" s="6"/>
      <c r="GM1529" s="6"/>
      <c r="GN1529" s="6"/>
      <c r="GO1529" s="6"/>
      <c r="GP1529" s="6"/>
      <c r="GQ1529" s="6"/>
      <c r="GR1529" s="6"/>
      <c r="GS1529" s="6"/>
      <c r="GT1529" s="6"/>
      <c r="GU1529" s="6"/>
      <c r="GV1529" s="6"/>
      <c r="GW1529" s="6"/>
      <c r="GX1529" s="6"/>
      <c r="GY1529" s="6"/>
      <c r="GZ1529" s="6"/>
      <c r="HA1529" s="6"/>
      <c r="HB1529" s="6"/>
      <c r="HC1529" s="6"/>
      <c r="HD1529" s="6"/>
      <c r="HE1529" s="6"/>
      <c r="HF1529" s="6"/>
      <c r="HG1529" s="6"/>
      <c r="HH1529" s="6"/>
    </row>
    <row r="1530" spans="1:216" x14ac:dyDescent="0.3">
      <c r="A1530" s="8"/>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6"/>
      <c r="AR1530" s="6"/>
      <c r="AS1530" s="6"/>
      <c r="AT1530" s="6"/>
      <c r="AU1530" s="6"/>
      <c r="AV1530" s="6"/>
      <c r="AW1530" s="6"/>
      <c r="AX1530" s="6"/>
      <c r="AY1530" s="6"/>
      <c r="AZ1530" s="6"/>
      <c r="BA1530" s="6"/>
      <c r="BB1530" s="6"/>
      <c r="BC1530" s="6"/>
      <c r="BD1530" s="6"/>
      <c r="BE1530" s="6"/>
      <c r="BF1530" s="6"/>
      <c r="BG1530" s="6"/>
      <c r="BH1530" s="6"/>
      <c r="BI1530" s="6"/>
      <c r="BJ1530" s="6"/>
      <c r="BK1530" s="6"/>
      <c r="BL1530" s="6"/>
      <c r="BM1530" s="6"/>
      <c r="BN1530" s="6"/>
      <c r="BO1530" s="6"/>
      <c r="BP1530" s="6"/>
      <c r="BQ1530" s="6"/>
      <c r="BR1530" s="6"/>
      <c r="BS1530" s="6"/>
      <c r="BT1530" s="6"/>
      <c r="BU1530" s="6"/>
      <c r="BV1530" s="6"/>
      <c r="BW1530" s="6"/>
      <c r="BX1530" s="6"/>
      <c r="BY1530" s="6"/>
      <c r="BZ1530" s="6"/>
      <c r="CA1530" s="6"/>
      <c r="CB1530" s="6"/>
      <c r="CC1530" s="6"/>
      <c r="CD1530" s="6"/>
      <c r="CE1530" s="6"/>
      <c r="CF1530" s="6"/>
      <c r="CG1530" s="6"/>
      <c r="CH1530" s="6"/>
      <c r="CI1530" s="6"/>
      <c r="CJ1530" s="6"/>
      <c r="CK1530" s="6"/>
      <c r="CL1530" s="6"/>
      <c r="CM1530" s="6"/>
      <c r="CN1530" s="6"/>
      <c r="CO1530" s="6"/>
      <c r="CP1530" s="6"/>
      <c r="CQ1530" s="6"/>
      <c r="CR1530" s="6"/>
      <c r="CS1530" s="6"/>
      <c r="CT1530" s="6"/>
      <c r="CU1530" s="6"/>
      <c r="CV1530" s="6"/>
      <c r="CW1530" s="6"/>
      <c r="CX1530" s="6"/>
      <c r="CY1530" s="6"/>
      <c r="CZ1530" s="6"/>
      <c r="DA1530" s="6"/>
      <c r="DB1530" s="6"/>
      <c r="DC1530" s="6"/>
      <c r="DD1530" s="6"/>
      <c r="DE1530" s="6"/>
      <c r="DF1530" s="6"/>
      <c r="DG1530" s="6"/>
      <c r="DH1530" s="6"/>
      <c r="DI1530" s="6"/>
      <c r="DJ1530" s="6"/>
      <c r="DK1530" s="6"/>
      <c r="DL1530" s="6"/>
      <c r="DM1530" s="6"/>
      <c r="DN1530" s="6"/>
      <c r="DO1530" s="6"/>
      <c r="DP1530" s="6"/>
      <c r="DQ1530" s="6"/>
      <c r="DR1530" s="6"/>
      <c r="DS1530" s="6"/>
      <c r="DT1530" s="6"/>
      <c r="DU1530" s="6"/>
      <c r="DV1530" s="6"/>
      <c r="DW1530" s="6"/>
      <c r="DX1530" s="6"/>
      <c r="DY1530" s="6"/>
      <c r="DZ1530" s="6"/>
      <c r="EA1530" s="6"/>
      <c r="EB1530" s="6"/>
      <c r="EC1530" s="6"/>
      <c r="ED1530" s="6"/>
      <c r="EE1530" s="6"/>
      <c r="EF1530" s="6"/>
      <c r="EG1530" s="6"/>
      <c r="EH1530" s="6"/>
      <c r="EI1530" s="6"/>
      <c r="EJ1530" s="6"/>
      <c r="EK1530" s="6"/>
      <c r="EL1530" s="6"/>
      <c r="EM1530" s="6"/>
      <c r="EN1530" s="6"/>
      <c r="EO1530" s="6"/>
      <c r="EP1530" s="6"/>
      <c r="EQ1530" s="6"/>
      <c r="ER1530" s="6"/>
      <c r="ES1530" s="6"/>
      <c r="ET1530" s="6"/>
      <c r="EU1530" s="6"/>
      <c r="EV1530" s="6"/>
      <c r="EW1530" s="6"/>
      <c r="EX1530" s="6"/>
      <c r="EY1530" s="6"/>
      <c r="EZ1530" s="6"/>
      <c r="FA1530" s="6"/>
      <c r="FB1530" s="6"/>
      <c r="FC1530" s="6"/>
      <c r="FD1530" s="6"/>
      <c r="FE1530" s="6"/>
      <c r="FF1530" s="6"/>
      <c r="FG1530" s="6"/>
      <c r="FH1530" s="6"/>
      <c r="FI1530" s="6"/>
      <c r="FJ1530" s="6"/>
      <c r="FK1530" s="6"/>
      <c r="FL1530" s="6"/>
      <c r="FM1530" s="6"/>
      <c r="FN1530" s="6"/>
      <c r="FO1530" s="6"/>
      <c r="FP1530" s="6"/>
      <c r="FQ1530" s="6"/>
      <c r="FR1530" s="6"/>
      <c r="FS1530" s="6"/>
      <c r="FT1530" s="6"/>
      <c r="FU1530" s="6"/>
      <c r="FV1530" s="6"/>
      <c r="FW1530" s="6"/>
      <c r="FX1530" s="6"/>
      <c r="FY1530" s="6"/>
      <c r="FZ1530" s="6"/>
      <c r="GA1530" s="6"/>
      <c r="GB1530" s="6"/>
      <c r="GC1530" s="6"/>
      <c r="GD1530" s="6"/>
      <c r="GE1530" s="6"/>
      <c r="GF1530" s="6"/>
      <c r="GG1530" s="6"/>
      <c r="GH1530" s="6"/>
      <c r="GI1530" s="6"/>
      <c r="GJ1530" s="6"/>
      <c r="GK1530" s="6"/>
      <c r="GL1530" s="6"/>
      <c r="GM1530" s="6"/>
      <c r="GN1530" s="6"/>
      <c r="GO1530" s="6"/>
      <c r="GP1530" s="6"/>
      <c r="GQ1530" s="6"/>
      <c r="GR1530" s="6"/>
      <c r="GS1530" s="6"/>
      <c r="GT1530" s="6"/>
      <c r="GU1530" s="6"/>
      <c r="GV1530" s="6"/>
      <c r="GW1530" s="6"/>
      <c r="GX1530" s="6"/>
      <c r="GY1530" s="6"/>
      <c r="GZ1530" s="6"/>
      <c r="HA1530" s="6"/>
      <c r="HB1530" s="6"/>
      <c r="HC1530" s="6"/>
      <c r="HD1530" s="6"/>
      <c r="HE1530" s="6"/>
      <c r="HF1530" s="6"/>
      <c r="HG1530" s="6"/>
      <c r="HH1530" s="6"/>
    </row>
    <row r="1531" spans="1:216" x14ac:dyDescent="0.3">
      <c r="A1531" s="8"/>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6"/>
      <c r="AR1531" s="6"/>
      <c r="AS1531" s="6"/>
      <c r="AT1531" s="6"/>
      <c r="AU1531" s="6"/>
      <c r="AV1531" s="6"/>
      <c r="AW1531" s="6"/>
      <c r="AX1531" s="6"/>
      <c r="AY1531" s="6"/>
      <c r="AZ1531" s="6"/>
      <c r="BA1531" s="6"/>
      <c r="BB1531" s="6"/>
      <c r="BC1531" s="6"/>
      <c r="BD1531" s="6"/>
      <c r="BE1531" s="6"/>
      <c r="BF1531" s="6"/>
      <c r="BG1531" s="6"/>
      <c r="BH1531" s="6"/>
      <c r="BI1531" s="6"/>
      <c r="BJ1531" s="6"/>
      <c r="BK1531" s="6"/>
      <c r="BL1531" s="6"/>
      <c r="BM1531" s="6"/>
      <c r="BN1531" s="6"/>
      <c r="BO1531" s="6"/>
      <c r="BP1531" s="6"/>
      <c r="BQ1531" s="6"/>
      <c r="BR1531" s="6"/>
      <c r="BS1531" s="6"/>
      <c r="BT1531" s="6"/>
      <c r="BU1531" s="6"/>
      <c r="BV1531" s="6"/>
      <c r="BW1531" s="6"/>
      <c r="BX1531" s="6"/>
      <c r="BY1531" s="6"/>
      <c r="BZ1531" s="6"/>
      <c r="CA1531" s="6"/>
      <c r="CB1531" s="6"/>
      <c r="CC1531" s="6"/>
      <c r="CD1531" s="6"/>
      <c r="CE1531" s="6"/>
      <c r="CF1531" s="6"/>
      <c r="CG1531" s="6"/>
      <c r="CH1531" s="6"/>
      <c r="CI1531" s="6"/>
      <c r="CJ1531" s="6"/>
      <c r="CK1531" s="6"/>
      <c r="CL1531" s="6"/>
      <c r="CM1531" s="6"/>
      <c r="CN1531" s="6"/>
      <c r="CO1531" s="6"/>
      <c r="CP1531" s="6"/>
      <c r="CQ1531" s="6"/>
      <c r="CR1531" s="6"/>
      <c r="CS1531" s="6"/>
      <c r="CT1531" s="6"/>
      <c r="CU1531" s="6"/>
      <c r="CV1531" s="6"/>
      <c r="CW1531" s="6"/>
      <c r="CX1531" s="6"/>
      <c r="CY1531" s="6"/>
      <c r="CZ1531" s="6"/>
      <c r="DA1531" s="6"/>
      <c r="DB1531" s="6"/>
      <c r="DC1531" s="6"/>
      <c r="DD1531" s="6"/>
      <c r="DE1531" s="6"/>
      <c r="DF1531" s="6"/>
      <c r="DG1531" s="6"/>
      <c r="DH1531" s="6"/>
      <c r="DI1531" s="6"/>
      <c r="DJ1531" s="6"/>
      <c r="DK1531" s="6"/>
      <c r="DL1531" s="6"/>
      <c r="DM1531" s="6"/>
      <c r="DN1531" s="6"/>
      <c r="DO1531" s="6"/>
      <c r="DP1531" s="6"/>
      <c r="DQ1531" s="6"/>
      <c r="DR1531" s="6"/>
      <c r="DS1531" s="6"/>
      <c r="DT1531" s="6"/>
      <c r="DU1531" s="6"/>
      <c r="DV1531" s="6"/>
      <c r="DW1531" s="6"/>
      <c r="DX1531" s="6"/>
      <c r="DY1531" s="6"/>
      <c r="DZ1531" s="6"/>
      <c r="EA1531" s="6"/>
      <c r="EB1531" s="6"/>
      <c r="EC1531" s="6"/>
      <c r="ED1531" s="6"/>
      <c r="EE1531" s="6"/>
      <c r="EF1531" s="6"/>
      <c r="EG1531" s="6"/>
      <c r="EH1531" s="6"/>
      <c r="EI1531" s="6"/>
      <c r="EJ1531" s="6"/>
      <c r="EK1531" s="6"/>
      <c r="EL1531" s="6"/>
      <c r="EM1531" s="6"/>
      <c r="EN1531" s="6"/>
      <c r="EO1531" s="6"/>
      <c r="EP1531" s="6"/>
      <c r="EQ1531" s="6"/>
      <c r="ER1531" s="6"/>
      <c r="ES1531" s="6"/>
      <c r="ET1531" s="6"/>
      <c r="EU1531" s="6"/>
      <c r="EV1531" s="6"/>
      <c r="EW1531" s="6"/>
      <c r="EX1531" s="6"/>
      <c r="EY1531" s="6"/>
      <c r="EZ1531" s="6"/>
      <c r="FA1531" s="6"/>
      <c r="FB1531" s="6"/>
      <c r="FC1531" s="6"/>
      <c r="FD1531" s="6"/>
      <c r="FE1531" s="6"/>
      <c r="FF1531" s="6"/>
      <c r="FG1531" s="6"/>
      <c r="FH1531" s="6"/>
      <c r="FI1531" s="6"/>
      <c r="FJ1531" s="6"/>
      <c r="FK1531" s="6"/>
      <c r="FL1531" s="6"/>
      <c r="FM1531" s="6"/>
      <c r="FN1531" s="6"/>
      <c r="FO1531" s="6"/>
      <c r="FP1531" s="6"/>
      <c r="FQ1531" s="6"/>
      <c r="FR1531" s="6"/>
      <c r="FS1531" s="6"/>
      <c r="FT1531" s="6"/>
      <c r="FU1531" s="6"/>
      <c r="FV1531" s="6"/>
      <c r="FW1531" s="6"/>
      <c r="FX1531" s="6"/>
      <c r="FY1531" s="6"/>
      <c r="FZ1531" s="6"/>
      <c r="GA1531" s="6"/>
      <c r="GB1531" s="6"/>
      <c r="GC1531" s="6"/>
      <c r="GD1531" s="6"/>
      <c r="GE1531" s="6"/>
      <c r="GF1531" s="6"/>
      <c r="GG1531" s="6"/>
      <c r="GH1531" s="6"/>
      <c r="GI1531" s="6"/>
      <c r="GJ1531" s="6"/>
      <c r="GK1531" s="6"/>
      <c r="GL1531" s="6"/>
      <c r="GM1531" s="6"/>
      <c r="GN1531" s="6"/>
      <c r="GO1531" s="6"/>
      <c r="GP1531" s="6"/>
      <c r="GQ1531" s="6"/>
      <c r="GR1531" s="6"/>
      <c r="GS1531" s="6"/>
      <c r="GT1531" s="6"/>
      <c r="GU1531" s="6"/>
      <c r="GV1531" s="6"/>
      <c r="GW1531" s="6"/>
      <c r="GX1531" s="6"/>
      <c r="GY1531" s="6"/>
      <c r="GZ1531" s="6"/>
      <c r="HA1531" s="6"/>
      <c r="HB1531" s="6"/>
      <c r="HC1531" s="6"/>
      <c r="HD1531" s="6"/>
      <c r="HE1531" s="6"/>
      <c r="HF1531" s="6"/>
      <c r="HG1531" s="6"/>
      <c r="HH1531" s="6"/>
    </row>
    <row r="1532" spans="1:216" x14ac:dyDescent="0.3">
      <c r="A1532" s="8"/>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6"/>
      <c r="AR1532" s="6"/>
      <c r="AS1532" s="6"/>
      <c r="AT1532" s="6"/>
      <c r="AU1532" s="6"/>
      <c r="AV1532" s="6"/>
      <c r="AW1532" s="6"/>
      <c r="AX1532" s="6"/>
      <c r="AY1532" s="6"/>
      <c r="AZ1532" s="6"/>
      <c r="BA1532" s="6"/>
      <c r="BB1532" s="6"/>
      <c r="BC1532" s="6"/>
      <c r="BD1532" s="6"/>
      <c r="BE1532" s="6"/>
      <c r="BF1532" s="6"/>
      <c r="BG1532" s="6"/>
      <c r="BH1532" s="6"/>
      <c r="BI1532" s="6"/>
      <c r="BJ1532" s="6"/>
      <c r="BK1532" s="6"/>
      <c r="BL1532" s="6"/>
      <c r="BM1532" s="6"/>
      <c r="BN1532" s="6"/>
      <c r="BO1532" s="6"/>
      <c r="BP1532" s="6"/>
      <c r="BQ1532" s="6"/>
      <c r="BR1532" s="6"/>
      <c r="BS1532" s="6"/>
      <c r="BT1532" s="6"/>
      <c r="BU1532" s="6"/>
      <c r="BV1532" s="6"/>
      <c r="BW1532" s="6"/>
      <c r="BX1532" s="6"/>
      <c r="BY1532" s="6"/>
      <c r="BZ1532" s="6"/>
      <c r="CA1532" s="6"/>
      <c r="CB1532" s="6"/>
      <c r="CC1532" s="6"/>
      <c r="CD1532" s="6"/>
      <c r="CE1532" s="6"/>
      <c r="CF1532" s="6"/>
      <c r="CG1532" s="6"/>
      <c r="CH1532" s="6"/>
      <c r="CI1532" s="6"/>
      <c r="CJ1532" s="6"/>
      <c r="CK1532" s="6"/>
      <c r="CL1532" s="6"/>
      <c r="CM1532" s="6"/>
      <c r="CN1532" s="6"/>
      <c r="CO1532" s="6"/>
      <c r="CP1532" s="6"/>
      <c r="CQ1532" s="6"/>
      <c r="CR1532" s="6"/>
      <c r="CS1532" s="6"/>
      <c r="CT1532" s="6"/>
      <c r="CU1532" s="6"/>
      <c r="CV1532" s="6"/>
      <c r="CW1532" s="6"/>
      <c r="CX1532" s="6"/>
      <c r="CY1532" s="6"/>
      <c r="CZ1532" s="6"/>
      <c r="DA1532" s="6"/>
      <c r="DB1532" s="6"/>
      <c r="DC1532" s="6"/>
      <c r="DD1532" s="6"/>
      <c r="DE1532" s="6"/>
      <c r="DF1532" s="6"/>
      <c r="DG1532" s="6"/>
      <c r="DH1532" s="6"/>
      <c r="DI1532" s="6"/>
      <c r="DJ1532" s="6"/>
      <c r="DK1532" s="6"/>
      <c r="DL1532" s="6"/>
      <c r="DM1532" s="6"/>
      <c r="DN1532" s="6"/>
      <c r="DO1532" s="6"/>
      <c r="DP1532" s="6"/>
      <c r="DQ1532" s="6"/>
      <c r="DR1532" s="6"/>
      <c r="DS1532" s="6"/>
      <c r="DT1532" s="6"/>
      <c r="DU1532" s="6"/>
      <c r="DV1532" s="6"/>
      <c r="DW1532" s="6"/>
      <c r="DX1532" s="6"/>
      <c r="DY1532" s="6"/>
      <c r="DZ1532" s="6"/>
      <c r="EA1532" s="6"/>
      <c r="EB1532" s="6"/>
      <c r="EC1532" s="6"/>
      <c r="ED1532" s="6"/>
      <c r="EE1532" s="6"/>
      <c r="EF1532" s="6"/>
      <c r="EG1532" s="6"/>
      <c r="EH1532" s="6"/>
      <c r="EI1532" s="6"/>
      <c r="EJ1532" s="6"/>
      <c r="EK1532" s="6"/>
      <c r="EL1532" s="6"/>
      <c r="EM1532" s="6"/>
      <c r="EN1532" s="6"/>
      <c r="EO1532" s="6"/>
      <c r="EP1532" s="6"/>
      <c r="EQ1532" s="6"/>
      <c r="ER1532" s="6"/>
      <c r="ES1532" s="6"/>
      <c r="ET1532" s="6"/>
      <c r="EU1532" s="6"/>
      <c r="EV1532" s="6"/>
      <c r="EW1532" s="6"/>
      <c r="EX1532" s="6"/>
      <c r="EY1532" s="6"/>
      <c r="EZ1532" s="6"/>
      <c r="FA1532" s="6"/>
      <c r="FB1532" s="6"/>
      <c r="FC1532" s="6"/>
      <c r="FD1532" s="6"/>
      <c r="FE1532" s="6"/>
      <c r="FF1532" s="6"/>
      <c r="FG1532" s="6"/>
      <c r="FH1532" s="6"/>
      <c r="FI1532" s="6"/>
      <c r="FJ1532" s="6"/>
      <c r="FK1532" s="6"/>
      <c r="FL1532" s="6"/>
      <c r="FM1532" s="6"/>
      <c r="FN1532" s="6"/>
      <c r="FO1532" s="6"/>
      <c r="FP1532" s="6"/>
      <c r="FQ1532" s="6"/>
      <c r="FR1532" s="6"/>
      <c r="FS1532" s="6"/>
      <c r="FT1532" s="6"/>
      <c r="FU1532" s="6"/>
      <c r="FV1532" s="6"/>
      <c r="FW1532" s="6"/>
      <c r="FX1532" s="6"/>
      <c r="FY1532" s="6"/>
      <c r="FZ1532" s="6"/>
      <c r="GA1532" s="6"/>
      <c r="GB1532" s="6"/>
      <c r="GC1532" s="6"/>
      <c r="GD1532" s="6"/>
      <c r="GE1532" s="6"/>
      <c r="GF1532" s="6"/>
      <c r="GG1532" s="6"/>
      <c r="GH1532" s="6"/>
      <c r="GI1532" s="6"/>
      <c r="GJ1532" s="6"/>
      <c r="GK1532" s="6"/>
      <c r="GL1532" s="6"/>
      <c r="GM1532" s="6"/>
      <c r="GN1532" s="6"/>
      <c r="GO1532" s="6"/>
      <c r="GP1532" s="6"/>
      <c r="GQ1532" s="6"/>
      <c r="GR1532" s="6"/>
      <c r="GS1532" s="6"/>
      <c r="GT1532" s="6"/>
      <c r="GU1532" s="6"/>
      <c r="GV1532" s="6"/>
      <c r="GW1532" s="6"/>
      <c r="GX1532" s="6"/>
      <c r="GY1532" s="6"/>
      <c r="GZ1532" s="6"/>
      <c r="HA1532" s="6"/>
      <c r="HB1532" s="6"/>
      <c r="HC1532" s="6"/>
      <c r="HD1532" s="6"/>
      <c r="HE1532" s="6"/>
      <c r="HF1532" s="6"/>
      <c r="HG1532" s="6"/>
      <c r="HH1532" s="6"/>
    </row>
    <row r="1533" spans="1:216" x14ac:dyDescent="0.3">
      <c r="A1533" s="8"/>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6"/>
      <c r="AR1533" s="6"/>
      <c r="AS1533" s="6"/>
      <c r="AT1533" s="6"/>
      <c r="AU1533" s="6"/>
      <c r="AV1533" s="6"/>
      <c r="AW1533" s="6"/>
      <c r="AX1533" s="6"/>
      <c r="AY1533" s="6"/>
      <c r="AZ1533" s="6"/>
      <c r="BA1533" s="6"/>
      <c r="BB1533" s="6"/>
      <c r="BC1533" s="6"/>
      <c r="BD1533" s="6"/>
      <c r="BE1533" s="6"/>
      <c r="BF1533" s="6"/>
      <c r="BG1533" s="6"/>
      <c r="BH1533" s="6"/>
      <c r="BI1533" s="6"/>
      <c r="BJ1533" s="6"/>
      <c r="BK1533" s="6"/>
      <c r="BL1533" s="6"/>
      <c r="BM1533" s="6"/>
      <c r="BN1533" s="6"/>
      <c r="BO1533" s="6"/>
      <c r="BP1533" s="6"/>
      <c r="BQ1533" s="6"/>
      <c r="BR1533" s="6"/>
      <c r="BS1533" s="6"/>
      <c r="BT1533" s="6"/>
      <c r="BU1533" s="6"/>
      <c r="BV1533" s="6"/>
      <c r="BW1533" s="6"/>
      <c r="BX1533" s="6"/>
      <c r="BY1533" s="6"/>
      <c r="BZ1533" s="6"/>
      <c r="CA1533" s="6"/>
      <c r="CB1533" s="6"/>
      <c r="CC1533" s="6"/>
      <c r="CD1533" s="6"/>
      <c r="CE1533" s="6"/>
      <c r="CF1533" s="6"/>
      <c r="CG1533" s="6"/>
      <c r="CH1533" s="6"/>
      <c r="CI1533" s="6"/>
      <c r="CJ1533" s="6"/>
      <c r="CK1533" s="6"/>
      <c r="CL1533" s="6"/>
      <c r="CM1533" s="6"/>
      <c r="CN1533" s="6"/>
      <c r="CO1533" s="6"/>
      <c r="CP1533" s="6"/>
      <c r="CQ1533" s="6"/>
      <c r="CR1533" s="6"/>
      <c r="CS1533" s="6"/>
      <c r="CT1533" s="6"/>
      <c r="CU1533" s="6"/>
      <c r="CV1533" s="6"/>
      <c r="CW1533" s="6"/>
      <c r="CX1533" s="6"/>
      <c r="CY1533" s="6"/>
      <c r="CZ1533" s="6"/>
      <c r="DA1533" s="6"/>
      <c r="DB1533" s="6"/>
      <c r="DC1533" s="6"/>
      <c r="DD1533" s="6"/>
      <c r="DE1533" s="6"/>
      <c r="DF1533" s="6"/>
      <c r="DG1533" s="6"/>
      <c r="DH1533" s="6"/>
      <c r="DI1533" s="6"/>
      <c r="DJ1533" s="6"/>
      <c r="DK1533" s="6"/>
      <c r="DL1533" s="6"/>
      <c r="DM1533" s="6"/>
      <c r="DN1533" s="6"/>
      <c r="DO1533" s="6"/>
      <c r="DP1533" s="6"/>
      <c r="DQ1533" s="6"/>
      <c r="DR1533" s="6"/>
      <c r="DS1533" s="6"/>
      <c r="DT1533" s="6"/>
      <c r="DU1533" s="6"/>
      <c r="DV1533" s="6"/>
      <c r="DW1533" s="6"/>
      <c r="DX1533" s="6"/>
      <c r="DY1533" s="6"/>
      <c r="DZ1533" s="6"/>
      <c r="EA1533" s="6"/>
      <c r="EB1533" s="6"/>
      <c r="EC1533" s="6"/>
      <c r="ED1533" s="6"/>
      <c r="EE1533" s="6"/>
      <c r="EF1533" s="6"/>
      <c r="EG1533" s="6"/>
      <c r="EH1533" s="6"/>
      <c r="EI1533" s="6"/>
      <c r="EJ1533" s="6"/>
      <c r="EK1533" s="6"/>
      <c r="EL1533" s="6"/>
      <c r="EM1533" s="6"/>
      <c r="EN1533" s="6"/>
      <c r="EO1533" s="6"/>
      <c r="EP1533" s="6"/>
      <c r="EQ1533" s="6"/>
      <c r="ER1533" s="6"/>
      <c r="ES1533" s="6"/>
      <c r="ET1533" s="6"/>
      <c r="EU1533" s="6"/>
      <c r="EV1533" s="6"/>
      <c r="EW1533" s="6"/>
      <c r="EX1533" s="6"/>
      <c r="EY1533" s="6"/>
      <c r="EZ1533" s="6"/>
      <c r="FA1533" s="6"/>
      <c r="FB1533" s="6"/>
      <c r="FC1533" s="6"/>
      <c r="FD1533" s="6"/>
      <c r="FE1533" s="6"/>
      <c r="FF1533" s="6"/>
      <c r="FG1533" s="6"/>
      <c r="FH1533" s="6"/>
      <c r="FI1533" s="6"/>
      <c r="FJ1533" s="6"/>
      <c r="FK1533" s="6"/>
      <c r="FL1533" s="6"/>
      <c r="FM1533" s="6"/>
      <c r="FN1533" s="6"/>
      <c r="FO1533" s="6"/>
      <c r="FP1533" s="6"/>
      <c r="FQ1533" s="6"/>
      <c r="FR1533" s="6"/>
      <c r="FS1533" s="6"/>
      <c r="FT1533" s="6"/>
      <c r="FU1533" s="6"/>
      <c r="FV1533" s="6"/>
      <c r="FW1533" s="6"/>
      <c r="FX1533" s="6"/>
      <c r="FY1533" s="6"/>
      <c r="FZ1533" s="6"/>
      <c r="GA1533" s="6"/>
      <c r="GB1533" s="6"/>
      <c r="GC1533" s="6"/>
      <c r="GD1533" s="6"/>
      <c r="GE1533" s="6"/>
      <c r="GF1533" s="6"/>
      <c r="GG1533" s="6"/>
      <c r="GH1533" s="6"/>
      <c r="GI1533" s="6"/>
      <c r="GJ1533" s="6"/>
      <c r="GK1533" s="6"/>
      <c r="GL1533" s="6"/>
      <c r="GM1533" s="6"/>
      <c r="GN1533" s="6"/>
      <c r="GO1533" s="6"/>
      <c r="GP1533" s="6"/>
      <c r="GQ1533" s="6"/>
      <c r="GR1533" s="6"/>
      <c r="GS1533" s="6"/>
      <c r="GT1533" s="6"/>
      <c r="GU1533" s="6"/>
      <c r="GV1533" s="6"/>
      <c r="GW1533" s="6"/>
      <c r="GX1533" s="6"/>
      <c r="GY1533" s="6"/>
      <c r="GZ1533" s="6"/>
      <c r="HA1533" s="6"/>
      <c r="HB1533" s="6"/>
      <c r="HC1533" s="6"/>
      <c r="HD1533" s="6"/>
      <c r="HE1533" s="6"/>
      <c r="HF1533" s="6"/>
      <c r="HG1533" s="6"/>
      <c r="HH1533" s="6"/>
    </row>
    <row r="1534" spans="1:216" x14ac:dyDescent="0.3">
      <c r="A1534" s="8"/>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6"/>
      <c r="AR1534" s="6"/>
      <c r="AS1534" s="6"/>
      <c r="AT1534" s="6"/>
      <c r="AU1534" s="6"/>
      <c r="AV1534" s="6"/>
      <c r="AW1534" s="6"/>
      <c r="AX1534" s="6"/>
      <c r="AY1534" s="6"/>
      <c r="AZ1534" s="6"/>
      <c r="BA1534" s="6"/>
      <c r="BB1534" s="6"/>
      <c r="BC1534" s="6"/>
      <c r="BD1534" s="6"/>
      <c r="BE1534" s="6"/>
      <c r="BF1534" s="6"/>
      <c r="BG1534" s="6"/>
      <c r="BH1534" s="6"/>
      <c r="BI1534" s="6"/>
      <c r="BJ1534" s="6"/>
      <c r="BK1534" s="6"/>
      <c r="BL1534" s="6"/>
      <c r="BM1534" s="6"/>
      <c r="BN1534" s="6"/>
      <c r="BO1534" s="6"/>
      <c r="BP1534" s="6"/>
      <c r="BQ1534" s="6"/>
      <c r="BR1534" s="6"/>
      <c r="BS1534" s="6"/>
      <c r="BT1534" s="6"/>
      <c r="BU1534" s="6"/>
      <c r="BV1534" s="6"/>
      <c r="BW1534" s="6"/>
      <c r="BX1534" s="6"/>
      <c r="BY1534" s="6"/>
      <c r="BZ1534" s="6"/>
      <c r="CA1534" s="6"/>
      <c r="CB1534" s="6"/>
      <c r="CC1534" s="6"/>
      <c r="CD1534" s="6"/>
      <c r="CE1534" s="6"/>
      <c r="CF1534" s="6"/>
      <c r="CG1534" s="6"/>
      <c r="CH1534" s="6"/>
      <c r="CI1534" s="6"/>
      <c r="CJ1534" s="6"/>
      <c r="CK1534" s="6"/>
      <c r="CL1534" s="6"/>
      <c r="CM1534" s="6"/>
      <c r="CN1534" s="6"/>
      <c r="CO1534" s="6"/>
      <c r="CP1534" s="6"/>
      <c r="CQ1534" s="6"/>
      <c r="CR1534" s="6"/>
      <c r="CS1534" s="6"/>
      <c r="CT1534" s="6"/>
      <c r="CU1534" s="6"/>
      <c r="CV1534" s="6"/>
      <c r="CW1534" s="6"/>
      <c r="CX1534" s="6"/>
      <c r="CY1534" s="6"/>
      <c r="CZ1534" s="6"/>
      <c r="DA1534" s="6"/>
      <c r="DB1534" s="6"/>
      <c r="DC1534" s="6"/>
      <c r="DD1534" s="6"/>
      <c r="DE1534" s="6"/>
      <c r="DF1534" s="6"/>
      <c r="DG1534" s="6"/>
      <c r="DH1534" s="6"/>
      <c r="DI1534" s="6"/>
      <c r="DJ1534" s="6"/>
      <c r="DK1534" s="6"/>
      <c r="DL1534" s="6"/>
      <c r="DM1534" s="6"/>
      <c r="DN1534" s="6"/>
      <c r="DO1534" s="6"/>
      <c r="DP1534" s="6"/>
      <c r="DQ1534" s="6"/>
      <c r="DR1534" s="6"/>
      <c r="DS1534" s="6"/>
      <c r="DT1534" s="6"/>
      <c r="DU1534" s="6"/>
      <c r="DV1534" s="6"/>
      <c r="DW1534" s="6"/>
      <c r="DX1534" s="6"/>
      <c r="DY1534" s="6"/>
      <c r="DZ1534" s="6"/>
      <c r="EA1534" s="6"/>
      <c r="EB1534" s="6"/>
      <c r="EC1534" s="6"/>
      <c r="ED1534" s="6"/>
      <c r="EE1534" s="6"/>
      <c r="EF1534" s="6"/>
      <c r="EG1534" s="6"/>
      <c r="EH1534" s="6"/>
      <c r="EI1534" s="6"/>
      <c r="EJ1534" s="6"/>
      <c r="EK1534" s="6"/>
      <c r="EL1534" s="6"/>
      <c r="EM1534" s="6"/>
      <c r="EN1534" s="6"/>
      <c r="EO1534" s="6"/>
      <c r="EP1534" s="6"/>
      <c r="EQ1534" s="6"/>
      <c r="ER1534" s="6"/>
      <c r="ES1534" s="6"/>
      <c r="ET1534" s="6"/>
      <c r="EU1534" s="6"/>
      <c r="EV1534" s="6"/>
      <c r="EW1534" s="6"/>
      <c r="EX1534" s="6"/>
      <c r="EY1534" s="6"/>
      <c r="EZ1534" s="6"/>
      <c r="FA1534" s="6"/>
      <c r="FB1534" s="6"/>
      <c r="FC1534" s="6"/>
      <c r="FD1534" s="6"/>
      <c r="FE1534" s="6"/>
      <c r="FF1534" s="6"/>
      <c r="FG1534" s="6"/>
      <c r="FH1534" s="6"/>
      <c r="FI1534" s="6"/>
      <c r="FJ1534" s="6"/>
      <c r="FK1534" s="6"/>
      <c r="FL1534" s="6"/>
      <c r="FM1534" s="6"/>
      <c r="FN1534" s="6"/>
      <c r="FO1534" s="6"/>
      <c r="FP1534" s="6"/>
      <c r="FQ1534" s="6"/>
      <c r="FR1534" s="6"/>
      <c r="FS1534" s="6"/>
      <c r="FT1534" s="6"/>
      <c r="FU1534" s="6"/>
      <c r="FV1534" s="6"/>
      <c r="FW1534" s="6"/>
      <c r="FX1534" s="6"/>
      <c r="FY1534" s="6"/>
      <c r="FZ1534" s="6"/>
      <c r="GA1534" s="6"/>
      <c r="GB1534" s="6"/>
      <c r="GC1534" s="6"/>
      <c r="GD1534" s="6"/>
      <c r="GE1534" s="6"/>
      <c r="GF1534" s="6"/>
      <c r="GG1534" s="6"/>
      <c r="GH1534" s="6"/>
      <c r="GI1534" s="6"/>
      <c r="GJ1534" s="6"/>
      <c r="GK1534" s="6"/>
      <c r="GL1534" s="6"/>
      <c r="GM1534" s="6"/>
      <c r="GN1534" s="6"/>
      <c r="GO1534" s="6"/>
      <c r="GP1534" s="6"/>
      <c r="GQ1534" s="6"/>
      <c r="GR1534" s="6"/>
      <c r="GS1534" s="6"/>
      <c r="GT1534" s="6"/>
      <c r="GU1534" s="6"/>
      <c r="GV1534" s="6"/>
      <c r="GW1534" s="6"/>
      <c r="GX1534" s="6"/>
      <c r="GY1534" s="6"/>
      <c r="GZ1534" s="6"/>
      <c r="HA1534" s="6"/>
      <c r="HB1534" s="6"/>
      <c r="HC1534" s="6"/>
      <c r="HD1534" s="6"/>
      <c r="HE1534" s="6"/>
      <c r="HF1534" s="6"/>
      <c r="HG1534" s="6"/>
      <c r="HH1534" s="6"/>
    </row>
    <row r="1535" spans="1:216" x14ac:dyDescent="0.3">
      <c r="A1535" s="8"/>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6"/>
      <c r="AR1535" s="6"/>
      <c r="AS1535" s="6"/>
      <c r="AT1535" s="6"/>
      <c r="AU1535" s="6"/>
      <c r="AV1535" s="6"/>
      <c r="AW1535" s="6"/>
      <c r="AX1535" s="6"/>
      <c r="AY1535" s="6"/>
      <c r="AZ1535" s="6"/>
      <c r="BA1535" s="6"/>
      <c r="BB1535" s="6"/>
      <c r="BC1535" s="6"/>
      <c r="BD1535" s="6"/>
      <c r="BE1535" s="6"/>
      <c r="BF1535" s="6"/>
      <c r="BG1535" s="6"/>
      <c r="BH1535" s="6"/>
      <c r="BI1535" s="6"/>
      <c r="BJ1535" s="6"/>
      <c r="BK1535" s="6"/>
      <c r="BL1535" s="6"/>
      <c r="BM1535" s="6"/>
      <c r="BN1535" s="6"/>
      <c r="BO1535" s="6"/>
      <c r="BP1535" s="6"/>
      <c r="BQ1535" s="6"/>
      <c r="BR1535" s="6"/>
      <c r="BS1535" s="6"/>
      <c r="BT1535" s="6"/>
      <c r="BU1535" s="6"/>
      <c r="BV1535" s="6"/>
      <c r="BW1535" s="6"/>
      <c r="BX1535" s="6"/>
      <c r="BY1535" s="6"/>
      <c r="BZ1535" s="6"/>
      <c r="CA1535" s="6"/>
      <c r="CB1535" s="6"/>
      <c r="CC1535" s="6"/>
      <c r="CD1535" s="6"/>
      <c r="CE1535" s="6"/>
      <c r="CF1535" s="6"/>
      <c r="CG1535" s="6"/>
      <c r="CH1535" s="6"/>
      <c r="CI1535" s="6"/>
      <c r="CJ1535" s="6"/>
      <c r="CK1535" s="6"/>
      <c r="CL1535" s="6"/>
      <c r="CM1535" s="6"/>
      <c r="CN1535" s="6"/>
      <c r="CO1535" s="6"/>
      <c r="CP1535" s="6"/>
      <c r="CQ1535" s="6"/>
      <c r="CR1535" s="6"/>
      <c r="CS1535" s="6"/>
      <c r="CT1535" s="6"/>
      <c r="CU1535" s="6"/>
      <c r="CV1535" s="6"/>
      <c r="CW1535" s="6"/>
      <c r="CX1535" s="6"/>
      <c r="CY1535" s="6"/>
      <c r="CZ1535" s="6"/>
      <c r="DA1535" s="6"/>
      <c r="DB1535" s="6"/>
      <c r="DC1535" s="6"/>
      <c r="DD1535" s="6"/>
      <c r="DE1535" s="6"/>
      <c r="DF1535" s="6"/>
      <c r="DG1535" s="6"/>
      <c r="DH1535" s="6"/>
      <c r="DI1535" s="6"/>
      <c r="DJ1535" s="6"/>
      <c r="DK1535" s="6"/>
      <c r="DL1535" s="6"/>
      <c r="DM1535" s="6"/>
      <c r="DN1535" s="6"/>
      <c r="DO1535" s="6"/>
      <c r="DP1535" s="6"/>
      <c r="DQ1535" s="6"/>
      <c r="DR1535" s="6"/>
      <c r="DS1535" s="6"/>
      <c r="DT1535" s="6"/>
      <c r="DU1535" s="6"/>
      <c r="DV1535" s="6"/>
      <c r="DW1535" s="6"/>
      <c r="DX1535" s="6"/>
      <c r="DY1535" s="6"/>
      <c r="DZ1535" s="6"/>
      <c r="EA1535" s="6"/>
      <c r="EB1535" s="6"/>
      <c r="EC1535" s="6"/>
      <c r="ED1535" s="6"/>
      <c r="EE1535" s="6"/>
      <c r="EF1535" s="6"/>
      <c r="EG1535" s="6"/>
      <c r="EH1535" s="6"/>
      <c r="EI1535" s="6"/>
      <c r="EJ1535" s="6"/>
      <c r="EK1535" s="6"/>
      <c r="EL1535" s="6"/>
      <c r="EM1535" s="6"/>
      <c r="EN1535" s="6"/>
      <c r="EO1535" s="6"/>
      <c r="EP1535" s="6"/>
      <c r="EQ1535" s="6"/>
      <c r="ER1535" s="6"/>
      <c r="ES1535" s="6"/>
      <c r="ET1535" s="6"/>
      <c r="EU1535" s="6"/>
      <c r="EV1535" s="6"/>
      <c r="EW1535" s="6"/>
      <c r="EX1535" s="6"/>
      <c r="EY1535" s="6"/>
      <c r="EZ1535" s="6"/>
      <c r="FA1535" s="6"/>
      <c r="FB1535" s="6"/>
      <c r="FC1535" s="6"/>
      <c r="FD1535" s="6"/>
      <c r="FE1535" s="6"/>
      <c r="FF1535" s="6"/>
      <c r="FG1535" s="6"/>
      <c r="FH1535" s="6"/>
      <c r="FI1535" s="6"/>
      <c r="FJ1535" s="6"/>
      <c r="FK1535" s="6"/>
      <c r="FL1535" s="6"/>
      <c r="FM1535" s="6"/>
      <c r="FN1535" s="6"/>
      <c r="FO1535" s="6"/>
      <c r="FP1535" s="6"/>
      <c r="FQ1535" s="6"/>
      <c r="FR1535" s="6"/>
      <c r="FS1535" s="6"/>
      <c r="FT1535" s="6"/>
      <c r="FU1535" s="6"/>
      <c r="FV1535" s="6"/>
      <c r="FW1535" s="6"/>
      <c r="FX1535" s="6"/>
      <c r="FY1535" s="6"/>
      <c r="FZ1535" s="6"/>
      <c r="GA1535" s="6"/>
      <c r="GB1535" s="6"/>
      <c r="GC1535" s="6"/>
      <c r="GD1535" s="6"/>
      <c r="GE1535" s="6"/>
      <c r="GF1535" s="6"/>
      <c r="GG1535" s="6"/>
      <c r="GH1535" s="6"/>
      <c r="GI1535" s="6"/>
      <c r="GJ1535" s="6"/>
      <c r="GK1535" s="6"/>
      <c r="GL1535" s="6"/>
      <c r="GM1535" s="6"/>
      <c r="GN1535" s="6"/>
      <c r="GO1535" s="6"/>
      <c r="GP1535" s="6"/>
      <c r="GQ1535" s="6"/>
      <c r="GR1535" s="6"/>
      <c r="GS1535" s="6"/>
      <c r="GT1535" s="6"/>
      <c r="GU1535" s="6"/>
      <c r="GV1535" s="6"/>
      <c r="GW1535" s="6"/>
      <c r="GX1535" s="6"/>
      <c r="GY1535" s="6"/>
      <c r="GZ1535" s="6"/>
      <c r="HA1535" s="6"/>
      <c r="HB1535" s="6"/>
      <c r="HC1535" s="6"/>
      <c r="HD1535" s="6"/>
      <c r="HE1535" s="6"/>
      <c r="HF1535" s="6"/>
      <c r="HG1535" s="6"/>
      <c r="HH1535" s="6"/>
    </row>
    <row r="1536" spans="1:216" x14ac:dyDescent="0.3">
      <c r="A1536" s="8"/>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6"/>
      <c r="AR1536" s="6"/>
      <c r="AS1536" s="6"/>
      <c r="AT1536" s="6"/>
      <c r="AU1536" s="6"/>
      <c r="AV1536" s="6"/>
      <c r="AW1536" s="6"/>
      <c r="AX1536" s="6"/>
      <c r="AY1536" s="6"/>
      <c r="AZ1536" s="6"/>
      <c r="BA1536" s="6"/>
      <c r="BB1536" s="6"/>
      <c r="BC1536" s="6"/>
      <c r="BD1536" s="6"/>
      <c r="BE1536" s="6"/>
      <c r="BF1536" s="6"/>
      <c r="BG1536" s="6"/>
      <c r="BH1536" s="6"/>
      <c r="BI1536" s="6"/>
      <c r="BJ1536" s="6"/>
      <c r="BK1536" s="6"/>
      <c r="BL1536" s="6"/>
      <c r="BM1536" s="6"/>
      <c r="BN1536" s="6"/>
      <c r="BO1536" s="6"/>
      <c r="BP1536" s="6"/>
      <c r="BQ1536" s="6"/>
      <c r="BR1536" s="6"/>
      <c r="BS1536" s="6"/>
      <c r="BT1536" s="6"/>
      <c r="BU1536" s="6"/>
      <c r="BV1536" s="6"/>
      <c r="BW1536" s="6"/>
      <c r="BX1536" s="6"/>
      <c r="BY1536" s="6"/>
      <c r="BZ1536" s="6"/>
      <c r="CA1536" s="6"/>
      <c r="CB1536" s="6"/>
      <c r="CC1536" s="6"/>
      <c r="CD1536" s="6"/>
      <c r="CE1536" s="6"/>
      <c r="CF1536" s="6"/>
      <c r="CG1536" s="6"/>
      <c r="CH1536" s="6"/>
      <c r="CI1536" s="6"/>
      <c r="CJ1536" s="6"/>
      <c r="CK1536" s="6"/>
      <c r="CL1536" s="6"/>
      <c r="CM1536" s="6"/>
      <c r="CN1536" s="6"/>
      <c r="CO1536" s="6"/>
      <c r="CP1536" s="6"/>
      <c r="CQ1536" s="6"/>
      <c r="CR1536" s="6"/>
      <c r="CS1536" s="6"/>
      <c r="CT1536" s="6"/>
      <c r="CU1536" s="6"/>
      <c r="CV1536" s="6"/>
      <c r="CW1536" s="6"/>
      <c r="CX1536" s="6"/>
      <c r="CY1536" s="6"/>
      <c r="CZ1536" s="6"/>
      <c r="DA1536" s="6"/>
      <c r="DB1536" s="6"/>
      <c r="DC1536" s="6"/>
      <c r="DD1536" s="6"/>
      <c r="DE1536" s="6"/>
      <c r="DF1536" s="6"/>
      <c r="DG1536" s="6"/>
      <c r="DH1536" s="6"/>
      <c r="DI1536" s="6"/>
      <c r="DJ1536" s="6"/>
      <c r="DK1536" s="6"/>
      <c r="DL1536" s="6"/>
      <c r="DM1536" s="6"/>
      <c r="DN1536" s="6"/>
      <c r="DO1536" s="6"/>
      <c r="DP1536" s="6"/>
      <c r="DQ1536" s="6"/>
      <c r="DR1536" s="6"/>
      <c r="DS1536" s="6"/>
      <c r="DT1536" s="6"/>
      <c r="DU1536" s="6"/>
      <c r="DV1536" s="6"/>
      <c r="DW1536" s="6"/>
      <c r="DX1536" s="6"/>
      <c r="DY1536" s="6"/>
      <c r="DZ1536" s="6"/>
      <c r="EA1536" s="6"/>
      <c r="EB1536" s="6"/>
      <c r="EC1536" s="6"/>
      <c r="ED1536" s="6"/>
      <c r="EE1536" s="6"/>
      <c r="EF1536" s="6"/>
      <c r="EG1536" s="6"/>
      <c r="EH1536" s="6"/>
      <c r="EI1536" s="6"/>
      <c r="EJ1536" s="6"/>
      <c r="EK1536" s="6"/>
      <c r="EL1536" s="6"/>
      <c r="EM1536" s="6"/>
      <c r="EN1536" s="6"/>
      <c r="EO1536" s="6"/>
      <c r="EP1536" s="6"/>
      <c r="EQ1536" s="6"/>
      <c r="ER1536" s="6"/>
      <c r="ES1536" s="6"/>
      <c r="ET1536" s="6"/>
      <c r="EU1536" s="6"/>
      <c r="EV1536" s="6"/>
      <c r="EW1536" s="6"/>
      <c r="EX1536" s="6"/>
      <c r="EY1536" s="6"/>
      <c r="EZ1536" s="6"/>
      <c r="FA1536" s="6"/>
      <c r="FB1536" s="6"/>
      <c r="FC1536" s="6"/>
      <c r="FD1536" s="6"/>
      <c r="FE1536" s="6"/>
      <c r="FF1536" s="6"/>
      <c r="FG1536" s="6"/>
      <c r="FH1536" s="6"/>
      <c r="FI1536" s="6"/>
      <c r="FJ1536" s="6"/>
      <c r="FK1536" s="6"/>
      <c r="FL1536" s="6"/>
      <c r="FM1536" s="6"/>
      <c r="FN1536" s="6"/>
      <c r="FO1536" s="6"/>
      <c r="FP1536" s="6"/>
      <c r="FQ1536" s="6"/>
      <c r="FR1536" s="6"/>
      <c r="FS1536" s="6"/>
      <c r="FT1536" s="6"/>
      <c r="FU1536" s="6"/>
      <c r="FV1536" s="6"/>
      <c r="FW1536" s="6"/>
      <c r="FX1536" s="6"/>
      <c r="FY1536" s="6"/>
      <c r="FZ1536" s="6"/>
      <c r="GA1536" s="6"/>
      <c r="GB1536" s="6"/>
      <c r="GC1536" s="6"/>
      <c r="GD1536" s="6"/>
      <c r="GE1536" s="6"/>
      <c r="GF1536" s="6"/>
      <c r="GG1536" s="6"/>
      <c r="GH1536" s="6"/>
      <c r="GI1536" s="6"/>
      <c r="GJ1536" s="6"/>
      <c r="GK1536" s="6"/>
      <c r="GL1536" s="6"/>
      <c r="GM1536" s="6"/>
      <c r="GN1536" s="6"/>
      <c r="GO1536" s="6"/>
      <c r="GP1536" s="6"/>
      <c r="GQ1536" s="6"/>
      <c r="GR1536" s="6"/>
      <c r="GS1536" s="6"/>
      <c r="GT1536" s="6"/>
      <c r="GU1536" s="6"/>
      <c r="GV1536" s="6"/>
      <c r="GW1536" s="6"/>
      <c r="GX1536" s="6"/>
      <c r="GY1536" s="6"/>
      <c r="GZ1536" s="6"/>
      <c r="HA1536" s="6"/>
      <c r="HB1536" s="6"/>
      <c r="HC1536" s="6"/>
      <c r="HD1536" s="6"/>
      <c r="HE1536" s="6"/>
      <c r="HF1536" s="6"/>
      <c r="HG1536" s="6"/>
      <c r="HH1536" s="6"/>
    </row>
    <row r="1537" spans="1:216" x14ac:dyDescent="0.3">
      <c r="A1537" s="8"/>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6"/>
      <c r="AR1537" s="6"/>
      <c r="AS1537" s="6"/>
      <c r="AT1537" s="6"/>
      <c r="AU1537" s="6"/>
      <c r="AV1537" s="6"/>
      <c r="AW1537" s="6"/>
      <c r="AX1537" s="6"/>
      <c r="AY1537" s="6"/>
      <c r="AZ1537" s="6"/>
      <c r="BA1537" s="6"/>
      <c r="BB1537" s="6"/>
      <c r="BC1537" s="6"/>
      <c r="BD1537" s="6"/>
      <c r="BE1537" s="6"/>
      <c r="BF1537" s="6"/>
      <c r="BG1537" s="6"/>
      <c r="BH1537" s="6"/>
      <c r="BI1537" s="6"/>
      <c r="BJ1537" s="6"/>
      <c r="BK1537" s="6"/>
      <c r="BL1537" s="6"/>
      <c r="BM1537" s="6"/>
      <c r="BN1537" s="6"/>
      <c r="BO1537" s="6"/>
      <c r="BP1537" s="6"/>
      <c r="BQ1537" s="6"/>
      <c r="BR1537" s="6"/>
      <c r="BS1537" s="6"/>
      <c r="BT1537" s="6"/>
      <c r="BU1537" s="6"/>
      <c r="BV1537" s="6"/>
      <c r="BW1537" s="6"/>
      <c r="BX1537" s="6"/>
      <c r="BY1537" s="6"/>
      <c r="BZ1537" s="6"/>
      <c r="CA1537" s="6"/>
      <c r="CB1537" s="6"/>
      <c r="CC1537" s="6"/>
      <c r="CD1537" s="6"/>
      <c r="CE1537" s="6"/>
      <c r="CF1537" s="6"/>
      <c r="CG1537" s="6"/>
      <c r="CH1537" s="6"/>
      <c r="CI1537" s="6"/>
      <c r="CJ1537" s="6"/>
      <c r="CK1537" s="6"/>
      <c r="CL1537" s="6"/>
      <c r="CM1537" s="6"/>
      <c r="CN1537" s="6"/>
      <c r="CO1537" s="6"/>
      <c r="CP1537" s="6"/>
      <c r="CQ1537" s="6"/>
      <c r="CR1537" s="6"/>
      <c r="CS1537" s="6"/>
      <c r="CT1537" s="6"/>
      <c r="CU1537" s="6"/>
      <c r="CV1537" s="6"/>
      <c r="CW1537" s="6"/>
      <c r="CX1537" s="6"/>
      <c r="CY1537" s="6"/>
      <c r="CZ1537" s="6"/>
      <c r="DA1537" s="6"/>
      <c r="DB1537" s="6"/>
      <c r="DC1537" s="6"/>
      <c r="DD1537" s="6"/>
      <c r="DE1537" s="6"/>
      <c r="DF1537" s="6"/>
      <c r="DG1537" s="6"/>
      <c r="DH1537" s="6"/>
      <c r="DI1537" s="6"/>
      <c r="DJ1537" s="6"/>
      <c r="DK1537" s="6"/>
      <c r="DL1537" s="6"/>
      <c r="DM1537" s="6"/>
      <c r="DN1537" s="6"/>
      <c r="DO1537" s="6"/>
      <c r="DP1537" s="6"/>
      <c r="DQ1537" s="6"/>
      <c r="DR1537" s="6"/>
      <c r="DS1537" s="6"/>
      <c r="DT1537" s="6"/>
      <c r="DU1537" s="6"/>
      <c r="DV1537" s="6"/>
      <c r="DW1537" s="6"/>
      <c r="DX1537" s="6"/>
      <c r="DY1537" s="6"/>
      <c r="DZ1537" s="6"/>
      <c r="EA1537" s="6"/>
      <c r="EB1537" s="6"/>
      <c r="EC1537" s="6"/>
      <c r="ED1537" s="6"/>
      <c r="EE1537" s="6"/>
      <c r="EF1537" s="6"/>
      <c r="EG1537" s="6"/>
      <c r="EH1537" s="6"/>
      <c r="EI1537" s="6"/>
      <c r="EJ1537" s="6"/>
      <c r="EK1537" s="6"/>
      <c r="EL1537" s="6"/>
      <c r="EM1537" s="6"/>
      <c r="EN1537" s="6"/>
      <c r="EO1537" s="6"/>
      <c r="EP1537" s="6"/>
      <c r="EQ1537" s="6"/>
      <c r="ER1537" s="6"/>
      <c r="ES1537" s="6"/>
      <c r="ET1537" s="6"/>
      <c r="EU1537" s="6"/>
      <c r="EV1537" s="6"/>
      <c r="EW1537" s="6"/>
      <c r="EX1537" s="6"/>
      <c r="EY1537" s="6"/>
      <c r="EZ1537" s="6"/>
      <c r="FA1537" s="6"/>
      <c r="FB1537" s="6"/>
      <c r="FC1537" s="6"/>
      <c r="FD1537" s="6"/>
      <c r="FE1537" s="6"/>
      <c r="FF1537" s="6"/>
      <c r="FG1537" s="6"/>
      <c r="FH1537" s="6"/>
      <c r="FI1537" s="6"/>
      <c r="FJ1537" s="6"/>
      <c r="FK1537" s="6"/>
      <c r="FL1537" s="6"/>
      <c r="FM1537" s="6"/>
      <c r="FN1537" s="6"/>
      <c r="FO1537" s="6"/>
      <c r="FP1537" s="6"/>
      <c r="FQ1537" s="6"/>
      <c r="FR1537" s="6"/>
      <c r="FS1537" s="6"/>
      <c r="FT1537" s="6"/>
      <c r="FU1537" s="6"/>
      <c r="FV1537" s="6"/>
      <c r="FW1537" s="6"/>
      <c r="FX1537" s="6"/>
      <c r="FY1537" s="6"/>
      <c r="FZ1537" s="6"/>
      <c r="GA1537" s="6"/>
      <c r="GB1537" s="6"/>
      <c r="GC1537" s="6"/>
      <c r="GD1537" s="6"/>
      <c r="GE1537" s="6"/>
      <c r="GF1537" s="6"/>
      <c r="GG1537" s="6"/>
      <c r="GH1537" s="6"/>
      <c r="GI1537" s="6"/>
      <c r="GJ1537" s="6"/>
      <c r="GK1537" s="6"/>
      <c r="GL1537" s="6"/>
      <c r="GM1537" s="6"/>
      <c r="GN1537" s="6"/>
      <c r="GO1537" s="6"/>
      <c r="GP1537" s="6"/>
      <c r="GQ1537" s="6"/>
      <c r="GR1537" s="6"/>
      <c r="GS1537" s="6"/>
      <c r="GT1537" s="6"/>
      <c r="GU1537" s="6"/>
      <c r="GV1537" s="6"/>
      <c r="GW1537" s="6"/>
      <c r="GX1537" s="6"/>
      <c r="GY1537" s="6"/>
      <c r="GZ1537" s="6"/>
      <c r="HA1537" s="6"/>
      <c r="HB1537" s="6"/>
      <c r="HC1537" s="6"/>
      <c r="HD1537" s="6"/>
      <c r="HE1537" s="6"/>
      <c r="HF1537" s="6"/>
      <c r="HG1537" s="6"/>
      <c r="HH1537" s="6"/>
    </row>
    <row r="1538" spans="1:216" x14ac:dyDescent="0.3">
      <c r="A1538" s="8"/>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6"/>
      <c r="AR1538" s="6"/>
      <c r="AS1538" s="6"/>
      <c r="AT1538" s="6"/>
      <c r="AU1538" s="6"/>
      <c r="AV1538" s="6"/>
      <c r="AW1538" s="6"/>
      <c r="AX1538" s="6"/>
      <c r="AY1538" s="6"/>
      <c r="AZ1538" s="6"/>
      <c r="BA1538" s="6"/>
      <c r="BB1538" s="6"/>
      <c r="BC1538" s="6"/>
      <c r="BD1538" s="6"/>
      <c r="BE1538" s="6"/>
      <c r="BF1538" s="6"/>
      <c r="BG1538" s="6"/>
      <c r="BH1538" s="6"/>
      <c r="BI1538" s="6"/>
      <c r="BJ1538" s="6"/>
      <c r="BK1538" s="6"/>
      <c r="BL1538" s="6"/>
      <c r="BM1538" s="6"/>
      <c r="BN1538" s="6"/>
      <c r="BO1538" s="6"/>
      <c r="BP1538" s="6"/>
      <c r="BQ1538" s="6"/>
      <c r="BR1538" s="6"/>
      <c r="BS1538" s="6"/>
      <c r="BT1538" s="6"/>
      <c r="BU1538" s="6"/>
      <c r="BV1538" s="6"/>
      <c r="BW1538" s="6"/>
      <c r="BX1538" s="6"/>
      <c r="BY1538" s="6"/>
      <c r="BZ1538" s="6"/>
      <c r="CA1538" s="6"/>
      <c r="CB1538" s="6"/>
      <c r="CC1538" s="6"/>
      <c r="CD1538" s="6"/>
      <c r="CE1538" s="6"/>
      <c r="CF1538" s="6"/>
      <c r="CG1538" s="6"/>
      <c r="CH1538" s="6"/>
      <c r="CI1538" s="6"/>
      <c r="CJ1538" s="6"/>
      <c r="CK1538" s="6"/>
      <c r="CL1538" s="6"/>
      <c r="CM1538" s="6"/>
      <c r="CN1538" s="6"/>
      <c r="CO1538" s="6"/>
      <c r="CP1538" s="6"/>
      <c r="CQ1538" s="6"/>
      <c r="CR1538" s="6"/>
      <c r="CS1538" s="6"/>
      <c r="CT1538" s="6"/>
      <c r="CU1538" s="6"/>
      <c r="CV1538" s="6"/>
      <c r="CW1538" s="6"/>
      <c r="CX1538" s="6"/>
      <c r="CY1538" s="6"/>
      <c r="CZ1538" s="6"/>
      <c r="DA1538" s="6"/>
      <c r="DB1538" s="6"/>
      <c r="DC1538" s="6"/>
      <c r="DD1538" s="6"/>
      <c r="DE1538" s="6"/>
      <c r="DF1538" s="6"/>
      <c r="DG1538" s="6"/>
      <c r="DH1538" s="6"/>
      <c r="DI1538" s="6"/>
      <c r="DJ1538" s="6"/>
      <c r="DK1538" s="6"/>
      <c r="DL1538" s="6"/>
      <c r="DM1538" s="6"/>
      <c r="DN1538" s="6"/>
      <c r="DO1538" s="6"/>
      <c r="DP1538" s="6"/>
      <c r="DQ1538" s="6"/>
      <c r="DR1538" s="6"/>
      <c r="DS1538" s="6"/>
      <c r="DT1538" s="6"/>
      <c r="DU1538" s="6"/>
      <c r="DV1538" s="6"/>
      <c r="DW1538" s="6"/>
      <c r="DX1538" s="6"/>
      <c r="DY1538" s="6"/>
      <c r="DZ1538" s="6"/>
      <c r="EA1538" s="6"/>
      <c r="EB1538" s="6"/>
      <c r="EC1538" s="6"/>
      <c r="ED1538" s="6"/>
      <c r="EE1538" s="6"/>
      <c r="EF1538" s="6"/>
      <c r="EG1538" s="6"/>
      <c r="EH1538" s="6"/>
      <c r="EI1538" s="6"/>
      <c r="EJ1538" s="6"/>
      <c r="EK1538" s="6"/>
      <c r="EL1538" s="6"/>
      <c r="EM1538" s="6"/>
      <c r="EN1538" s="6"/>
      <c r="EO1538" s="6"/>
      <c r="EP1538" s="6"/>
      <c r="EQ1538" s="6"/>
      <c r="ER1538" s="6"/>
      <c r="ES1538" s="6"/>
      <c r="ET1538" s="6"/>
      <c r="EU1538" s="6"/>
      <c r="EV1538" s="6"/>
      <c r="EW1538" s="6"/>
      <c r="EX1538" s="6"/>
      <c r="EY1538" s="6"/>
      <c r="EZ1538" s="6"/>
      <c r="FA1538" s="6"/>
      <c r="FB1538" s="6"/>
      <c r="FC1538" s="6"/>
      <c r="FD1538" s="6"/>
      <c r="FE1538" s="6"/>
      <c r="FF1538" s="6"/>
      <c r="FG1538" s="6"/>
      <c r="FH1538" s="6"/>
      <c r="FI1538" s="6"/>
      <c r="FJ1538" s="6"/>
      <c r="FK1538" s="6"/>
      <c r="FL1538" s="6"/>
      <c r="FM1538" s="6"/>
      <c r="FN1538" s="6"/>
      <c r="FO1538" s="6"/>
      <c r="FP1538" s="6"/>
      <c r="FQ1538" s="6"/>
      <c r="FR1538" s="6"/>
      <c r="FS1538" s="6"/>
      <c r="FT1538" s="6"/>
      <c r="FU1538" s="6"/>
      <c r="FV1538" s="6"/>
      <c r="FW1538" s="6"/>
      <c r="FX1538" s="6"/>
      <c r="FY1538" s="6"/>
      <c r="FZ1538" s="6"/>
      <c r="GA1538" s="6"/>
      <c r="GB1538" s="6"/>
      <c r="GC1538" s="6"/>
      <c r="GD1538" s="6"/>
      <c r="GE1538" s="6"/>
      <c r="GF1538" s="6"/>
      <c r="GG1538" s="6"/>
      <c r="GH1538" s="6"/>
      <c r="GI1538" s="6"/>
      <c r="GJ1538" s="6"/>
      <c r="GK1538" s="6"/>
      <c r="GL1538" s="6"/>
      <c r="GM1538" s="6"/>
      <c r="GN1538" s="6"/>
      <c r="GO1538" s="6"/>
      <c r="GP1538" s="6"/>
      <c r="GQ1538" s="6"/>
      <c r="GR1538" s="6"/>
      <c r="GS1538" s="6"/>
      <c r="GT1538" s="6"/>
      <c r="GU1538" s="6"/>
      <c r="GV1538" s="6"/>
      <c r="GW1538" s="6"/>
      <c r="GX1538" s="6"/>
      <c r="GY1538" s="6"/>
      <c r="GZ1538" s="6"/>
      <c r="HA1538" s="6"/>
      <c r="HB1538" s="6"/>
      <c r="HC1538" s="6"/>
      <c r="HD1538" s="6"/>
      <c r="HE1538" s="6"/>
      <c r="HF1538" s="6"/>
      <c r="HG1538" s="6"/>
      <c r="HH1538" s="6"/>
    </row>
    <row r="1539" spans="1:216" x14ac:dyDescent="0.3">
      <c r="A1539" s="8"/>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6"/>
      <c r="AR1539" s="6"/>
      <c r="AS1539" s="6"/>
      <c r="AT1539" s="6"/>
      <c r="AU1539" s="6"/>
      <c r="AV1539" s="6"/>
      <c r="AW1539" s="6"/>
      <c r="AX1539" s="6"/>
      <c r="AY1539" s="6"/>
      <c r="AZ1539" s="6"/>
      <c r="BA1539" s="6"/>
      <c r="BB1539" s="6"/>
      <c r="BC1539" s="6"/>
      <c r="BD1539" s="6"/>
      <c r="BE1539" s="6"/>
      <c r="BF1539" s="6"/>
      <c r="BG1539" s="6"/>
      <c r="BH1539" s="6"/>
      <c r="BI1539" s="6"/>
      <c r="BJ1539" s="6"/>
      <c r="BK1539" s="6"/>
      <c r="BL1539" s="6"/>
      <c r="BM1539" s="6"/>
      <c r="BN1539" s="6"/>
      <c r="BO1539" s="6"/>
      <c r="BP1539" s="6"/>
      <c r="BQ1539" s="6"/>
      <c r="BR1539" s="6"/>
      <c r="BS1539" s="6"/>
      <c r="BT1539" s="6"/>
      <c r="BU1539" s="6"/>
      <c r="BV1539" s="6"/>
      <c r="BW1539" s="6"/>
      <c r="BX1539" s="6"/>
      <c r="BY1539" s="6"/>
      <c r="BZ1539" s="6"/>
      <c r="CA1539" s="6"/>
      <c r="CB1539" s="6"/>
      <c r="CC1539" s="6"/>
      <c r="CD1539" s="6"/>
      <c r="CE1539" s="6"/>
      <c r="CF1539" s="6"/>
      <c r="CG1539" s="6"/>
      <c r="CH1539" s="6"/>
      <c r="CI1539" s="6"/>
      <c r="CJ1539" s="6"/>
      <c r="CK1539" s="6"/>
      <c r="CL1539" s="6"/>
      <c r="CM1539" s="6"/>
      <c r="CN1539" s="6"/>
      <c r="CO1539" s="6"/>
      <c r="CP1539" s="6"/>
      <c r="CQ1539" s="6"/>
      <c r="CR1539" s="6"/>
      <c r="CS1539" s="6"/>
      <c r="CT1539" s="6"/>
      <c r="CU1539" s="6"/>
      <c r="CV1539" s="6"/>
      <c r="CW1539" s="6"/>
      <c r="CX1539" s="6"/>
      <c r="CY1539" s="6"/>
      <c r="CZ1539" s="6"/>
      <c r="DA1539" s="6"/>
      <c r="DB1539" s="6"/>
      <c r="DC1539" s="6"/>
      <c r="DD1539" s="6"/>
      <c r="DE1539" s="6"/>
      <c r="DF1539" s="6"/>
      <c r="DG1539" s="6"/>
      <c r="DH1539" s="6"/>
      <c r="DI1539" s="6"/>
      <c r="DJ1539" s="6"/>
      <c r="DK1539" s="6"/>
      <c r="DL1539" s="6"/>
      <c r="DM1539" s="6"/>
      <c r="DN1539" s="6"/>
      <c r="DO1539" s="6"/>
      <c r="DP1539" s="6"/>
      <c r="DQ1539" s="6"/>
      <c r="DR1539" s="6"/>
      <c r="DS1539" s="6"/>
      <c r="DT1539" s="6"/>
      <c r="DU1539" s="6"/>
      <c r="DV1539" s="6"/>
      <c r="DW1539" s="6"/>
      <c r="DX1539" s="6"/>
      <c r="DY1539" s="6"/>
      <c r="DZ1539" s="6"/>
      <c r="EA1539" s="6"/>
      <c r="EB1539" s="6"/>
      <c r="EC1539" s="6"/>
      <c r="ED1539" s="6"/>
      <c r="EE1539" s="6"/>
      <c r="EF1539" s="6"/>
      <c r="EG1539" s="6"/>
      <c r="EH1539" s="6"/>
      <c r="EI1539" s="6"/>
      <c r="EJ1539" s="6"/>
      <c r="EK1539" s="6"/>
      <c r="EL1539" s="6"/>
      <c r="EM1539" s="6"/>
      <c r="EN1539" s="6"/>
      <c r="EO1539" s="6"/>
      <c r="EP1539" s="6"/>
      <c r="EQ1539" s="6"/>
      <c r="ER1539" s="6"/>
      <c r="ES1539" s="6"/>
      <c r="ET1539" s="6"/>
      <c r="EU1539" s="6"/>
      <c r="EV1539" s="6"/>
      <c r="EW1539" s="6"/>
      <c r="EX1539" s="6"/>
      <c r="EY1539" s="6"/>
      <c r="EZ1539" s="6"/>
      <c r="FA1539" s="6"/>
      <c r="FB1539" s="6"/>
      <c r="FC1539" s="6"/>
      <c r="FD1539" s="6"/>
      <c r="FE1539" s="6"/>
      <c r="FF1539" s="6"/>
      <c r="FG1539" s="6"/>
      <c r="FH1539" s="6"/>
      <c r="FI1539" s="6"/>
      <c r="FJ1539" s="6"/>
      <c r="FK1539" s="6"/>
      <c r="FL1539" s="6"/>
      <c r="FM1539" s="6"/>
      <c r="FN1539" s="6"/>
      <c r="FO1539" s="6"/>
      <c r="FP1539" s="6"/>
      <c r="FQ1539" s="6"/>
      <c r="FR1539" s="6"/>
      <c r="FS1539" s="6"/>
      <c r="FT1539" s="6"/>
      <c r="FU1539" s="6"/>
      <c r="FV1539" s="6"/>
      <c r="FW1539" s="6"/>
      <c r="FX1539" s="6"/>
      <c r="FY1539" s="6"/>
      <c r="FZ1539" s="6"/>
      <c r="GA1539" s="6"/>
      <c r="GB1539" s="6"/>
      <c r="GC1539" s="6"/>
      <c r="GD1539" s="6"/>
      <c r="GE1539" s="6"/>
      <c r="GF1539" s="6"/>
      <c r="GG1539" s="6"/>
      <c r="GH1539" s="6"/>
      <c r="GI1539" s="6"/>
      <c r="GJ1539" s="6"/>
      <c r="GK1539" s="6"/>
      <c r="GL1539" s="6"/>
      <c r="GM1539" s="6"/>
      <c r="GN1539" s="6"/>
      <c r="GO1539" s="6"/>
      <c r="GP1539" s="6"/>
      <c r="GQ1539" s="6"/>
      <c r="GR1539" s="6"/>
      <c r="GS1539" s="6"/>
      <c r="GT1539" s="6"/>
      <c r="GU1539" s="6"/>
      <c r="GV1539" s="6"/>
      <c r="GW1539" s="6"/>
      <c r="GX1539" s="6"/>
      <c r="GY1539" s="6"/>
      <c r="GZ1539" s="6"/>
      <c r="HA1539" s="6"/>
      <c r="HB1539" s="6"/>
      <c r="HC1539" s="6"/>
      <c r="HD1539" s="6"/>
      <c r="HE1539" s="6"/>
      <c r="HF1539" s="6"/>
      <c r="HG1539" s="6"/>
      <c r="HH1539" s="6"/>
    </row>
    <row r="1540" spans="1:216" x14ac:dyDescent="0.3">
      <c r="A1540" s="8"/>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6"/>
      <c r="AR1540" s="6"/>
      <c r="AS1540" s="6"/>
      <c r="AT1540" s="6"/>
      <c r="AU1540" s="6"/>
      <c r="AV1540" s="6"/>
      <c r="AW1540" s="6"/>
      <c r="AX1540" s="6"/>
      <c r="AY1540" s="6"/>
      <c r="AZ1540" s="6"/>
      <c r="BA1540" s="6"/>
      <c r="BB1540" s="6"/>
      <c r="BC1540" s="6"/>
      <c r="BD1540" s="6"/>
      <c r="BE1540" s="6"/>
      <c r="BF1540" s="6"/>
      <c r="BG1540" s="6"/>
      <c r="BH1540" s="6"/>
      <c r="BI1540" s="6"/>
      <c r="BJ1540" s="6"/>
      <c r="BK1540" s="6"/>
      <c r="BL1540" s="6"/>
      <c r="BM1540" s="6"/>
      <c r="BN1540" s="6"/>
      <c r="BO1540" s="6"/>
      <c r="BP1540" s="6"/>
      <c r="BQ1540" s="6"/>
      <c r="BR1540" s="6"/>
      <c r="BS1540" s="6"/>
      <c r="BT1540" s="6"/>
      <c r="BU1540" s="6"/>
      <c r="BV1540" s="6"/>
      <c r="BW1540" s="6"/>
      <c r="BX1540" s="6"/>
      <c r="BY1540" s="6"/>
      <c r="BZ1540" s="6"/>
      <c r="CA1540" s="6"/>
      <c r="CB1540" s="6"/>
      <c r="CC1540" s="6"/>
      <c r="CD1540" s="6"/>
      <c r="CE1540" s="6"/>
      <c r="CF1540" s="6"/>
      <c r="CG1540" s="6"/>
      <c r="CH1540" s="6"/>
      <c r="CI1540" s="6"/>
      <c r="CJ1540" s="6"/>
      <c r="CK1540" s="6"/>
      <c r="CL1540" s="6"/>
      <c r="CM1540" s="6"/>
      <c r="CN1540" s="6"/>
      <c r="CO1540" s="6"/>
      <c r="CP1540" s="6"/>
      <c r="CQ1540" s="6"/>
      <c r="CR1540" s="6"/>
      <c r="CS1540" s="6"/>
      <c r="CT1540" s="6"/>
      <c r="CU1540" s="6"/>
      <c r="CV1540" s="6"/>
      <c r="CW1540" s="6"/>
      <c r="CX1540" s="6"/>
      <c r="CY1540" s="6"/>
      <c r="CZ1540" s="6"/>
      <c r="DA1540" s="6"/>
      <c r="DB1540" s="6"/>
      <c r="DC1540" s="6"/>
      <c r="DD1540" s="6"/>
      <c r="DE1540" s="6"/>
      <c r="DF1540" s="6"/>
      <c r="DG1540" s="6"/>
      <c r="DH1540" s="6"/>
      <c r="DI1540" s="6"/>
      <c r="DJ1540" s="6"/>
      <c r="DK1540" s="6"/>
      <c r="DL1540" s="6"/>
      <c r="DM1540" s="6"/>
      <c r="DN1540" s="6"/>
      <c r="DO1540" s="6"/>
      <c r="DP1540" s="6"/>
      <c r="DQ1540" s="6"/>
      <c r="DR1540" s="6"/>
      <c r="DS1540" s="6"/>
      <c r="DT1540" s="6"/>
      <c r="DU1540" s="6"/>
      <c r="DV1540" s="6"/>
      <c r="DW1540" s="6"/>
      <c r="DX1540" s="6"/>
      <c r="DY1540" s="6"/>
      <c r="DZ1540" s="6"/>
      <c r="EA1540" s="6"/>
      <c r="EB1540" s="6"/>
      <c r="EC1540" s="6"/>
      <c r="ED1540" s="6"/>
      <c r="EE1540" s="6"/>
      <c r="EF1540" s="6"/>
      <c r="EG1540" s="6"/>
      <c r="EH1540" s="6"/>
      <c r="EI1540" s="6"/>
      <c r="EJ1540" s="6"/>
      <c r="EK1540" s="6"/>
      <c r="EL1540" s="6"/>
      <c r="EM1540" s="6"/>
      <c r="EN1540" s="6"/>
      <c r="EO1540" s="6"/>
      <c r="EP1540" s="6"/>
      <c r="EQ1540" s="6"/>
      <c r="ER1540" s="6"/>
      <c r="ES1540" s="6"/>
      <c r="ET1540" s="6"/>
      <c r="EU1540" s="6"/>
      <c r="EV1540" s="6"/>
      <c r="EW1540" s="6"/>
      <c r="EX1540" s="6"/>
      <c r="EY1540" s="6"/>
      <c r="EZ1540" s="6"/>
      <c r="FA1540" s="6"/>
      <c r="FB1540" s="6"/>
      <c r="FC1540" s="6"/>
      <c r="FD1540" s="6"/>
      <c r="FE1540" s="6"/>
      <c r="FF1540" s="6"/>
      <c r="FG1540" s="6"/>
      <c r="FH1540" s="6"/>
      <c r="FI1540" s="6"/>
      <c r="FJ1540" s="6"/>
      <c r="FK1540" s="6"/>
      <c r="FL1540" s="6"/>
      <c r="FM1540" s="6"/>
      <c r="FN1540" s="6"/>
      <c r="FO1540" s="6"/>
      <c r="FP1540" s="6"/>
      <c r="FQ1540" s="6"/>
      <c r="FR1540" s="6"/>
      <c r="FS1540" s="6"/>
      <c r="FT1540" s="6"/>
      <c r="FU1540" s="6"/>
      <c r="FV1540" s="6"/>
      <c r="FW1540" s="6"/>
      <c r="FX1540" s="6"/>
      <c r="FY1540" s="6"/>
      <c r="FZ1540" s="6"/>
      <c r="GA1540" s="6"/>
      <c r="GB1540" s="6"/>
      <c r="GC1540" s="6"/>
      <c r="GD1540" s="6"/>
      <c r="GE1540" s="6"/>
      <c r="GF1540" s="6"/>
      <c r="GG1540" s="6"/>
      <c r="GH1540" s="6"/>
      <c r="GI1540" s="6"/>
      <c r="GJ1540" s="6"/>
      <c r="GK1540" s="6"/>
      <c r="GL1540" s="6"/>
      <c r="GM1540" s="6"/>
      <c r="GN1540" s="6"/>
      <c r="GO1540" s="6"/>
      <c r="GP1540" s="6"/>
      <c r="GQ1540" s="6"/>
      <c r="GR1540" s="6"/>
      <c r="GS1540" s="6"/>
      <c r="GT1540" s="6"/>
      <c r="GU1540" s="6"/>
      <c r="GV1540" s="6"/>
      <c r="GW1540" s="6"/>
      <c r="GX1540" s="6"/>
      <c r="GY1540" s="6"/>
      <c r="GZ1540" s="6"/>
      <c r="HA1540" s="6"/>
      <c r="HB1540" s="6"/>
      <c r="HC1540" s="6"/>
      <c r="HD1540" s="6"/>
      <c r="HE1540" s="6"/>
      <c r="HF1540" s="6"/>
      <c r="HG1540" s="6"/>
      <c r="HH1540" s="6"/>
    </row>
    <row r="1541" spans="1:216" x14ac:dyDescent="0.3">
      <c r="A1541" s="8"/>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6"/>
      <c r="AR1541" s="6"/>
      <c r="AS1541" s="6"/>
      <c r="AT1541" s="6"/>
      <c r="AU1541" s="6"/>
      <c r="AV1541" s="6"/>
      <c r="AW1541" s="6"/>
      <c r="AX1541" s="6"/>
      <c r="AY1541" s="6"/>
      <c r="AZ1541" s="6"/>
      <c r="BA1541" s="6"/>
      <c r="BB1541" s="6"/>
      <c r="BC1541" s="6"/>
      <c r="BD1541" s="6"/>
      <c r="BE1541" s="6"/>
      <c r="BF1541" s="6"/>
      <c r="BG1541" s="6"/>
      <c r="BH1541" s="6"/>
      <c r="BI1541" s="6"/>
      <c r="BJ1541" s="6"/>
      <c r="BK1541" s="6"/>
      <c r="BL1541" s="6"/>
      <c r="BM1541" s="6"/>
      <c r="BN1541" s="6"/>
      <c r="BO1541" s="6"/>
      <c r="BP1541" s="6"/>
      <c r="BQ1541" s="6"/>
      <c r="BR1541" s="6"/>
      <c r="BS1541" s="6"/>
      <c r="BT1541" s="6"/>
      <c r="BU1541" s="6"/>
      <c r="BV1541" s="6"/>
      <c r="BW1541" s="6"/>
      <c r="BX1541" s="6"/>
      <c r="BY1541" s="6"/>
      <c r="BZ1541" s="6"/>
      <c r="CA1541" s="6"/>
      <c r="CB1541" s="6"/>
      <c r="CC1541" s="6"/>
      <c r="CD1541" s="6"/>
      <c r="CE1541" s="6"/>
      <c r="CF1541" s="6"/>
      <c r="CG1541" s="6"/>
      <c r="CH1541" s="6"/>
      <c r="CI1541" s="6"/>
      <c r="CJ1541" s="6"/>
      <c r="CK1541" s="6"/>
      <c r="CL1541" s="6"/>
      <c r="CM1541" s="6"/>
      <c r="CN1541" s="6"/>
      <c r="CO1541" s="6"/>
      <c r="CP1541" s="6"/>
      <c r="CQ1541" s="6"/>
      <c r="CR1541" s="6"/>
      <c r="CS1541" s="6"/>
      <c r="CT1541" s="6"/>
      <c r="CU1541" s="6"/>
      <c r="CV1541" s="6"/>
      <c r="CW1541" s="6"/>
      <c r="CX1541" s="6"/>
      <c r="CY1541" s="6"/>
      <c r="CZ1541" s="6"/>
      <c r="DA1541" s="6"/>
      <c r="DB1541" s="6"/>
      <c r="DC1541" s="6"/>
      <c r="DD1541" s="6"/>
      <c r="DE1541" s="6"/>
      <c r="DF1541" s="6"/>
      <c r="DG1541" s="6"/>
      <c r="DH1541" s="6"/>
      <c r="DI1541" s="6"/>
      <c r="DJ1541" s="6"/>
      <c r="DK1541" s="6"/>
      <c r="DL1541" s="6"/>
      <c r="DM1541" s="6"/>
      <c r="DN1541" s="6"/>
      <c r="DO1541" s="6"/>
      <c r="DP1541" s="6"/>
      <c r="DQ1541" s="6"/>
      <c r="DR1541" s="6"/>
      <c r="DS1541" s="6"/>
      <c r="DT1541" s="6"/>
      <c r="DU1541" s="6"/>
      <c r="DV1541" s="6"/>
      <c r="DW1541" s="6"/>
      <c r="DX1541" s="6"/>
      <c r="DY1541" s="6"/>
      <c r="DZ1541" s="6"/>
      <c r="EA1541" s="6"/>
      <c r="EB1541" s="6"/>
      <c r="EC1541" s="6"/>
      <c r="ED1541" s="6"/>
      <c r="EE1541" s="6"/>
      <c r="EF1541" s="6"/>
      <c r="EG1541" s="6"/>
      <c r="EH1541" s="6"/>
      <c r="EI1541" s="6"/>
      <c r="EJ1541" s="6"/>
      <c r="EK1541" s="6"/>
      <c r="EL1541" s="6"/>
      <c r="EM1541" s="6"/>
      <c r="EN1541" s="6"/>
      <c r="EO1541" s="6"/>
      <c r="EP1541" s="6"/>
      <c r="EQ1541" s="6"/>
      <c r="ER1541" s="6"/>
      <c r="ES1541" s="6"/>
      <c r="ET1541" s="6"/>
      <c r="EU1541" s="6"/>
      <c r="EV1541" s="6"/>
      <c r="EW1541" s="6"/>
      <c r="EX1541" s="6"/>
      <c r="EY1541" s="6"/>
      <c r="EZ1541" s="6"/>
      <c r="FA1541" s="6"/>
      <c r="FB1541" s="6"/>
      <c r="FC1541" s="6"/>
      <c r="FD1541" s="6"/>
      <c r="FE1541" s="6"/>
      <c r="FF1541" s="6"/>
      <c r="FG1541" s="6"/>
      <c r="FH1541" s="6"/>
      <c r="FI1541" s="6"/>
      <c r="FJ1541" s="6"/>
      <c r="FK1541" s="6"/>
      <c r="FL1541" s="6"/>
      <c r="FM1541" s="6"/>
      <c r="FN1541" s="6"/>
      <c r="FO1541" s="6"/>
      <c r="FP1541" s="6"/>
      <c r="FQ1541" s="6"/>
      <c r="FR1541" s="6"/>
      <c r="FS1541" s="6"/>
      <c r="FT1541" s="6"/>
      <c r="FU1541" s="6"/>
      <c r="FV1541" s="6"/>
      <c r="FW1541" s="6"/>
      <c r="FX1541" s="6"/>
      <c r="FY1541" s="6"/>
      <c r="FZ1541" s="6"/>
      <c r="GA1541" s="6"/>
      <c r="GB1541" s="6"/>
      <c r="GC1541" s="6"/>
      <c r="GD1541" s="6"/>
      <c r="GE1541" s="6"/>
      <c r="GF1541" s="6"/>
      <c r="GG1541" s="6"/>
      <c r="GH1541" s="6"/>
      <c r="GI1541" s="6"/>
      <c r="GJ1541" s="6"/>
      <c r="GK1541" s="6"/>
      <c r="GL1541" s="6"/>
      <c r="GM1541" s="6"/>
      <c r="GN1541" s="6"/>
      <c r="GO1541" s="6"/>
      <c r="GP1541" s="6"/>
      <c r="GQ1541" s="6"/>
      <c r="GR1541" s="6"/>
      <c r="GS1541" s="6"/>
      <c r="GT1541" s="6"/>
      <c r="GU1541" s="6"/>
      <c r="GV1541" s="6"/>
      <c r="GW1541" s="6"/>
      <c r="GX1541" s="6"/>
      <c r="GY1541" s="6"/>
      <c r="GZ1541" s="6"/>
      <c r="HA1541" s="6"/>
      <c r="HB1541" s="6"/>
      <c r="HC1541" s="6"/>
      <c r="HD1541" s="6"/>
      <c r="HE1541" s="6"/>
      <c r="HF1541" s="6"/>
      <c r="HG1541" s="6"/>
      <c r="HH1541" s="6"/>
    </row>
    <row r="1542" spans="1:216" x14ac:dyDescent="0.3">
      <c r="A1542" s="8"/>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6"/>
      <c r="AR1542" s="6"/>
      <c r="AS1542" s="6"/>
      <c r="AT1542" s="6"/>
      <c r="AU1542" s="6"/>
      <c r="AV1542" s="6"/>
      <c r="AW1542" s="6"/>
      <c r="AX1542" s="6"/>
      <c r="AY1542" s="6"/>
      <c r="AZ1542" s="6"/>
      <c r="BA1542" s="6"/>
      <c r="BB1542" s="6"/>
      <c r="BC1542" s="6"/>
      <c r="BD1542" s="6"/>
      <c r="BE1542" s="6"/>
      <c r="BF1542" s="6"/>
      <c r="BG1542" s="6"/>
      <c r="BH1542" s="6"/>
      <c r="BI1542" s="6"/>
      <c r="BJ1542" s="6"/>
      <c r="BK1542" s="6"/>
      <c r="BL1542" s="6"/>
      <c r="BM1542" s="6"/>
      <c r="BN1542" s="6"/>
      <c r="BO1542" s="6"/>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6"/>
      <c r="CL1542" s="6"/>
      <c r="CM1542" s="6"/>
      <c r="CN1542" s="6"/>
      <c r="CO1542" s="6"/>
      <c r="CP1542" s="6"/>
      <c r="CQ1542" s="6"/>
      <c r="CR1542" s="6"/>
      <c r="CS1542" s="6"/>
      <c r="CT1542" s="6"/>
      <c r="CU1542" s="6"/>
      <c r="CV1542" s="6"/>
      <c r="CW1542" s="6"/>
      <c r="CX1542" s="6"/>
      <c r="CY1542" s="6"/>
      <c r="CZ1542" s="6"/>
      <c r="DA1542" s="6"/>
      <c r="DB1542" s="6"/>
      <c r="DC1542" s="6"/>
      <c r="DD1542" s="6"/>
      <c r="DE1542" s="6"/>
      <c r="DF1542" s="6"/>
      <c r="DG1542" s="6"/>
      <c r="DH1542" s="6"/>
      <c r="DI1542" s="6"/>
      <c r="DJ1542" s="6"/>
      <c r="DK1542" s="6"/>
      <c r="DL1542" s="6"/>
      <c r="DM1542" s="6"/>
      <c r="DN1542" s="6"/>
      <c r="DO1542" s="6"/>
      <c r="DP1542" s="6"/>
      <c r="DQ1542" s="6"/>
      <c r="DR1542" s="6"/>
      <c r="DS1542" s="6"/>
      <c r="DT1542" s="6"/>
      <c r="DU1542" s="6"/>
      <c r="DV1542" s="6"/>
      <c r="DW1542" s="6"/>
      <c r="DX1542" s="6"/>
      <c r="DY1542" s="6"/>
      <c r="DZ1542" s="6"/>
      <c r="EA1542" s="6"/>
      <c r="EB1542" s="6"/>
      <c r="EC1542" s="6"/>
      <c r="ED1542" s="6"/>
      <c r="EE1542" s="6"/>
      <c r="EF1542" s="6"/>
      <c r="EG1542" s="6"/>
      <c r="EH1542" s="6"/>
      <c r="EI1542" s="6"/>
      <c r="EJ1542" s="6"/>
      <c r="EK1542" s="6"/>
      <c r="EL1542" s="6"/>
      <c r="EM1542" s="6"/>
      <c r="EN1542" s="6"/>
      <c r="EO1542" s="6"/>
      <c r="EP1542" s="6"/>
      <c r="EQ1542" s="6"/>
      <c r="ER1542" s="6"/>
      <c r="ES1542" s="6"/>
      <c r="ET1542" s="6"/>
      <c r="EU1542" s="6"/>
      <c r="EV1542" s="6"/>
      <c r="EW1542" s="6"/>
      <c r="EX1542" s="6"/>
      <c r="EY1542" s="6"/>
      <c r="EZ1542" s="6"/>
      <c r="FA1542" s="6"/>
      <c r="FB1542" s="6"/>
      <c r="FC1542" s="6"/>
      <c r="FD1542" s="6"/>
      <c r="FE1542" s="6"/>
      <c r="FF1542" s="6"/>
      <c r="FG1542" s="6"/>
      <c r="FH1542" s="6"/>
      <c r="FI1542" s="6"/>
      <c r="FJ1542" s="6"/>
      <c r="FK1542" s="6"/>
      <c r="FL1542" s="6"/>
      <c r="FM1542" s="6"/>
      <c r="FN1542" s="6"/>
      <c r="FO1542" s="6"/>
      <c r="FP1542" s="6"/>
      <c r="FQ1542" s="6"/>
      <c r="FR1542" s="6"/>
      <c r="FS1542" s="6"/>
      <c r="FT1542" s="6"/>
      <c r="FU1542" s="6"/>
      <c r="FV1542" s="6"/>
      <c r="FW1542" s="6"/>
      <c r="FX1542" s="6"/>
      <c r="FY1542" s="6"/>
      <c r="FZ1542" s="6"/>
      <c r="GA1542" s="6"/>
      <c r="GB1542" s="6"/>
      <c r="GC1542" s="6"/>
      <c r="GD1542" s="6"/>
      <c r="GE1542" s="6"/>
      <c r="GF1542" s="6"/>
      <c r="GG1542" s="6"/>
      <c r="GH1542" s="6"/>
      <c r="GI1542" s="6"/>
      <c r="GJ1542" s="6"/>
      <c r="GK1542" s="6"/>
      <c r="GL1542" s="6"/>
      <c r="GM1542" s="6"/>
      <c r="GN1542" s="6"/>
      <c r="GO1542" s="6"/>
      <c r="GP1542" s="6"/>
      <c r="GQ1542" s="6"/>
      <c r="GR1542" s="6"/>
      <c r="GS1542" s="6"/>
      <c r="GT1542" s="6"/>
      <c r="GU1542" s="6"/>
      <c r="GV1542" s="6"/>
      <c r="GW1542" s="6"/>
      <c r="GX1542" s="6"/>
      <c r="GY1542" s="6"/>
      <c r="GZ1542" s="6"/>
      <c r="HA1542" s="6"/>
      <c r="HB1542" s="6"/>
      <c r="HC1542" s="6"/>
      <c r="HD1542" s="6"/>
      <c r="HE1542" s="6"/>
      <c r="HF1542" s="6"/>
      <c r="HG1542" s="6"/>
      <c r="HH1542" s="6"/>
    </row>
    <row r="1543" spans="1:216" x14ac:dyDescent="0.3">
      <c r="A1543" s="8"/>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6"/>
      <c r="AR1543" s="6"/>
      <c r="AS1543" s="6"/>
      <c r="AT1543" s="6"/>
      <c r="AU1543" s="6"/>
      <c r="AV1543" s="6"/>
      <c r="AW1543" s="6"/>
      <c r="AX1543" s="6"/>
      <c r="AY1543" s="6"/>
      <c r="AZ1543" s="6"/>
      <c r="BA1543" s="6"/>
      <c r="BB1543" s="6"/>
      <c r="BC1543" s="6"/>
      <c r="BD1543" s="6"/>
      <c r="BE1543" s="6"/>
      <c r="BF1543" s="6"/>
      <c r="BG1543" s="6"/>
      <c r="BH1543" s="6"/>
      <c r="BI1543" s="6"/>
      <c r="BJ1543" s="6"/>
      <c r="BK1543" s="6"/>
      <c r="BL1543" s="6"/>
      <c r="BM1543" s="6"/>
      <c r="BN1543" s="6"/>
      <c r="BO1543" s="6"/>
      <c r="BP1543" s="6"/>
      <c r="BQ1543" s="6"/>
      <c r="BR1543" s="6"/>
      <c r="BS1543" s="6"/>
      <c r="BT1543" s="6"/>
      <c r="BU1543" s="6"/>
      <c r="BV1543" s="6"/>
      <c r="BW1543" s="6"/>
      <c r="BX1543" s="6"/>
      <c r="BY1543" s="6"/>
      <c r="BZ1543" s="6"/>
      <c r="CA1543" s="6"/>
      <c r="CB1543" s="6"/>
      <c r="CC1543" s="6"/>
      <c r="CD1543" s="6"/>
      <c r="CE1543" s="6"/>
      <c r="CF1543" s="6"/>
      <c r="CG1543" s="6"/>
      <c r="CH1543" s="6"/>
      <c r="CI1543" s="6"/>
      <c r="CJ1543" s="6"/>
      <c r="CK1543" s="6"/>
      <c r="CL1543" s="6"/>
      <c r="CM1543" s="6"/>
      <c r="CN1543" s="6"/>
      <c r="CO1543" s="6"/>
      <c r="CP1543" s="6"/>
      <c r="CQ1543" s="6"/>
      <c r="CR1543" s="6"/>
      <c r="CS1543" s="6"/>
      <c r="CT1543" s="6"/>
      <c r="CU1543" s="6"/>
      <c r="CV1543" s="6"/>
      <c r="CW1543" s="6"/>
      <c r="CX1543" s="6"/>
      <c r="CY1543" s="6"/>
      <c r="CZ1543" s="6"/>
      <c r="DA1543" s="6"/>
      <c r="DB1543" s="6"/>
      <c r="DC1543" s="6"/>
      <c r="DD1543" s="6"/>
      <c r="DE1543" s="6"/>
      <c r="DF1543" s="6"/>
      <c r="DG1543" s="6"/>
      <c r="DH1543" s="6"/>
      <c r="DI1543" s="6"/>
      <c r="DJ1543" s="6"/>
      <c r="DK1543" s="6"/>
      <c r="DL1543" s="6"/>
      <c r="DM1543" s="6"/>
      <c r="DN1543" s="6"/>
      <c r="DO1543" s="6"/>
      <c r="DP1543" s="6"/>
      <c r="DQ1543" s="6"/>
      <c r="DR1543" s="6"/>
      <c r="DS1543" s="6"/>
      <c r="DT1543" s="6"/>
      <c r="DU1543" s="6"/>
      <c r="DV1543" s="6"/>
      <c r="DW1543" s="6"/>
      <c r="DX1543" s="6"/>
      <c r="DY1543" s="6"/>
      <c r="DZ1543" s="6"/>
      <c r="EA1543" s="6"/>
      <c r="EB1543" s="6"/>
      <c r="EC1543" s="6"/>
      <c r="ED1543" s="6"/>
      <c r="EE1543" s="6"/>
      <c r="EF1543" s="6"/>
      <c r="EG1543" s="6"/>
      <c r="EH1543" s="6"/>
      <c r="EI1543" s="6"/>
      <c r="EJ1543" s="6"/>
      <c r="EK1543" s="6"/>
      <c r="EL1543" s="6"/>
      <c r="EM1543" s="6"/>
      <c r="EN1543" s="6"/>
      <c r="EO1543" s="6"/>
      <c r="EP1543" s="6"/>
      <c r="EQ1543" s="6"/>
      <c r="ER1543" s="6"/>
      <c r="ES1543" s="6"/>
      <c r="ET1543" s="6"/>
      <c r="EU1543" s="6"/>
      <c r="EV1543" s="6"/>
      <c r="EW1543" s="6"/>
      <c r="EX1543" s="6"/>
      <c r="EY1543" s="6"/>
      <c r="EZ1543" s="6"/>
      <c r="FA1543" s="6"/>
      <c r="FB1543" s="6"/>
      <c r="FC1543" s="6"/>
      <c r="FD1543" s="6"/>
      <c r="FE1543" s="6"/>
      <c r="FF1543" s="6"/>
      <c r="FG1543" s="6"/>
      <c r="FH1543" s="6"/>
      <c r="FI1543" s="6"/>
      <c r="FJ1543" s="6"/>
      <c r="FK1543" s="6"/>
      <c r="FL1543" s="6"/>
      <c r="FM1543" s="6"/>
      <c r="FN1543" s="6"/>
      <c r="FO1543" s="6"/>
      <c r="FP1543" s="6"/>
      <c r="FQ1543" s="6"/>
      <c r="FR1543" s="6"/>
      <c r="FS1543" s="6"/>
      <c r="FT1543" s="6"/>
      <c r="FU1543" s="6"/>
      <c r="FV1543" s="6"/>
      <c r="FW1543" s="6"/>
      <c r="FX1543" s="6"/>
      <c r="FY1543" s="6"/>
      <c r="FZ1543" s="6"/>
      <c r="GA1543" s="6"/>
      <c r="GB1543" s="6"/>
      <c r="GC1543" s="6"/>
      <c r="GD1543" s="6"/>
      <c r="GE1543" s="6"/>
      <c r="GF1543" s="6"/>
      <c r="GG1543" s="6"/>
      <c r="GH1543" s="6"/>
      <c r="GI1543" s="6"/>
      <c r="GJ1543" s="6"/>
      <c r="GK1543" s="6"/>
      <c r="GL1543" s="6"/>
      <c r="GM1543" s="6"/>
      <c r="GN1543" s="6"/>
      <c r="GO1543" s="6"/>
      <c r="GP1543" s="6"/>
      <c r="GQ1543" s="6"/>
      <c r="GR1543" s="6"/>
      <c r="GS1543" s="6"/>
      <c r="GT1543" s="6"/>
      <c r="GU1543" s="6"/>
      <c r="GV1543" s="6"/>
      <c r="GW1543" s="6"/>
      <c r="GX1543" s="6"/>
      <c r="GY1543" s="6"/>
      <c r="GZ1543" s="6"/>
      <c r="HA1543" s="6"/>
      <c r="HB1543" s="6"/>
      <c r="HC1543" s="6"/>
      <c r="HD1543" s="6"/>
      <c r="HE1543" s="6"/>
      <c r="HF1543" s="6"/>
      <c r="HG1543" s="6"/>
      <c r="HH1543" s="6"/>
    </row>
    <row r="1544" spans="1:216" x14ac:dyDescent="0.3">
      <c r="A1544" s="8"/>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6"/>
      <c r="AR1544" s="6"/>
      <c r="AS1544" s="6"/>
      <c r="AT1544" s="6"/>
      <c r="AU1544" s="6"/>
      <c r="AV1544" s="6"/>
      <c r="AW1544" s="6"/>
      <c r="AX1544" s="6"/>
      <c r="AY1544" s="6"/>
      <c r="AZ1544" s="6"/>
      <c r="BA1544" s="6"/>
      <c r="BB1544" s="6"/>
      <c r="BC1544" s="6"/>
      <c r="BD1544" s="6"/>
      <c r="BE1544" s="6"/>
      <c r="BF1544" s="6"/>
      <c r="BG1544" s="6"/>
      <c r="BH1544" s="6"/>
      <c r="BI1544" s="6"/>
      <c r="BJ1544" s="6"/>
      <c r="BK1544" s="6"/>
      <c r="BL1544" s="6"/>
      <c r="BM1544" s="6"/>
      <c r="BN1544" s="6"/>
      <c r="BO1544" s="6"/>
      <c r="BP1544" s="6"/>
      <c r="BQ1544" s="6"/>
      <c r="BR1544" s="6"/>
      <c r="BS1544" s="6"/>
      <c r="BT1544" s="6"/>
      <c r="BU1544" s="6"/>
      <c r="BV1544" s="6"/>
      <c r="BW1544" s="6"/>
      <c r="BX1544" s="6"/>
      <c r="BY1544" s="6"/>
      <c r="BZ1544" s="6"/>
      <c r="CA1544" s="6"/>
      <c r="CB1544" s="6"/>
      <c r="CC1544" s="6"/>
      <c r="CD1544" s="6"/>
      <c r="CE1544" s="6"/>
      <c r="CF1544" s="6"/>
      <c r="CG1544" s="6"/>
      <c r="CH1544" s="6"/>
      <c r="CI1544" s="6"/>
      <c r="CJ1544" s="6"/>
      <c r="CK1544" s="6"/>
      <c r="CL1544" s="6"/>
      <c r="CM1544" s="6"/>
      <c r="CN1544" s="6"/>
      <c r="CO1544" s="6"/>
      <c r="CP1544" s="6"/>
      <c r="CQ1544" s="6"/>
      <c r="CR1544" s="6"/>
      <c r="CS1544" s="6"/>
      <c r="CT1544" s="6"/>
      <c r="CU1544" s="6"/>
      <c r="CV1544" s="6"/>
      <c r="CW1544" s="6"/>
      <c r="CX1544" s="6"/>
      <c r="CY1544" s="6"/>
      <c r="CZ1544" s="6"/>
      <c r="DA1544" s="6"/>
      <c r="DB1544" s="6"/>
      <c r="DC1544" s="6"/>
      <c r="DD1544" s="6"/>
      <c r="DE1544" s="6"/>
      <c r="DF1544" s="6"/>
      <c r="DG1544" s="6"/>
      <c r="DH1544" s="6"/>
      <c r="DI1544" s="6"/>
      <c r="DJ1544" s="6"/>
      <c r="DK1544" s="6"/>
      <c r="DL1544" s="6"/>
      <c r="DM1544" s="6"/>
      <c r="DN1544" s="6"/>
      <c r="DO1544" s="6"/>
      <c r="DP1544" s="6"/>
      <c r="DQ1544" s="6"/>
      <c r="DR1544" s="6"/>
      <c r="DS1544" s="6"/>
      <c r="DT1544" s="6"/>
      <c r="DU1544" s="6"/>
      <c r="DV1544" s="6"/>
      <c r="DW1544" s="6"/>
      <c r="DX1544" s="6"/>
      <c r="DY1544" s="6"/>
      <c r="DZ1544" s="6"/>
      <c r="EA1544" s="6"/>
      <c r="EB1544" s="6"/>
      <c r="EC1544" s="6"/>
      <c r="ED1544" s="6"/>
      <c r="EE1544" s="6"/>
      <c r="EF1544" s="6"/>
      <c r="EG1544" s="6"/>
      <c r="EH1544" s="6"/>
      <c r="EI1544" s="6"/>
      <c r="EJ1544" s="6"/>
      <c r="EK1544" s="6"/>
      <c r="EL1544" s="6"/>
      <c r="EM1544" s="6"/>
      <c r="EN1544" s="6"/>
      <c r="EO1544" s="6"/>
      <c r="EP1544" s="6"/>
      <c r="EQ1544" s="6"/>
      <c r="ER1544" s="6"/>
      <c r="ES1544" s="6"/>
      <c r="ET1544" s="6"/>
      <c r="EU1544" s="6"/>
      <c r="EV1544" s="6"/>
      <c r="EW1544" s="6"/>
      <c r="EX1544" s="6"/>
      <c r="EY1544" s="6"/>
      <c r="EZ1544" s="6"/>
      <c r="FA1544" s="6"/>
      <c r="FB1544" s="6"/>
      <c r="FC1544" s="6"/>
      <c r="FD1544" s="6"/>
      <c r="FE1544" s="6"/>
      <c r="FF1544" s="6"/>
      <c r="FG1544" s="6"/>
      <c r="FH1544" s="6"/>
      <c r="FI1544" s="6"/>
      <c r="FJ1544" s="6"/>
      <c r="FK1544" s="6"/>
      <c r="FL1544" s="6"/>
      <c r="FM1544" s="6"/>
      <c r="FN1544" s="6"/>
      <c r="FO1544" s="6"/>
      <c r="FP1544" s="6"/>
      <c r="FQ1544" s="6"/>
      <c r="FR1544" s="6"/>
      <c r="FS1544" s="6"/>
      <c r="FT1544" s="6"/>
      <c r="FU1544" s="6"/>
      <c r="FV1544" s="6"/>
      <c r="FW1544" s="6"/>
      <c r="FX1544" s="6"/>
      <c r="FY1544" s="6"/>
      <c r="FZ1544" s="6"/>
      <c r="GA1544" s="6"/>
      <c r="GB1544" s="6"/>
      <c r="GC1544" s="6"/>
      <c r="GD1544" s="6"/>
      <c r="GE1544" s="6"/>
      <c r="GF1544" s="6"/>
      <c r="GG1544" s="6"/>
      <c r="GH1544" s="6"/>
      <c r="GI1544" s="6"/>
      <c r="GJ1544" s="6"/>
      <c r="GK1544" s="6"/>
      <c r="GL1544" s="6"/>
      <c r="GM1544" s="6"/>
      <c r="GN1544" s="6"/>
      <c r="GO1544" s="6"/>
      <c r="GP1544" s="6"/>
      <c r="GQ1544" s="6"/>
      <c r="GR1544" s="6"/>
      <c r="GS1544" s="6"/>
      <c r="GT1544" s="6"/>
      <c r="GU1544" s="6"/>
      <c r="GV1544" s="6"/>
      <c r="GW1544" s="6"/>
      <c r="GX1544" s="6"/>
      <c r="GY1544" s="6"/>
      <c r="GZ1544" s="6"/>
      <c r="HA1544" s="6"/>
      <c r="HB1544" s="6"/>
      <c r="HC1544" s="6"/>
      <c r="HD1544" s="6"/>
      <c r="HE1544" s="6"/>
      <c r="HF1544" s="6"/>
      <c r="HG1544" s="6"/>
      <c r="HH1544" s="6"/>
    </row>
    <row r="1545" spans="1:216" x14ac:dyDescent="0.3">
      <c r="A1545" s="8"/>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6"/>
      <c r="AR1545" s="6"/>
      <c r="AS1545" s="6"/>
      <c r="AT1545" s="6"/>
      <c r="AU1545" s="6"/>
      <c r="AV1545" s="6"/>
      <c r="AW1545" s="6"/>
      <c r="AX1545" s="6"/>
      <c r="AY1545" s="6"/>
      <c r="AZ1545" s="6"/>
      <c r="BA1545" s="6"/>
      <c r="BB1545" s="6"/>
      <c r="BC1545" s="6"/>
      <c r="BD1545" s="6"/>
      <c r="BE1545" s="6"/>
      <c r="BF1545" s="6"/>
      <c r="BG1545" s="6"/>
      <c r="BH1545" s="6"/>
      <c r="BI1545" s="6"/>
      <c r="BJ1545" s="6"/>
      <c r="BK1545" s="6"/>
      <c r="BL1545" s="6"/>
      <c r="BM1545" s="6"/>
      <c r="BN1545" s="6"/>
      <c r="BO1545" s="6"/>
      <c r="BP1545" s="6"/>
      <c r="BQ1545" s="6"/>
      <c r="BR1545" s="6"/>
      <c r="BS1545" s="6"/>
      <c r="BT1545" s="6"/>
      <c r="BU1545" s="6"/>
      <c r="BV1545" s="6"/>
      <c r="BW1545" s="6"/>
      <c r="BX1545" s="6"/>
      <c r="BY1545" s="6"/>
      <c r="BZ1545" s="6"/>
      <c r="CA1545" s="6"/>
      <c r="CB1545" s="6"/>
      <c r="CC1545" s="6"/>
      <c r="CD1545" s="6"/>
      <c r="CE1545" s="6"/>
      <c r="CF1545" s="6"/>
      <c r="CG1545" s="6"/>
      <c r="CH1545" s="6"/>
      <c r="CI1545" s="6"/>
      <c r="CJ1545" s="6"/>
      <c r="CK1545" s="6"/>
      <c r="CL1545" s="6"/>
      <c r="CM1545" s="6"/>
      <c r="CN1545" s="6"/>
      <c r="CO1545" s="6"/>
      <c r="CP1545" s="6"/>
      <c r="CQ1545" s="6"/>
      <c r="CR1545" s="6"/>
      <c r="CS1545" s="6"/>
      <c r="CT1545" s="6"/>
      <c r="CU1545" s="6"/>
      <c r="CV1545" s="6"/>
      <c r="CW1545" s="6"/>
      <c r="CX1545" s="6"/>
      <c r="CY1545" s="6"/>
      <c r="CZ1545" s="6"/>
      <c r="DA1545" s="6"/>
      <c r="DB1545" s="6"/>
      <c r="DC1545" s="6"/>
      <c r="DD1545" s="6"/>
      <c r="DE1545" s="6"/>
      <c r="DF1545" s="6"/>
      <c r="DG1545" s="6"/>
      <c r="DH1545" s="6"/>
      <c r="DI1545" s="6"/>
      <c r="DJ1545" s="6"/>
      <c r="DK1545" s="6"/>
      <c r="DL1545" s="6"/>
      <c r="DM1545" s="6"/>
      <c r="DN1545" s="6"/>
      <c r="DO1545" s="6"/>
      <c r="DP1545" s="6"/>
      <c r="DQ1545" s="6"/>
      <c r="DR1545" s="6"/>
      <c r="DS1545" s="6"/>
      <c r="DT1545" s="6"/>
      <c r="DU1545" s="6"/>
      <c r="DV1545" s="6"/>
      <c r="DW1545" s="6"/>
      <c r="DX1545" s="6"/>
      <c r="DY1545" s="6"/>
      <c r="DZ1545" s="6"/>
      <c r="EA1545" s="6"/>
      <c r="EB1545" s="6"/>
      <c r="EC1545" s="6"/>
      <c r="ED1545" s="6"/>
      <c r="EE1545" s="6"/>
      <c r="EF1545" s="6"/>
      <c r="EG1545" s="6"/>
      <c r="EH1545" s="6"/>
      <c r="EI1545" s="6"/>
      <c r="EJ1545" s="6"/>
      <c r="EK1545" s="6"/>
      <c r="EL1545" s="6"/>
      <c r="EM1545" s="6"/>
      <c r="EN1545" s="6"/>
      <c r="EO1545" s="6"/>
      <c r="EP1545" s="6"/>
      <c r="EQ1545" s="6"/>
      <c r="ER1545" s="6"/>
      <c r="ES1545" s="6"/>
      <c r="ET1545" s="6"/>
      <c r="EU1545" s="6"/>
      <c r="EV1545" s="6"/>
      <c r="EW1545" s="6"/>
      <c r="EX1545" s="6"/>
      <c r="EY1545" s="6"/>
      <c r="EZ1545" s="6"/>
      <c r="FA1545" s="6"/>
      <c r="FB1545" s="6"/>
      <c r="FC1545" s="6"/>
      <c r="FD1545" s="6"/>
      <c r="FE1545" s="6"/>
      <c r="FF1545" s="6"/>
      <c r="FG1545" s="6"/>
      <c r="FH1545" s="6"/>
      <c r="FI1545" s="6"/>
      <c r="FJ1545" s="6"/>
      <c r="FK1545" s="6"/>
      <c r="FL1545" s="6"/>
      <c r="FM1545" s="6"/>
      <c r="FN1545" s="6"/>
      <c r="FO1545" s="6"/>
      <c r="FP1545" s="6"/>
      <c r="FQ1545" s="6"/>
      <c r="FR1545" s="6"/>
      <c r="FS1545" s="6"/>
      <c r="FT1545" s="6"/>
      <c r="FU1545" s="6"/>
      <c r="FV1545" s="6"/>
      <c r="FW1545" s="6"/>
      <c r="FX1545" s="6"/>
      <c r="FY1545" s="6"/>
      <c r="FZ1545" s="6"/>
      <c r="GA1545" s="6"/>
      <c r="GB1545" s="6"/>
      <c r="GC1545" s="6"/>
      <c r="GD1545" s="6"/>
      <c r="GE1545" s="6"/>
      <c r="GF1545" s="6"/>
      <c r="GG1545" s="6"/>
      <c r="GH1545" s="6"/>
      <c r="GI1545" s="6"/>
      <c r="GJ1545" s="6"/>
      <c r="GK1545" s="6"/>
      <c r="GL1545" s="6"/>
      <c r="GM1545" s="6"/>
      <c r="GN1545" s="6"/>
      <c r="GO1545" s="6"/>
      <c r="GP1545" s="6"/>
      <c r="GQ1545" s="6"/>
      <c r="GR1545" s="6"/>
      <c r="GS1545" s="6"/>
      <c r="GT1545" s="6"/>
      <c r="GU1545" s="6"/>
      <c r="GV1545" s="6"/>
      <c r="GW1545" s="6"/>
      <c r="GX1545" s="6"/>
      <c r="GY1545" s="6"/>
      <c r="GZ1545" s="6"/>
      <c r="HA1545" s="6"/>
      <c r="HB1545" s="6"/>
      <c r="HC1545" s="6"/>
      <c r="HD1545" s="6"/>
      <c r="HE1545" s="6"/>
      <c r="HF1545" s="6"/>
      <c r="HG1545" s="6"/>
      <c r="HH1545" s="6"/>
    </row>
    <row r="1546" spans="1:216" x14ac:dyDescent="0.3">
      <c r="A1546" s="8"/>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6"/>
      <c r="AR1546" s="6"/>
      <c r="AS1546" s="6"/>
      <c r="AT1546" s="6"/>
      <c r="AU1546" s="6"/>
      <c r="AV1546" s="6"/>
      <c r="AW1546" s="6"/>
      <c r="AX1546" s="6"/>
      <c r="AY1546" s="6"/>
      <c r="AZ1546" s="6"/>
      <c r="BA1546" s="6"/>
      <c r="BB1546" s="6"/>
      <c r="BC1546" s="6"/>
      <c r="BD1546" s="6"/>
      <c r="BE1546" s="6"/>
      <c r="BF1546" s="6"/>
      <c r="BG1546" s="6"/>
      <c r="BH1546" s="6"/>
      <c r="BI1546" s="6"/>
      <c r="BJ1546" s="6"/>
      <c r="BK1546" s="6"/>
      <c r="BL1546" s="6"/>
      <c r="BM1546" s="6"/>
      <c r="BN1546" s="6"/>
      <c r="BO1546" s="6"/>
      <c r="BP1546" s="6"/>
      <c r="BQ1546" s="6"/>
      <c r="BR1546" s="6"/>
      <c r="BS1546" s="6"/>
      <c r="BT1546" s="6"/>
      <c r="BU1546" s="6"/>
      <c r="BV1546" s="6"/>
      <c r="BW1546" s="6"/>
      <c r="BX1546" s="6"/>
      <c r="BY1546" s="6"/>
      <c r="BZ1546" s="6"/>
      <c r="CA1546" s="6"/>
      <c r="CB1546" s="6"/>
      <c r="CC1546" s="6"/>
      <c r="CD1546" s="6"/>
      <c r="CE1546" s="6"/>
      <c r="CF1546" s="6"/>
      <c r="CG1546" s="6"/>
      <c r="CH1546" s="6"/>
      <c r="CI1546" s="6"/>
      <c r="CJ1546" s="6"/>
      <c r="CK1546" s="6"/>
      <c r="CL1546" s="6"/>
      <c r="CM1546" s="6"/>
      <c r="CN1546" s="6"/>
      <c r="CO1546" s="6"/>
      <c r="CP1546" s="6"/>
      <c r="CQ1546" s="6"/>
      <c r="CR1546" s="6"/>
      <c r="CS1546" s="6"/>
      <c r="CT1546" s="6"/>
      <c r="CU1546" s="6"/>
      <c r="CV1546" s="6"/>
      <c r="CW1546" s="6"/>
      <c r="CX1546" s="6"/>
      <c r="CY1546" s="6"/>
      <c r="CZ1546" s="6"/>
      <c r="DA1546" s="6"/>
      <c r="DB1546" s="6"/>
      <c r="DC1546" s="6"/>
      <c r="DD1546" s="6"/>
      <c r="DE1546" s="6"/>
      <c r="DF1546" s="6"/>
      <c r="DG1546" s="6"/>
      <c r="DH1546" s="6"/>
      <c r="DI1546" s="6"/>
      <c r="DJ1546" s="6"/>
      <c r="DK1546" s="6"/>
      <c r="DL1546" s="6"/>
      <c r="DM1546" s="6"/>
      <c r="DN1546" s="6"/>
      <c r="DO1546" s="6"/>
      <c r="DP1546" s="6"/>
      <c r="DQ1546" s="6"/>
      <c r="DR1546" s="6"/>
      <c r="DS1546" s="6"/>
      <c r="DT1546" s="6"/>
      <c r="DU1546" s="6"/>
      <c r="DV1546" s="6"/>
      <c r="DW1546" s="6"/>
      <c r="DX1546" s="6"/>
      <c r="DY1546" s="6"/>
      <c r="DZ1546" s="6"/>
      <c r="EA1546" s="6"/>
      <c r="EB1546" s="6"/>
      <c r="EC1546" s="6"/>
      <c r="ED1546" s="6"/>
      <c r="EE1546" s="6"/>
      <c r="EF1546" s="6"/>
      <c r="EG1546" s="6"/>
      <c r="EH1546" s="6"/>
      <c r="EI1546" s="6"/>
      <c r="EJ1546" s="6"/>
      <c r="EK1546" s="6"/>
      <c r="EL1546" s="6"/>
      <c r="EM1546" s="6"/>
      <c r="EN1546" s="6"/>
      <c r="EO1546" s="6"/>
      <c r="EP1546" s="6"/>
      <c r="EQ1546" s="6"/>
      <c r="ER1546" s="6"/>
      <c r="ES1546" s="6"/>
      <c r="ET1546" s="6"/>
      <c r="EU1546" s="6"/>
      <c r="EV1546" s="6"/>
      <c r="EW1546" s="6"/>
      <c r="EX1546" s="6"/>
      <c r="EY1546" s="6"/>
      <c r="EZ1546" s="6"/>
      <c r="FA1546" s="6"/>
      <c r="FB1546" s="6"/>
      <c r="FC1546" s="6"/>
      <c r="FD1546" s="6"/>
      <c r="FE1546" s="6"/>
      <c r="FF1546" s="6"/>
      <c r="FG1546" s="6"/>
      <c r="FH1546" s="6"/>
      <c r="FI1546" s="6"/>
      <c r="FJ1546" s="6"/>
      <c r="FK1546" s="6"/>
      <c r="FL1546" s="6"/>
      <c r="FM1546" s="6"/>
      <c r="FN1546" s="6"/>
      <c r="FO1546" s="6"/>
      <c r="FP1546" s="6"/>
      <c r="FQ1546" s="6"/>
      <c r="FR1546" s="6"/>
      <c r="FS1546" s="6"/>
      <c r="FT1546" s="6"/>
      <c r="FU1546" s="6"/>
      <c r="FV1546" s="6"/>
      <c r="FW1546" s="6"/>
      <c r="FX1546" s="6"/>
      <c r="FY1546" s="6"/>
      <c r="FZ1546" s="6"/>
      <c r="GA1546" s="6"/>
      <c r="GB1546" s="6"/>
      <c r="GC1546" s="6"/>
      <c r="GD1546" s="6"/>
      <c r="GE1546" s="6"/>
      <c r="GF1546" s="6"/>
      <c r="GG1546" s="6"/>
      <c r="GH1546" s="6"/>
      <c r="GI1546" s="6"/>
      <c r="GJ1546" s="6"/>
      <c r="GK1546" s="6"/>
      <c r="GL1546" s="6"/>
      <c r="GM1546" s="6"/>
      <c r="GN1546" s="6"/>
      <c r="GO1546" s="6"/>
      <c r="GP1546" s="6"/>
      <c r="GQ1546" s="6"/>
      <c r="GR1546" s="6"/>
      <c r="GS1546" s="6"/>
      <c r="GT1546" s="6"/>
      <c r="GU1546" s="6"/>
      <c r="GV1546" s="6"/>
      <c r="GW1546" s="6"/>
      <c r="GX1546" s="6"/>
      <c r="GY1546" s="6"/>
      <c r="GZ1546" s="6"/>
      <c r="HA1546" s="6"/>
      <c r="HB1546" s="6"/>
      <c r="HC1546" s="6"/>
      <c r="HD1546" s="6"/>
      <c r="HE1546" s="6"/>
      <c r="HF1546" s="6"/>
      <c r="HG1546" s="6"/>
      <c r="HH1546" s="6"/>
    </row>
    <row r="1547" spans="1:216" x14ac:dyDescent="0.3">
      <c r="A1547" s="8"/>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6"/>
      <c r="AR1547" s="6"/>
      <c r="AS1547" s="6"/>
      <c r="AT1547" s="6"/>
      <c r="AU1547" s="6"/>
      <c r="AV1547" s="6"/>
      <c r="AW1547" s="6"/>
      <c r="AX1547" s="6"/>
      <c r="AY1547" s="6"/>
      <c r="AZ1547" s="6"/>
      <c r="BA1547" s="6"/>
      <c r="BB1547" s="6"/>
      <c r="BC1547" s="6"/>
      <c r="BD1547" s="6"/>
      <c r="BE1547" s="6"/>
      <c r="BF1547" s="6"/>
      <c r="BG1547" s="6"/>
      <c r="BH1547" s="6"/>
      <c r="BI1547" s="6"/>
      <c r="BJ1547" s="6"/>
      <c r="BK1547" s="6"/>
      <c r="BL1547" s="6"/>
      <c r="BM1547" s="6"/>
      <c r="BN1547" s="6"/>
      <c r="BO1547" s="6"/>
      <c r="BP1547" s="6"/>
      <c r="BQ1547" s="6"/>
      <c r="BR1547" s="6"/>
      <c r="BS1547" s="6"/>
      <c r="BT1547" s="6"/>
      <c r="BU1547" s="6"/>
      <c r="BV1547" s="6"/>
      <c r="BW1547" s="6"/>
      <c r="BX1547" s="6"/>
      <c r="BY1547" s="6"/>
      <c r="BZ1547" s="6"/>
      <c r="CA1547" s="6"/>
      <c r="CB1547" s="6"/>
      <c r="CC1547" s="6"/>
      <c r="CD1547" s="6"/>
      <c r="CE1547" s="6"/>
      <c r="CF1547" s="6"/>
      <c r="CG1547" s="6"/>
      <c r="CH1547" s="6"/>
      <c r="CI1547" s="6"/>
      <c r="CJ1547" s="6"/>
      <c r="CK1547" s="6"/>
      <c r="CL1547" s="6"/>
      <c r="CM1547" s="6"/>
      <c r="CN1547" s="6"/>
      <c r="CO1547" s="6"/>
      <c r="CP1547" s="6"/>
      <c r="CQ1547" s="6"/>
      <c r="CR1547" s="6"/>
      <c r="CS1547" s="6"/>
      <c r="CT1547" s="6"/>
      <c r="CU1547" s="6"/>
      <c r="CV1547" s="6"/>
      <c r="CW1547" s="6"/>
      <c r="CX1547" s="6"/>
      <c r="CY1547" s="6"/>
      <c r="CZ1547" s="6"/>
      <c r="DA1547" s="6"/>
      <c r="DB1547" s="6"/>
      <c r="DC1547" s="6"/>
      <c r="DD1547" s="6"/>
      <c r="DE1547" s="6"/>
      <c r="DF1547" s="6"/>
      <c r="DG1547" s="6"/>
      <c r="DH1547" s="6"/>
      <c r="DI1547" s="6"/>
      <c r="DJ1547" s="6"/>
      <c r="DK1547" s="6"/>
      <c r="DL1547" s="6"/>
      <c r="DM1547" s="6"/>
      <c r="DN1547" s="6"/>
      <c r="DO1547" s="6"/>
      <c r="DP1547" s="6"/>
      <c r="DQ1547" s="6"/>
      <c r="DR1547" s="6"/>
      <c r="DS1547" s="6"/>
      <c r="DT1547" s="6"/>
      <c r="DU1547" s="6"/>
      <c r="DV1547" s="6"/>
      <c r="DW1547" s="6"/>
      <c r="DX1547" s="6"/>
      <c r="DY1547" s="6"/>
      <c r="DZ1547" s="6"/>
      <c r="EA1547" s="6"/>
      <c r="EB1547" s="6"/>
      <c r="EC1547" s="6"/>
      <c r="ED1547" s="6"/>
      <c r="EE1547" s="6"/>
      <c r="EF1547" s="6"/>
      <c r="EG1547" s="6"/>
      <c r="EH1547" s="6"/>
      <c r="EI1547" s="6"/>
      <c r="EJ1547" s="6"/>
      <c r="EK1547" s="6"/>
      <c r="EL1547" s="6"/>
      <c r="EM1547" s="6"/>
      <c r="EN1547" s="6"/>
      <c r="EO1547" s="6"/>
      <c r="EP1547" s="6"/>
      <c r="EQ1547" s="6"/>
      <c r="ER1547" s="6"/>
      <c r="ES1547" s="6"/>
      <c r="ET1547" s="6"/>
      <c r="EU1547" s="6"/>
      <c r="EV1547" s="6"/>
      <c r="EW1547" s="6"/>
      <c r="EX1547" s="6"/>
      <c r="EY1547" s="6"/>
      <c r="EZ1547" s="6"/>
      <c r="FA1547" s="6"/>
      <c r="FB1547" s="6"/>
      <c r="FC1547" s="6"/>
      <c r="FD1547" s="6"/>
      <c r="FE1547" s="6"/>
      <c r="FF1547" s="6"/>
      <c r="FG1547" s="6"/>
      <c r="FH1547" s="6"/>
      <c r="FI1547" s="6"/>
      <c r="FJ1547" s="6"/>
      <c r="FK1547" s="6"/>
      <c r="FL1547" s="6"/>
      <c r="FM1547" s="6"/>
      <c r="FN1547" s="6"/>
      <c r="FO1547" s="6"/>
      <c r="FP1547" s="6"/>
      <c r="FQ1547" s="6"/>
      <c r="FR1547" s="6"/>
      <c r="FS1547" s="6"/>
      <c r="FT1547" s="6"/>
      <c r="FU1547" s="6"/>
      <c r="FV1547" s="6"/>
      <c r="FW1547" s="6"/>
      <c r="FX1547" s="6"/>
      <c r="FY1547" s="6"/>
      <c r="FZ1547" s="6"/>
      <c r="GA1547" s="6"/>
      <c r="GB1547" s="6"/>
      <c r="GC1547" s="6"/>
      <c r="GD1547" s="6"/>
      <c r="GE1547" s="6"/>
      <c r="GF1547" s="6"/>
      <c r="GG1547" s="6"/>
      <c r="GH1547" s="6"/>
      <c r="GI1547" s="6"/>
      <c r="GJ1547" s="6"/>
      <c r="GK1547" s="6"/>
      <c r="GL1547" s="6"/>
      <c r="GM1547" s="6"/>
      <c r="GN1547" s="6"/>
      <c r="GO1547" s="6"/>
      <c r="GP1547" s="6"/>
      <c r="GQ1547" s="6"/>
      <c r="GR1547" s="6"/>
      <c r="GS1547" s="6"/>
      <c r="GT1547" s="6"/>
      <c r="GU1547" s="6"/>
      <c r="GV1547" s="6"/>
      <c r="GW1547" s="6"/>
      <c r="GX1547" s="6"/>
      <c r="GY1547" s="6"/>
      <c r="GZ1547" s="6"/>
      <c r="HA1547" s="6"/>
      <c r="HB1547" s="6"/>
      <c r="HC1547" s="6"/>
      <c r="HD1547" s="6"/>
      <c r="HE1547" s="6"/>
      <c r="HF1547" s="6"/>
      <c r="HG1547" s="6"/>
      <c r="HH1547" s="6"/>
    </row>
    <row r="1548" spans="1:216" x14ac:dyDescent="0.3">
      <c r="A1548" s="8"/>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6"/>
      <c r="AR1548" s="6"/>
      <c r="AS1548" s="6"/>
      <c r="AT1548" s="6"/>
      <c r="AU1548" s="6"/>
      <c r="AV1548" s="6"/>
      <c r="AW1548" s="6"/>
      <c r="AX1548" s="6"/>
      <c r="AY1548" s="6"/>
      <c r="AZ1548" s="6"/>
      <c r="BA1548" s="6"/>
      <c r="BB1548" s="6"/>
      <c r="BC1548" s="6"/>
      <c r="BD1548" s="6"/>
      <c r="BE1548" s="6"/>
      <c r="BF1548" s="6"/>
      <c r="BG1548" s="6"/>
      <c r="BH1548" s="6"/>
      <c r="BI1548" s="6"/>
      <c r="BJ1548" s="6"/>
      <c r="BK1548" s="6"/>
      <c r="BL1548" s="6"/>
      <c r="BM1548" s="6"/>
      <c r="BN1548" s="6"/>
      <c r="BO1548" s="6"/>
      <c r="BP1548" s="6"/>
      <c r="BQ1548" s="6"/>
      <c r="BR1548" s="6"/>
      <c r="BS1548" s="6"/>
      <c r="BT1548" s="6"/>
      <c r="BU1548" s="6"/>
      <c r="BV1548" s="6"/>
      <c r="BW1548" s="6"/>
      <c r="BX1548" s="6"/>
      <c r="BY1548" s="6"/>
      <c r="BZ1548" s="6"/>
      <c r="CA1548" s="6"/>
      <c r="CB1548" s="6"/>
      <c r="CC1548" s="6"/>
      <c r="CD1548" s="6"/>
      <c r="CE1548" s="6"/>
      <c r="CF1548" s="6"/>
      <c r="CG1548" s="6"/>
      <c r="CH1548" s="6"/>
      <c r="CI1548" s="6"/>
      <c r="CJ1548" s="6"/>
      <c r="CK1548" s="6"/>
      <c r="CL1548" s="6"/>
      <c r="CM1548" s="6"/>
      <c r="CN1548" s="6"/>
      <c r="CO1548" s="6"/>
      <c r="CP1548" s="6"/>
      <c r="CQ1548" s="6"/>
      <c r="CR1548" s="6"/>
      <c r="CS1548" s="6"/>
      <c r="CT1548" s="6"/>
      <c r="CU1548" s="6"/>
      <c r="CV1548" s="6"/>
      <c r="CW1548" s="6"/>
      <c r="CX1548" s="6"/>
      <c r="CY1548" s="6"/>
      <c r="CZ1548" s="6"/>
      <c r="DA1548" s="6"/>
      <c r="DB1548" s="6"/>
      <c r="DC1548" s="6"/>
      <c r="DD1548" s="6"/>
      <c r="DE1548" s="6"/>
      <c r="DF1548" s="6"/>
      <c r="DG1548" s="6"/>
      <c r="DH1548" s="6"/>
      <c r="DI1548" s="6"/>
      <c r="DJ1548" s="6"/>
      <c r="DK1548" s="6"/>
      <c r="DL1548" s="6"/>
      <c r="DM1548" s="6"/>
      <c r="DN1548" s="6"/>
      <c r="DO1548" s="6"/>
      <c r="DP1548" s="6"/>
      <c r="DQ1548" s="6"/>
      <c r="DR1548" s="6"/>
      <c r="DS1548" s="6"/>
      <c r="DT1548" s="6"/>
      <c r="DU1548" s="6"/>
      <c r="DV1548" s="6"/>
      <c r="DW1548" s="6"/>
      <c r="DX1548" s="6"/>
      <c r="DY1548" s="6"/>
      <c r="DZ1548" s="6"/>
      <c r="EA1548" s="6"/>
      <c r="EB1548" s="6"/>
      <c r="EC1548" s="6"/>
      <c r="ED1548" s="6"/>
      <c r="EE1548" s="6"/>
      <c r="EF1548" s="6"/>
      <c r="EG1548" s="6"/>
      <c r="EH1548" s="6"/>
      <c r="EI1548" s="6"/>
      <c r="EJ1548" s="6"/>
      <c r="EK1548" s="6"/>
      <c r="EL1548" s="6"/>
      <c r="EM1548" s="6"/>
      <c r="EN1548" s="6"/>
      <c r="EO1548" s="6"/>
      <c r="EP1548" s="6"/>
      <c r="EQ1548" s="6"/>
      <c r="ER1548" s="6"/>
      <c r="ES1548" s="6"/>
      <c r="ET1548" s="6"/>
      <c r="EU1548" s="6"/>
      <c r="EV1548" s="6"/>
      <c r="EW1548" s="6"/>
      <c r="EX1548" s="6"/>
      <c r="EY1548" s="6"/>
      <c r="EZ1548" s="6"/>
      <c r="FA1548" s="6"/>
      <c r="FB1548" s="6"/>
      <c r="FC1548" s="6"/>
      <c r="FD1548" s="6"/>
      <c r="FE1548" s="6"/>
      <c r="FF1548" s="6"/>
      <c r="FG1548" s="6"/>
      <c r="FH1548" s="6"/>
      <c r="FI1548" s="6"/>
      <c r="FJ1548" s="6"/>
      <c r="FK1548" s="6"/>
      <c r="FL1548" s="6"/>
      <c r="FM1548" s="6"/>
      <c r="FN1548" s="6"/>
      <c r="FO1548" s="6"/>
      <c r="FP1548" s="6"/>
      <c r="FQ1548" s="6"/>
      <c r="FR1548" s="6"/>
      <c r="FS1548" s="6"/>
      <c r="FT1548" s="6"/>
      <c r="FU1548" s="6"/>
      <c r="FV1548" s="6"/>
      <c r="FW1548" s="6"/>
      <c r="FX1548" s="6"/>
      <c r="FY1548" s="6"/>
      <c r="FZ1548" s="6"/>
      <c r="GA1548" s="6"/>
      <c r="GB1548" s="6"/>
      <c r="GC1548" s="6"/>
      <c r="GD1548" s="6"/>
      <c r="GE1548" s="6"/>
      <c r="GF1548" s="6"/>
      <c r="GG1548" s="6"/>
      <c r="GH1548" s="6"/>
      <c r="GI1548" s="6"/>
      <c r="GJ1548" s="6"/>
      <c r="GK1548" s="6"/>
      <c r="GL1548" s="6"/>
      <c r="GM1548" s="6"/>
      <c r="GN1548" s="6"/>
      <c r="GO1548" s="6"/>
      <c r="GP1548" s="6"/>
      <c r="GQ1548" s="6"/>
      <c r="GR1548" s="6"/>
      <c r="GS1548" s="6"/>
      <c r="GT1548" s="6"/>
      <c r="GU1548" s="6"/>
      <c r="GV1548" s="6"/>
      <c r="GW1548" s="6"/>
      <c r="GX1548" s="6"/>
      <c r="GY1548" s="6"/>
      <c r="GZ1548" s="6"/>
      <c r="HA1548" s="6"/>
      <c r="HB1548" s="6"/>
      <c r="HC1548" s="6"/>
      <c r="HD1548" s="6"/>
      <c r="HE1548" s="6"/>
      <c r="HF1548" s="6"/>
      <c r="HG1548" s="6"/>
      <c r="HH1548" s="6"/>
    </row>
    <row r="1549" spans="1:216" x14ac:dyDescent="0.3">
      <c r="A1549" s="8"/>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6"/>
      <c r="AR1549" s="6"/>
      <c r="AS1549" s="6"/>
      <c r="AT1549" s="6"/>
      <c r="AU1549" s="6"/>
      <c r="AV1549" s="6"/>
      <c r="AW1549" s="6"/>
      <c r="AX1549" s="6"/>
      <c r="AY1549" s="6"/>
      <c r="AZ1549" s="6"/>
      <c r="BA1549" s="6"/>
      <c r="BB1549" s="6"/>
      <c r="BC1549" s="6"/>
      <c r="BD1549" s="6"/>
      <c r="BE1549" s="6"/>
      <c r="BF1549" s="6"/>
      <c r="BG1549" s="6"/>
      <c r="BH1549" s="6"/>
      <c r="BI1549" s="6"/>
      <c r="BJ1549" s="6"/>
      <c r="BK1549" s="6"/>
      <c r="BL1549" s="6"/>
      <c r="BM1549" s="6"/>
      <c r="BN1549" s="6"/>
      <c r="BO1549" s="6"/>
      <c r="BP1549" s="6"/>
      <c r="BQ1549" s="6"/>
      <c r="BR1549" s="6"/>
      <c r="BS1549" s="6"/>
      <c r="BT1549" s="6"/>
      <c r="BU1549" s="6"/>
      <c r="BV1549" s="6"/>
      <c r="BW1549" s="6"/>
      <c r="BX1549" s="6"/>
      <c r="BY1549" s="6"/>
      <c r="BZ1549" s="6"/>
      <c r="CA1549" s="6"/>
      <c r="CB1549" s="6"/>
      <c r="CC1549" s="6"/>
      <c r="CD1549" s="6"/>
      <c r="CE1549" s="6"/>
      <c r="CF1549" s="6"/>
      <c r="CG1549" s="6"/>
      <c r="CH1549" s="6"/>
      <c r="CI1549" s="6"/>
      <c r="CJ1549" s="6"/>
      <c r="CK1549" s="6"/>
      <c r="CL1549" s="6"/>
      <c r="CM1549" s="6"/>
      <c r="CN1549" s="6"/>
      <c r="CO1549" s="6"/>
      <c r="CP1549" s="6"/>
      <c r="CQ1549" s="6"/>
      <c r="CR1549" s="6"/>
      <c r="CS1549" s="6"/>
      <c r="CT1549" s="6"/>
      <c r="CU1549" s="6"/>
      <c r="CV1549" s="6"/>
      <c r="CW1549" s="6"/>
      <c r="CX1549" s="6"/>
      <c r="CY1549" s="6"/>
      <c r="CZ1549" s="6"/>
      <c r="DA1549" s="6"/>
      <c r="DB1549" s="6"/>
      <c r="DC1549" s="6"/>
      <c r="DD1549" s="6"/>
      <c r="DE1549" s="6"/>
      <c r="DF1549" s="6"/>
      <c r="DG1549" s="6"/>
      <c r="DH1549" s="6"/>
      <c r="DI1549" s="6"/>
      <c r="DJ1549" s="6"/>
      <c r="DK1549" s="6"/>
      <c r="DL1549" s="6"/>
      <c r="DM1549" s="6"/>
      <c r="DN1549" s="6"/>
      <c r="DO1549" s="6"/>
      <c r="DP1549" s="6"/>
      <c r="DQ1549" s="6"/>
      <c r="DR1549" s="6"/>
      <c r="DS1549" s="6"/>
      <c r="DT1549" s="6"/>
      <c r="DU1549" s="6"/>
      <c r="DV1549" s="6"/>
      <c r="DW1549" s="6"/>
      <c r="DX1549" s="6"/>
      <c r="DY1549" s="6"/>
      <c r="DZ1549" s="6"/>
      <c r="EA1549" s="6"/>
      <c r="EB1549" s="6"/>
      <c r="EC1549" s="6"/>
      <c r="ED1549" s="6"/>
      <c r="EE1549" s="6"/>
      <c r="EF1549" s="6"/>
      <c r="EG1549" s="6"/>
      <c r="EH1549" s="6"/>
      <c r="EI1549" s="6"/>
      <c r="EJ1549" s="6"/>
      <c r="EK1549" s="6"/>
      <c r="EL1549" s="6"/>
      <c r="EM1549" s="6"/>
      <c r="EN1549" s="6"/>
      <c r="EO1549" s="6"/>
      <c r="EP1549" s="6"/>
      <c r="EQ1549" s="6"/>
      <c r="ER1549" s="6"/>
      <c r="ES1549" s="6"/>
      <c r="ET1549" s="6"/>
      <c r="EU1549" s="6"/>
      <c r="EV1549" s="6"/>
      <c r="EW1549" s="6"/>
      <c r="EX1549" s="6"/>
      <c r="EY1549" s="6"/>
      <c r="EZ1549" s="6"/>
      <c r="FA1549" s="6"/>
      <c r="FB1549" s="6"/>
      <c r="FC1549" s="6"/>
      <c r="FD1549" s="6"/>
      <c r="FE1549" s="6"/>
      <c r="FF1549" s="6"/>
      <c r="FG1549" s="6"/>
      <c r="FH1549" s="6"/>
      <c r="FI1549" s="6"/>
      <c r="FJ1549" s="6"/>
      <c r="FK1549" s="6"/>
      <c r="FL1549" s="6"/>
      <c r="FM1549" s="6"/>
      <c r="FN1549" s="6"/>
      <c r="FO1549" s="6"/>
      <c r="FP1549" s="6"/>
      <c r="FQ1549" s="6"/>
      <c r="FR1549" s="6"/>
      <c r="FS1549" s="6"/>
      <c r="FT1549" s="6"/>
      <c r="FU1549" s="6"/>
      <c r="FV1549" s="6"/>
      <c r="FW1549" s="6"/>
      <c r="FX1549" s="6"/>
      <c r="FY1549" s="6"/>
      <c r="FZ1549" s="6"/>
      <c r="GA1549" s="6"/>
      <c r="GB1549" s="6"/>
      <c r="GC1549" s="6"/>
      <c r="GD1549" s="6"/>
      <c r="GE1549" s="6"/>
      <c r="GF1549" s="6"/>
      <c r="GG1549" s="6"/>
      <c r="GH1549" s="6"/>
      <c r="GI1549" s="6"/>
      <c r="GJ1549" s="6"/>
      <c r="GK1549" s="6"/>
      <c r="GL1549" s="6"/>
      <c r="GM1549" s="6"/>
      <c r="GN1549" s="6"/>
      <c r="GO1549" s="6"/>
      <c r="GP1549" s="6"/>
      <c r="GQ1549" s="6"/>
      <c r="GR1549" s="6"/>
      <c r="GS1549" s="6"/>
      <c r="GT1549" s="6"/>
      <c r="GU1549" s="6"/>
      <c r="GV1549" s="6"/>
      <c r="GW1549" s="6"/>
      <c r="GX1549" s="6"/>
      <c r="GY1549" s="6"/>
      <c r="GZ1549" s="6"/>
      <c r="HA1549" s="6"/>
      <c r="HB1549" s="6"/>
      <c r="HC1549" s="6"/>
      <c r="HD1549" s="6"/>
      <c r="HE1549" s="6"/>
      <c r="HF1549" s="6"/>
      <c r="HG1549" s="6"/>
      <c r="HH1549" s="6"/>
    </row>
    <row r="1550" spans="1:216" x14ac:dyDescent="0.3">
      <c r="A1550" s="8"/>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6"/>
      <c r="AR1550" s="6"/>
      <c r="AS1550" s="6"/>
      <c r="AT1550" s="6"/>
      <c r="AU1550" s="6"/>
      <c r="AV1550" s="6"/>
      <c r="AW1550" s="6"/>
      <c r="AX1550" s="6"/>
      <c r="AY1550" s="6"/>
      <c r="AZ1550" s="6"/>
      <c r="BA1550" s="6"/>
      <c r="BB1550" s="6"/>
      <c r="BC1550" s="6"/>
      <c r="BD1550" s="6"/>
      <c r="BE1550" s="6"/>
      <c r="BF1550" s="6"/>
      <c r="BG1550" s="6"/>
      <c r="BH1550" s="6"/>
      <c r="BI1550" s="6"/>
      <c r="BJ1550" s="6"/>
      <c r="BK1550" s="6"/>
      <c r="BL1550" s="6"/>
      <c r="BM1550" s="6"/>
      <c r="BN1550" s="6"/>
      <c r="BO1550" s="6"/>
      <c r="BP1550" s="6"/>
      <c r="BQ1550" s="6"/>
      <c r="BR1550" s="6"/>
      <c r="BS1550" s="6"/>
      <c r="BT1550" s="6"/>
      <c r="BU1550" s="6"/>
      <c r="BV1550" s="6"/>
      <c r="BW1550" s="6"/>
      <c r="BX1550" s="6"/>
      <c r="BY1550" s="6"/>
      <c r="BZ1550" s="6"/>
      <c r="CA1550" s="6"/>
      <c r="CB1550" s="6"/>
      <c r="CC1550" s="6"/>
      <c r="CD1550" s="6"/>
      <c r="CE1550" s="6"/>
      <c r="CF1550" s="6"/>
      <c r="CG1550" s="6"/>
      <c r="CH1550" s="6"/>
      <c r="CI1550" s="6"/>
      <c r="CJ1550" s="6"/>
      <c r="CK1550" s="6"/>
      <c r="CL1550" s="6"/>
      <c r="CM1550" s="6"/>
      <c r="CN1550" s="6"/>
      <c r="CO1550" s="6"/>
      <c r="CP1550" s="6"/>
      <c r="CQ1550" s="6"/>
      <c r="CR1550" s="6"/>
      <c r="CS1550" s="6"/>
      <c r="CT1550" s="6"/>
      <c r="CU1550" s="6"/>
      <c r="CV1550" s="6"/>
      <c r="CW1550" s="6"/>
      <c r="CX1550" s="6"/>
      <c r="CY1550" s="6"/>
      <c r="CZ1550" s="6"/>
      <c r="DA1550" s="6"/>
      <c r="DB1550" s="6"/>
      <c r="DC1550" s="6"/>
      <c r="DD1550" s="6"/>
      <c r="DE1550" s="6"/>
      <c r="DF1550" s="6"/>
      <c r="DG1550" s="6"/>
      <c r="DH1550" s="6"/>
      <c r="DI1550" s="6"/>
      <c r="DJ1550" s="6"/>
      <c r="DK1550" s="6"/>
      <c r="DL1550" s="6"/>
      <c r="DM1550" s="6"/>
      <c r="DN1550" s="6"/>
      <c r="DO1550" s="6"/>
      <c r="DP1550" s="6"/>
      <c r="DQ1550" s="6"/>
      <c r="DR1550" s="6"/>
      <c r="DS1550" s="6"/>
      <c r="DT1550" s="6"/>
      <c r="DU1550" s="6"/>
      <c r="DV1550" s="6"/>
      <c r="DW1550" s="6"/>
      <c r="DX1550" s="6"/>
      <c r="DY1550" s="6"/>
      <c r="DZ1550" s="6"/>
      <c r="EA1550" s="6"/>
      <c r="EB1550" s="6"/>
      <c r="EC1550" s="6"/>
      <c r="ED1550" s="6"/>
      <c r="EE1550" s="6"/>
      <c r="EF1550" s="6"/>
      <c r="EG1550" s="6"/>
      <c r="EH1550" s="6"/>
      <c r="EI1550" s="6"/>
      <c r="EJ1550" s="6"/>
      <c r="EK1550" s="6"/>
      <c r="EL1550" s="6"/>
      <c r="EM1550" s="6"/>
      <c r="EN1550" s="6"/>
      <c r="EO1550" s="6"/>
      <c r="EP1550" s="6"/>
      <c r="EQ1550" s="6"/>
      <c r="ER1550" s="6"/>
      <c r="ES1550" s="6"/>
      <c r="ET1550" s="6"/>
      <c r="EU1550" s="6"/>
      <c r="EV1550" s="6"/>
      <c r="EW1550" s="6"/>
      <c r="EX1550" s="6"/>
      <c r="EY1550" s="6"/>
      <c r="EZ1550" s="6"/>
      <c r="FA1550" s="6"/>
      <c r="FB1550" s="6"/>
      <c r="FC1550" s="6"/>
      <c r="FD1550" s="6"/>
      <c r="FE1550" s="6"/>
      <c r="FF1550" s="6"/>
      <c r="FG1550" s="6"/>
      <c r="FH1550" s="6"/>
      <c r="FI1550" s="6"/>
      <c r="FJ1550" s="6"/>
      <c r="FK1550" s="6"/>
      <c r="FL1550" s="6"/>
      <c r="FM1550" s="6"/>
      <c r="FN1550" s="6"/>
      <c r="FO1550" s="6"/>
      <c r="FP1550" s="6"/>
      <c r="FQ1550" s="6"/>
      <c r="FR1550" s="6"/>
      <c r="FS1550" s="6"/>
      <c r="FT1550" s="6"/>
      <c r="FU1550" s="6"/>
      <c r="FV1550" s="6"/>
      <c r="FW1550" s="6"/>
      <c r="FX1550" s="6"/>
      <c r="FY1550" s="6"/>
      <c r="FZ1550" s="6"/>
      <c r="GA1550" s="6"/>
      <c r="GB1550" s="6"/>
      <c r="GC1550" s="6"/>
      <c r="GD1550" s="6"/>
      <c r="GE1550" s="6"/>
      <c r="GF1550" s="6"/>
      <c r="GG1550" s="6"/>
      <c r="GH1550" s="6"/>
      <c r="GI1550" s="6"/>
      <c r="GJ1550" s="6"/>
      <c r="GK1550" s="6"/>
      <c r="GL1550" s="6"/>
      <c r="GM1550" s="6"/>
      <c r="GN1550" s="6"/>
      <c r="GO1550" s="6"/>
      <c r="GP1550" s="6"/>
      <c r="GQ1550" s="6"/>
      <c r="GR1550" s="6"/>
      <c r="GS1550" s="6"/>
      <c r="GT1550" s="6"/>
      <c r="GU1550" s="6"/>
      <c r="GV1550" s="6"/>
      <c r="GW1550" s="6"/>
      <c r="GX1550" s="6"/>
      <c r="GY1550" s="6"/>
      <c r="GZ1550" s="6"/>
      <c r="HA1550" s="6"/>
      <c r="HB1550" s="6"/>
      <c r="HC1550" s="6"/>
      <c r="HD1550" s="6"/>
      <c r="HE1550" s="6"/>
      <c r="HF1550" s="6"/>
      <c r="HG1550" s="6"/>
      <c r="HH1550" s="6"/>
    </row>
    <row r="1551" spans="1:216" x14ac:dyDescent="0.3">
      <c r="A1551" s="8"/>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6"/>
      <c r="AR1551" s="6"/>
      <c r="AS1551" s="6"/>
      <c r="AT1551" s="6"/>
      <c r="AU1551" s="6"/>
      <c r="AV1551" s="6"/>
      <c r="AW1551" s="6"/>
      <c r="AX1551" s="6"/>
      <c r="AY1551" s="6"/>
      <c r="AZ1551" s="6"/>
      <c r="BA1551" s="6"/>
      <c r="BB1551" s="6"/>
      <c r="BC1551" s="6"/>
      <c r="BD1551" s="6"/>
      <c r="BE1551" s="6"/>
      <c r="BF1551" s="6"/>
      <c r="BG1551" s="6"/>
      <c r="BH1551" s="6"/>
      <c r="BI1551" s="6"/>
      <c r="BJ1551" s="6"/>
      <c r="BK1551" s="6"/>
      <c r="BL1551" s="6"/>
      <c r="BM1551" s="6"/>
      <c r="BN1551" s="6"/>
      <c r="BO1551" s="6"/>
      <c r="BP1551" s="6"/>
      <c r="BQ1551" s="6"/>
      <c r="BR1551" s="6"/>
      <c r="BS1551" s="6"/>
      <c r="BT1551" s="6"/>
      <c r="BU1551" s="6"/>
      <c r="BV1551" s="6"/>
      <c r="BW1551" s="6"/>
      <c r="BX1551" s="6"/>
      <c r="BY1551" s="6"/>
      <c r="BZ1551" s="6"/>
      <c r="CA1551" s="6"/>
      <c r="CB1551" s="6"/>
      <c r="CC1551" s="6"/>
      <c r="CD1551" s="6"/>
      <c r="CE1551" s="6"/>
      <c r="CF1551" s="6"/>
      <c r="CG1551" s="6"/>
      <c r="CH1551" s="6"/>
      <c r="CI1551" s="6"/>
      <c r="CJ1551" s="6"/>
      <c r="CK1551" s="6"/>
      <c r="CL1551" s="6"/>
      <c r="CM1551" s="6"/>
      <c r="CN1551" s="6"/>
      <c r="CO1551" s="6"/>
      <c r="CP1551" s="6"/>
      <c r="CQ1551" s="6"/>
      <c r="CR1551" s="6"/>
      <c r="CS1551" s="6"/>
      <c r="CT1551" s="6"/>
      <c r="CU1551" s="6"/>
      <c r="CV1551" s="6"/>
      <c r="CW1551" s="6"/>
      <c r="CX1551" s="6"/>
      <c r="CY1551" s="6"/>
      <c r="CZ1551" s="6"/>
      <c r="DA1551" s="6"/>
      <c r="DB1551" s="6"/>
      <c r="DC1551" s="6"/>
      <c r="DD1551" s="6"/>
      <c r="DE1551" s="6"/>
      <c r="DF1551" s="6"/>
      <c r="DG1551" s="6"/>
      <c r="DH1551" s="6"/>
      <c r="DI1551" s="6"/>
      <c r="DJ1551" s="6"/>
      <c r="DK1551" s="6"/>
      <c r="DL1551" s="6"/>
      <c r="DM1551" s="6"/>
      <c r="DN1551" s="6"/>
      <c r="DO1551" s="6"/>
      <c r="DP1551" s="6"/>
      <c r="DQ1551" s="6"/>
      <c r="DR1551" s="6"/>
      <c r="DS1551" s="6"/>
      <c r="DT1551" s="6"/>
      <c r="DU1551" s="6"/>
      <c r="DV1551" s="6"/>
      <c r="DW1551" s="6"/>
      <c r="DX1551" s="6"/>
      <c r="DY1551" s="6"/>
      <c r="DZ1551" s="6"/>
      <c r="EA1551" s="6"/>
      <c r="EB1551" s="6"/>
      <c r="EC1551" s="6"/>
      <c r="ED1551" s="6"/>
      <c r="EE1551" s="6"/>
      <c r="EF1551" s="6"/>
      <c r="EG1551" s="6"/>
      <c r="EH1551" s="6"/>
      <c r="EI1551" s="6"/>
      <c r="EJ1551" s="6"/>
      <c r="EK1551" s="6"/>
      <c r="EL1551" s="6"/>
      <c r="EM1551" s="6"/>
      <c r="EN1551" s="6"/>
      <c r="EO1551" s="6"/>
      <c r="EP1551" s="6"/>
      <c r="EQ1551" s="6"/>
      <c r="ER1551" s="6"/>
      <c r="ES1551" s="6"/>
      <c r="ET1551" s="6"/>
      <c r="EU1551" s="6"/>
      <c r="EV1551" s="6"/>
      <c r="EW1551" s="6"/>
      <c r="EX1551" s="6"/>
      <c r="EY1551" s="6"/>
      <c r="EZ1551" s="6"/>
      <c r="FA1551" s="6"/>
      <c r="FB1551" s="6"/>
      <c r="FC1551" s="6"/>
      <c r="FD1551" s="6"/>
      <c r="FE1551" s="6"/>
      <c r="FF1551" s="6"/>
      <c r="FG1551" s="6"/>
      <c r="FH1551" s="6"/>
      <c r="FI1551" s="6"/>
      <c r="FJ1551" s="6"/>
      <c r="FK1551" s="6"/>
      <c r="FL1551" s="6"/>
      <c r="FM1551" s="6"/>
      <c r="FN1551" s="6"/>
      <c r="FO1551" s="6"/>
      <c r="FP1551" s="6"/>
      <c r="FQ1551" s="6"/>
      <c r="FR1551" s="6"/>
      <c r="FS1551" s="6"/>
      <c r="FT1551" s="6"/>
      <c r="FU1551" s="6"/>
      <c r="FV1551" s="6"/>
      <c r="FW1551" s="6"/>
      <c r="FX1551" s="6"/>
      <c r="FY1551" s="6"/>
      <c r="FZ1551" s="6"/>
      <c r="GA1551" s="6"/>
      <c r="GB1551" s="6"/>
      <c r="GC1551" s="6"/>
      <c r="GD1551" s="6"/>
      <c r="GE1551" s="6"/>
      <c r="GF1551" s="6"/>
      <c r="GG1551" s="6"/>
      <c r="GH1551" s="6"/>
      <c r="GI1551" s="6"/>
      <c r="GJ1551" s="6"/>
      <c r="GK1551" s="6"/>
      <c r="GL1551" s="6"/>
      <c r="GM1551" s="6"/>
      <c r="GN1551" s="6"/>
      <c r="GO1551" s="6"/>
      <c r="GP1551" s="6"/>
      <c r="GQ1551" s="6"/>
      <c r="GR1551" s="6"/>
      <c r="GS1551" s="6"/>
      <c r="GT1551" s="6"/>
      <c r="GU1551" s="6"/>
      <c r="GV1551" s="6"/>
      <c r="GW1551" s="6"/>
      <c r="GX1551" s="6"/>
      <c r="GY1551" s="6"/>
      <c r="GZ1551" s="6"/>
      <c r="HA1551" s="6"/>
      <c r="HB1551" s="6"/>
      <c r="HC1551" s="6"/>
      <c r="HD1551" s="6"/>
      <c r="HE1551" s="6"/>
      <c r="HF1551" s="6"/>
      <c r="HG1551" s="6"/>
      <c r="HH1551" s="6"/>
    </row>
    <row r="1552" spans="1:216" x14ac:dyDescent="0.3">
      <c r="A1552" s="8"/>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6"/>
      <c r="AR1552" s="6"/>
      <c r="AS1552" s="6"/>
      <c r="AT1552" s="6"/>
      <c r="AU1552" s="6"/>
      <c r="AV1552" s="6"/>
      <c r="AW1552" s="6"/>
      <c r="AX1552" s="6"/>
      <c r="AY1552" s="6"/>
      <c r="AZ1552" s="6"/>
      <c r="BA1552" s="6"/>
      <c r="BB1552" s="6"/>
      <c r="BC1552" s="6"/>
      <c r="BD1552" s="6"/>
      <c r="BE1552" s="6"/>
      <c r="BF1552" s="6"/>
      <c r="BG1552" s="6"/>
      <c r="BH1552" s="6"/>
      <c r="BI1552" s="6"/>
      <c r="BJ1552" s="6"/>
      <c r="BK1552" s="6"/>
      <c r="BL1552" s="6"/>
      <c r="BM1552" s="6"/>
      <c r="BN1552" s="6"/>
      <c r="BO1552" s="6"/>
      <c r="BP1552" s="6"/>
      <c r="BQ1552" s="6"/>
      <c r="BR1552" s="6"/>
      <c r="BS1552" s="6"/>
      <c r="BT1552" s="6"/>
      <c r="BU1552" s="6"/>
      <c r="BV1552" s="6"/>
      <c r="BW1552" s="6"/>
      <c r="BX1552" s="6"/>
      <c r="BY1552" s="6"/>
      <c r="BZ1552" s="6"/>
      <c r="CA1552" s="6"/>
      <c r="CB1552" s="6"/>
      <c r="CC1552" s="6"/>
      <c r="CD1552" s="6"/>
      <c r="CE1552" s="6"/>
      <c r="CF1552" s="6"/>
      <c r="CG1552" s="6"/>
      <c r="CH1552" s="6"/>
      <c r="CI1552" s="6"/>
      <c r="CJ1552" s="6"/>
      <c r="CK1552" s="6"/>
      <c r="CL1552" s="6"/>
      <c r="CM1552" s="6"/>
      <c r="CN1552" s="6"/>
      <c r="CO1552" s="6"/>
      <c r="CP1552" s="6"/>
      <c r="CQ1552" s="6"/>
      <c r="CR1552" s="6"/>
      <c r="CS1552" s="6"/>
      <c r="CT1552" s="6"/>
      <c r="CU1552" s="6"/>
      <c r="CV1552" s="6"/>
      <c r="CW1552" s="6"/>
      <c r="CX1552" s="6"/>
      <c r="CY1552" s="6"/>
      <c r="CZ1552" s="6"/>
      <c r="DA1552" s="6"/>
      <c r="DB1552" s="6"/>
      <c r="DC1552" s="6"/>
      <c r="DD1552" s="6"/>
      <c r="DE1552" s="6"/>
      <c r="DF1552" s="6"/>
      <c r="DG1552" s="6"/>
      <c r="DH1552" s="6"/>
      <c r="DI1552" s="6"/>
      <c r="DJ1552" s="6"/>
      <c r="DK1552" s="6"/>
      <c r="DL1552" s="6"/>
      <c r="DM1552" s="6"/>
      <c r="DN1552" s="6"/>
      <c r="DO1552" s="6"/>
      <c r="DP1552" s="6"/>
      <c r="DQ1552" s="6"/>
      <c r="DR1552" s="6"/>
      <c r="DS1552" s="6"/>
      <c r="DT1552" s="6"/>
      <c r="DU1552" s="6"/>
      <c r="DV1552" s="6"/>
      <c r="DW1552" s="6"/>
      <c r="DX1552" s="6"/>
      <c r="DY1552" s="6"/>
      <c r="DZ1552" s="6"/>
      <c r="EA1552" s="6"/>
      <c r="EB1552" s="6"/>
      <c r="EC1552" s="6"/>
      <c r="ED1552" s="6"/>
      <c r="EE1552" s="6"/>
      <c r="EF1552" s="6"/>
      <c r="EG1552" s="6"/>
      <c r="EH1552" s="6"/>
      <c r="EI1552" s="6"/>
      <c r="EJ1552" s="6"/>
      <c r="EK1552" s="6"/>
      <c r="EL1552" s="6"/>
      <c r="EM1552" s="6"/>
      <c r="EN1552" s="6"/>
      <c r="EO1552" s="6"/>
      <c r="EP1552" s="6"/>
      <c r="EQ1552" s="6"/>
      <c r="ER1552" s="6"/>
      <c r="ES1552" s="6"/>
      <c r="ET1552" s="6"/>
      <c r="EU1552" s="6"/>
      <c r="EV1552" s="6"/>
      <c r="EW1552" s="6"/>
      <c r="EX1552" s="6"/>
      <c r="EY1552" s="6"/>
      <c r="EZ1552" s="6"/>
      <c r="FA1552" s="6"/>
      <c r="FB1552" s="6"/>
      <c r="FC1552" s="6"/>
      <c r="FD1552" s="6"/>
      <c r="FE1552" s="6"/>
      <c r="FF1552" s="6"/>
      <c r="FG1552" s="6"/>
      <c r="FH1552" s="6"/>
      <c r="FI1552" s="6"/>
      <c r="FJ1552" s="6"/>
      <c r="FK1552" s="6"/>
      <c r="FL1552" s="6"/>
      <c r="FM1552" s="6"/>
      <c r="FN1552" s="6"/>
      <c r="FO1552" s="6"/>
      <c r="FP1552" s="6"/>
      <c r="FQ1552" s="6"/>
      <c r="FR1552" s="6"/>
      <c r="FS1552" s="6"/>
      <c r="FT1552" s="6"/>
      <c r="FU1552" s="6"/>
      <c r="FV1552" s="6"/>
      <c r="FW1552" s="6"/>
      <c r="FX1552" s="6"/>
      <c r="FY1552" s="6"/>
      <c r="FZ1552" s="6"/>
      <c r="GA1552" s="6"/>
      <c r="GB1552" s="6"/>
      <c r="GC1552" s="6"/>
      <c r="GD1552" s="6"/>
      <c r="GE1552" s="6"/>
      <c r="GF1552" s="6"/>
      <c r="GG1552" s="6"/>
      <c r="GH1552" s="6"/>
      <c r="GI1552" s="6"/>
      <c r="GJ1552" s="6"/>
      <c r="GK1552" s="6"/>
      <c r="GL1552" s="6"/>
      <c r="GM1552" s="6"/>
      <c r="GN1552" s="6"/>
      <c r="GO1552" s="6"/>
      <c r="GP1552" s="6"/>
      <c r="GQ1552" s="6"/>
      <c r="GR1552" s="6"/>
      <c r="GS1552" s="6"/>
      <c r="GT1552" s="6"/>
      <c r="GU1552" s="6"/>
      <c r="GV1552" s="6"/>
      <c r="GW1552" s="6"/>
      <c r="GX1552" s="6"/>
      <c r="GY1552" s="6"/>
      <c r="GZ1552" s="6"/>
      <c r="HA1552" s="6"/>
      <c r="HB1552" s="6"/>
      <c r="HC1552" s="6"/>
      <c r="HD1552" s="6"/>
      <c r="HE1552" s="6"/>
      <c r="HF1552" s="6"/>
      <c r="HG1552" s="6"/>
      <c r="HH1552" s="6"/>
    </row>
    <row r="1553" spans="1:216" x14ac:dyDescent="0.3">
      <c r="A1553" s="8"/>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6"/>
      <c r="AR1553" s="6"/>
      <c r="AS1553" s="6"/>
      <c r="AT1553" s="6"/>
      <c r="AU1553" s="6"/>
      <c r="AV1553" s="6"/>
      <c r="AW1553" s="6"/>
      <c r="AX1553" s="6"/>
      <c r="AY1553" s="6"/>
      <c r="AZ1553" s="6"/>
      <c r="BA1553" s="6"/>
      <c r="BB1553" s="6"/>
      <c r="BC1553" s="6"/>
      <c r="BD1553" s="6"/>
      <c r="BE1553" s="6"/>
      <c r="BF1553" s="6"/>
      <c r="BG1553" s="6"/>
      <c r="BH1553" s="6"/>
      <c r="BI1553" s="6"/>
      <c r="BJ1553" s="6"/>
      <c r="BK1553" s="6"/>
      <c r="BL1553" s="6"/>
      <c r="BM1553" s="6"/>
      <c r="BN1553" s="6"/>
      <c r="BO1553" s="6"/>
      <c r="BP1553" s="6"/>
      <c r="BQ1553" s="6"/>
      <c r="BR1553" s="6"/>
      <c r="BS1553" s="6"/>
      <c r="BT1553" s="6"/>
      <c r="BU1553" s="6"/>
      <c r="BV1553" s="6"/>
      <c r="BW1553" s="6"/>
      <c r="BX1553" s="6"/>
      <c r="BY1553" s="6"/>
      <c r="BZ1553" s="6"/>
      <c r="CA1553" s="6"/>
      <c r="CB1553" s="6"/>
      <c r="CC1553" s="6"/>
      <c r="CD1553" s="6"/>
      <c r="CE1553" s="6"/>
      <c r="CF1553" s="6"/>
      <c r="CG1553" s="6"/>
      <c r="CH1553" s="6"/>
      <c r="CI1553" s="6"/>
      <c r="CJ1553" s="6"/>
      <c r="CK1553" s="6"/>
      <c r="CL1553" s="6"/>
      <c r="CM1553" s="6"/>
      <c r="CN1553" s="6"/>
      <c r="CO1553" s="6"/>
      <c r="CP1553" s="6"/>
      <c r="CQ1553" s="6"/>
      <c r="CR1553" s="6"/>
      <c r="CS1553" s="6"/>
      <c r="CT1553" s="6"/>
      <c r="CU1553" s="6"/>
      <c r="CV1553" s="6"/>
      <c r="CW1553" s="6"/>
      <c r="CX1553" s="6"/>
      <c r="CY1553" s="6"/>
      <c r="CZ1553" s="6"/>
      <c r="DA1553" s="6"/>
      <c r="DB1553" s="6"/>
      <c r="DC1553" s="6"/>
      <c r="DD1553" s="6"/>
      <c r="DE1553" s="6"/>
      <c r="DF1553" s="6"/>
      <c r="DG1553" s="6"/>
      <c r="DH1553" s="6"/>
      <c r="DI1553" s="6"/>
      <c r="DJ1553" s="6"/>
      <c r="DK1553" s="6"/>
      <c r="DL1553" s="6"/>
      <c r="DM1553" s="6"/>
      <c r="DN1553" s="6"/>
      <c r="DO1553" s="6"/>
      <c r="DP1553" s="6"/>
      <c r="DQ1553" s="6"/>
      <c r="DR1553" s="6"/>
      <c r="DS1553" s="6"/>
      <c r="DT1553" s="6"/>
      <c r="DU1553" s="6"/>
      <c r="DV1553" s="6"/>
      <c r="DW1553" s="6"/>
      <c r="DX1553" s="6"/>
      <c r="DY1553" s="6"/>
      <c r="DZ1553" s="6"/>
      <c r="EA1553" s="6"/>
      <c r="EB1553" s="6"/>
      <c r="EC1553" s="6"/>
      <c r="ED1553" s="6"/>
      <c r="EE1553" s="6"/>
      <c r="EF1553" s="6"/>
      <c r="EG1553" s="6"/>
      <c r="EH1553" s="6"/>
      <c r="EI1553" s="6"/>
      <c r="EJ1553" s="6"/>
      <c r="EK1553" s="6"/>
      <c r="EL1553" s="6"/>
      <c r="EM1553" s="6"/>
      <c r="EN1553" s="6"/>
      <c r="EO1553" s="6"/>
      <c r="EP1553" s="6"/>
      <c r="EQ1553" s="6"/>
      <c r="ER1553" s="6"/>
      <c r="ES1553" s="6"/>
      <c r="ET1553" s="6"/>
      <c r="EU1553" s="6"/>
      <c r="EV1553" s="6"/>
      <c r="EW1553" s="6"/>
      <c r="EX1553" s="6"/>
      <c r="EY1553" s="6"/>
      <c r="EZ1553" s="6"/>
      <c r="FA1553" s="6"/>
      <c r="FB1553" s="6"/>
      <c r="FC1553" s="6"/>
      <c r="FD1553" s="6"/>
      <c r="FE1553" s="6"/>
      <c r="FF1553" s="6"/>
      <c r="FG1553" s="6"/>
      <c r="FH1553" s="6"/>
      <c r="FI1553" s="6"/>
      <c r="FJ1553" s="6"/>
      <c r="FK1553" s="6"/>
      <c r="FL1553" s="6"/>
      <c r="FM1553" s="6"/>
      <c r="FN1553" s="6"/>
      <c r="FO1553" s="6"/>
      <c r="FP1553" s="6"/>
      <c r="FQ1553" s="6"/>
      <c r="FR1553" s="6"/>
      <c r="FS1553" s="6"/>
      <c r="FT1553" s="6"/>
      <c r="FU1553" s="6"/>
      <c r="FV1553" s="6"/>
      <c r="FW1553" s="6"/>
      <c r="FX1553" s="6"/>
      <c r="FY1553" s="6"/>
      <c r="FZ1553" s="6"/>
      <c r="GA1553" s="6"/>
      <c r="GB1553" s="6"/>
      <c r="GC1553" s="6"/>
      <c r="GD1553" s="6"/>
      <c r="GE1553" s="6"/>
      <c r="GF1553" s="6"/>
      <c r="GG1553" s="6"/>
      <c r="GH1553" s="6"/>
      <c r="GI1553" s="6"/>
      <c r="GJ1553" s="6"/>
      <c r="GK1553" s="6"/>
      <c r="GL1553" s="6"/>
      <c r="GM1553" s="6"/>
      <c r="GN1553" s="6"/>
      <c r="GO1553" s="6"/>
      <c r="GP1553" s="6"/>
      <c r="GQ1553" s="6"/>
      <c r="GR1553" s="6"/>
      <c r="GS1553" s="6"/>
      <c r="GT1553" s="6"/>
      <c r="GU1553" s="6"/>
      <c r="GV1553" s="6"/>
      <c r="GW1553" s="6"/>
      <c r="GX1553" s="6"/>
      <c r="GY1553" s="6"/>
      <c r="GZ1553" s="6"/>
      <c r="HA1553" s="6"/>
      <c r="HB1553" s="6"/>
      <c r="HC1553" s="6"/>
      <c r="HD1553" s="6"/>
      <c r="HE1553" s="6"/>
      <c r="HF1553" s="6"/>
      <c r="HG1553" s="6"/>
      <c r="HH1553" s="6"/>
    </row>
    <row r="1554" spans="1:216" x14ac:dyDescent="0.3">
      <c r="A1554" s="8"/>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6"/>
      <c r="AR1554" s="6"/>
      <c r="AS1554" s="6"/>
      <c r="AT1554" s="6"/>
      <c r="AU1554" s="6"/>
      <c r="AV1554" s="6"/>
      <c r="AW1554" s="6"/>
      <c r="AX1554" s="6"/>
      <c r="AY1554" s="6"/>
      <c r="AZ1554" s="6"/>
      <c r="BA1554" s="6"/>
      <c r="BB1554" s="6"/>
      <c r="BC1554" s="6"/>
      <c r="BD1554" s="6"/>
      <c r="BE1554" s="6"/>
      <c r="BF1554" s="6"/>
      <c r="BG1554" s="6"/>
      <c r="BH1554" s="6"/>
      <c r="BI1554" s="6"/>
      <c r="BJ1554" s="6"/>
      <c r="BK1554" s="6"/>
      <c r="BL1554" s="6"/>
      <c r="BM1554" s="6"/>
      <c r="BN1554" s="6"/>
      <c r="BO1554" s="6"/>
      <c r="BP1554" s="6"/>
      <c r="BQ1554" s="6"/>
      <c r="BR1554" s="6"/>
      <c r="BS1554" s="6"/>
      <c r="BT1554" s="6"/>
      <c r="BU1554" s="6"/>
      <c r="BV1554" s="6"/>
      <c r="BW1554" s="6"/>
      <c r="BX1554" s="6"/>
      <c r="BY1554" s="6"/>
      <c r="BZ1554" s="6"/>
      <c r="CA1554" s="6"/>
      <c r="CB1554" s="6"/>
      <c r="CC1554" s="6"/>
      <c r="CD1554" s="6"/>
      <c r="CE1554" s="6"/>
      <c r="CF1554" s="6"/>
      <c r="CG1554" s="6"/>
      <c r="CH1554" s="6"/>
      <c r="CI1554" s="6"/>
      <c r="CJ1554" s="6"/>
      <c r="CK1554" s="6"/>
      <c r="CL1554" s="6"/>
      <c r="CM1554" s="6"/>
      <c r="CN1554" s="6"/>
      <c r="CO1554" s="6"/>
      <c r="CP1554" s="6"/>
      <c r="CQ1554" s="6"/>
      <c r="CR1554" s="6"/>
      <c r="CS1554" s="6"/>
      <c r="CT1554" s="6"/>
      <c r="CU1554" s="6"/>
      <c r="CV1554" s="6"/>
      <c r="CW1554" s="6"/>
      <c r="CX1554" s="6"/>
      <c r="CY1554" s="6"/>
      <c r="CZ1554" s="6"/>
      <c r="DA1554" s="6"/>
      <c r="DB1554" s="6"/>
      <c r="DC1554" s="6"/>
      <c r="DD1554" s="6"/>
      <c r="DE1554" s="6"/>
      <c r="DF1554" s="6"/>
      <c r="DG1554" s="6"/>
      <c r="DH1554" s="6"/>
      <c r="DI1554" s="6"/>
      <c r="DJ1554" s="6"/>
      <c r="DK1554" s="6"/>
      <c r="DL1554" s="6"/>
      <c r="DM1554" s="6"/>
      <c r="DN1554" s="6"/>
      <c r="DO1554" s="6"/>
      <c r="DP1554" s="6"/>
      <c r="DQ1554" s="6"/>
      <c r="DR1554" s="6"/>
      <c r="DS1554" s="6"/>
      <c r="DT1554" s="6"/>
      <c r="DU1554" s="6"/>
      <c r="DV1554" s="6"/>
      <c r="DW1554" s="6"/>
      <c r="DX1554" s="6"/>
      <c r="DY1554" s="6"/>
      <c r="DZ1554" s="6"/>
      <c r="EA1554" s="6"/>
      <c r="EB1554" s="6"/>
      <c r="EC1554" s="6"/>
      <c r="ED1554" s="6"/>
      <c r="EE1554" s="6"/>
      <c r="EF1554" s="6"/>
      <c r="EG1554" s="6"/>
      <c r="EH1554" s="6"/>
      <c r="EI1554" s="6"/>
      <c r="EJ1554" s="6"/>
      <c r="EK1554" s="6"/>
      <c r="EL1554" s="6"/>
      <c r="EM1554" s="6"/>
      <c r="EN1554" s="6"/>
      <c r="EO1554" s="6"/>
      <c r="EP1554" s="6"/>
      <c r="EQ1554" s="6"/>
      <c r="ER1554" s="6"/>
      <c r="ES1554" s="6"/>
      <c r="ET1554" s="6"/>
      <c r="EU1554" s="6"/>
      <c r="EV1554" s="6"/>
      <c r="EW1554" s="6"/>
      <c r="EX1554" s="6"/>
      <c r="EY1554" s="6"/>
      <c r="EZ1554" s="6"/>
      <c r="FA1554" s="6"/>
      <c r="FB1554" s="6"/>
      <c r="FC1554" s="6"/>
      <c r="FD1554" s="6"/>
      <c r="FE1554" s="6"/>
      <c r="FF1554" s="6"/>
      <c r="FG1554" s="6"/>
      <c r="FH1554" s="6"/>
      <c r="FI1554" s="6"/>
      <c r="FJ1554" s="6"/>
      <c r="FK1554" s="6"/>
      <c r="FL1554" s="6"/>
      <c r="FM1554" s="6"/>
      <c r="FN1554" s="6"/>
      <c r="FO1554" s="6"/>
      <c r="FP1554" s="6"/>
      <c r="FQ1554" s="6"/>
      <c r="FR1554" s="6"/>
      <c r="FS1554" s="6"/>
      <c r="FT1554" s="6"/>
      <c r="FU1554" s="6"/>
      <c r="FV1554" s="6"/>
      <c r="FW1554" s="6"/>
      <c r="FX1554" s="6"/>
      <c r="FY1554" s="6"/>
      <c r="FZ1554" s="6"/>
      <c r="GA1554" s="6"/>
      <c r="GB1554" s="6"/>
      <c r="GC1554" s="6"/>
      <c r="GD1554" s="6"/>
      <c r="GE1554" s="6"/>
      <c r="GF1554" s="6"/>
      <c r="GG1554" s="6"/>
      <c r="GH1554" s="6"/>
      <c r="GI1554" s="6"/>
      <c r="GJ1554" s="6"/>
      <c r="GK1554" s="6"/>
      <c r="GL1554" s="6"/>
      <c r="GM1554" s="6"/>
      <c r="GN1554" s="6"/>
      <c r="GO1554" s="6"/>
      <c r="GP1554" s="6"/>
      <c r="GQ1554" s="6"/>
      <c r="GR1554" s="6"/>
      <c r="GS1554" s="6"/>
      <c r="GT1554" s="6"/>
      <c r="GU1554" s="6"/>
      <c r="GV1554" s="6"/>
      <c r="GW1554" s="6"/>
      <c r="GX1554" s="6"/>
      <c r="GY1554" s="6"/>
      <c r="GZ1554" s="6"/>
      <c r="HA1554" s="6"/>
      <c r="HB1554" s="6"/>
      <c r="HC1554" s="6"/>
      <c r="HD1554" s="6"/>
      <c r="HE1554" s="6"/>
      <c r="HF1554" s="6"/>
      <c r="HG1554" s="6"/>
      <c r="HH1554" s="6"/>
    </row>
    <row r="1555" spans="1:216" x14ac:dyDescent="0.3">
      <c r="A1555" s="8"/>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6"/>
      <c r="AR1555" s="6"/>
      <c r="AS1555" s="6"/>
      <c r="AT1555" s="6"/>
      <c r="AU1555" s="6"/>
      <c r="AV1555" s="6"/>
      <c r="AW1555" s="6"/>
      <c r="AX1555" s="6"/>
      <c r="AY1555" s="6"/>
      <c r="AZ1555" s="6"/>
      <c r="BA1555" s="6"/>
      <c r="BB1555" s="6"/>
      <c r="BC1555" s="6"/>
      <c r="BD1555" s="6"/>
      <c r="BE1555" s="6"/>
      <c r="BF1555" s="6"/>
      <c r="BG1555" s="6"/>
      <c r="BH1555" s="6"/>
      <c r="BI1555" s="6"/>
      <c r="BJ1555" s="6"/>
      <c r="BK1555" s="6"/>
      <c r="BL1555" s="6"/>
      <c r="BM1555" s="6"/>
      <c r="BN1555" s="6"/>
      <c r="BO1555" s="6"/>
      <c r="BP1555" s="6"/>
      <c r="BQ1555" s="6"/>
      <c r="BR1555" s="6"/>
      <c r="BS1555" s="6"/>
      <c r="BT1555" s="6"/>
      <c r="BU1555" s="6"/>
      <c r="BV1555" s="6"/>
      <c r="BW1555" s="6"/>
      <c r="BX1555" s="6"/>
      <c r="BY1555" s="6"/>
      <c r="BZ1555" s="6"/>
      <c r="CA1555" s="6"/>
      <c r="CB1555" s="6"/>
      <c r="CC1555" s="6"/>
      <c r="CD1555" s="6"/>
      <c r="CE1555" s="6"/>
      <c r="CF1555" s="6"/>
      <c r="CG1555" s="6"/>
      <c r="CH1555" s="6"/>
      <c r="CI1555" s="6"/>
      <c r="CJ1555" s="6"/>
      <c r="CK1555" s="6"/>
      <c r="CL1555" s="6"/>
      <c r="CM1555" s="6"/>
      <c r="CN1555" s="6"/>
      <c r="CO1555" s="6"/>
      <c r="CP1555" s="6"/>
      <c r="CQ1555" s="6"/>
      <c r="CR1555" s="6"/>
      <c r="CS1555" s="6"/>
      <c r="CT1555" s="6"/>
      <c r="CU1555" s="6"/>
      <c r="CV1555" s="6"/>
      <c r="CW1555" s="6"/>
      <c r="CX1555" s="6"/>
      <c r="CY1555" s="6"/>
      <c r="CZ1555" s="6"/>
      <c r="DA1555" s="6"/>
      <c r="DB1555" s="6"/>
      <c r="DC1555" s="6"/>
      <c r="DD1555" s="6"/>
      <c r="DE1555" s="6"/>
      <c r="DF1555" s="6"/>
      <c r="DG1555" s="6"/>
      <c r="DH1555" s="6"/>
      <c r="DI1555" s="6"/>
      <c r="DJ1555" s="6"/>
      <c r="DK1555" s="6"/>
      <c r="DL1555" s="6"/>
      <c r="DM1555" s="6"/>
      <c r="DN1555" s="6"/>
      <c r="DO1555" s="6"/>
      <c r="DP1555" s="6"/>
      <c r="DQ1555" s="6"/>
      <c r="DR1555" s="6"/>
      <c r="DS1555" s="6"/>
      <c r="DT1555" s="6"/>
      <c r="DU1555" s="6"/>
      <c r="DV1555" s="6"/>
      <c r="DW1555" s="6"/>
      <c r="DX1555" s="6"/>
      <c r="DY1555" s="6"/>
      <c r="DZ1555" s="6"/>
      <c r="EA1555" s="6"/>
      <c r="EB1555" s="6"/>
      <c r="EC1555" s="6"/>
      <c r="ED1555" s="6"/>
      <c r="EE1555" s="6"/>
      <c r="EF1555" s="6"/>
      <c r="EG1555" s="6"/>
      <c r="EH1555" s="6"/>
      <c r="EI1555" s="6"/>
      <c r="EJ1555" s="6"/>
      <c r="EK1555" s="6"/>
      <c r="EL1555" s="6"/>
      <c r="EM1555" s="6"/>
      <c r="EN1555" s="6"/>
      <c r="EO1555" s="6"/>
      <c r="EP1555" s="6"/>
      <c r="EQ1555" s="6"/>
      <c r="ER1555" s="6"/>
      <c r="ES1555" s="6"/>
      <c r="ET1555" s="6"/>
      <c r="EU1555" s="6"/>
      <c r="EV1555" s="6"/>
      <c r="EW1555" s="6"/>
      <c r="EX1555" s="6"/>
      <c r="EY1555" s="6"/>
      <c r="EZ1555" s="6"/>
      <c r="FA1555" s="6"/>
      <c r="FB1555" s="6"/>
      <c r="FC1555" s="6"/>
      <c r="FD1555" s="6"/>
      <c r="FE1555" s="6"/>
      <c r="FF1555" s="6"/>
      <c r="FG1555" s="6"/>
      <c r="FH1555" s="6"/>
      <c r="FI1555" s="6"/>
      <c r="FJ1555" s="6"/>
      <c r="FK1555" s="6"/>
      <c r="FL1555" s="6"/>
      <c r="FM1555" s="6"/>
      <c r="FN1555" s="6"/>
      <c r="FO1555" s="6"/>
      <c r="FP1555" s="6"/>
      <c r="FQ1555" s="6"/>
      <c r="FR1555" s="6"/>
      <c r="FS1555" s="6"/>
      <c r="FT1555" s="6"/>
      <c r="FU1555" s="6"/>
      <c r="FV1555" s="6"/>
      <c r="FW1555" s="6"/>
      <c r="FX1555" s="6"/>
      <c r="FY1555" s="6"/>
      <c r="FZ1555" s="6"/>
      <c r="GA1555" s="6"/>
      <c r="GB1555" s="6"/>
      <c r="GC1555" s="6"/>
      <c r="GD1555" s="6"/>
      <c r="GE1555" s="6"/>
      <c r="GF1555" s="6"/>
      <c r="GG1555" s="6"/>
      <c r="GH1555" s="6"/>
      <c r="GI1555" s="6"/>
      <c r="GJ1555" s="6"/>
      <c r="GK1555" s="6"/>
      <c r="GL1555" s="6"/>
      <c r="GM1555" s="6"/>
      <c r="GN1555" s="6"/>
      <c r="GO1555" s="6"/>
      <c r="GP1555" s="6"/>
      <c r="GQ1555" s="6"/>
      <c r="GR1555" s="6"/>
      <c r="GS1555" s="6"/>
      <c r="GT1555" s="6"/>
      <c r="GU1555" s="6"/>
      <c r="GV1555" s="6"/>
      <c r="GW1555" s="6"/>
      <c r="GX1555" s="6"/>
      <c r="GY1555" s="6"/>
      <c r="GZ1555" s="6"/>
      <c r="HA1555" s="6"/>
      <c r="HB1555" s="6"/>
      <c r="HC1555" s="6"/>
      <c r="HD1555" s="6"/>
      <c r="HE1555" s="6"/>
      <c r="HF1555" s="6"/>
      <c r="HG1555" s="6"/>
      <c r="HH1555" s="6"/>
    </row>
    <row r="1556" spans="1:216" x14ac:dyDescent="0.3">
      <c r="A1556" s="8"/>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6"/>
      <c r="AR1556" s="6"/>
      <c r="AS1556" s="6"/>
      <c r="AT1556" s="6"/>
      <c r="AU1556" s="6"/>
      <c r="AV1556" s="6"/>
      <c r="AW1556" s="6"/>
      <c r="AX1556" s="6"/>
      <c r="AY1556" s="6"/>
      <c r="AZ1556" s="6"/>
      <c r="BA1556" s="6"/>
      <c r="BB1556" s="6"/>
      <c r="BC1556" s="6"/>
      <c r="BD1556" s="6"/>
      <c r="BE1556" s="6"/>
      <c r="BF1556" s="6"/>
      <c r="BG1556" s="6"/>
      <c r="BH1556" s="6"/>
      <c r="BI1556" s="6"/>
      <c r="BJ1556" s="6"/>
      <c r="BK1556" s="6"/>
      <c r="BL1556" s="6"/>
      <c r="BM1556" s="6"/>
      <c r="BN1556" s="6"/>
      <c r="BO1556" s="6"/>
      <c r="BP1556" s="6"/>
      <c r="BQ1556" s="6"/>
      <c r="BR1556" s="6"/>
      <c r="BS1556" s="6"/>
      <c r="BT1556" s="6"/>
      <c r="BU1556" s="6"/>
      <c r="BV1556" s="6"/>
      <c r="BW1556" s="6"/>
      <c r="BX1556" s="6"/>
      <c r="BY1556" s="6"/>
      <c r="BZ1556" s="6"/>
      <c r="CA1556" s="6"/>
      <c r="CB1556" s="6"/>
      <c r="CC1556" s="6"/>
      <c r="CD1556" s="6"/>
      <c r="CE1556" s="6"/>
      <c r="CF1556" s="6"/>
      <c r="CG1556" s="6"/>
      <c r="CH1556" s="6"/>
      <c r="CI1556" s="6"/>
      <c r="CJ1556" s="6"/>
      <c r="CK1556" s="6"/>
      <c r="CL1556" s="6"/>
      <c r="CM1556" s="6"/>
      <c r="CN1556" s="6"/>
      <c r="CO1556" s="6"/>
      <c r="CP1556" s="6"/>
      <c r="CQ1556" s="6"/>
      <c r="CR1556" s="6"/>
      <c r="CS1556" s="6"/>
      <c r="CT1556" s="6"/>
      <c r="CU1556" s="6"/>
      <c r="CV1556" s="6"/>
      <c r="CW1556" s="6"/>
      <c r="CX1556" s="6"/>
      <c r="CY1556" s="6"/>
      <c r="CZ1556" s="6"/>
      <c r="DA1556" s="6"/>
      <c r="DB1556" s="6"/>
      <c r="DC1556" s="6"/>
      <c r="DD1556" s="6"/>
      <c r="DE1556" s="6"/>
      <c r="DF1556" s="6"/>
      <c r="DG1556" s="6"/>
      <c r="DH1556" s="6"/>
      <c r="DI1556" s="6"/>
      <c r="DJ1556" s="6"/>
      <c r="DK1556" s="6"/>
      <c r="DL1556" s="6"/>
      <c r="DM1556" s="6"/>
      <c r="DN1556" s="6"/>
      <c r="DO1556" s="6"/>
      <c r="DP1556" s="6"/>
      <c r="DQ1556" s="6"/>
      <c r="DR1556" s="6"/>
      <c r="DS1556" s="6"/>
      <c r="DT1556" s="6"/>
      <c r="DU1556" s="6"/>
      <c r="DV1556" s="6"/>
      <c r="DW1556" s="6"/>
      <c r="DX1556" s="6"/>
      <c r="DY1556" s="6"/>
      <c r="DZ1556" s="6"/>
      <c r="EA1556" s="6"/>
      <c r="EB1556" s="6"/>
      <c r="EC1556" s="6"/>
      <c r="ED1556" s="6"/>
      <c r="EE1556" s="6"/>
      <c r="EF1556" s="6"/>
      <c r="EG1556" s="6"/>
      <c r="EH1556" s="6"/>
      <c r="EI1556" s="6"/>
      <c r="EJ1556" s="6"/>
      <c r="EK1556" s="6"/>
      <c r="EL1556" s="6"/>
      <c r="EM1556" s="6"/>
      <c r="EN1556" s="6"/>
      <c r="EO1556" s="6"/>
      <c r="EP1556" s="6"/>
      <c r="EQ1556" s="6"/>
      <c r="ER1556" s="6"/>
      <c r="ES1556" s="6"/>
      <c r="ET1556" s="6"/>
      <c r="EU1556" s="6"/>
      <c r="EV1556" s="6"/>
      <c r="EW1556" s="6"/>
      <c r="EX1556" s="6"/>
      <c r="EY1556" s="6"/>
      <c r="EZ1556" s="6"/>
      <c r="FA1556" s="6"/>
      <c r="FB1556" s="6"/>
      <c r="FC1556" s="6"/>
      <c r="FD1556" s="6"/>
      <c r="FE1556" s="6"/>
      <c r="FF1556" s="6"/>
      <c r="FG1556" s="6"/>
      <c r="FH1556" s="6"/>
      <c r="FI1556" s="6"/>
      <c r="FJ1556" s="6"/>
      <c r="FK1556" s="6"/>
      <c r="FL1556" s="6"/>
      <c r="FM1556" s="6"/>
      <c r="FN1556" s="6"/>
      <c r="FO1556" s="6"/>
      <c r="FP1556" s="6"/>
      <c r="FQ1556" s="6"/>
      <c r="FR1556" s="6"/>
      <c r="FS1556" s="6"/>
      <c r="FT1556" s="6"/>
      <c r="FU1556" s="6"/>
      <c r="FV1556" s="6"/>
      <c r="FW1556" s="6"/>
      <c r="FX1556" s="6"/>
      <c r="FY1556" s="6"/>
      <c r="FZ1556" s="6"/>
      <c r="GA1556" s="6"/>
      <c r="GB1556" s="6"/>
      <c r="GC1556" s="6"/>
      <c r="GD1556" s="6"/>
      <c r="GE1556" s="6"/>
      <c r="GF1556" s="6"/>
      <c r="GG1556" s="6"/>
      <c r="GH1556" s="6"/>
      <c r="GI1556" s="6"/>
      <c r="GJ1556" s="6"/>
      <c r="GK1556" s="6"/>
      <c r="GL1556" s="6"/>
      <c r="GM1556" s="6"/>
      <c r="GN1556" s="6"/>
      <c r="GO1556" s="6"/>
      <c r="GP1556" s="6"/>
      <c r="GQ1556" s="6"/>
      <c r="GR1556" s="6"/>
      <c r="GS1556" s="6"/>
      <c r="GT1556" s="6"/>
      <c r="GU1556" s="6"/>
      <c r="GV1556" s="6"/>
      <c r="GW1556" s="6"/>
      <c r="GX1556" s="6"/>
      <c r="GY1556" s="6"/>
      <c r="GZ1556" s="6"/>
      <c r="HA1556" s="6"/>
      <c r="HB1556" s="6"/>
      <c r="HC1556" s="6"/>
      <c r="HD1556" s="6"/>
      <c r="HE1556" s="6"/>
      <c r="HF1556" s="6"/>
      <c r="HG1556" s="6"/>
      <c r="HH1556" s="6"/>
    </row>
    <row r="1557" spans="1:216" x14ac:dyDescent="0.3">
      <c r="A1557" s="8"/>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6"/>
      <c r="AR1557" s="6"/>
      <c r="AS1557" s="6"/>
      <c r="AT1557" s="6"/>
      <c r="AU1557" s="6"/>
      <c r="AV1557" s="6"/>
      <c r="AW1557" s="6"/>
      <c r="AX1557" s="6"/>
      <c r="AY1557" s="6"/>
      <c r="AZ1557" s="6"/>
      <c r="BA1557" s="6"/>
      <c r="BB1557" s="6"/>
      <c r="BC1557" s="6"/>
      <c r="BD1557" s="6"/>
      <c r="BE1557" s="6"/>
      <c r="BF1557" s="6"/>
      <c r="BG1557" s="6"/>
      <c r="BH1557" s="6"/>
      <c r="BI1557" s="6"/>
      <c r="BJ1557" s="6"/>
      <c r="BK1557" s="6"/>
      <c r="BL1557" s="6"/>
      <c r="BM1557" s="6"/>
      <c r="BN1557" s="6"/>
      <c r="BO1557" s="6"/>
      <c r="BP1557" s="6"/>
      <c r="BQ1557" s="6"/>
      <c r="BR1557" s="6"/>
      <c r="BS1557" s="6"/>
      <c r="BT1557" s="6"/>
      <c r="BU1557" s="6"/>
      <c r="BV1557" s="6"/>
      <c r="BW1557" s="6"/>
      <c r="BX1557" s="6"/>
      <c r="BY1557" s="6"/>
      <c r="BZ1557" s="6"/>
      <c r="CA1557" s="6"/>
      <c r="CB1557" s="6"/>
      <c r="CC1557" s="6"/>
      <c r="CD1557" s="6"/>
      <c r="CE1557" s="6"/>
      <c r="CF1557" s="6"/>
      <c r="CG1557" s="6"/>
      <c r="CH1557" s="6"/>
      <c r="CI1557" s="6"/>
      <c r="CJ1557" s="6"/>
      <c r="CK1557" s="6"/>
      <c r="CL1557" s="6"/>
      <c r="CM1557" s="6"/>
      <c r="CN1557" s="6"/>
      <c r="CO1557" s="6"/>
      <c r="CP1557" s="6"/>
      <c r="CQ1557" s="6"/>
      <c r="CR1557" s="6"/>
      <c r="CS1557" s="6"/>
      <c r="CT1557" s="6"/>
      <c r="CU1557" s="6"/>
      <c r="CV1557" s="6"/>
      <c r="CW1557" s="6"/>
      <c r="CX1557" s="6"/>
      <c r="CY1557" s="6"/>
      <c r="CZ1557" s="6"/>
      <c r="DA1557" s="6"/>
      <c r="DB1557" s="6"/>
      <c r="DC1557" s="6"/>
      <c r="DD1557" s="6"/>
      <c r="DE1557" s="6"/>
      <c r="DF1557" s="6"/>
      <c r="DG1557" s="6"/>
      <c r="DH1557" s="6"/>
      <c r="DI1557" s="6"/>
      <c r="DJ1557" s="6"/>
      <c r="DK1557" s="6"/>
      <c r="DL1557" s="6"/>
      <c r="DM1557" s="6"/>
      <c r="DN1557" s="6"/>
      <c r="DO1557" s="6"/>
      <c r="DP1557" s="6"/>
      <c r="DQ1557" s="6"/>
      <c r="DR1557" s="6"/>
      <c r="DS1557" s="6"/>
      <c r="DT1557" s="6"/>
      <c r="DU1557" s="6"/>
      <c r="DV1557" s="6"/>
      <c r="DW1557" s="6"/>
      <c r="DX1557" s="6"/>
      <c r="DY1557" s="6"/>
      <c r="DZ1557" s="6"/>
      <c r="EA1557" s="6"/>
      <c r="EB1557" s="6"/>
      <c r="EC1557" s="6"/>
      <c r="ED1557" s="6"/>
      <c r="EE1557" s="6"/>
      <c r="EF1557" s="6"/>
      <c r="EG1557" s="6"/>
      <c r="EH1557" s="6"/>
      <c r="EI1557" s="6"/>
      <c r="EJ1557" s="6"/>
      <c r="EK1557" s="6"/>
      <c r="EL1557" s="6"/>
      <c r="EM1557" s="6"/>
      <c r="EN1557" s="6"/>
      <c r="EO1557" s="6"/>
      <c r="EP1557" s="6"/>
      <c r="EQ1557" s="6"/>
      <c r="ER1557" s="6"/>
      <c r="ES1557" s="6"/>
      <c r="ET1557" s="6"/>
      <c r="EU1557" s="6"/>
      <c r="EV1557" s="6"/>
      <c r="EW1557" s="6"/>
      <c r="EX1557" s="6"/>
      <c r="EY1557" s="6"/>
      <c r="EZ1557" s="6"/>
      <c r="FA1557" s="6"/>
      <c r="FB1557" s="6"/>
      <c r="FC1557" s="6"/>
      <c r="FD1557" s="6"/>
      <c r="FE1557" s="6"/>
      <c r="FF1557" s="6"/>
      <c r="FG1557" s="6"/>
      <c r="FH1557" s="6"/>
      <c r="FI1557" s="6"/>
      <c r="FJ1557" s="6"/>
      <c r="FK1557" s="6"/>
      <c r="FL1557" s="6"/>
      <c r="FM1557" s="6"/>
      <c r="FN1557" s="6"/>
      <c r="FO1557" s="6"/>
      <c r="FP1557" s="6"/>
      <c r="FQ1557" s="6"/>
      <c r="FR1557" s="6"/>
      <c r="FS1557" s="6"/>
      <c r="FT1557" s="6"/>
      <c r="FU1557" s="6"/>
      <c r="FV1557" s="6"/>
      <c r="FW1557" s="6"/>
      <c r="FX1557" s="6"/>
      <c r="FY1557" s="6"/>
      <c r="FZ1557" s="6"/>
      <c r="GA1557" s="6"/>
      <c r="GB1557" s="6"/>
      <c r="GC1557" s="6"/>
      <c r="GD1557" s="6"/>
      <c r="GE1557" s="6"/>
      <c r="GF1557" s="6"/>
      <c r="GG1557" s="6"/>
      <c r="GH1557" s="6"/>
      <c r="GI1557" s="6"/>
      <c r="GJ1557" s="6"/>
      <c r="GK1557" s="6"/>
      <c r="GL1557" s="6"/>
      <c r="GM1557" s="6"/>
      <c r="GN1557" s="6"/>
      <c r="GO1557" s="6"/>
      <c r="GP1557" s="6"/>
      <c r="GQ1557" s="6"/>
      <c r="GR1557" s="6"/>
      <c r="GS1557" s="6"/>
      <c r="GT1557" s="6"/>
      <c r="GU1557" s="6"/>
      <c r="GV1557" s="6"/>
      <c r="GW1557" s="6"/>
      <c r="GX1557" s="6"/>
      <c r="GY1557" s="6"/>
      <c r="GZ1557" s="6"/>
      <c r="HA1557" s="6"/>
      <c r="HB1557" s="6"/>
      <c r="HC1557" s="6"/>
      <c r="HD1557" s="6"/>
      <c r="HE1557" s="6"/>
      <c r="HF1557" s="6"/>
      <c r="HG1557" s="6"/>
      <c r="HH1557" s="6"/>
    </row>
    <row r="1558" spans="1:216" x14ac:dyDescent="0.3">
      <c r="A1558" s="8"/>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6"/>
      <c r="AR1558" s="6"/>
      <c r="AS1558" s="6"/>
      <c r="AT1558" s="6"/>
      <c r="AU1558" s="6"/>
      <c r="AV1558" s="6"/>
      <c r="AW1558" s="6"/>
      <c r="AX1558" s="6"/>
      <c r="AY1558" s="6"/>
      <c r="AZ1558" s="6"/>
      <c r="BA1558" s="6"/>
      <c r="BB1558" s="6"/>
      <c r="BC1558" s="6"/>
      <c r="BD1558" s="6"/>
      <c r="BE1558" s="6"/>
      <c r="BF1558" s="6"/>
      <c r="BG1558" s="6"/>
      <c r="BH1558" s="6"/>
      <c r="BI1558" s="6"/>
      <c r="BJ1558" s="6"/>
      <c r="BK1558" s="6"/>
      <c r="BL1558" s="6"/>
      <c r="BM1558" s="6"/>
      <c r="BN1558" s="6"/>
      <c r="BO1558" s="6"/>
      <c r="BP1558" s="6"/>
      <c r="BQ1558" s="6"/>
      <c r="BR1558" s="6"/>
      <c r="BS1558" s="6"/>
      <c r="BT1558" s="6"/>
      <c r="BU1558" s="6"/>
      <c r="BV1558" s="6"/>
      <c r="BW1558" s="6"/>
      <c r="BX1558" s="6"/>
      <c r="BY1558" s="6"/>
      <c r="BZ1558" s="6"/>
      <c r="CA1558" s="6"/>
      <c r="CB1558" s="6"/>
      <c r="CC1558" s="6"/>
      <c r="CD1558" s="6"/>
      <c r="CE1558" s="6"/>
      <c r="CF1558" s="6"/>
      <c r="CG1558" s="6"/>
      <c r="CH1558" s="6"/>
      <c r="CI1558" s="6"/>
      <c r="CJ1558" s="6"/>
      <c r="CK1558" s="6"/>
      <c r="CL1558" s="6"/>
      <c r="CM1558" s="6"/>
      <c r="CN1558" s="6"/>
      <c r="CO1558" s="6"/>
      <c r="CP1558" s="6"/>
      <c r="CQ1558" s="6"/>
      <c r="CR1558" s="6"/>
      <c r="CS1558" s="6"/>
      <c r="CT1558" s="6"/>
      <c r="CU1558" s="6"/>
      <c r="CV1558" s="6"/>
      <c r="CW1558" s="6"/>
      <c r="CX1558" s="6"/>
      <c r="CY1558" s="6"/>
      <c r="CZ1558" s="6"/>
      <c r="DA1558" s="6"/>
      <c r="DB1558" s="6"/>
      <c r="DC1558" s="6"/>
      <c r="DD1558" s="6"/>
      <c r="DE1558" s="6"/>
      <c r="DF1558" s="6"/>
      <c r="DG1558" s="6"/>
      <c r="DH1558" s="6"/>
      <c r="DI1558" s="6"/>
      <c r="DJ1558" s="6"/>
      <c r="DK1558" s="6"/>
      <c r="DL1558" s="6"/>
      <c r="DM1558" s="6"/>
      <c r="DN1558" s="6"/>
      <c r="DO1558" s="6"/>
      <c r="DP1558" s="6"/>
      <c r="DQ1558" s="6"/>
      <c r="DR1558" s="6"/>
      <c r="DS1558" s="6"/>
      <c r="DT1558" s="6"/>
      <c r="DU1558" s="6"/>
      <c r="DV1558" s="6"/>
      <c r="DW1558" s="6"/>
      <c r="DX1558" s="6"/>
      <c r="DY1558" s="6"/>
      <c r="DZ1558" s="6"/>
      <c r="EA1558" s="6"/>
      <c r="EB1558" s="6"/>
      <c r="EC1558" s="6"/>
      <c r="ED1558" s="6"/>
      <c r="EE1558" s="6"/>
      <c r="EF1558" s="6"/>
      <c r="EG1558" s="6"/>
      <c r="EH1558" s="6"/>
      <c r="EI1558" s="6"/>
      <c r="EJ1558" s="6"/>
      <c r="EK1558" s="6"/>
      <c r="EL1558" s="6"/>
      <c r="EM1558" s="6"/>
      <c r="EN1558" s="6"/>
      <c r="EO1558" s="6"/>
      <c r="EP1558" s="6"/>
      <c r="EQ1558" s="6"/>
      <c r="ER1558" s="6"/>
      <c r="ES1558" s="6"/>
      <c r="ET1558" s="6"/>
      <c r="EU1558" s="6"/>
      <c r="EV1558" s="6"/>
      <c r="EW1558" s="6"/>
      <c r="EX1558" s="6"/>
      <c r="EY1558" s="6"/>
      <c r="EZ1558" s="6"/>
      <c r="FA1558" s="6"/>
      <c r="FB1558" s="6"/>
      <c r="FC1558" s="6"/>
      <c r="FD1558" s="6"/>
      <c r="FE1558" s="6"/>
      <c r="FF1558" s="6"/>
      <c r="FG1558" s="6"/>
      <c r="FH1558" s="6"/>
      <c r="FI1558" s="6"/>
      <c r="FJ1558" s="6"/>
      <c r="FK1558" s="6"/>
      <c r="FL1558" s="6"/>
      <c r="FM1558" s="6"/>
      <c r="FN1558" s="6"/>
      <c r="FO1558" s="6"/>
      <c r="FP1558" s="6"/>
      <c r="FQ1558" s="6"/>
      <c r="FR1558" s="6"/>
      <c r="FS1558" s="6"/>
      <c r="FT1558" s="6"/>
      <c r="FU1558" s="6"/>
      <c r="FV1558" s="6"/>
      <c r="FW1558" s="6"/>
      <c r="FX1558" s="6"/>
      <c r="FY1558" s="6"/>
      <c r="FZ1558" s="6"/>
      <c r="GA1558" s="6"/>
      <c r="GB1558" s="6"/>
      <c r="GC1558" s="6"/>
      <c r="GD1558" s="6"/>
      <c r="GE1558" s="6"/>
      <c r="GF1558" s="6"/>
      <c r="GG1558" s="6"/>
      <c r="GH1558" s="6"/>
      <c r="GI1558" s="6"/>
      <c r="GJ1558" s="6"/>
      <c r="GK1558" s="6"/>
      <c r="GL1558" s="6"/>
      <c r="GM1558" s="6"/>
      <c r="GN1558" s="6"/>
      <c r="GO1558" s="6"/>
      <c r="GP1558" s="6"/>
      <c r="GQ1558" s="6"/>
      <c r="GR1558" s="6"/>
      <c r="GS1558" s="6"/>
      <c r="GT1558" s="6"/>
      <c r="GU1558" s="6"/>
      <c r="GV1558" s="6"/>
      <c r="GW1558" s="6"/>
      <c r="GX1558" s="6"/>
      <c r="GY1558" s="6"/>
      <c r="GZ1558" s="6"/>
      <c r="HA1558" s="6"/>
      <c r="HB1558" s="6"/>
      <c r="HC1558" s="6"/>
      <c r="HD1558" s="6"/>
      <c r="HE1558" s="6"/>
      <c r="HF1558" s="6"/>
      <c r="HG1558" s="6"/>
      <c r="HH1558" s="6"/>
    </row>
    <row r="1559" spans="1:216" x14ac:dyDescent="0.3">
      <c r="A1559" s="8"/>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6"/>
      <c r="AR1559" s="6"/>
      <c r="AS1559" s="6"/>
      <c r="AT1559" s="6"/>
      <c r="AU1559" s="6"/>
      <c r="AV1559" s="6"/>
      <c r="AW1559" s="6"/>
      <c r="AX1559" s="6"/>
      <c r="AY1559" s="6"/>
      <c r="AZ1559" s="6"/>
      <c r="BA1559" s="6"/>
      <c r="BB1559" s="6"/>
      <c r="BC1559" s="6"/>
      <c r="BD1559" s="6"/>
      <c r="BE1559" s="6"/>
      <c r="BF1559" s="6"/>
      <c r="BG1559" s="6"/>
      <c r="BH1559" s="6"/>
      <c r="BI1559" s="6"/>
      <c r="BJ1559" s="6"/>
      <c r="BK1559" s="6"/>
      <c r="BL1559" s="6"/>
      <c r="BM1559" s="6"/>
      <c r="BN1559" s="6"/>
      <c r="BO1559" s="6"/>
      <c r="BP1559" s="6"/>
      <c r="BQ1559" s="6"/>
      <c r="BR1559" s="6"/>
      <c r="BS1559" s="6"/>
      <c r="BT1559" s="6"/>
      <c r="BU1559" s="6"/>
      <c r="BV1559" s="6"/>
      <c r="BW1559" s="6"/>
      <c r="BX1559" s="6"/>
      <c r="BY1559" s="6"/>
      <c r="BZ1559" s="6"/>
      <c r="CA1559" s="6"/>
      <c r="CB1559" s="6"/>
      <c r="CC1559" s="6"/>
      <c r="CD1559" s="6"/>
      <c r="CE1559" s="6"/>
      <c r="CF1559" s="6"/>
      <c r="CG1559" s="6"/>
      <c r="CH1559" s="6"/>
      <c r="CI1559" s="6"/>
      <c r="CJ1559" s="6"/>
      <c r="CK1559" s="6"/>
      <c r="CL1559" s="6"/>
      <c r="CM1559" s="6"/>
      <c r="CN1559" s="6"/>
      <c r="CO1559" s="6"/>
      <c r="CP1559" s="6"/>
      <c r="CQ1559" s="6"/>
      <c r="CR1559" s="6"/>
      <c r="CS1559" s="6"/>
      <c r="CT1559" s="6"/>
      <c r="CU1559" s="6"/>
      <c r="CV1559" s="6"/>
      <c r="CW1559" s="6"/>
      <c r="CX1559" s="6"/>
      <c r="CY1559" s="6"/>
      <c r="CZ1559" s="6"/>
      <c r="DA1559" s="6"/>
      <c r="DB1559" s="6"/>
      <c r="DC1559" s="6"/>
      <c r="DD1559" s="6"/>
      <c r="DE1559" s="6"/>
      <c r="DF1559" s="6"/>
      <c r="DG1559" s="6"/>
      <c r="DH1559" s="6"/>
      <c r="DI1559" s="6"/>
      <c r="DJ1559" s="6"/>
      <c r="DK1559" s="6"/>
      <c r="DL1559" s="6"/>
      <c r="DM1559" s="6"/>
      <c r="DN1559" s="6"/>
      <c r="DO1559" s="6"/>
      <c r="DP1559" s="6"/>
      <c r="DQ1559" s="6"/>
      <c r="DR1559" s="6"/>
      <c r="DS1559" s="6"/>
      <c r="DT1559" s="6"/>
      <c r="DU1559" s="6"/>
      <c r="DV1559" s="6"/>
      <c r="DW1559" s="6"/>
      <c r="DX1559" s="6"/>
      <c r="DY1559" s="6"/>
      <c r="DZ1559" s="6"/>
      <c r="EA1559" s="6"/>
      <c r="EB1559" s="6"/>
      <c r="EC1559" s="6"/>
      <c r="ED1559" s="6"/>
      <c r="EE1559" s="6"/>
      <c r="EF1559" s="6"/>
      <c r="EG1559" s="6"/>
      <c r="EH1559" s="6"/>
      <c r="EI1559" s="6"/>
      <c r="EJ1559" s="6"/>
      <c r="EK1559" s="6"/>
      <c r="EL1559" s="6"/>
      <c r="EM1559" s="6"/>
      <c r="EN1559" s="6"/>
      <c r="EO1559" s="6"/>
      <c r="EP1559" s="6"/>
      <c r="EQ1559" s="6"/>
      <c r="ER1559" s="6"/>
      <c r="ES1559" s="6"/>
      <c r="ET1559" s="6"/>
      <c r="EU1559" s="6"/>
      <c r="EV1559" s="6"/>
      <c r="EW1559" s="6"/>
      <c r="EX1559" s="6"/>
      <c r="EY1559" s="6"/>
      <c r="EZ1559" s="6"/>
      <c r="FA1559" s="6"/>
      <c r="FB1559" s="6"/>
      <c r="FC1559" s="6"/>
      <c r="FD1559" s="6"/>
      <c r="FE1559" s="6"/>
      <c r="FF1559" s="6"/>
      <c r="FG1559" s="6"/>
      <c r="FH1559" s="6"/>
      <c r="FI1559" s="6"/>
      <c r="FJ1559" s="6"/>
      <c r="FK1559" s="6"/>
      <c r="FL1559" s="6"/>
      <c r="FM1559" s="6"/>
      <c r="FN1559" s="6"/>
      <c r="FO1559" s="6"/>
      <c r="FP1559" s="6"/>
      <c r="FQ1559" s="6"/>
      <c r="FR1559" s="6"/>
      <c r="FS1559" s="6"/>
      <c r="FT1559" s="6"/>
      <c r="FU1559" s="6"/>
      <c r="FV1559" s="6"/>
      <c r="FW1559" s="6"/>
      <c r="FX1559" s="6"/>
      <c r="FY1559" s="6"/>
      <c r="FZ1559" s="6"/>
      <c r="GA1559" s="6"/>
      <c r="GB1559" s="6"/>
      <c r="GC1559" s="6"/>
      <c r="GD1559" s="6"/>
      <c r="GE1559" s="6"/>
      <c r="GF1559" s="6"/>
      <c r="GG1559" s="6"/>
      <c r="GH1559" s="6"/>
      <c r="GI1559" s="6"/>
      <c r="GJ1559" s="6"/>
      <c r="GK1559" s="6"/>
      <c r="GL1559" s="6"/>
      <c r="GM1559" s="6"/>
      <c r="GN1559" s="6"/>
      <c r="GO1559" s="6"/>
      <c r="GP1559" s="6"/>
      <c r="GQ1559" s="6"/>
      <c r="GR1559" s="6"/>
      <c r="GS1559" s="6"/>
      <c r="GT1559" s="6"/>
      <c r="GU1559" s="6"/>
      <c r="GV1559" s="6"/>
      <c r="GW1559" s="6"/>
      <c r="GX1559" s="6"/>
      <c r="GY1559" s="6"/>
      <c r="GZ1559" s="6"/>
      <c r="HA1559" s="6"/>
      <c r="HB1559" s="6"/>
      <c r="HC1559" s="6"/>
      <c r="HD1559" s="6"/>
      <c r="HE1559" s="6"/>
      <c r="HF1559" s="6"/>
      <c r="HG1559" s="6"/>
      <c r="HH1559" s="6"/>
    </row>
    <row r="1560" spans="1:216" x14ac:dyDescent="0.3">
      <c r="A1560" s="8"/>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6"/>
      <c r="AR1560" s="6"/>
      <c r="AS1560" s="6"/>
      <c r="AT1560" s="6"/>
      <c r="AU1560" s="6"/>
      <c r="AV1560" s="6"/>
      <c r="AW1560" s="6"/>
      <c r="AX1560" s="6"/>
      <c r="AY1560" s="6"/>
      <c r="AZ1560" s="6"/>
      <c r="BA1560" s="6"/>
      <c r="BB1560" s="6"/>
      <c r="BC1560" s="6"/>
      <c r="BD1560" s="6"/>
      <c r="BE1560" s="6"/>
      <c r="BF1560" s="6"/>
      <c r="BG1560" s="6"/>
      <c r="BH1560" s="6"/>
      <c r="BI1560" s="6"/>
      <c r="BJ1560" s="6"/>
      <c r="BK1560" s="6"/>
      <c r="BL1560" s="6"/>
      <c r="BM1560" s="6"/>
      <c r="BN1560" s="6"/>
      <c r="BO1560" s="6"/>
      <c r="BP1560" s="6"/>
      <c r="BQ1560" s="6"/>
      <c r="BR1560" s="6"/>
      <c r="BS1560" s="6"/>
      <c r="BT1560" s="6"/>
      <c r="BU1560" s="6"/>
      <c r="BV1560" s="6"/>
      <c r="BW1560" s="6"/>
      <c r="BX1560" s="6"/>
      <c r="BY1560" s="6"/>
      <c r="BZ1560" s="6"/>
      <c r="CA1560" s="6"/>
      <c r="CB1560" s="6"/>
      <c r="CC1560" s="6"/>
      <c r="CD1560" s="6"/>
      <c r="CE1560" s="6"/>
      <c r="CF1560" s="6"/>
      <c r="CG1560" s="6"/>
      <c r="CH1560" s="6"/>
      <c r="CI1560" s="6"/>
      <c r="CJ1560" s="6"/>
      <c r="CK1560" s="6"/>
      <c r="CL1560" s="6"/>
      <c r="CM1560" s="6"/>
      <c r="CN1560" s="6"/>
      <c r="CO1560" s="6"/>
      <c r="CP1560" s="6"/>
      <c r="CQ1560" s="6"/>
      <c r="CR1560" s="6"/>
      <c r="CS1560" s="6"/>
      <c r="CT1560" s="6"/>
      <c r="CU1560" s="6"/>
      <c r="CV1560" s="6"/>
      <c r="CW1560" s="6"/>
      <c r="CX1560" s="6"/>
      <c r="CY1560" s="6"/>
      <c r="CZ1560" s="6"/>
      <c r="DA1560" s="6"/>
      <c r="DB1560" s="6"/>
      <c r="DC1560" s="6"/>
      <c r="DD1560" s="6"/>
      <c r="DE1560" s="6"/>
      <c r="DF1560" s="6"/>
      <c r="DG1560" s="6"/>
      <c r="DH1560" s="6"/>
      <c r="DI1560" s="6"/>
      <c r="DJ1560" s="6"/>
      <c r="DK1560" s="6"/>
      <c r="DL1560" s="6"/>
      <c r="DM1560" s="6"/>
      <c r="DN1560" s="6"/>
      <c r="DO1560" s="6"/>
      <c r="DP1560" s="6"/>
      <c r="DQ1560" s="6"/>
      <c r="DR1560" s="6"/>
      <c r="DS1560" s="6"/>
      <c r="DT1560" s="6"/>
      <c r="DU1560" s="6"/>
      <c r="DV1560" s="6"/>
      <c r="DW1560" s="6"/>
      <c r="DX1560" s="6"/>
      <c r="DY1560" s="6"/>
      <c r="DZ1560" s="6"/>
      <c r="EA1560" s="6"/>
      <c r="EB1560" s="6"/>
      <c r="EC1560" s="6"/>
      <c r="ED1560" s="6"/>
      <c r="EE1560" s="6"/>
      <c r="EF1560" s="6"/>
      <c r="EG1560" s="6"/>
      <c r="EH1560" s="6"/>
      <c r="EI1560" s="6"/>
      <c r="EJ1560" s="6"/>
      <c r="EK1560" s="6"/>
      <c r="EL1560" s="6"/>
      <c r="EM1560" s="6"/>
      <c r="EN1560" s="6"/>
      <c r="EO1560" s="6"/>
      <c r="EP1560" s="6"/>
      <c r="EQ1560" s="6"/>
      <c r="ER1560" s="6"/>
      <c r="ES1560" s="6"/>
      <c r="ET1560" s="6"/>
      <c r="EU1560" s="6"/>
      <c r="EV1560" s="6"/>
      <c r="EW1560" s="6"/>
      <c r="EX1560" s="6"/>
      <c r="EY1560" s="6"/>
      <c r="EZ1560" s="6"/>
      <c r="FA1560" s="6"/>
      <c r="FB1560" s="6"/>
      <c r="FC1560" s="6"/>
      <c r="FD1560" s="6"/>
      <c r="FE1560" s="6"/>
      <c r="FF1560" s="6"/>
      <c r="FG1560" s="6"/>
      <c r="FH1560" s="6"/>
      <c r="FI1560" s="6"/>
      <c r="FJ1560" s="6"/>
      <c r="FK1560" s="6"/>
      <c r="FL1560" s="6"/>
      <c r="FM1560" s="6"/>
      <c r="FN1560" s="6"/>
      <c r="FO1560" s="6"/>
      <c r="FP1560" s="6"/>
      <c r="FQ1560" s="6"/>
      <c r="FR1560" s="6"/>
      <c r="FS1560" s="6"/>
      <c r="FT1560" s="6"/>
      <c r="FU1560" s="6"/>
      <c r="FV1560" s="6"/>
      <c r="FW1560" s="6"/>
      <c r="FX1560" s="6"/>
      <c r="FY1560" s="6"/>
      <c r="FZ1560" s="6"/>
      <c r="GA1560" s="6"/>
      <c r="GB1560" s="6"/>
      <c r="GC1560" s="6"/>
      <c r="GD1560" s="6"/>
      <c r="GE1560" s="6"/>
      <c r="GF1560" s="6"/>
      <c r="GG1560" s="6"/>
      <c r="GH1560" s="6"/>
      <c r="GI1560" s="6"/>
      <c r="GJ1560" s="6"/>
      <c r="GK1560" s="6"/>
      <c r="GL1560" s="6"/>
      <c r="GM1560" s="6"/>
      <c r="GN1560" s="6"/>
      <c r="GO1560" s="6"/>
      <c r="GP1560" s="6"/>
      <c r="GQ1560" s="6"/>
      <c r="GR1560" s="6"/>
      <c r="GS1560" s="6"/>
      <c r="GT1560" s="6"/>
      <c r="GU1560" s="6"/>
      <c r="GV1560" s="6"/>
      <c r="GW1560" s="6"/>
      <c r="GX1560" s="6"/>
      <c r="GY1560" s="6"/>
      <c r="GZ1560" s="6"/>
      <c r="HA1560" s="6"/>
      <c r="HB1560" s="6"/>
      <c r="HC1560" s="6"/>
      <c r="HD1560" s="6"/>
      <c r="HE1560" s="6"/>
      <c r="HF1560" s="6"/>
      <c r="HG1560" s="6"/>
      <c r="HH1560" s="6"/>
    </row>
    <row r="1561" spans="1:216" x14ac:dyDescent="0.3">
      <c r="A1561" s="8"/>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6"/>
      <c r="AR1561" s="6"/>
      <c r="AS1561" s="6"/>
      <c r="AT1561" s="6"/>
      <c r="AU1561" s="6"/>
      <c r="AV1561" s="6"/>
      <c r="AW1561" s="6"/>
      <c r="AX1561" s="6"/>
      <c r="AY1561" s="6"/>
      <c r="AZ1561" s="6"/>
      <c r="BA1561" s="6"/>
      <c r="BB1561" s="6"/>
      <c r="BC1561" s="6"/>
      <c r="BD1561" s="6"/>
      <c r="BE1561" s="6"/>
      <c r="BF1561" s="6"/>
      <c r="BG1561" s="6"/>
      <c r="BH1561" s="6"/>
      <c r="BI1561" s="6"/>
      <c r="BJ1561" s="6"/>
      <c r="BK1561" s="6"/>
      <c r="BL1561" s="6"/>
      <c r="BM1561" s="6"/>
      <c r="BN1561" s="6"/>
      <c r="BO1561" s="6"/>
      <c r="BP1561" s="6"/>
      <c r="BQ1561" s="6"/>
      <c r="BR1561" s="6"/>
      <c r="BS1561" s="6"/>
      <c r="BT1561" s="6"/>
      <c r="BU1561" s="6"/>
      <c r="BV1561" s="6"/>
      <c r="BW1561" s="6"/>
      <c r="BX1561" s="6"/>
      <c r="BY1561" s="6"/>
      <c r="BZ1561" s="6"/>
      <c r="CA1561" s="6"/>
      <c r="CB1561" s="6"/>
      <c r="CC1561" s="6"/>
      <c r="CD1561" s="6"/>
      <c r="CE1561" s="6"/>
      <c r="CF1561" s="6"/>
      <c r="CG1561" s="6"/>
      <c r="CH1561" s="6"/>
      <c r="CI1561" s="6"/>
      <c r="CJ1561" s="6"/>
      <c r="CK1561" s="6"/>
      <c r="CL1561" s="6"/>
      <c r="CM1561" s="6"/>
      <c r="CN1561" s="6"/>
      <c r="CO1561" s="6"/>
      <c r="CP1561" s="6"/>
      <c r="CQ1561" s="6"/>
      <c r="CR1561" s="6"/>
      <c r="CS1561" s="6"/>
      <c r="CT1561" s="6"/>
      <c r="CU1561" s="6"/>
      <c r="CV1561" s="6"/>
      <c r="CW1561" s="6"/>
      <c r="CX1561" s="6"/>
      <c r="CY1561" s="6"/>
      <c r="CZ1561" s="6"/>
      <c r="DA1561" s="6"/>
      <c r="DB1561" s="6"/>
      <c r="DC1561" s="6"/>
      <c r="DD1561" s="6"/>
      <c r="DE1561" s="6"/>
      <c r="DF1561" s="6"/>
      <c r="DG1561" s="6"/>
      <c r="DH1561" s="6"/>
      <c r="DI1561" s="6"/>
      <c r="DJ1561" s="6"/>
      <c r="DK1561" s="6"/>
      <c r="DL1561" s="6"/>
      <c r="DM1561" s="6"/>
      <c r="DN1561" s="6"/>
      <c r="DO1561" s="6"/>
      <c r="DP1561" s="6"/>
      <c r="DQ1561" s="6"/>
      <c r="DR1561" s="6"/>
      <c r="DS1561" s="6"/>
      <c r="DT1561" s="6"/>
      <c r="DU1561" s="6"/>
      <c r="DV1561" s="6"/>
      <c r="DW1561" s="6"/>
      <c r="DX1561" s="6"/>
      <c r="DY1561" s="6"/>
      <c r="DZ1561" s="6"/>
      <c r="EA1561" s="6"/>
      <c r="EB1561" s="6"/>
      <c r="EC1561" s="6"/>
      <c r="ED1561" s="6"/>
      <c r="EE1561" s="6"/>
      <c r="EF1561" s="6"/>
      <c r="EG1561" s="6"/>
      <c r="EH1561" s="6"/>
      <c r="EI1561" s="6"/>
      <c r="EJ1561" s="6"/>
      <c r="EK1561" s="6"/>
      <c r="EL1561" s="6"/>
      <c r="EM1561" s="6"/>
      <c r="EN1561" s="6"/>
      <c r="EO1561" s="6"/>
      <c r="EP1561" s="6"/>
      <c r="EQ1561" s="6"/>
      <c r="ER1561" s="6"/>
      <c r="ES1561" s="6"/>
      <c r="ET1561" s="6"/>
      <c r="EU1561" s="6"/>
      <c r="EV1561" s="6"/>
      <c r="EW1561" s="6"/>
      <c r="EX1561" s="6"/>
      <c r="EY1561" s="6"/>
      <c r="EZ1561" s="6"/>
      <c r="FA1561" s="6"/>
      <c r="FB1561" s="6"/>
      <c r="FC1561" s="6"/>
      <c r="FD1561" s="6"/>
      <c r="FE1561" s="6"/>
      <c r="FF1561" s="6"/>
      <c r="FG1561" s="6"/>
      <c r="FH1561" s="6"/>
      <c r="FI1561" s="6"/>
      <c r="FJ1561" s="6"/>
      <c r="FK1561" s="6"/>
      <c r="FL1561" s="6"/>
      <c r="FM1561" s="6"/>
      <c r="FN1561" s="6"/>
      <c r="FO1561" s="6"/>
      <c r="FP1561" s="6"/>
      <c r="FQ1561" s="6"/>
      <c r="FR1561" s="6"/>
      <c r="FS1561" s="6"/>
      <c r="FT1561" s="6"/>
      <c r="FU1561" s="6"/>
      <c r="FV1561" s="6"/>
      <c r="FW1561" s="6"/>
      <c r="FX1561" s="6"/>
      <c r="FY1561" s="6"/>
      <c r="FZ1561" s="6"/>
      <c r="GA1561" s="6"/>
      <c r="GB1561" s="6"/>
      <c r="GC1561" s="6"/>
      <c r="GD1561" s="6"/>
      <c r="GE1561" s="6"/>
      <c r="GF1561" s="6"/>
      <c r="GG1561" s="6"/>
      <c r="GH1561" s="6"/>
      <c r="GI1561" s="6"/>
      <c r="GJ1561" s="6"/>
      <c r="GK1561" s="6"/>
      <c r="GL1561" s="6"/>
      <c r="GM1561" s="6"/>
      <c r="GN1561" s="6"/>
      <c r="GO1561" s="6"/>
      <c r="GP1561" s="6"/>
      <c r="GQ1561" s="6"/>
      <c r="GR1561" s="6"/>
      <c r="GS1561" s="6"/>
      <c r="GT1561" s="6"/>
      <c r="GU1561" s="6"/>
      <c r="GV1561" s="6"/>
      <c r="GW1561" s="6"/>
      <c r="GX1561" s="6"/>
      <c r="GY1561" s="6"/>
      <c r="GZ1561" s="6"/>
      <c r="HA1561" s="6"/>
      <c r="HB1561" s="6"/>
      <c r="HC1561" s="6"/>
      <c r="HD1561" s="6"/>
      <c r="HE1561" s="6"/>
      <c r="HF1561" s="6"/>
      <c r="HG1561" s="6"/>
      <c r="HH1561" s="6"/>
    </row>
    <row r="1562" spans="1:216" x14ac:dyDescent="0.3">
      <c r="A1562" s="8"/>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row>
    <row r="1563" spans="1:216" x14ac:dyDescent="0.3">
      <c r="A1563" s="8"/>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row>
    <row r="1564" spans="1:216" x14ac:dyDescent="0.3">
      <c r="A1564" s="8"/>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row>
    <row r="1565" spans="1:216" x14ac:dyDescent="0.3">
      <c r="A1565" s="8"/>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row>
    <row r="1566" spans="1:216" x14ac:dyDescent="0.3">
      <c r="A1566" s="8"/>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row>
    <row r="1567" spans="1:216" x14ac:dyDescent="0.3">
      <c r="A1567" s="8"/>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row>
    <row r="1568" spans="1:216" x14ac:dyDescent="0.3">
      <c r="A1568" s="8"/>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6"/>
      <c r="AR1568" s="6"/>
      <c r="AS1568" s="6"/>
      <c r="AT1568" s="6"/>
      <c r="AU1568" s="6"/>
      <c r="AV1568" s="6"/>
      <c r="AW1568" s="6"/>
      <c r="AX1568" s="6"/>
      <c r="AY1568" s="6"/>
      <c r="AZ1568" s="6"/>
      <c r="BA1568" s="6"/>
      <c r="BB1568" s="6"/>
      <c r="BC1568" s="6"/>
      <c r="BD1568" s="6"/>
      <c r="BE1568" s="6"/>
      <c r="BF1568" s="6"/>
      <c r="BG1568" s="6"/>
      <c r="BH1568" s="6"/>
      <c r="BI1568" s="6"/>
      <c r="BJ1568" s="6"/>
      <c r="BK1568" s="6"/>
      <c r="BL1568" s="6"/>
      <c r="BM1568" s="6"/>
      <c r="BN1568" s="6"/>
      <c r="BO1568" s="6"/>
      <c r="BP1568" s="6"/>
      <c r="BQ1568" s="6"/>
      <c r="BR1568" s="6"/>
      <c r="BS1568" s="6"/>
      <c r="BT1568" s="6"/>
      <c r="BU1568" s="6"/>
      <c r="BV1568" s="6"/>
      <c r="BW1568" s="6"/>
      <c r="BX1568" s="6"/>
      <c r="BY1568" s="6"/>
      <c r="BZ1568" s="6"/>
      <c r="CA1568" s="6"/>
      <c r="CB1568" s="6"/>
      <c r="CC1568" s="6"/>
      <c r="CD1568" s="6"/>
      <c r="CE1568" s="6"/>
      <c r="CF1568" s="6"/>
      <c r="CG1568" s="6"/>
      <c r="CH1568" s="6"/>
      <c r="CI1568" s="6"/>
      <c r="CJ1568" s="6"/>
      <c r="CK1568" s="6"/>
      <c r="CL1568" s="6"/>
      <c r="CM1568" s="6"/>
      <c r="CN1568" s="6"/>
      <c r="CO1568" s="6"/>
      <c r="CP1568" s="6"/>
      <c r="CQ1568" s="6"/>
      <c r="CR1568" s="6"/>
      <c r="CS1568" s="6"/>
      <c r="CT1568" s="6"/>
      <c r="CU1568" s="6"/>
      <c r="CV1568" s="6"/>
      <c r="CW1568" s="6"/>
      <c r="CX1568" s="6"/>
      <c r="CY1568" s="6"/>
      <c r="CZ1568" s="6"/>
      <c r="DA1568" s="6"/>
      <c r="DB1568" s="6"/>
      <c r="DC1568" s="6"/>
      <c r="DD1568" s="6"/>
      <c r="DE1568" s="6"/>
      <c r="DF1568" s="6"/>
      <c r="DG1568" s="6"/>
      <c r="DH1568" s="6"/>
      <c r="DI1568" s="6"/>
      <c r="DJ1568" s="6"/>
      <c r="DK1568" s="6"/>
      <c r="DL1568" s="6"/>
      <c r="DM1568" s="6"/>
      <c r="DN1568" s="6"/>
      <c r="DO1568" s="6"/>
      <c r="DP1568" s="6"/>
      <c r="DQ1568" s="6"/>
      <c r="DR1568" s="6"/>
      <c r="DS1568" s="6"/>
      <c r="DT1568" s="6"/>
      <c r="DU1568" s="6"/>
      <c r="DV1568" s="6"/>
      <c r="DW1568" s="6"/>
      <c r="DX1568" s="6"/>
      <c r="DY1568" s="6"/>
      <c r="DZ1568" s="6"/>
      <c r="EA1568" s="6"/>
      <c r="EB1568" s="6"/>
      <c r="EC1568" s="6"/>
      <c r="ED1568" s="6"/>
      <c r="EE1568" s="6"/>
      <c r="EF1568" s="6"/>
      <c r="EG1568" s="6"/>
      <c r="EH1568" s="6"/>
      <c r="EI1568" s="6"/>
      <c r="EJ1568" s="6"/>
      <c r="EK1568" s="6"/>
      <c r="EL1568" s="6"/>
      <c r="EM1568" s="6"/>
      <c r="EN1568" s="6"/>
      <c r="EO1568" s="6"/>
      <c r="EP1568" s="6"/>
      <c r="EQ1568" s="6"/>
      <c r="ER1568" s="6"/>
      <c r="ES1568" s="6"/>
      <c r="ET1568" s="6"/>
      <c r="EU1568" s="6"/>
      <c r="EV1568" s="6"/>
      <c r="EW1568" s="6"/>
      <c r="EX1568" s="6"/>
      <c r="EY1568" s="6"/>
      <c r="EZ1568" s="6"/>
      <c r="FA1568" s="6"/>
      <c r="FB1568" s="6"/>
      <c r="FC1568" s="6"/>
      <c r="FD1568" s="6"/>
      <c r="FE1568" s="6"/>
      <c r="FF1568" s="6"/>
      <c r="FG1568" s="6"/>
      <c r="FH1568" s="6"/>
      <c r="FI1568" s="6"/>
      <c r="FJ1568" s="6"/>
      <c r="FK1568" s="6"/>
      <c r="FL1568" s="6"/>
      <c r="FM1568" s="6"/>
      <c r="FN1568" s="6"/>
      <c r="FO1568" s="6"/>
      <c r="FP1568" s="6"/>
      <c r="FQ1568" s="6"/>
      <c r="FR1568" s="6"/>
      <c r="FS1568" s="6"/>
      <c r="FT1568" s="6"/>
      <c r="FU1568" s="6"/>
      <c r="FV1568" s="6"/>
      <c r="FW1568" s="6"/>
      <c r="FX1568" s="6"/>
      <c r="FY1568" s="6"/>
      <c r="FZ1568" s="6"/>
      <c r="GA1568" s="6"/>
      <c r="GB1568" s="6"/>
      <c r="GC1568" s="6"/>
      <c r="GD1568" s="6"/>
      <c r="GE1568" s="6"/>
      <c r="GF1568" s="6"/>
      <c r="GG1568" s="6"/>
      <c r="GH1568" s="6"/>
      <c r="GI1568" s="6"/>
      <c r="GJ1568" s="6"/>
      <c r="GK1568" s="6"/>
      <c r="GL1568" s="6"/>
      <c r="GM1568" s="6"/>
      <c r="GN1568" s="6"/>
      <c r="GO1568" s="6"/>
      <c r="GP1568" s="6"/>
      <c r="GQ1568" s="6"/>
      <c r="GR1568" s="6"/>
      <c r="GS1568" s="6"/>
      <c r="GT1568" s="6"/>
      <c r="GU1568" s="6"/>
      <c r="GV1568" s="6"/>
      <c r="GW1568" s="6"/>
      <c r="GX1568" s="6"/>
      <c r="GY1568" s="6"/>
      <c r="GZ1568" s="6"/>
      <c r="HA1568" s="6"/>
      <c r="HB1568" s="6"/>
      <c r="HC1568" s="6"/>
      <c r="HD1568" s="6"/>
      <c r="HE1568" s="6"/>
      <c r="HF1568" s="6"/>
      <c r="HG1568" s="6"/>
      <c r="HH1568" s="6"/>
    </row>
    <row r="1569" spans="1:216" x14ac:dyDescent="0.3">
      <c r="A1569" s="8"/>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6"/>
      <c r="AR1569" s="6"/>
      <c r="AS1569" s="6"/>
      <c r="AT1569" s="6"/>
      <c r="AU1569" s="6"/>
      <c r="AV1569" s="6"/>
      <c r="AW1569" s="6"/>
      <c r="AX1569" s="6"/>
      <c r="AY1569" s="6"/>
      <c r="AZ1569" s="6"/>
      <c r="BA1569" s="6"/>
      <c r="BB1569" s="6"/>
      <c r="BC1569" s="6"/>
      <c r="BD1569" s="6"/>
      <c r="BE1569" s="6"/>
      <c r="BF1569" s="6"/>
      <c r="BG1569" s="6"/>
      <c r="BH1569" s="6"/>
      <c r="BI1569" s="6"/>
      <c r="BJ1569" s="6"/>
      <c r="BK1569" s="6"/>
      <c r="BL1569" s="6"/>
      <c r="BM1569" s="6"/>
      <c r="BN1569" s="6"/>
      <c r="BO1569" s="6"/>
      <c r="BP1569" s="6"/>
      <c r="BQ1569" s="6"/>
      <c r="BR1569" s="6"/>
      <c r="BS1569" s="6"/>
      <c r="BT1569" s="6"/>
      <c r="BU1569" s="6"/>
      <c r="BV1569" s="6"/>
      <c r="BW1569" s="6"/>
      <c r="BX1569" s="6"/>
      <c r="BY1569" s="6"/>
      <c r="BZ1569" s="6"/>
      <c r="CA1569" s="6"/>
      <c r="CB1569" s="6"/>
      <c r="CC1569" s="6"/>
      <c r="CD1569" s="6"/>
      <c r="CE1569" s="6"/>
      <c r="CF1569" s="6"/>
      <c r="CG1569" s="6"/>
      <c r="CH1569" s="6"/>
      <c r="CI1569" s="6"/>
      <c r="CJ1569" s="6"/>
      <c r="CK1569" s="6"/>
      <c r="CL1569" s="6"/>
      <c r="CM1569" s="6"/>
      <c r="CN1569" s="6"/>
      <c r="CO1569" s="6"/>
      <c r="CP1569" s="6"/>
      <c r="CQ1569" s="6"/>
      <c r="CR1569" s="6"/>
      <c r="CS1569" s="6"/>
      <c r="CT1569" s="6"/>
      <c r="CU1569" s="6"/>
      <c r="CV1569" s="6"/>
      <c r="CW1569" s="6"/>
      <c r="CX1569" s="6"/>
      <c r="CY1569" s="6"/>
      <c r="CZ1569" s="6"/>
      <c r="DA1569" s="6"/>
      <c r="DB1569" s="6"/>
      <c r="DC1569" s="6"/>
      <c r="DD1569" s="6"/>
      <c r="DE1569" s="6"/>
      <c r="DF1569" s="6"/>
      <c r="DG1569" s="6"/>
      <c r="DH1569" s="6"/>
      <c r="DI1569" s="6"/>
      <c r="DJ1569" s="6"/>
      <c r="DK1569" s="6"/>
      <c r="DL1569" s="6"/>
      <c r="DM1569" s="6"/>
      <c r="DN1569" s="6"/>
      <c r="DO1569" s="6"/>
      <c r="DP1569" s="6"/>
      <c r="DQ1569" s="6"/>
      <c r="DR1569" s="6"/>
      <c r="DS1569" s="6"/>
      <c r="DT1569" s="6"/>
      <c r="DU1569" s="6"/>
      <c r="DV1569" s="6"/>
      <c r="DW1569" s="6"/>
      <c r="DX1569" s="6"/>
      <c r="DY1569" s="6"/>
      <c r="DZ1569" s="6"/>
      <c r="EA1569" s="6"/>
      <c r="EB1569" s="6"/>
      <c r="EC1569" s="6"/>
      <c r="ED1569" s="6"/>
      <c r="EE1569" s="6"/>
      <c r="EF1569" s="6"/>
      <c r="EG1569" s="6"/>
      <c r="EH1569" s="6"/>
      <c r="EI1569" s="6"/>
      <c r="EJ1569" s="6"/>
      <c r="EK1569" s="6"/>
      <c r="EL1569" s="6"/>
      <c r="EM1569" s="6"/>
      <c r="EN1569" s="6"/>
      <c r="EO1569" s="6"/>
      <c r="EP1569" s="6"/>
      <c r="EQ1569" s="6"/>
      <c r="ER1569" s="6"/>
      <c r="ES1569" s="6"/>
      <c r="ET1569" s="6"/>
      <c r="EU1569" s="6"/>
      <c r="EV1569" s="6"/>
      <c r="EW1569" s="6"/>
      <c r="EX1569" s="6"/>
      <c r="EY1569" s="6"/>
      <c r="EZ1569" s="6"/>
      <c r="FA1569" s="6"/>
      <c r="FB1569" s="6"/>
      <c r="FC1569" s="6"/>
      <c r="FD1569" s="6"/>
      <c r="FE1569" s="6"/>
      <c r="FF1569" s="6"/>
      <c r="FG1569" s="6"/>
      <c r="FH1569" s="6"/>
      <c r="FI1569" s="6"/>
      <c r="FJ1569" s="6"/>
      <c r="FK1569" s="6"/>
      <c r="FL1569" s="6"/>
      <c r="FM1569" s="6"/>
      <c r="FN1569" s="6"/>
      <c r="FO1569" s="6"/>
      <c r="FP1569" s="6"/>
      <c r="FQ1569" s="6"/>
      <c r="FR1569" s="6"/>
      <c r="FS1569" s="6"/>
      <c r="FT1569" s="6"/>
      <c r="FU1569" s="6"/>
      <c r="FV1569" s="6"/>
      <c r="FW1569" s="6"/>
      <c r="FX1569" s="6"/>
      <c r="FY1569" s="6"/>
      <c r="FZ1569" s="6"/>
      <c r="GA1569" s="6"/>
      <c r="GB1569" s="6"/>
      <c r="GC1569" s="6"/>
      <c r="GD1569" s="6"/>
      <c r="GE1569" s="6"/>
      <c r="GF1569" s="6"/>
      <c r="GG1569" s="6"/>
      <c r="GH1569" s="6"/>
      <c r="GI1569" s="6"/>
      <c r="GJ1569" s="6"/>
      <c r="GK1569" s="6"/>
      <c r="GL1569" s="6"/>
      <c r="GM1569" s="6"/>
      <c r="GN1569" s="6"/>
      <c r="GO1569" s="6"/>
      <c r="GP1569" s="6"/>
      <c r="GQ1569" s="6"/>
      <c r="GR1569" s="6"/>
      <c r="GS1569" s="6"/>
      <c r="GT1569" s="6"/>
      <c r="GU1569" s="6"/>
      <c r="GV1569" s="6"/>
      <c r="GW1569" s="6"/>
      <c r="GX1569" s="6"/>
      <c r="GY1569" s="6"/>
      <c r="GZ1569" s="6"/>
      <c r="HA1569" s="6"/>
      <c r="HB1569" s="6"/>
      <c r="HC1569" s="6"/>
      <c r="HD1569" s="6"/>
      <c r="HE1569" s="6"/>
      <c r="HF1569" s="6"/>
      <c r="HG1569" s="6"/>
      <c r="HH1569" s="6"/>
    </row>
    <row r="1570" spans="1:216" x14ac:dyDescent="0.3">
      <c r="A1570" s="8"/>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6"/>
      <c r="AR1570" s="6"/>
      <c r="AS1570" s="6"/>
      <c r="AT1570" s="6"/>
      <c r="AU1570" s="6"/>
      <c r="AV1570" s="6"/>
      <c r="AW1570" s="6"/>
      <c r="AX1570" s="6"/>
      <c r="AY1570" s="6"/>
      <c r="AZ1570" s="6"/>
      <c r="BA1570" s="6"/>
      <c r="BB1570" s="6"/>
      <c r="BC1570" s="6"/>
      <c r="BD1570" s="6"/>
      <c r="BE1570" s="6"/>
      <c r="BF1570" s="6"/>
      <c r="BG1570" s="6"/>
      <c r="BH1570" s="6"/>
      <c r="BI1570" s="6"/>
      <c r="BJ1570" s="6"/>
      <c r="BK1570" s="6"/>
      <c r="BL1570" s="6"/>
      <c r="BM1570" s="6"/>
      <c r="BN1570" s="6"/>
      <c r="BO1570" s="6"/>
      <c r="BP1570" s="6"/>
      <c r="BQ1570" s="6"/>
      <c r="BR1570" s="6"/>
      <c r="BS1570" s="6"/>
      <c r="BT1570" s="6"/>
      <c r="BU1570" s="6"/>
      <c r="BV1570" s="6"/>
      <c r="BW1570" s="6"/>
      <c r="BX1570" s="6"/>
      <c r="BY1570" s="6"/>
      <c r="BZ1570" s="6"/>
      <c r="CA1570" s="6"/>
      <c r="CB1570" s="6"/>
      <c r="CC1570" s="6"/>
      <c r="CD1570" s="6"/>
      <c r="CE1570" s="6"/>
      <c r="CF1570" s="6"/>
      <c r="CG1570" s="6"/>
      <c r="CH1570" s="6"/>
      <c r="CI1570" s="6"/>
      <c r="CJ1570" s="6"/>
      <c r="CK1570" s="6"/>
      <c r="CL1570" s="6"/>
      <c r="CM1570" s="6"/>
      <c r="CN1570" s="6"/>
      <c r="CO1570" s="6"/>
      <c r="CP1570" s="6"/>
      <c r="CQ1570" s="6"/>
      <c r="CR1570" s="6"/>
      <c r="CS1570" s="6"/>
      <c r="CT1570" s="6"/>
      <c r="CU1570" s="6"/>
      <c r="CV1570" s="6"/>
      <c r="CW1570" s="6"/>
      <c r="CX1570" s="6"/>
      <c r="CY1570" s="6"/>
      <c r="CZ1570" s="6"/>
      <c r="DA1570" s="6"/>
      <c r="DB1570" s="6"/>
      <c r="DC1570" s="6"/>
      <c r="DD1570" s="6"/>
      <c r="DE1570" s="6"/>
      <c r="DF1570" s="6"/>
      <c r="DG1570" s="6"/>
      <c r="DH1570" s="6"/>
      <c r="DI1570" s="6"/>
      <c r="DJ1570" s="6"/>
      <c r="DK1570" s="6"/>
      <c r="DL1570" s="6"/>
      <c r="DM1570" s="6"/>
      <c r="DN1570" s="6"/>
      <c r="DO1570" s="6"/>
      <c r="DP1570" s="6"/>
      <c r="DQ1570" s="6"/>
      <c r="DR1570" s="6"/>
      <c r="DS1570" s="6"/>
      <c r="DT1570" s="6"/>
      <c r="DU1570" s="6"/>
      <c r="DV1570" s="6"/>
      <c r="DW1570" s="6"/>
      <c r="DX1570" s="6"/>
      <c r="DY1570" s="6"/>
      <c r="DZ1570" s="6"/>
      <c r="EA1570" s="6"/>
      <c r="EB1570" s="6"/>
      <c r="EC1570" s="6"/>
      <c r="ED1570" s="6"/>
      <c r="EE1570" s="6"/>
      <c r="EF1570" s="6"/>
      <c r="EG1570" s="6"/>
      <c r="EH1570" s="6"/>
      <c r="EI1570" s="6"/>
      <c r="EJ1570" s="6"/>
      <c r="EK1570" s="6"/>
      <c r="EL1570" s="6"/>
      <c r="EM1570" s="6"/>
      <c r="EN1570" s="6"/>
      <c r="EO1570" s="6"/>
      <c r="EP1570" s="6"/>
      <c r="EQ1570" s="6"/>
      <c r="ER1570" s="6"/>
      <c r="ES1570" s="6"/>
      <c r="ET1570" s="6"/>
      <c r="EU1570" s="6"/>
      <c r="EV1570" s="6"/>
      <c r="EW1570" s="6"/>
      <c r="EX1570" s="6"/>
      <c r="EY1570" s="6"/>
      <c r="EZ1570" s="6"/>
      <c r="FA1570" s="6"/>
      <c r="FB1570" s="6"/>
      <c r="FC1570" s="6"/>
      <c r="FD1570" s="6"/>
      <c r="FE1570" s="6"/>
      <c r="FF1570" s="6"/>
      <c r="FG1570" s="6"/>
      <c r="FH1570" s="6"/>
      <c r="FI1570" s="6"/>
      <c r="FJ1570" s="6"/>
      <c r="FK1570" s="6"/>
      <c r="FL1570" s="6"/>
      <c r="FM1570" s="6"/>
      <c r="FN1570" s="6"/>
      <c r="FO1570" s="6"/>
      <c r="FP1570" s="6"/>
      <c r="FQ1570" s="6"/>
      <c r="FR1570" s="6"/>
      <c r="FS1570" s="6"/>
      <c r="FT1570" s="6"/>
      <c r="FU1570" s="6"/>
      <c r="FV1570" s="6"/>
      <c r="FW1570" s="6"/>
      <c r="FX1570" s="6"/>
      <c r="FY1570" s="6"/>
      <c r="FZ1570" s="6"/>
      <c r="GA1570" s="6"/>
      <c r="GB1570" s="6"/>
      <c r="GC1570" s="6"/>
      <c r="GD1570" s="6"/>
      <c r="GE1570" s="6"/>
      <c r="GF1570" s="6"/>
      <c r="GG1570" s="6"/>
      <c r="GH1570" s="6"/>
      <c r="GI1570" s="6"/>
      <c r="GJ1570" s="6"/>
      <c r="GK1570" s="6"/>
      <c r="GL1570" s="6"/>
      <c r="GM1570" s="6"/>
      <c r="GN1570" s="6"/>
      <c r="GO1570" s="6"/>
      <c r="GP1570" s="6"/>
      <c r="GQ1570" s="6"/>
      <c r="GR1570" s="6"/>
      <c r="GS1570" s="6"/>
      <c r="GT1570" s="6"/>
      <c r="GU1570" s="6"/>
      <c r="GV1570" s="6"/>
      <c r="GW1570" s="6"/>
      <c r="GX1570" s="6"/>
      <c r="GY1570" s="6"/>
      <c r="GZ1570" s="6"/>
      <c r="HA1570" s="6"/>
      <c r="HB1570" s="6"/>
      <c r="HC1570" s="6"/>
      <c r="HD1570" s="6"/>
      <c r="HE1570" s="6"/>
      <c r="HF1570" s="6"/>
      <c r="HG1570" s="6"/>
      <c r="HH1570" s="6"/>
    </row>
    <row r="1571" spans="1:216" x14ac:dyDescent="0.3">
      <c r="A1571" s="8"/>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6"/>
      <c r="AR1571" s="6"/>
      <c r="AS1571" s="6"/>
      <c r="AT1571" s="6"/>
      <c r="AU1571" s="6"/>
      <c r="AV1571" s="6"/>
      <c r="AW1571" s="6"/>
      <c r="AX1571" s="6"/>
      <c r="AY1571" s="6"/>
      <c r="AZ1571" s="6"/>
      <c r="BA1571" s="6"/>
      <c r="BB1571" s="6"/>
      <c r="BC1571" s="6"/>
      <c r="BD1571" s="6"/>
      <c r="BE1571" s="6"/>
      <c r="BF1571" s="6"/>
      <c r="BG1571" s="6"/>
      <c r="BH1571" s="6"/>
      <c r="BI1571" s="6"/>
      <c r="BJ1571" s="6"/>
      <c r="BK1571" s="6"/>
      <c r="BL1571" s="6"/>
      <c r="BM1571" s="6"/>
      <c r="BN1571" s="6"/>
      <c r="BO1571" s="6"/>
      <c r="BP1571" s="6"/>
      <c r="BQ1571" s="6"/>
      <c r="BR1571" s="6"/>
      <c r="BS1571" s="6"/>
      <c r="BT1571" s="6"/>
      <c r="BU1571" s="6"/>
      <c r="BV1571" s="6"/>
      <c r="BW1571" s="6"/>
      <c r="BX1571" s="6"/>
      <c r="BY1571" s="6"/>
      <c r="BZ1571" s="6"/>
      <c r="CA1571" s="6"/>
      <c r="CB1571" s="6"/>
      <c r="CC1571" s="6"/>
      <c r="CD1571" s="6"/>
      <c r="CE1571" s="6"/>
      <c r="CF1571" s="6"/>
      <c r="CG1571" s="6"/>
      <c r="CH1571" s="6"/>
      <c r="CI1571" s="6"/>
      <c r="CJ1571" s="6"/>
      <c r="CK1571" s="6"/>
      <c r="CL1571" s="6"/>
      <c r="CM1571" s="6"/>
      <c r="CN1571" s="6"/>
      <c r="CO1571" s="6"/>
      <c r="CP1571" s="6"/>
      <c r="CQ1571" s="6"/>
      <c r="CR1571" s="6"/>
      <c r="CS1571" s="6"/>
      <c r="CT1571" s="6"/>
      <c r="CU1571" s="6"/>
      <c r="CV1571" s="6"/>
      <c r="CW1571" s="6"/>
      <c r="CX1571" s="6"/>
      <c r="CY1571" s="6"/>
      <c r="CZ1571" s="6"/>
      <c r="DA1571" s="6"/>
      <c r="DB1571" s="6"/>
      <c r="DC1571" s="6"/>
      <c r="DD1571" s="6"/>
      <c r="DE1571" s="6"/>
      <c r="DF1571" s="6"/>
      <c r="DG1571" s="6"/>
      <c r="DH1571" s="6"/>
      <c r="DI1571" s="6"/>
      <c r="DJ1571" s="6"/>
      <c r="DK1571" s="6"/>
      <c r="DL1571" s="6"/>
      <c r="DM1571" s="6"/>
      <c r="DN1571" s="6"/>
      <c r="DO1571" s="6"/>
      <c r="DP1571" s="6"/>
      <c r="DQ1571" s="6"/>
      <c r="DR1571" s="6"/>
      <c r="DS1571" s="6"/>
      <c r="DT1571" s="6"/>
      <c r="DU1571" s="6"/>
      <c r="DV1571" s="6"/>
      <c r="DW1571" s="6"/>
      <c r="DX1571" s="6"/>
      <c r="DY1571" s="6"/>
      <c r="DZ1571" s="6"/>
      <c r="EA1571" s="6"/>
      <c r="EB1571" s="6"/>
      <c r="EC1571" s="6"/>
      <c r="ED1571" s="6"/>
      <c r="EE1571" s="6"/>
      <c r="EF1571" s="6"/>
      <c r="EG1571" s="6"/>
      <c r="EH1571" s="6"/>
      <c r="EI1571" s="6"/>
      <c r="EJ1571" s="6"/>
      <c r="EK1571" s="6"/>
      <c r="EL1571" s="6"/>
      <c r="EM1571" s="6"/>
      <c r="EN1571" s="6"/>
      <c r="EO1571" s="6"/>
      <c r="EP1571" s="6"/>
      <c r="EQ1571" s="6"/>
      <c r="ER1571" s="6"/>
      <c r="ES1571" s="6"/>
      <c r="ET1571" s="6"/>
      <c r="EU1571" s="6"/>
      <c r="EV1571" s="6"/>
      <c r="EW1571" s="6"/>
      <c r="EX1571" s="6"/>
      <c r="EY1571" s="6"/>
      <c r="EZ1571" s="6"/>
      <c r="FA1571" s="6"/>
      <c r="FB1571" s="6"/>
      <c r="FC1571" s="6"/>
      <c r="FD1571" s="6"/>
      <c r="FE1571" s="6"/>
      <c r="FF1571" s="6"/>
      <c r="FG1571" s="6"/>
      <c r="FH1571" s="6"/>
      <c r="FI1571" s="6"/>
      <c r="FJ1571" s="6"/>
      <c r="FK1571" s="6"/>
      <c r="FL1571" s="6"/>
      <c r="FM1571" s="6"/>
      <c r="FN1571" s="6"/>
      <c r="FO1571" s="6"/>
      <c r="FP1571" s="6"/>
      <c r="FQ1571" s="6"/>
      <c r="FR1571" s="6"/>
      <c r="FS1571" s="6"/>
      <c r="FT1571" s="6"/>
      <c r="FU1571" s="6"/>
      <c r="FV1571" s="6"/>
      <c r="FW1571" s="6"/>
      <c r="FX1571" s="6"/>
      <c r="FY1571" s="6"/>
      <c r="FZ1571" s="6"/>
      <c r="GA1571" s="6"/>
      <c r="GB1571" s="6"/>
      <c r="GC1571" s="6"/>
      <c r="GD1571" s="6"/>
      <c r="GE1571" s="6"/>
      <c r="GF1571" s="6"/>
      <c r="GG1571" s="6"/>
      <c r="GH1571" s="6"/>
      <c r="GI1571" s="6"/>
      <c r="GJ1571" s="6"/>
      <c r="GK1571" s="6"/>
      <c r="GL1571" s="6"/>
      <c r="GM1571" s="6"/>
      <c r="GN1571" s="6"/>
      <c r="GO1571" s="6"/>
      <c r="GP1571" s="6"/>
      <c r="GQ1571" s="6"/>
      <c r="GR1571" s="6"/>
      <c r="GS1571" s="6"/>
      <c r="GT1571" s="6"/>
      <c r="GU1571" s="6"/>
      <c r="GV1571" s="6"/>
      <c r="GW1571" s="6"/>
      <c r="GX1571" s="6"/>
      <c r="GY1571" s="6"/>
      <c r="GZ1571" s="6"/>
      <c r="HA1571" s="6"/>
      <c r="HB1571" s="6"/>
      <c r="HC1571" s="6"/>
      <c r="HD1571" s="6"/>
      <c r="HE1571" s="6"/>
      <c r="HF1571" s="6"/>
      <c r="HG1571" s="6"/>
      <c r="HH1571" s="6"/>
    </row>
    <row r="1572" spans="1:216" x14ac:dyDescent="0.3">
      <c r="A1572" s="8"/>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6"/>
      <c r="AR1572" s="6"/>
      <c r="AS1572" s="6"/>
      <c r="AT1572" s="6"/>
      <c r="AU1572" s="6"/>
      <c r="AV1572" s="6"/>
      <c r="AW1572" s="6"/>
      <c r="AX1572" s="6"/>
      <c r="AY1572" s="6"/>
      <c r="AZ1572" s="6"/>
      <c r="BA1572" s="6"/>
      <c r="BB1572" s="6"/>
      <c r="BC1572" s="6"/>
      <c r="BD1572" s="6"/>
      <c r="BE1572" s="6"/>
      <c r="BF1572" s="6"/>
      <c r="BG1572" s="6"/>
      <c r="BH1572" s="6"/>
      <c r="BI1572" s="6"/>
      <c r="BJ1572" s="6"/>
      <c r="BK1572" s="6"/>
      <c r="BL1572" s="6"/>
      <c r="BM1572" s="6"/>
      <c r="BN1572" s="6"/>
      <c r="BO1572" s="6"/>
      <c r="BP1572" s="6"/>
      <c r="BQ1572" s="6"/>
      <c r="BR1572" s="6"/>
      <c r="BS1572" s="6"/>
      <c r="BT1572" s="6"/>
      <c r="BU1572" s="6"/>
      <c r="BV1572" s="6"/>
      <c r="BW1572" s="6"/>
      <c r="BX1572" s="6"/>
      <c r="BY1572" s="6"/>
      <c r="BZ1572" s="6"/>
      <c r="CA1572" s="6"/>
      <c r="CB1572" s="6"/>
      <c r="CC1572" s="6"/>
      <c r="CD1572" s="6"/>
      <c r="CE1572" s="6"/>
      <c r="CF1572" s="6"/>
      <c r="CG1572" s="6"/>
      <c r="CH1572" s="6"/>
      <c r="CI1572" s="6"/>
      <c r="CJ1572" s="6"/>
      <c r="CK1572" s="6"/>
      <c r="CL1572" s="6"/>
      <c r="CM1572" s="6"/>
      <c r="CN1572" s="6"/>
      <c r="CO1572" s="6"/>
      <c r="CP1572" s="6"/>
      <c r="CQ1572" s="6"/>
      <c r="CR1572" s="6"/>
      <c r="CS1572" s="6"/>
      <c r="CT1572" s="6"/>
      <c r="CU1572" s="6"/>
      <c r="CV1572" s="6"/>
      <c r="CW1572" s="6"/>
      <c r="CX1572" s="6"/>
      <c r="CY1572" s="6"/>
      <c r="CZ1572" s="6"/>
      <c r="DA1572" s="6"/>
      <c r="DB1572" s="6"/>
      <c r="DC1572" s="6"/>
      <c r="DD1572" s="6"/>
      <c r="DE1572" s="6"/>
      <c r="DF1572" s="6"/>
      <c r="DG1572" s="6"/>
      <c r="DH1572" s="6"/>
      <c r="DI1572" s="6"/>
      <c r="DJ1572" s="6"/>
      <c r="DK1572" s="6"/>
      <c r="DL1572" s="6"/>
      <c r="DM1572" s="6"/>
      <c r="DN1572" s="6"/>
      <c r="DO1572" s="6"/>
      <c r="DP1572" s="6"/>
      <c r="DQ1572" s="6"/>
      <c r="DR1572" s="6"/>
      <c r="DS1572" s="6"/>
      <c r="DT1572" s="6"/>
      <c r="DU1572" s="6"/>
      <c r="DV1572" s="6"/>
      <c r="DW1572" s="6"/>
      <c r="DX1572" s="6"/>
      <c r="DY1572" s="6"/>
      <c r="DZ1572" s="6"/>
      <c r="EA1572" s="6"/>
      <c r="EB1572" s="6"/>
      <c r="EC1572" s="6"/>
      <c r="ED1572" s="6"/>
      <c r="EE1572" s="6"/>
      <c r="EF1572" s="6"/>
      <c r="EG1572" s="6"/>
      <c r="EH1572" s="6"/>
      <c r="EI1572" s="6"/>
      <c r="EJ1572" s="6"/>
      <c r="EK1572" s="6"/>
      <c r="EL1572" s="6"/>
      <c r="EM1572" s="6"/>
      <c r="EN1572" s="6"/>
      <c r="EO1572" s="6"/>
      <c r="EP1572" s="6"/>
      <c r="EQ1572" s="6"/>
      <c r="ER1572" s="6"/>
      <c r="ES1572" s="6"/>
      <c r="ET1572" s="6"/>
      <c r="EU1572" s="6"/>
      <c r="EV1572" s="6"/>
      <c r="EW1572" s="6"/>
      <c r="EX1572" s="6"/>
      <c r="EY1572" s="6"/>
      <c r="EZ1572" s="6"/>
      <c r="FA1572" s="6"/>
      <c r="FB1572" s="6"/>
      <c r="FC1572" s="6"/>
      <c r="FD1572" s="6"/>
      <c r="FE1572" s="6"/>
      <c r="FF1572" s="6"/>
      <c r="FG1572" s="6"/>
      <c r="FH1572" s="6"/>
      <c r="FI1572" s="6"/>
      <c r="FJ1572" s="6"/>
      <c r="FK1572" s="6"/>
      <c r="FL1572" s="6"/>
      <c r="FM1572" s="6"/>
      <c r="FN1572" s="6"/>
      <c r="FO1572" s="6"/>
      <c r="FP1572" s="6"/>
      <c r="FQ1572" s="6"/>
      <c r="FR1572" s="6"/>
      <c r="FS1572" s="6"/>
      <c r="FT1572" s="6"/>
      <c r="FU1572" s="6"/>
      <c r="FV1572" s="6"/>
      <c r="FW1572" s="6"/>
      <c r="FX1572" s="6"/>
      <c r="FY1572" s="6"/>
      <c r="FZ1572" s="6"/>
      <c r="GA1572" s="6"/>
      <c r="GB1572" s="6"/>
      <c r="GC1572" s="6"/>
      <c r="GD1572" s="6"/>
      <c r="GE1572" s="6"/>
      <c r="GF1572" s="6"/>
      <c r="GG1572" s="6"/>
      <c r="GH1572" s="6"/>
      <c r="GI1572" s="6"/>
      <c r="GJ1572" s="6"/>
      <c r="GK1572" s="6"/>
      <c r="GL1572" s="6"/>
      <c r="GM1572" s="6"/>
      <c r="GN1572" s="6"/>
      <c r="GO1572" s="6"/>
      <c r="GP1572" s="6"/>
      <c r="GQ1572" s="6"/>
      <c r="GR1572" s="6"/>
      <c r="GS1572" s="6"/>
      <c r="GT1572" s="6"/>
      <c r="GU1572" s="6"/>
      <c r="GV1572" s="6"/>
      <c r="GW1572" s="6"/>
      <c r="GX1572" s="6"/>
      <c r="GY1572" s="6"/>
      <c r="GZ1572" s="6"/>
      <c r="HA1572" s="6"/>
      <c r="HB1572" s="6"/>
      <c r="HC1572" s="6"/>
      <c r="HD1572" s="6"/>
      <c r="HE1572" s="6"/>
      <c r="HF1572" s="6"/>
      <c r="HG1572" s="6"/>
      <c r="HH1572" s="6"/>
    </row>
    <row r="1573" spans="1:216" x14ac:dyDescent="0.3">
      <c r="A1573" s="8"/>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6"/>
      <c r="AR1573" s="6"/>
      <c r="AS1573" s="6"/>
      <c r="AT1573" s="6"/>
      <c r="AU1573" s="6"/>
      <c r="AV1573" s="6"/>
      <c r="AW1573" s="6"/>
      <c r="AX1573" s="6"/>
      <c r="AY1573" s="6"/>
      <c r="AZ1573" s="6"/>
      <c r="BA1573" s="6"/>
      <c r="BB1573" s="6"/>
      <c r="BC1573" s="6"/>
      <c r="BD1573" s="6"/>
      <c r="BE1573" s="6"/>
      <c r="BF1573" s="6"/>
      <c r="BG1573" s="6"/>
      <c r="BH1573" s="6"/>
      <c r="BI1573" s="6"/>
      <c r="BJ1573" s="6"/>
      <c r="BK1573" s="6"/>
      <c r="BL1573" s="6"/>
      <c r="BM1573" s="6"/>
      <c r="BN1573" s="6"/>
      <c r="BO1573" s="6"/>
      <c r="BP1573" s="6"/>
      <c r="BQ1573" s="6"/>
      <c r="BR1573" s="6"/>
      <c r="BS1573" s="6"/>
      <c r="BT1573" s="6"/>
      <c r="BU1573" s="6"/>
      <c r="BV1573" s="6"/>
      <c r="BW1573" s="6"/>
      <c r="BX1573" s="6"/>
      <c r="BY1573" s="6"/>
      <c r="BZ1573" s="6"/>
      <c r="CA1573" s="6"/>
      <c r="CB1573" s="6"/>
      <c r="CC1573" s="6"/>
      <c r="CD1573" s="6"/>
      <c r="CE1573" s="6"/>
      <c r="CF1573" s="6"/>
      <c r="CG1573" s="6"/>
      <c r="CH1573" s="6"/>
      <c r="CI1573" s="6"/>
      <c r="CJ1573" s="6"/>
      <c r="CK1573" s="6"/>
      <c r="CL1573" s="6"/>
      <c r="CM1573" s="6"/>
      <c r="CN1573" s="6"/>
      <c r="CO1573" s="6"/>
      <c r="CP1573" s="6"/>
      <c r="CQ1573" s="6"/>
      <c r="CR1573" s="6"/>
      <c r="CS1573" s="6"/>
      <c r="CT1573" s="6"/>
      <c r="CU1573" s="6"/>
      <c r="CV1573" s="6"/>
      <c r="CW1573" s="6"/>
      <c r="CX1573" s="6"/>
      <c r="CY1573" s="6"/>
      <c r="CZ1573" s="6"/>
      <c r="DA1573" s="6"/>
      <c r="DB1573" s="6"/>
      <c r="DC1573" s="6"/>
      <c r="DD1573" s="6"/>
      <c r="DE1573" s="6"/>
      <c r="DF1573" s="6"/>
      <c r="DG1573" s="6"/>
      <c r="DH1573" s="6"/>
      <c r="DI1573" s="6"/>
      <c r="DJ1573" s="6"/>
      <c r="DK1573" s="6"/>
      <c r="DL1573" s="6"/>
      <c r="DM1573" s="6"/>
      <c r="DN1573" s="6"/>
      <c r="DO1573" s="6"/>
      <c r="DP1573" s="6"/>
      <c r="DQ1573" s="6"/>
      <c r="DR1573" s="6"/>
      <c r="DS1573" s="6"/>
      <c r="DT1573" s="6"/>
      <c r="DU1573" s="6"/>
      <c r="DV1573" s="6"/>
      <c r="DW1573" s="6"/>
      <c r="DX1573" s="6"/>
      <c r="DY1573" s="6"/>
      <c r="DZ1573" s="6"/>
      <c r="EA1573" s="6"/>
      <c r="EB1573" s="6"/>
      <c r="EC1573" s="6"/>
      <c r="ED1573" s="6"/>
      <c r="EE1573" s="6"/>
      <c r="EF1573" s="6"/>
      <c r="EG1573" s="6"/>
      <c r="EH1573" s="6"/>
      <c r="EI1573" s="6"/>
      <c r="EJ1573" s="6"/>
      <c r="EK1573" s="6"/>
      <c r="EL1573" s="6"/>
      <c r="EM1573" s="6"/>
      <c r="EN1573" s="6"/>
      <c r="EO1573" s="6"/>
      <c r="EP1573" s="6"/>
      <c r="EQ1573" s="6"/>
      <c r="ER1573" s="6"/>
      <c r="ES1573" s="6"/>
      <c r="ET1573" s="6"/>
      <c r="EU1573" s="6"/>
      <c r="EV1573" s="6"/>
      <c r="EW1573" s="6"/>
      <c r="EX1573" s="6"/>
      <c r="EY1573" s="6"/>
      <c r="EZ1573" s="6"/>
      <c r="FA1573" s="6"/>
      <c r="FB1573" s="6"/>
      <c r="FC1573" s="6"/>
      <c r="FD1573" s="6"/>
      <c r="FE1573" s="6"/>
      <c r="FF1573" s="6"/>
      <c r="FG1573" s="6"/>
      <c r="FH1573" s="6"/>
      <c r="FI1573" s="6"/>
      <c r="FJ1573" s="6"/>
      <c r="FK1573" s="6"/>
      <c r="FL1573" s="6"/>
      <c r="FM1573" s="6"/>
      <c r="FN1573" s="6"/>
      <c r="FO1573" s="6"/>
      <c r="FP1573" s="6"/>
      <c r="FQ1573" s="6"/>
      <c r="FR1573" s="6"/>
      <c r="FS1573" s="6"/>
      <c r="FT1573" s="6"/>
      <c r="FU1573" s="6"/>
      <c r="FV1573" s="6"/>
      <c r="FW1573" s="6"/>
      <c r="FX1573" s="6"/>
      <c r="FY1573" s="6"/>
      <c r="FZ1573" s="6"/>
      <c r="GA1573" s="6"/>
      <c r="GB1573" s="6"/>
      <c r="GC1573" s="6"/>
      <c r="GD1573" s="6"/>
      <c r="GE1573" s="6"/>
      <c r="GF1573" s="6"/>
      <c r="GG1573" s="6"/>
      <c r="GH1573" s="6"/>
      <c r="GI1573" s="6"/>
      <c r="GJ1573" s="6"/>
      <c r="GK1573" s="6"/>
      <c r="GL1573" s="6"/>
      <c r="GM1573" s="6"/>
      <c r="GN1573" s="6"/>
      <c r="GO1573" s="6"/>
      <c r="GP1573" s="6"/>
      <c r="GQ1573" s="6"/>
      <c r="GR1573" s="6"/>
      <c r="GS1573" s="6"/>
      <c r="GT1573" s="6"/>
      <c r="GU1573" s="6"/>
      <c r="GV1573" s="6"/>
      <c r="GW1573" s="6"/>
      <c r="GX1573" s="6"/>
      <c r="GY1573" s="6"/>
      <c r="GZ1573" s="6"/>
      <c r="HA1573" s="6"/>
      <c r="HB1573" s="6"/>
      <c r="HC1573" s="6"/>
      <c r="HD1573" s="6"/>
      <c r="HE1573" s="6"/>
      <c r="HF1573" s="6"/>
      <c r="HG1573" s="6"/>
      <c r="HH1573" s="6"/>
    </row>
    <row r="1574" spans="1:216" x14ac:dyDescent="0.3">
      <c r="A1574" s="8"/>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row>
    <row r="1575" spans="1:216" x14ac:dyDescent="0.3">
      <c r="A1575" s="8"/>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row>
    <row r="1576" spans="1:216" x14ac:dyDescent="0.3">
      <c r="A1576" s="8"/>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row>
    <row r="1577" spans="1:216" x14ac:dyDescent="0.3">
      <c r="A1577" s="8"/>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row>
    <row r="1578" spans="1:216" x14ac:dyDescent="0.3">
      <c r="A1578" s="8"/>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row>
    <row r="1579" spans="1:216" x14ac:dyDescent="0.3">
      <c r="A1579" s="8"/>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row>
    <row r="1580" spans="1:216" x14ac:dyDescent="0.3">
      <c r="A1580" s="8"/>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6"/>
      <c r="AR1580" s="6"/>
      <c r="AS1580" s="6"/>
      <c r="AT1580" s="6"/>
      <c r="AU1580" s="6"/>
      <c r="AV1580" s="6"/>
      <c r="AW1580" s="6"/>
      <c r="AX1580" s="6"/>
      <c r="AY1580" s="6"/>
      <c r="AZ1580" s="6"/>
      <c r="BA1580" s="6"/>
      <c r="BB1580" s="6"/>
      <c r="BC1580" s="6"/>
      <c r="BD1580" s="6"/>
      <c r="BE1580" s="6"/>
      <c r="BF1580" s="6"/>
      <c r="BG1580" s="6"/>
      <c r="BH1580" s="6"/>
      <c r="BI1580" s="6"/>
      <c r="BJ1580" s="6"/>
      <c r="BK1580" s="6"/>
      <c r="BL1580" s="6"/>
      <c r="BM1580" s="6"/>
      <c r="BN1580" s="6"/>
      <c r="BO1580" s="6"/>
      <c r="BP1580" s="6"/>
      <c r="BQ1580" s="6"/>
      <c r="BR1580" s="6"/>
      <c r="BS1580" s="6"/>
      <c r="BT1580" s="6"/>
      <c r="BU1580" s="6"/>
      <c r="BV1580" s="6"/>
      <c r="BW1580" s="6"/>
      <c r="BX1580" s="6"/>
      <c r="BY1580" s="6"/>
      <c r="BZ1580" s="6"/>
      <c r="CA1580" s="6"/>
      <c r="CB1580" s="6"/>
      <c r="CC1580" s="6"/>
      <c r="CD1580" s="6"/>
      <c r="CE1580" s="6"/>
      <c r="CF1580" s="6"/>
      <c r="CG1580" s="6"/>
      <c r="CH1580" s="6"/>
      <c r="CI1580" s="6"/>
      <c r="CJ1580" s="6"/>
      <c r="CK1580" s="6"/>
      <c r="CL1580" s="6"/>
      <c r="CM1580" s="6"/>
      <c r="CN1580" s="6"/>
      <c r="CO1580" s="6"/>
      <c r="CP1580" s="6"/>
      <c r="CQ1580" s="6"/>
      <c r="CR1580" s="6"/>
      <c r="CS1580" s="6"/>
      <c r="CT1580" s="6"/>
      <c r="CU1580" s="6"/>
      <c r="CV1580" s="6"/>
      <c r="CW1580" s="6"/>
      <c r="CX1580" s="6"/>
      <c r="CY1580" s="6"/>
      <c r="CZ1580" s="6"/>
      <c r="DA1580" s="6"/>
      <c r="DB1580" s="6"/>
      <c r="DC1580" s="6"/>
      <c r="DD1580" s="6"/>
      <c r="DE1580" s="6"/>
      <c r="DF1580" s="6"/>
      <c r="DG1580" s="6"/>
      <c r="DH1580" s="6"/>
      <c r="DI1580" s="6"/>
      <c r="DJ1580" s="6"/>
      <c r="DK1580" s="6"/>
      <c r="DL1580" s="6"/>
      <c r="DM1580" s="6"/>
      <c r="DN1580" s="6"/>
      <c r="DO1580" s="6"/>
      <c r="DP1580" s="6"/>
      <c r="DQ1580" s="6"/>
      <c r="DR1580" s="6"/>
      <c r="DS1580" s="6"/>
      <c r="DT1580" s="6"/>
      <c r="DU1580" s="6"/>
      <c r="DV1580" s="6"/>
      <c r="DW1580" s="6"/>
      <c r="DX1580" s="6"/>
      <c r="DY1580" s="6"/>
      <c r="DZ1580" s="6"/>
      <c r="EA1580" s="6"/>
      <c r="EB1580" s="6"/>
      <c r="EC1580" s="6"/>
      <c r="ED1580" s="6"/>
      <c r="EE1580" s="6"/>
      <c r="EF1580" s="6"/>
      <c r="EG1580" s="6"/>
      <c r="EH1580" s="6"/>
      <c r="EI1580" s="6"/>
      <c r="EJ1580" s="6"/>
      <c r="EK1580" s="6"/>
      <c r="EL1580" s="6"/>
      <c r="EM1580" s="6"/>
      <c r="EN1580" s="6"/>
      <c r="EO1580" s="6"/>
      <c r="EP1580" s="6"/>
      <c r="EQ1580" s="6"/>
      <c r="ER1580" s="6"/>
      <c r="ES1580" s="6"/>
      <c r="ET1580" s="6"/>
      <c r="EU1580" s="6"/>
      <c r="EV1580" s="6"/>
      <c r="EW1580" s="6"/>
      <c r="EX1580" s="6"/>
      <c r="EY1580" s="6"/>
      <c r="EZ1580" s="6"/>
      <c r="FA1580" s="6"/>
      <c r="FB1580" s="6"/>
      <c r="FC1580" s="6"/>
      <c r="FD1580" s="6"/>
      <c r="FE1580" s="6"/>
      <c r="FF1580" s="6"/>
      <c r="FG1580" s="6"/>
      <c r="FH1580" s="6"/>
      <c r="FI1580" s="6"/>
      <c r="FJ1580" s="6"/>
      <c r="FK1580" s="6"/>
      <c r="FL1580" s="6"/>
      <c r="FM1580" s="6"/>
      <c r="FN1580" s="6"/>
      <c r="FO1580" s="6"/>
      <c r="FP1580" s="6"/>
      <c r="FQ1580" s="6"/>
      <c r="FR1580" s="6"/>
      <c r="FS1580" s="6"/>
      <c r="FT1580" s="6"/>
      <c r="FU1580" s="6"/>
      <c r="FV1580" s="6"/>
      <c r="FW1580" s="6"/>
      <c r="FX1580" s="6"/>
      <c r="FY1580" s="6"/>
      <c r="FZ1580" s="6"/>
      <c r="GA1580" s="6"/>
      <c r="GB1580" s="6"/>
      <c r="GC1580" s="6"/>
      <c r="GD1580" s="6"/>
      <c r="GE1580" s="6"/>
      <c r="GF1580" s="6"/>
      <c r="GG1580" s="6"/>
      <c r="GH1580" s="6"/>
      <c r="GI1580" s="6"/>
      <c r="GJ1580" s="6"/>
      <c r="GK1580" s="6"/>
      <c r="GL1580" s="6"/>
      <c r="GM1580" s="6"/>
      <c r="GN1580" s="6"/>
      <c r="GO1580" s="6"/>
      <c r="GP1580" s="6"/>
      <c r="GQ1580" s="6"/>
      <c r="GR1580" s="6"/>
      <c r="GS1580" s="6"/>
      <c r="GT1580" s="6"/>
      <c r="GU1580" s="6"/>
      <c r="GV1580" s="6"/>
      <c r="GW1580" s="6"/>
      <c r="GX1580" s="6"/>
      <c r="GY1580" s="6"/>
      <c r="GZ1580" s="6"/>
      <c r="HA1580" s="6"/>
      <c r="HB1580" s="6"/>
      <c r="HC1580" s="6"/>
      <c r="HD1580" s="6"/>
      <c r="HE1580" s="6"/>
      <c r="HF1580" s="6"/>
      <c r="HG1580" s="6"/>
      <c r="HH1580" s="6"/>
    </row>
    <row r="1581" spans="1:216" x14ac:dyDescent="0.3">
      <c r="A1581" s="8"/>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6"/>
      <c r="AR1581" s="6"/>
      <c r="AS1581" s="6"/>
      <c r="AT1581" s="6"/>
      <c r="AU1581" s="6"/>
      <c r="AV1581" s="6"/>
      <c r="AW1581" s="6"/>
      <c r="AX1581" s="6"/>
      <c r="AY1581" s="6"/>
      <c r="AZ1581" s="6"/>
      <c r="BA1581" s="6"/>
      <c r="BB1581" s="6"/>
      <c r="BC1581" s="6"/>
      <c r="BD1581" s="6"/>
      <c r="BE1581" s="6"/>
      <c r="BF1581" s="6"/>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c r="DX1581" s="6"/>
      <c r="DY1581" s="6"/>
      <c r="DZ1581" s="6"/>
      <c r="EA1581" s="6"/>
      <c r="EB1581" s="6"/>
      <c r="EC1581" s="6"/>
      <c r="ED1581" s="6"/>
      <c r="EE1581" s="6"/>
      <c r="EF1581" s="6"/>
      <c r="EG1581" s="6"/>
      <c r="EH1581" s="6"/>
      <c r="EI1581" s="6"/>
      <c r="EJ1581" s="6"/>
      <c r="EK1581" s="6"/>
      <c r="EL1581" s="6"/>
      <c r="EM1581" s="6"/>
      <c r="EN1581" s="6"/>
      <c r="EO1581" s="6"/>
      <c r="EP1581" s="6"/>
      <c r="EQ1581" s="6"/>
      <c r="ER1581" s="6"/>
      <c r="ES1581" s="6"/>
      <c r="ET1581" s="6"/>
      <c r="EU1581" s="6"/>
      <c r="EV1581" s="6"/>
      <c r="EW1581" s="6"/>
      <c r="EX1581" s="6"/>
      <c r="EY1581" s="6"/>
      <c r="EZ1581" s="6"/>
      <c r="FA1581" s="6"/>
      <c r="FB1581" s="6"/>
      <c r="FC1581" s="6"/>
      <c r="FD1581" s="6"/>
      <c r="FE1581" s="6"/>
      <c r="FF1581" s="6"/>
      <c r="FG1581" s="6"/>
      <c r="FH1581" s="6"/>
      <c r="FI1581" s="6"/>
      <c r="FJ1581" s="6"/>
      <c r="FK1581" s="6"/>
      <c r="FL1581" s="6"/>
      <c r="FM1581" s="6"/>
      <c r="FN1581" s="6"/>
      <c r="FO1581" s="6"/>
      <c r="FP1581" s="6"/>
      <c r="FQ1581" s="6"/>
      <c r="FR1581" s="6"/>
      <c r="FS1581" s="6"/>
      <c r="FT1581" s="6"/>
      <c r="FU1581" s="6"/>
      <c r="FV1581" s="6"/>
      <c r="FW1581" s="6"/>
      <c r="FX1581" s="6"/>
      <c r="FY1581" s="6"/>
      <c r="FZ1581" s="6"/>
      <c r="GA1581" s="6"/>
      <c r="GB1581" s="6"/>
      <c r="GC1581" s="6"/>
      <c r="GD1581" s="6"/>
      <c r="GE1581" s="6"/>
      <c r="GF1581" s="6"/>
      <c r="GG1581" s="6"/>
      <c r="GH1581" s="6"/>
      <c r="GI1581" s="6"/>
      <c r="GJ1581" s="6"/>
      <c r="GK1581" s="6"/>
      <c r="GL1581" s="6"/>
      <c r="GM1581" s="6"/>
      <c r="GN1581" s="6"/>
      <c r="GO1581" s="6"/>
      <c r="GP1581" s="6"/>
      <c r="GQ1581" s="6"/>
      <c r="GR1581" s="6"/>
      <c r="GS1581" s="6"/>
      <c r="GT1581" s="6"/>
      <c r="GU1581" s="6"/>
      <c r="GV1581" s="6"/>
      <c r="GW1581" s="6"/>
      <c r="GX1581" s="6"/>
      <c r="GY1581" s="6"/>
      <c r="GZ1581" s="6"/>
      <c r="HA1581" s="6"/>
      <c r="HB1581" s="6"/>
      <c r="HC1581" s="6"/>
      <c r="HD1581" s="6"/>
      <c r="HE1581" s="6"/>
      <c r="HF1581" s="6"/>
      <c r="HG1581" s="6"/>
      <c r="HH1581" s="6"/>
    </row>
    <row r="1582" spans="1:216" x14ac:dyDescent="0.3">
      <c r="A1582" s="8"/>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6"/>
      <c r="AR1582" s="6"/>
      <c r="AS1582" s="6"/>
      <c r="AT1582" s="6"/>
      <c r="AU1582" s="6"/>
      <c r="AV1582" s="6"/>
      <c r="AW1582" s="6"/>
      <c r="AX1582" s="6"/>
      <c r="AY1582" s="6"/>
      <c r="AZ1582" s="6"/>
      <c r="BA1582" s="6"/>
      <c r="BB1582" s="6"/>
      <c r="BC1582" s="6"/>
      <c r="BD1582" s="6"/>
      <c r="BE1582" s="6"/>
      <c r="BF1582" s="6"/>
      <c r="BG1582" s="6"/>
      <c r="BH1582" s="6"/>
      <c r="BI1582" s="6"/>
      <c r="BJ1582" s="6"/>
      <c r="BK1582" s="6"/>
      <c r="BL1582" s="6"/>
      <c r="BM1582" s="6"/>
      <c r="BN1582" s="6"/>
      <c r="BO1582" s="6"/>
      <c r="BP1582" s="6"/>
      <c r="BQ1582" s="6"/>
      <c r="BR1582" s="6"/>
      <c r="BS1582" s="6"/>
      <c r="BT1582" s="6"/>
      <c r="BU1582" s="6"/>
      <c r="BV1582" s="6"/>
      <c r="BW1582" s="6"/>
      <c r="BX1582" s="6"/>
      <c r="BY1582" s="6"/>
      <c r="BZ1582" s="6"/>
      <c r="CA1582" s="6"/>
      <c r="CB1582" s="6"/>
      <c r="CC1582" s="6"/>
      <c r="CD1582" s="6"/>
      <c r="CE1582" s="6"/>
      <c r="CF1582" s="6"/>
      <c r="CG1582" s="6"/>
      <c r="CH1582" s="6"/>
      <c r="CI1582" s="6"/>
      <c r="CJ1582" s="6"/>
      <c r="CK1582" s="6"/>
      <c r="CL1582" s="6"/>
      <c r="CM1582" s="6"/>
      <c r="CN1582" s="6"/>
      <c r="CO1582" s="6"/>
      <c r="CP1582" s="6"/>
      <c r="CQ1582" s="6"/>
      <c r="CR1582" s="6"/>
      <c r="CS1582" s="6"/>
      <c r="CT1582" s="6"/>
      <c r="CU1582" s="6"/>
      <c r="CV1582" s="6"/>
      <c r="CW1582" s="6"/>
      <c r="CX1582" s="6"/>
      <c r="CY1582" s="6"/>
      <c r="CZ1582" s="6"/>
      <c r="DA1582" s="6"/>
      <c r="DB1582" s="6"/>
      <c r="DC1582" s="6"/>
      <c r="DD1582" s="6"/>
      <c r="DE1582" s="6"/>
      <c r="DF1582" s="6"/>
      <c r="DG1582" s="6"/>
      <c r="DH1582" s="6"/>
      <c r="DI1582" s="6"/>
      <c r="DJ1582" s="6"/>
      <c r="DK1582" s="6"/>
      <c r="DL1582" s="6"/>
      <c r="DM1582" s="6"/>
      <c r="DN1582" s="6"/>
      <c r="DO1582" s="6"/>
      <c r="DP1582" s="6"/>
      <c r="DQ1582" s="6"/>
      <c r="DR1582" s="6"/>
      <c r="DS1582" s="6"/>
      <c r="DT1582" s="6"/>
      <c r="DU1582" s="6"/>
      <c r="DV1582" s="6"/>
      <c r="DW1582" s="6"/>
      <c r="DX1582" s="6"/>
      <c r="DY1582" s="6"/>
      <c r="DZ1582" s="6"/>
      <c r="EA1582" s="6"/>
      <c r="EB1582" s="6"/>
      <c r="EC1582" s="6"/>
      <c r="ED1582" s="6"/>
      <c r="EE1582" s="6"/>
      <c r="EF1582" s="6"/>
      <c r="EG1582" s="6"/>
      <c r="EH1582" s="6"/>
      <c r="EI1582" s="6"/>
      <c r="EJ1582" s="6"/>
      <c r="EK1582" s="6"/>
      <c r="EL1582" s="6"/>
      <c r="EM1582" s="6"/>
      <c r="EN1582" s="6"/>
      <c r="EO1582" s="6"/>
      <c r="EP1582" s="6"/>
      <c r="EQ1582" s="6"/>
      <c r="ER1582" s="6"/>
      <c r="ES1582" s="6"/>
      <c r="ET1582" s="6"/>
      <c r="EU1582" s="6"/>
      <c r="EV1582" s="6"/>
      <c r="EW1582" s="6"/>
      <c r="EX1582" s="6"/>
      <c r="EY1582" s="6"/>
      <c r="EZ1582" s="6"/>
      <c r="FA1582" s="6"/>
      <c r="FB1582" s="6"/>
      <c r="FC1582" s="6"/>
      <c r="FD1582" s="6"/>
      <c r="FE1582" s="6"/>
      <c r="FF1582" s="6"/>
      <c r="FG1582" s="6"/>
      <c r="FH1582" s="6"/>
      <c r="FI1582" s="6"/>
      <c r="FJ1582" s="6"/>
      <c r="FK1582" s="6"/>
      <c r="FL1582" s="6"/>
      <c r="FM1582" s="6"/>
      <c r="FN1582" s="6"/>
      <c r="FO1582" s="6"/>
      <c r="FP1582" s="6"/>
      <c r="FQ1582" s="6"/>
      <c r="FR1582" s="6"/>
      <c r="FS1582" s="6"/>
      <c r="FT1582" s="6"/>
      <c r="FU1582" s="6"/>
      <c r="FV1582" s="6"/>
      <c r="FW1582" s="6"/>
      <c r="FX1582" s="6"/>
      <c r="FY1582" s="6"/>
      <c r="FZ1582" s="6"/>
      <c r="GA1582" s="6"/>
      <c r="GB1582" s="6"/>
      <c r="GC1582" s="6"/>
      <c r="GD1582" s="6"/>
      <c r="GE1582" s="6"/>
      <c r="GF1582" s="6"/>
      <c r="GG1582" s="6"/>
      <c r="GH1582" s="6"/>
      <c r="GI1582" s="6"/>
      <c r="GJ1582" s="6"/>
      <c r="GK1582" s="6"/>
      <c r="GL1582" s="6"/>
      <c r="GM1582" s="6"/>
      <c r="GN1582" s="6"/>
      <c r="GO1582" s="6"/>
      <c r="GP1582" s="6"/>
      <c r="GQ1582" s="6"/>
      <c r="GR1582" s="6"/>
      <c r="GS1582" s="6"/>
      <c r="GT1582" s="6"/>
      <c r="GU1582" s="6"/>
      <c r="GV1582" s="6"/>
      <c r="GW1582" s="6"/>
      <c r="GX1582" s="6"/>
      <c r="GY1582" s="6"/>
      <c r="GZ1582" s="6"/>
      <c r="HA1582" s="6"/>
      <c r="HB1582" s="6"/>
      <c r="HC1582" s="6"/>
      <c r="HD1582" s="6"/>
      <c r="HE1582" s="6"/>
      <c r="HF1582" s="6"/>
      <c r="HG1582" s="6"/>
      <c r="HH1582" s="6"/>
    </row>
    <row r="1583" spans="1:216" x14ac:dyDescent="0.3">
      <c r="A1583" s="8"/>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6"/>
      <c r="AR1583" s="6"/>
      <c r="AS1583" s="6"/>
      <c r="AT1583" s="6"/>
      <c r="AU1583" s="6"/>
      <c r="AV1583" s="6"/>
      <c r="AW1583" s="6"/>
      <c r="AX1583" s="6"/>
      <c r="AY1583" s="6"/>
      <c r="AZ1583" s="6"/>
      <c r="BA1583" s="6"/>
      <c r="BB1583" s="6"/>
      <c r="BC1583" s="6"/>
      <c r="BD1583" s="6"/>
      <c r="BE1583" s="6"/>
      <c r="BF1583" s="6"/>
      <c r="BG1583" s="6"/>
      <c r="BH1583" s="6"/>
      <c r="BI1583" s="6"/>
      <c r="BJ1583" s="6"/>
      <c r="BK1583" s="6"/>
      <c r="BL1583" s="6"/>
      <c r="BM1583" s="6"/>
      <c r="BN1583" s="6"/>
      <c r="BO1583" s="6"/>
      <c r="BP1583" s="6"/>
      <c r="BQ1583" s="6"/>
      <c r="BR1583" s="6"/>
      <c r="BS1583" s="6"/>
      <c r="BT1583" s="6"/>
      <c r="BU1583" s="6"/>
      <c r="BV1583" s="6"/>
      <c r="BW1583" s="6"/>
      <c r="BX1583" s="6"/>
      <c r="BY1583" s="6"/>
      <c r="BZ1583" s="6"/>
      <c r="CA1583" s="6"/>
      <c r="CB1583" s="6"/>
      <c r="CC1583" s="6"/>
      <c r="CD1583" s="6"/>
      <c r="CE1583" s="6"/>
      <c r="CF1583" s="6"/>
      <c r="CG1583" s="6"/>
      <c r="CH1583" s="6"/>
      <c r="CI1583" s="6"/>
      <c r="CJ1583" s="6"/>
      <c r="CK1583" s="6"/>
      <c r="CL1583" s="6"/>
      <c r="CM1583" s="6"/>
      <c r="CN1583" s="6"/>
      <c r="CO1583" s="6"/>
      <c r="CP1583" s="6"/>
      <c r="CQ1583" s="6"/>
      <c r="CR1583" s="6"/>
      <c r="CS1583" s="6"/>
      <c r="CT1583" s="6"/>
      <c r="CU1583" s="6"/>
      <c r="CV1583" s="6"/>
      <c r="CW1583" s="6"/>
      <c r="CX1583" s="6"/>
      <c r="CY1583" s="6"/>
      <c r="CZ1583" s="6"/>
      <c r="DA1583" s="6"/>
      <c r="DB1583" s="6"/>
      <c r="DC1583" s="6"/>
      <c r="DD1583" s="6"/>
      <c r="DE1583" s="6"/>
      <c r="DF1583" s="6"/>
      <c r="DG1583" s="6"/>
      <c r="DH1583" s="6"/>
      <c r="DI1583" s="6"/>
      <c r="DJ1583" s="6"/>
      <c r="DK1583" s="6"/>
      <c r="DL1583" s="6"/>
      <c r="DM1583" s="6"/>
      <c r="DN1583" s="6"/>
      <c r="DO1583" s="6"/>
      <c r="DP1583" s="6"/>
      <c r="DQ1583" s="6"/>
      <c r="DR1583" s="6"/>
      <c r="DS1583" s="6"/>
      <c r="DT1583" s="6"/>
      <c r="DU1583" s="6"/>
      <c r="DV1583" s="6"/>
      <c r="DW1583" s="6"/>
      <c r="DX1583" s="6"/>
      <c r="DY1583" s="6"/>
      <c r="DZ1583" s="6"/>
      <c r="EA1583" s="6"/>
      <c r="EB1583" s="6"/>
      <c r="EC1583" s="6"/>
      <c r="ED1583" s="6"/>
      <c r="EE1583" s="6"/>
      <c r="EF1583" s="6"/>
      <c r="EG1583" s="6"/>
      <c r="EH1583" s="6"/>
      <c r="EI1583" s="6"/>
      <c r="EJ1583" s="6"/>
      <c r="EK1583" s="6"/>
      <c r="EL1583" s="6"/>
      <c r="EM1583" s="6"/>
      <c r="EN1583" s="6"/>
      <c r="EO1583" s="6"/>
      <c r="EP1583" s="6"/>
      <c r="EQ1583" s="6"/>
      <c r="ER1583" s="6"/>
      <c r="ES1583" s="6"/>
      <c r="ET1583" s="6"/>
      <c r="EU1583" s="6"/>
      <c r="EV1583" s="6"/>
      <c r="EW1583" s="6"/>
      <c r="EX1583" s="6"/>
      <c r="EY1583" s="6"/>
      <c r="EZ1583" s="6"/>
      <c r="FA1583" s="6"/>
      <c r="FB1583" s="6"/>
      <c r="FC1583" s="6"/>
      <c r="FD1583" s="6"/>
      <c r="FE1583" s="6"/>
      <c r="FF1583" s="6"/>
      <c r="FG1583" s="6"/>
      <c r="FH1583" s="6"/>
      <c r="FI1583" s="6"/>
      <c r="FJ1583" s="6"/>
      <c r="FK1583" s="6"/>
      <c r="FL1583" s="6"/>
      <c r="FM1583" s="6"/>
      <c r="FN1583" s="6"/>
      <c r="FO1583" s="6"/>
      <c r="FP1583" s="6"/>
      <c r="FQ1583" s="6"/>
      <c r="FR1583" s="6"/>
      <c r="FS1583" s="6"/>
      <c r="FT1583" s="6"/>
      <c r="FU1583" s="6"/>
      <c r="FV1583" s="6"/>
      <c r="FW1583" s="6"/>
      <c r="FX1583" s="6"/>
      <c r="FY1583" s="6"/>
      <c r="FZ1583" s="6"/>
      <c r="GA1583" s="6"/>
      <c r="GB1583" s="6"/>
      <c r="GC1583" s="6"/>
      <c r="GD1583" s="6"/>
      <c r="GE1583" s="6"/>
      <c r="GF1583" s="6"/>
      <c r="GG1583" s="6"/>
      <c r="GH1583" s="6"/>
      <c r="GI1583" s="6"/>
      <c r="GJ1583" s="6"/>
      <c r="GK1583" s="6"/>
      <c r="GL1583" s="6"/>
      <c r="GM1583" s="6"/>
      <c r="GN1583" s="6"/>
      <c r="GO1583" s="6"/>
      <c r="GP1583" s="6"/>
      <c r="GQ1583" s="6"/>
      <c r="GR1583" s="6"/>
      <c r="GS1583" s="6"/>
      <c r="GT1583" s="6"/>
      <c r="GU1583" s="6"/>
      <c r="GV1583" s="6"/>
      <c r="GW1583" s="6"/>
      <c r="GX1583" s="6"/>
      <c r="GY1583" s="6"/>
      <c r="GZ1583" s="6"/>
      <c r="HA1583" s="6"/>
      <c r="HB1583" s="6"/>
      <c r="HC1583" s="6"/>
      <c r="HD1583" s="6"/>
      <c r="HE1583" s="6"/>
      <c r="HF1583" s="6"/>
      <c r="HG1583" s="6"/>
      <c r="HH1583" s="6"/>
    </row>
    <row r="1584" spans="1:216" x14ac:dyDescent="0.3">
      <c r="A1584" s="8"/>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6"/>
      <c r="AR1584" s="6"/>
      <c r="AS1584" s="6"/>
      <c r="AT1584" s="6"/>
      <c r="AU1584" s="6"/>
      <c r="AV1584" s="6"/>
      <c r="AW1584" s="6"/>
      <c r="AX1584" s="6"/>
      <c r="AY1584" s="6"/>
      <c r="AZ1584" s="6"/>
      <c r="BA1584" s="6"/>
      <c r="BB1584" s="6"/>
      <c r="BC1584" s="6"/>
      <c r="BD1584" s="6"/>
      <c r="BE1584" s="6"/>
      <c r="BF1584" s="6"/>
      <c r="BG1584" s="6"/>
      <c r="BH1584" s="6"/>
      <c r="BI1584" s="6"/>
      <c r="BJ1584" s="6"/>
      <c r="BK1584" s="6"/>
      <c r="BL1584" s="6"/>
      <c r="BM1584" s="6"/>
      <c r="BN1584" s="6"/>
      <c r="BO1584" s="6"/>
      <c r="BP1584" s="6"/>
      <c r="BQ1584" s="6"/>
      <c r="BR1584" s="6"/>
      <c r="BS1584" s="6"/>
      <c r="BT1584" s="6"/>
      <c r="BU1584" s="6"/>
      <c r="BV1584" s="6"/>
      <c r="BW1584" s="6"/>
      <c r="BX1584" s="6"/>
      <c r="BY1584" s="6"/>
      <c r="BZ1584" s="6"/>
      <c r="CA1584" s="6"/>
      <c r="CB1584" s="6"/>
      <c r="CC1584" s="6"/>
      <c r="CD1584" s="6"/>
      <c r="CE1584" s="6"/>
      <c r="CF1584" s="6"/>
      <c r="CG1584" s="6"/>
      <c r="CH1584" s="6"/>
      <c r="CI1584" s="6"/>
      <c r="CJ1584" s="6"/>
      <c r="CK1584" s="6"/>
      <c r="CL1584" s="6"/>
      <c r="CM1584" s="6"/>
      <c r="CN1584" s="6"/>
      <c r="CO1584" s="6"/>
      <c r="CP1584" s="6"/>
      <c r="CQ1584" s="6"/>
      <c r="CR1584" s="6"/>
      <c r="CS1584" s="6"/>
      <c r="CT1584" s="6"/>
      <c r="CU1584" s="6"/>
      <c r="CV1584" s="6"/>
      <c r="CW1584" s="6"/>
      <c r="CX1584" s="6"/>
      <c r="CY1584" s="6"/>
      <c r="CZ1584" s="6"/>
      <c r="DA1584" s="6"/>
      <c r="DB1584" s="6"/>
      <c r="DC1584" s="6"/>
      <c r="DD1584" s="6"/>
      <c r="DE1584" s="6"/>
      <c r="DF1584" s="6"/>
      <c r="DG1584" s="6"/>
      <c r="DH1584" s="6"/>
      <c r="DI1584" s="6"/>
      <c r="DJ1584" s="6"/>
      <c r="DK1584" s="6"/>
      <c r="DL1584" s="6"/>
      <c r="DM1584" s="6"/>
      <c r="DN1584" s="6"/>
      <c r="DO1584" s="6"/>
      <c r="DP1584" s="6"/>
      <c r="DQ1584" s="6"/>
      <c r="DR1584" s="6"/>
      <c r="DS1584" s="6"/>
      <c r="DT1584" s="6"/>
      <c r="DU1584" s="6"/>
      <c r="DV1584" s="6"/>
      <c r="DW1584" s="6"/>
      <c r="DX1584" s="6"/>
      <c r="DY1584" s="6"/>
      <c r="DZ1584" s="6"/>
      <c r="EA1584" s="6"/>
      <c r="EB1584" s="6"/>
      <c r="EC1584" s="6"/>
      <c r="ED1584" s="6"/>
      <c r="EE1584" s="6"/>
      <c r="EF1584" s="6"/>
      <c r="EG1584" s="6"/>
      <c r="EH1584" s="6"/>
      <c r="EI1584" s="6"/>
      <c r="EJ1584" s="6"/>
      <c r="EK1584" s="6"/>
      <c r="EL1584" s="6"/>
      <c r="EM1584" s="6"/>
      <c r="EN1584" s="6"/>
      <c r="EO1584" s="6"/>
      <c r="EP1584" s="6"/>
      <c r="EQ1584" s="6"/>
      <c r="ER1584" s="6"/>
      <c r="ES1584" s="6"/>
      <c r="ET1584" s="6"/>
      <c r="EU1584" s="6"/>
      <c r="EV1584" s="6"/>
      <c r="EW1584" s="6"/>
      <c r="EX1584" s="6"/>
      <c r="EY1584" s="6"/>
      <c r="EZ1584" s="6"/>
      <c r="FA1584" s="6"/>
      <c r="FB1584" s="6"/>
      <c r="FC1584" s="6"/>
      <c r="FD1584" s="6"/>
      <c r="FE1584" s="6"/>
      <c r="FF1584" s="6"/>
      <c r="FG1584" s="6"/>
      <c r="FH1584" s="6"/>
      <c r="FI1584" s="6"/>
      <c r="FJ1584" s="6"/>
      <c r="FK1584" s="6"/>
      <c r="FL1584" s="6"/>
      <c r="FM1584" s="6"/>
      <c r="FN1584" s="6"/>
      <c r="FO1584" s="6"/>
      <c r="FP1584" s="6"/>
      <c r="FQ1584" s="6"/>
      <c r="FR1584" s="6"/>
      <c r="FS1584" s="6"/>
      <c r="FT1584" s="6"/>
      <c r="FU1584" s="6"/>
      <c r="FV1584" s="6"/>
      <c r="FW1584" s="6"/>
      <c r="FX1584" s="6"/>
      <c r="FY1584" s="6"/>
      <c r="FZ1584" s="6"/>
      <c r="GA1584" s="6"/>
      <c r="GB1584" s="6"/>
      <c r="GC1584" s="6"/>
      <c r="GD1584" s="6"/>
      <c r="GE1584" s="6"/>
      <c r="GF1584" s="6"/>
      <c r="GG1584" s="6"/>
      <c r="GH1584" s="6"/>
      <c r="GI1584" s="6"/>
      <c r="GJ1584" s="6"/>
      <c r="GK1584" s="6"/>
      <c r="GL1584" s="6"/>
      <c r="GM1584" s="6"/>
      <c r="GN1584" s="6"/>
      <c r="GO1584" s="6"/>
      <c r="GP1584" s="6"/>
      <c r="GQ1584" s="6"/>
      <c r="GR1584" s="6"/>
      <c r="GS1584" s="6"/>
      <c r="GT1584" s="6"/>
      <c r="GU1584" s="6"/>
      <c r="GV1584" s="6"/>
      <c r="GW1584" s="6"/>
      <c r="GX1584" s="6"/>
      <c r="GY1584" s="6"/>
      <c r="GZ1584" s="6"/>
      <c r="HA1584" s="6"/>
      <c r="HB1584" s="6"/>
      <c r="HC1584" s="6"/>
      <c r="HD1584" s="6"/>
      <c r="HE1584" s="6"/>
      <c r="HF1584" s="6"/>
      <c r="HG1584" s="6"/>
      <c r="HH1584" s="6"/>
    </row>
    <row r="1585" spans="1:216" x14ac:dyDescent="0.3">
      <c r="A1585" s="8"/>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6"/>
      <c r="AR1585" s="6"/>
      <c r="AS1585" s="6"/>
      <c r="AT1585" s="6"/>
      <c r="AU1585" s="6"/>
      <c r="AV1585" s="6"/>
      <c r="AW1585" s="6"/>
      <c r="AX1585" s="6"/>
      <c r="AY1585" s="6"/>
      <c r="AZ1585" s="6"/>
      <c r="BA1585" s="6"/>
      <c r="BB1585" s="6"/>
      <c r="BC1585" s="6"/>
      <c r="BD1585" s="6"/>
      <c r="BE1585" s="6"/>
      <c r="BF1585" s="6"/>
      <c r="BG1585" s="6"/>
      <c r="BH1585" s="6"/>
      <c r="BI1585" s="6"/>
      <c r="BJ1585" s="6"/>
      <c r="BK1585" s="6"/>
      <c r="BL1585" s="6"/>
      <c r="BM1585" s="6"/>
      <c r="BN1585" s="6"/>
      <c r="BO1585" s="6"/>
      <c r="BP1585" s="6"/>
      <c r="BQ1585" s="6"/>
      <c r="BR1585" s="6"/>
      <c r="BS1585" s="6"/>
      <c r="BT1585" s="6"/>
      <c r="BU1585" s="6"/>
      <c r="BV1585" s="6"/>
      <c r="BW1585" s="6"/>
      <c r="BX1585" s="6"/>
      <c r="BY1585" s="6"/>
      <c r="BZ1585" s="6"/>
      <c r="CA1585" s="6"/>
      <c r="CB1585" s="6"/>
      <c r="CC1585" s="6"/>
      <c r="CD1585" s="6"/>
      <c r="CE1585" s="6"/>
      <c r="CF1585" s="6"/>
      <c r="CG1585" s="6"/>
      <c r="CH1585" s="6"/>
      <c r="CI1585" s="6"/>
      <c r="CJ1585" s="6"/>
      <c r="CK1585" s="6"/>
      <c r="CL1585" s="6"/>
      <c r="CM1585" s="6"/>
      <c r="CN1585" s="6"/>
      <c r="CO1585" s="6"/>
      <c r="CP1585" s="6"/>
      <c r="CQ1585" s="6"/>
      <c r="CR1585" s="6"/>
      <c r="CS1585" s="6"/>
      <c r="CT1585" s="6"/>
      <c r="CU1585" s="6"/>
      <c r="CV1585" s="6"/>
      <c r="CW1585" s="6"/>
      <c r="CX1585" s="6"/>
      <c r="CY1585" s="6"/>
      <c r="CZ1585" s="6"/>
      <c r="DA1585" s="6"/>
      <c r="DB1585" s="6"/>
      <c r="DC1585" s="6"/>
      <c r="DD1585" s="6"/>
      <c r="DE1585" s="6"/>
      <c r="DF1585" s="6"/>
      <c r="DG1585" s="6"/>
      <c r="DH1585" s="6"/>
      <c r="DI1585" s="6"/>
      <c r="DJ1585" s="6"/>
      <c r="DK1585" s="6"/>
      <c r="DL1585" s="6"/>
      <c r="DM1585" s="6"/>
      <c r="DN1585" s="6"/>
      <c r="DO1585" s="6"/>
      <c r="DP1585" s="6"/>
      <c r="DQ1585" s="6"/>
      <c r="DR1585" s="6"/>
      <c r="DS1585" s="6"/>
      <c r="DT1585" s="6"/>
      <c r="DU1585" s="6"/>
      <c r="DV1585" s="6"/>
      <c r="DW1585" s="6"/>
      <c r="DX1585" s="6"/>
      <c r="DY1585" s="6"/>
      <c r="DZ1585" s="6"/>
      <c r="EA1585" s="6"/>
      <c r="EB1585" s="6"/>
      <c r="EC1585" s="6"/>
      <c r="ED1585" s="6"/>
      <c r="EE1585" s="6"/>
      <c r="EF1585" s="6"/>
      <c r="EG1585" s="6"/>
      <c r="EH1585" s="6"/>
      <c r="EI1585" s="6"/>
      <c r="EJ1585" s="6"/>
      <c r="EK1585" s="6"/>
      <c r="EL1585" s="6"/>
      <c r="EM1585" s="6"/>
      <c r="EN1585" s="6"/>
      <c r="EO1585" s="6"/>
      <c r="EP1585" s="6"/>
      <c r="EQ1585" s="6"/>
      <c r="ER1585" s="6"/>
      <c r="ES1585" s="6"/>
      <c r="ET1585" s="6"/>
      <c r="EU1585" s="6"/>
      <c r="EV1585" s="6"/>
      <c r="EW1585" s="6"/>
      <c r="EX1585" s="6"/>
      <c r="EY1585" s="6"/>
      <c r="EZ1585" s="6"/>
      <c r="FA1585" s="6"/>
      <c r="FB1585" s="6"/>
      <c r="FC1585" s="6"/>
      <c r="FD1585" s="6"/>
      <c r="FE1585" s="6"/>
      <c r="FF1585" s="6"/>
      <c r="FG1585" s="6"/>
      <c r="FH1585" s="6"/>
      <c r="FI1585" s="6"/>
      <c r="FJ1585" s="6"/>
      <c r="FK1585" s="6"/>
      <c r="FL1585" s="6"/>
      <c r="FM1585" s="6"/>
      <c r="FN1585" s="6"/>
      <c r="FO1585" s="6"/>
      <c r="FP1585" s="6"/>
      <c r="FQ1585" s="6"/>
      <c r="FR1585" s="6"/>
      <c r="FS1585" s="6"/>
      <c r="FT1585" s="6"/>
      <c r="FU1585" s="6"/>
      <c r="FV1585" s="6"/>
      <c r="FW1585" s="6"/>
      <c r="FX1585" s="6"/>
      <c r="FY1585" s="6"/>
      <c r="FZ1585" s="6"/>
      <c r="GA1585" s="6"/>
      <c r="GB1585" s="6"/>
      <c r="GC1585" s="6"/>
      <c r="GD1585" s="6"/>
      <c r="GE1585" s="6"/>
      <c r="GF1585" s="6"/>
      <c r="GG1585" s="6"/>
      <c r="GH1585" s="6"/>
      <c r="GI1585" s="6"/>
      <c r="GJ1585" s="6"/>
      <c r="GK1585" s="6"/>
      <c r="GL1585" s="6"/>
      <c r="GM1585" s="6"/>
      <c r="GN1585" s="6"/>
      <c r="GO1585" s="6"/>
      <c r="GP1585" s="6"/>
      <c r="GQ1585" s="6"/>
      <c r="GR1585" s="6"/>
      <c r="GS1585" s="6"/>
      <c r="GT1585" s="6"/>
      <c r="GU1585" s="6"/>
      <c r="GV1585" s="6"/>
      <c r="GW1585" s="6"/>
      <c r="GX1585" s="6"/>
      <c r="GY1585" s="6"/>
      <c r="GZ1585" s="6"/>
      <c r="HA1585" s="6"/>
      <c r="HB1585" s="6"/>
      <c r="HC1585" s="6"/>
      <c r="HD1585" s="6"/>
      <c r="HE1585" s="6"/>
      <c r="HF1585" s="6"/>
      <c r="HG1585" s="6"/>
      <c r="HH1585" s="6"/>
    </row>
    <row r="1586" spans="1:216" x14ac:dyDescent="0.3">
      <c r="A1586" s="8"/>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row>
    <row r="1587" spans="1:216" x14ac:dyDescent="0.3">
      <c r="A1587" s="8"/>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row>
    <row r="1588" spans="1:216" x14ac:dyDescent="0.3">
      <c r="A1588" s="8"/>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row>
    <row r="1589" spans="1:216" x14ac:dyDescent="0.3">
      <c r="A1589" s="8"/>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6"/>
      <c r="AR1589" s="6"/>
      <c r="AS1589" s="6"/>
      <c r="AT1589" s="6"/>
      <c r="AU1589" s="6"/>
      <c r="AV1589" s="6"/>
      <c r="AW1589" s="6"/>
      <c r="AX1589" s="6"/>
      <c r="AY1589" s="6"/>
      <c r="AZ1589" s="6"/>
      <c r="BA1589" s="6"/>
      <c r="BB1589" s="6"/>
      <c r="BC1589" s="6"/>
      <c r="BD1589" s="6"/>
      <c r="BE1589" s="6"/>
      <c r="BF1589" s="6"/>
      <c r="BG1589" s="6"/>
      <c r="BH1589" s="6"/>
      <c r="BI1589" s="6"/>
      <c r="BJ1589" s="6"/>
      <c r="BK1589" s="6"/>
      <c r="BL1589" s="6"/>
      <c r="BM1589" s="6"/>
      <c r="BN1589" s="6"/>
      <c r="BO1589" s="6"/>
      <c r="BP1589" s="6"/>
      <c r="BQ1589" s="6"/>
      <c r="BR1589" s="6"/>
      <c r="BS1589" s="6"/>
      <c r="BT1589" s="6"/>
      <c r="BU1589" s="6"/>
      <c r="BV1589" s="6"/>
      <c r="BW1589" s="6"/>
      <c r="BX1589" s="6"/>
      <c r="BY1589" s="6"/>
      <c r="BZ1589" s="6"/>
      <c r="CA1589" s="6"/>
      <c r="CB1589" s="6"/>
      <c r="CC1589" s="6"/>
      <c r="CD1589" s="6"/>
      <c r="CE1589" s="6"/>
      <c r="CF1589" s="6"/>
      <c r="CG1589" s="6"/>
      <c r="CH1589" s="6"/>
      <c r="CI1589" s="6"/>
      <c r="CJ1589" s="6"/>
      <c r="CK1589" s="6"/>
      <c r="CL1589" s="6"/>
      <c r="CM1589" s="6"/>
      <c r="CN1589" s="6"/>
      <c r="CO1589" s="6"/>
      <c r="CP1589" s="6"/>
      <c r="CQ1589" s="6"/>
      <c r="CR1589" s="6"/>
      <c r="CS1589" s="6"/>
      <c r="CT1589" s="6"/>
      <c r="CU1589" s="6"/>
      <c r="CV1589" s="6"/>
      <c r="CW1589" s="6"/>
      <c r="CX1589" s="6"/>
      <c r="CY1589" s="6"/>
      <c r="CZ1589" s="6"/>
      <c r="DA1589" s="6"/>
      <c r="DB1589" s="6"/>
      <c r="DC1589" s="6"/>
      <c r="DD1589" s="6"/>
      <c r="DE1589" s="6"/>
      <c r="DF1589" s="6"/>
      <c r="DG1589" s="6"/>
      <c r="DH1589" s="6"/>
      <c r="DI1589" s="6"/>
      <c r="DJ1589" s="6"/>
      <c r="DK1589" s="6"/>
      <c r="DL1589" s="6"/>
      <c r="DM1589" s="6"/>
      <c r="DN1589" s="6"/>
      <c r="DO1589" s="6"/>
      <c r="DP1589" s="6"/>
      <c r="DQ1589" s="6"/>
      <c r="DR1589" s="6"/>
      <c r="DS1589" s="6"/>
      <c r="DT1589" s="6"/>
      <c r="DU1589" s="6"/>
      <c r="DV1589" s="6"/>
      <c r="DW1589" s="6"/>
      <c r="DX1589" s="6"/>
      <c r="DY1589" s="6"/>
      <c r="DZ1589" s="6"/>
      <c r="EA1589" s="6"/>
      <c r="EB1589" s="6"/>
      <c r="EC1589" s="6"/>
      <c r="ED1589" s="6"/>
      <c r="EE1589" s="6"/>
      <c r="EF1589" s="6"/>
      <c r="EG1589" s="6"/>
      <c r="EH1589" s="6"/>
      <c r="EI1589" s="6"/>
      <c r="EJ1589" s="6"/>
      <c r="EK1589" s="6"/>
      <c r="EL1589" s="6"/>
      <c r="EM1589" s="6"/>
      <c r="EN1589" s="6"/>
      <c r="EO1589" s="6"/>
      <c r="EP1589" s="6"/>
      <c r="EQ1589" s="6"/>
      <c r="ER1589" s="6"/>
      <c r="ES1589" s="6"/>
      <c r="ET1589" s="6"/>
      <c r="EU1589" s="6"/>
      <c r="EV1589" s="6"/>
      <c r="EW1589" s="6"/>
      <c r="EX1589" s="6"/>
      <c r="EY1589" s="6"/>
      <c r="EZ1589" s="6"/>
      <c r="FA1589" s="6"/>
      <c r="FB1589" s="6"/>
      <c r="FC1589" s="6"/>
      <c r="FD1589" s="6"/>
      <c r="FE1589" s="6"/>
      <c r="FF1589" s="6"/>
      <c r="FG1589" s="6"/>
      <c r="FH1589" s="6"/>
      <c r="FI1589" s="6"/>
      <c r="FJ1589" s="6"/>
      <c r="FK1589" s="6"/>
      <c r="FL1589" s="6"/>
      <c r="FM1589" s="6"/>
      <c r="FN1589" s="6"/>
      <c r="FO1589" s="6"/>
      <c r="FP1589" s="6"/>
      <c r="FQ1589" s="6"/>
      <c r="FR1589" s="6"/>
      <c r="FS1589" s="6"/>
      <c r="FT1589" s="6"/>
      <c r="FU1589" s="6"/>
      <c r="FV1589" s="6"/>
      <c r="FW1589" s="6"/>
      <c r="FX1589" s="6"/>
      <c r="FY1589" s="6"/>
      <c r="FZ1589" s="6"/>
      <c r="GA1589" s="6"/>
      <c r="GB1589" s="6"/>
      <c r="GC1589" s="6"/>
      <c r="GD1589" s="6"/>
      <c r="GE1589" s="6"/>
      <c r="GF1589" s="6"/>
      <c r="GG1589" s="6"/>
      <c r="GH1589" s="6"/>
      <c r="GI1589" s="6"/>
      <c r="GJ1589" s="6"/>
      <c r="GK1589" s="6"/>
      <c r="GL1589" s="6"/>
      <c r="GM1589" s="6"/>
      <c r="GN1589" s="6"/>
      <c r="GO1589" s="6"/>
      <c r="GP1589" s="6"/>
      <c r="GQ1589" s="6"/>
      <c r="GR1589" s="6"/>
      <c r="GS1589" s="6"/>
      <c r="GT1589" s="6"/>
      <c r="GU1589" s="6"/>
      <c r="GV1589" s="6"/>
      <c r="GW1589" s="6"/>
      <c r="GX1589" s="6"/>
      <c r="GY1589" s="6"/>
      <c r="GZ1589" s="6"/>
      <c r="HA1589" s="6"/>
      <c r="HB1589" s="6"/>
      <c r="HC1589" s="6"/>
      <c r="HD1589" s="6"/>
      <c r="HE1589" s="6"/>
      <c r="HF1589" s="6"/>
      <c r="HG1589" s="6"/>
      <c r="HH1589" s="6"/>
    </row>
    <row r="1590" spans="1:216" x14ac:dyDescent="0.3">
      <c r="A1590" s="8"/>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6"/>
      <c r="AR1590" s="6"/>
      <c r="AS1590" s="6"/>
      <c r="AT1590" s="6"/>
      <c r="AU1590" s="6"/>
      <c r="AV1590" s="6"/>
      <c r="AW1590" s="6"/>
      <c r="AX1590" s="6"/>
      <c r="AY1590" s="6"/>
      <c r="AZ1590" s="6"/>
      <c r="BA1590" s="6"/>
      <c r="BB1590" s="6"/>
      <c r="BC1590" s="6"/>
      <c r="BD1590" s="6"/>
      <c r="BE1590" s="6"/>
      <c r="BF1590" s="6"/>
      <c r="BG1590" s="6"/>
      <c r="BH1590" s="6"/>
      <c r="BI1590" s="6"/>
      <c r="BJ1590" s="6"/>
      <c r="BK1590" s="6"/>
      <c r="BL1590" s="6"/>
      <c r="BM1590" s="6"/>
      <c r="BN1590" s="6"/>
      <c r="BO1590" s="6"/>
      <c r="BP1590" s="6"/>
      <c r="BQ1590" s="6"/>
      <c r="BR1590" s="6"/>
      <c r="BS1590" s="6"/>
      <c r="BT1590" s="6"/>
      <c r="BU1590" s="6"/>
      <c r="BV1590" s="6"/>
      <c r="BW1590" s="6"/>
      <c r="BX1590" s="6"/>
      <c r="BY1590" s="6"/>
      <c r="BZ1590" s="6"/>
      <c r="CA1590" s="6"/>
      <c r="CB1590" s="6"/>
      <c r="CC1590" s="6"/>
      <c r="CD1590" s="6"/>
      <c r="CE1590" s="6"/>
      <c r="CF1590" s="6"/>
      <c r="CG1590" s="6"/>
      <c r="CH1590" s="6"/>
      <c r="CI1590" s="6"/>
      <c r="CJ1590" s="6"/>
      <c r="CK1590" s="6"/>
      <c r="CL1590" s="6"/>
      <c r="CM1590" s="6"/>
      <c r="CN1590" s="6"/>
      <c r="CO1590" s="6"/>
      <c r="CP1590" s="6"/>
      <c r="CQ1590" s="6"/>
      <c r="CR1590" s="6"/>
      <c r="CS1590" s="6"/>
      <c r="CT1590" s="6"/>
      <c r="CU1590" s="6"/>
      <c r="CV1590" s="6"/>
      <c r="CW1590" s="6"/>
      <c r="CX1590" s="6"/>
      <c r="CY1590" s="6"/>
      <c r="CZ1590" s="6"/>
      <c r="DA1590" s="6"/>
      <c r="DB1590" s="6"/>
      <c r="DC1590" s="6"/>
      <c r="DD1590" s="6"/>
      <c r="DE1590" s="6"/>
      <c r="DF1590" s="6"/>
      <c r="DG1590" s="6"/>
      <c r="DH1590" s="6"/>
      <c r="DI1590" s="6"/>
      <c r="DJ1590" s="6"/>
      <c r="DK1590" s="6"/>
      <c r="DL1590" s="6"/>
      <c r="DM1590" s="6"/>
      <c r="DN1590" s="6"/>
      <c r="DO1590" s="6"/>
      <c r="DP1590" s="6"/>
      <c r="DQ1590" s="6"/>
      <c r="DR1590" s="6"/>
      <c r="DS1590" s="6"/>
      <c r="DT1590" s="6"/>
      <c r="DU1590" s="6"/>
      <c r="DV1590" s="6"/>
      <c r="DW1590" s="6"/>
      <c r="DX1590" s="6"/>
      <c r="DY1590" s="6"/>
      <c r="DZ1590" s="6"/>
      <c r="EA1590" s="6"/>
      <c r="EB1590" s="6"/>
      <c r="EC1590" s="6"/>
      <c r="ED1590" s="6"/>
      <c r="EE1590" s="6"/>
      <c r="EF1590" s="6"/>
      <c r="EG1590" s="6"/>
      <c r="EH1590" s="6"/>
      <c r="EI1590" s="6"/>
      <c r="EJ1590" s="6"/>
      <c r="EK1590" s="6"/>
      <c r="EL1590" s="6"/>
      <c r="EM1590" s="6"/>
      <c r="EN1590" s="6"/>
      <c r="EO1590" s="6"/>
      <c r="EP1590" s="6"/>
      <c r="EQ1590" s="6"/>
      <c r="ER1590" s="6"/>
      <c r="ES1590" s="6"/>
      <c r="ET1590" s="6"/>
      <c r="EU1590" s="6"/>
      <c r="EV1590" s="6"/>
      <c r="EW1590" s="6"/>
      <c r="EX1590" s="6"/>
      <c r="EY1590" s="6"/>
      <c r="EZ1590" s="6"/>
      <c r="FA1590" s="6"/>
      <c r="FB1590" s="6"/>
      <c r="FC1590" s="6"/>
      <c r="FD1590" s="6"/>
      <c r="FE1590" s="6"/>
      <c r="FF1590" s="6"/>
      <c r="FG1590" s="6"/>
      <c r="FH1590" s="6"/>
      <c r="FI1590" s="6"/>
      <c r="FJ1590" s="6"/>
      <c r="FK1590" s="6"/>
      <c r="FL1590" s="6"/>
      <c r="FM1590" s="6"/>
      <c r="FN1590" s="6"/>
      <c r="FO1590" s="6"/>
      <c r="FP1590" s="6"/>
      <c r="FQ1590" s="6"/>
      <c r="FR1590" s="6"/>
      <c r="FS1590" s="6"/>
      <c r="FT1590" s="6"/>
      <c r="FU1590" s="6"/>
      <c r="FV1590" s="6"/>
      <c r="FW1590" s="6"/>
      <c r="FX1590" s="6"/>
      <c r="FY1590" s="6"/>
      <c r="FZ1590" s="6"/>
      <c r="GA1590" s="6"/>
      <c r="GB1590" s="6"/>
      <c r="GC1590" s="6"/>
      <c r="GD1590" s="6"/>
      <c r="GE1590" s="6"/>
      <c r="GF1590" s="6"/>
      <c r="GG1590" s="6"/>
      <c r="GH1590" s="6"/>
      <c r="GI1590" s="6"/>
      <c r="GJ1590" s="6"/>
      <c r="GK1590" s="6"/>
      <c r="GL1590" s="6"/>
      <c r="GM1590" s="6"/>
      <c r="GN1590" s="6"/>
      <c r="GO1590" s="6"/>
      <c r="GP1590" s="6"/>
      <c r="GQ1590" s="6"/>
      <c r="GR1590" s="6"/>
      <c r="GS1590" s="6"/>
      <c r="GT1590" s="6"/>
      <c r="GU1590" s="6"/>
      <c r="GV1590" s="6"/>
      <c r="GW1590" s="6"/>
      <c r="GX1590" s="6"/>
      <c r="GY1590" s="6"/>
      <c r="GZ1590" s="6"/>
      <c r="HA1590" s="6"/>
      <c r="HB1590" s="6"/>
      <c r="HC1590" s="6"/>
      <c r="HD1590" s="6"/>
      <c r="HE1590" s="6"/>
      <c r="HF1590" s="6"/>
      <c r="HG1590" s="6"/>
      <c r="HH1590" s="6"/>
    </row>
    <row r="1591" spans="1:216" x14ac:dyDescent="0.3">
      <c r="A1591" s="8"/>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6"/>
      <c r="AR1591" s="6"/>
      <c r="AS1591" s="6"/>
      <c r="AT1591" s="6"/>
      <c r="AU1591" s="6"/>
      <c r="AV1591" s="6"/>
      <c r="AW1591" s="6"/>
      <c r="AX1591" s="6"/>
      <c r="AY1591" s="6"/>
      <c r="AZ1591" s="6"/>
      <c r="BA1591" s="6"/>
      <c r="BB1591" s="6"/>
      <c r="BC1591" s="6"/>
      <c r="BD1591" s="6"/>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c r="DX1591" s="6"/>
      <c r="DY1591" s="6"/>
      <c r="DZ1591" s="6"/>
      <c r="EA1591" s="6"/>
      <c r="EB1591" s="6"/>
      <c r="EC1591" s="6"/>
      <c r="ED1591" s="6"/>
      <c r="EE1591" s="6"/>
      <c r="EF1591" s="6"/>
      <c r="EG1591" s="6"/>
      <c r="EH1591" s="6"/>
      <c r="EI1591" s="6"/>
      <c r="EJ1591" s="6"/>
      <c r="EK1591" s="6"/>
      <c r="EL1591" s="6"/>
      <c r="EM1591" s="6"/>
      <c r="EN1591" s="6"/>
      <c r="EO1591" s="6"/>
      <c r="EP1591" s="6"/>
      <c r="EQ1591" s="6"/>
      <c r="ER1591" s="6"/>
      <c r="ES1591" s="6"/>
      <c r="ET1591" s="6"/>
      <c r="EU1591" s="6"/>
      <c r="EV1591" s="6"/>
      <c r="EW1591" s="6"/>
      <c r="EX1591" s="6"/>
      <c r="EY1591" s="6"/>
      <c r="EZ1591" s="6"/>
      <c r="FA1591" s="6"/>
      <c r="FB1591" s="6"/>
      <c r="FC1591" s="6"/>
      <c r="FD1591" s="6"/>
      <c r="FE1591" s="6"/>
      <c r="FF1591" s="6"/>
      <c r="FG1591" s="6"/>
      <c r="FH1591" s="6"/>
      <c r="FI1591" s="6"/>
      <c r="FJ1591" s="6"/>
      <c r="FK1591" s="6"/>
      <c r="FL1591" s="6"/>
      <c r="FM1591" s="6"/>
      <c r="FN1591" s="6"/>
      <c r="FO1591" s="6"/>
      <c r="FP1591" s="6"/>
      <c r="FQ1591" s="6"/>
      <c r="FR1591" s="6"/>
      <c r="FS1591" s="6"/>
      <c r="FT1591" s="6"/>
      <c r="FU1591" s="6"/>
      <c r="FV1591" s="6"/>
      <c r="FW1591" s="6"/>
      <c r="FX1591" s="6"/>
      <c r="FY1591" s="6"/>
      <c r="FZ1591" s="6"/>
      <c r="GA1591" s="6"/>
      <c r="GB1591" s="6"/>
      <c r="GC1591" s="6"/>
      <c r="GD1591" s="6"/>
      <c r="GE1591" s="6"/>
      <c r="GF1591" s="6"/>
      <c r="GG1591" s="6"/>
      <c r="GH1591" s="6"/>
      <c r="GI1591" s="6"/>
      <c r="GJ1591" s="6"/>
      <c r="GK1591" s="6"/>
      <c r="GL1591" s="6"/>
      <c r="GM1591" s="6"/>
      <c r="GN1591" s="6"/>
      <c r="GO1591" s="6"/>
      <c r="GP1591" s="6"/>
      <c r="GQ1591" s="6"/>
      <c r="GR1591" s="6"/>
      <c r="GS1591" s="6"/>
      <c r="GT1591" s="6"/>
      <c r="GU1591" s="6"/>
      <c r="GV1591" s="6"/>
      <c r="GW1591" s="6"/>
      <c r="GX1591" s="6"/>
      <c r="GY1591" s="6"/>
      <c r="GZ1591" s="6"/>
      <c r="HA1591" s="6"/>
      <c r="HB1591" s="6"/>
      <c r="HC1591" s="6"/>
      <c r="HD1591" s="6"/>
      <c r="HE1591" s="6"/>
      <c r="HF1591" s="6"/>
      <c r="HG1591" s="6"/>
      <c r="HH1591" s="6"/>
    </row>
    <row r="1592" spans="1:216" x14ac:dyDescent="0.3">
      <c r="A1592" s="8"/>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6"/>
      <c r="AR1592" s="6"/>
      <c r="AS1592" s="6"/>
      <c r="AT1592" s="6"/>
      <c r="AU1592" s="6"/>
      <c r="AV1592" s="6"/>
      <c r="AW1592" s="6"/>
      <c r="AX1592" s="6"/>
      <c r="AY1592" s="6"/>
      <c r="AZ1592" s="6"/>
      <c r="BA1592" s="6"/>
      <c r="BB1592" s="6"/>
      <c r="BC1592" s="6"/>
      <c r="BD1592" s="6"/>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c r="DX1592" s="6"/>
      <c r="DY1592" s="6"/>
      <c r="DZ1592" s="6"/>
      <c r="EA1592" s="6"/>
      <c r="EB1592" s="6"/>
      <c r="EC1592" s="6"/>
      <c r="ED1592" s="6"/>
      <c r="EE1592" s="6"/>
      <c r="EF1592" s="6"/>
      <c r="EG1592" s="6"/>
      <c r="EH1592" s="6"/>
      <c r="EI1592" s="6"/>
      <c r="EJ1592" s="6"/>
      <c r="EK1592" s="6"/>
      <c r="EL1592" s="6"/>
      <c r="EM1592" s="6"/>
      <c r="EN1592" s="6"/>
      <c r="EO1592" s="6"/>
      <c r="EP1592" s="6"/>
      <c r="EQ1592" s="6"/>
      <c r="ER1592" s="6"/>
      <c r="ES1592" s="6"/>
      <c r="ET1592" s="6"/>
      <c r="EU1592" s="6"/>
      <c r="EV1592" s="6"/>
      <c r="EW1592" s="6"/>
      <c r="EX1592" s="6"/>
      <c r="EY1592" s="6"/>
      <c r="EZ1592" s="6"/>
      <c r="FA1592" s="6"/>
      <c r="FB1592" s="6"/>
      <c r="FC1592" s="6"/>
      <c r="FD1592" s="6"/>
      <c r="FE1592" s="6"/>
      <c r="FF1592" s="6"/>
      <c r="FG1592" s="6"/>
      <c r="FH1592" s="6"/>
      <c r="FI1592" s="6"/>
      <c r="FJ1592" s="6"/>
      <c r="FK1592" s="6"/>
      <c r="FL1592" s="6"/>
      <c r="FM1592" s="6"/>
      <c r="FN1592" s="6"/>
      <c r="FO1592" s="6"/>
      <c r="FP1592" s="6"/>
      <c r="FQ1592" s="6"/>
      <c r="FR1592" s="6"/>
      <c r="FS1592" s="6"/>
      <c r="FT1592" s="6"/>
      <c r="FU1592" s="6"/>
      <c r="FV1592" s="6"/>
      <c r="FW1592" s="6"/>
      <c r="FX1592" s="6"/>
      <c r="FY1592" s="6"/>
      <c r="FZ1592" s="6"/>
      <c r="GA1592" s="6"/>
      <c r="GB1592" s="6"/>
      <c r="GC1592" s="6"/>
      <c r="GD1592" s="6"/>
      <c r="GE1592" s="6"/>
      <c r="GF1592" s="6"/>
      <c r="GG1592" s="6"/>
      <c r="GH1592" s="6"/>
      <c r="GI1592" s="6"/>
      <c r="GJ1592" s="6"/>
      <c r="GK1592" s="6"/>
      <c r="GL1592" s="6"/>
      <c r="GM1592" s="6"/>
      <c r="GN1592" s="6"/>
      <c r="GO1592" s="6"/>
      <c r="GP1592" s="6"/>
      <c r="GQ1592" s="6"/>
      <c r="GR1592" s="6"/>
      <c r="GS1592" s="6"/>
      <c r="GT1592" s="6"/>
      <c r="GU1592" s="6"/>
      <c r="GV1592" s="6"/>
      <c r="GW1592" s="6"/>
      <c r="GX1592" s="6"/>
      <c r="GY1592" s="6"/>
      <c r="GZ1592" s="6"/>
      <c r="HA1592" s="6"/>
      <c r="HB1592" s="6"/>
      <c r="HC1592" s="6"/>
      <c r="HD1592" s="6"/>
      <c r="HE1592" s="6"/>
      <c r="HF1592" s="6"/>
      <c r="HG1592" s="6"/>
      <c r="HH1592" s="6"/>
    </row>
    <row r="1593" spans="1:216" x14ac:dyDescent="0.3">
      <c r="A1593" s="8"/>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6"/>
      <c r="AR1593" s="6"/>
      <c r="AS1593" s="6"/>
      <c r="AT1593" s="6"/>
      <c r="AU1593" s="6"/>
      <c r="AV1593" s="6"/>
      <c r="AW1593" s="6"/>
      <c r="AX1593" s="6"/>
      <c r="AY1593" s="6"/>
      <c r="AZ1593" s="6"/>
      <c r="BA1593" s="6"/>
      <c r="BB1593" s="6"/>
      <c r="BC1593" s="6"/>
      <c r="BD1593" s="6"/>
      <c r="BE1593" s="6"/>
      <c r="BF1593" s="6"/>
      <c r="BG1593" s="6"/>
      <c r="BH1593" s="6"/>
      <c r="BI1593" s="6"/>
      <c r="BJ1593" s="6"/>
      <c r="BK1593" s="6"/>
      <c r="BL1593" s="6"/>
      <c r="BM1593" s="6"/>
      <c r="BN1593" s="6"/>
      <c r="BO1593" s="6"/>
      <c r="BP1593" s="6"/>
      <c r="BQ1593" s="6"/>
      <c r="BR1593" s="6"/>
      <c r="BS1593" s="6"/>
      <c r="BT1593" s="6"/>
      <c r="BU1593" s="6"/>
      <c r="BV1593" s="6"/>
      <c r="BW1593" s="6"/>
      <c r="BX1593" s="6"/>
      <c r="BY1593" s="6"/>
      <c r="BZ1593" s="6"/>
      <c r="CA1593" s="6"/>
      <c r="CB1593" s="6"/>
      <c r="CC1593" s="6"/>
      <c r="CD1593" s="6"/>
      <c r="CE1593" s="6"/>
      <c r="CF1593" s="6"/>
      <c r="CG1593" s="6"/>
      <c r="CH1593" s="6"/>
      <c r="CI1593" s="6"/>
      <c r="CJ1593" s="6"/>
      <c r="CK1593" s="6"/>
      <c r="CL1593" s="6"/>
      <c r="CM1593" s="6"/>
      <c r="CN1593" s="6"/>
      <c r="CO1593" s="6"/>
      <c r="CP1593" s="6"/>
      <c r="CQ1593" s="6"/>
      <c r="CR1593" s="6"/>
      <c r="CS1593" s="6"/>
      <c r="CT1593" s="6"/>
      <c r="CU1593" s="6"/>
      <c r="CV1593" s="6"/>
      <c r="CW1593" s="6"/>
      <c r="CX1593" s="6"/>
      <c r="CY1593" s="6"/>
      <c r="CZ1593" s="6"/>
      <c r="DA1593" s="6"/>
      <c r="DB1593" s="6"/>
      <c r="DC1593" s="6"/>
      <c r="DD1593" s="6"/>
      <c r="DE1593" s="6"/>
      <c r="DF1593" s="6"/>
      <c r="DG1593" s="6"/>
      <c r="DH1593" s="6"/>
      <c r="DI1593" s="6"/>
      <c r="DJ1593" s="6"/>
      <c r="DK1593" s="6"/>
      <c r="DL1593" s="6"/>
      <c r="DM1593" s="6"/>
      <c r="DN1593" s="6"/>
      <c r="DO1593" s="6"/>
      <c r="DP1593" s="6"/>
      <c r="DQ1593" s="6"/>
      <c r="DR1593" s="6"/>
      <c r="DS1593" s="6"/>
      <c r="DT1593" s="6"/>
      <c r="DU1593" s="6"/>
      <c r="DV1593" s="6"/>
      <c r="DW1593" s="6"/>
      <c r="DX1593" s="6"/>
      <c r="DY1593" s="6"/>
      <c r="DZ1593" s="6"/>
      <c r="EA1593" s="6"/>
      <c r="EB1593" s="6"/>
      <c r="EC1593" s="6"/>
      <c r="ED1593" s="6"/>
      <c r="EE1593" s="6"/>
      <c r="EF1593" s="6"/>
      <c r="EG1593" s="6"/>
      <c r="EH1593" s="6"/>
      <c r="EI1593" s="6"/>
      <c r="EJ1593" s="6"/>
      <c r="EK1593" s="6"/>
      <c r="EL1593" s="6"/>
      <c r="EM1593" s="6"/>
      <c r="EN1593" s="6"/>
      <c r="EO1593" s="6"/>
      <c r="EP1593" s="6"/>
      <c r="EQ1593" s="6"/>
      <c r="ER1593" s="6"/>
      <c r="ES1593" s="6"/>
      <c r="ET1593" s="6"/>
      <c r="EU1593" s="6"/>
      <c r="EV1593" s="6"/>
      <c r="EW1593" s="6"/>
      <c r="EX1593" s="6"/>
      <c r="EY1593" s="6"/>
      <c r="EZ1593" s="6"/>
      <c r="FA1593" s="6"/>
      <c r="FB1593" s="6"/>
      <c r="FC1593" s="6"/>
      <c r="FD1593" s="6"/>
      <c r="FE1593" s="6"/>
      <c r="FF1593" s="6"/>
      <c r="FG1593" s="6"/>
      <c r="FH1593" s="6"/>
      <c r="FI1593" s="6"/>
      <c r="FJ1593" s="6"/>
      <c r="FK1593" s="6"/>
      <c r="FL1593" s="6"/>
      <c r="FM1593" s="6"/>
      <c r="FN1593" s="6"/>
      <c r="FO1593" s="6"/>
      <c r="FP1593" s="6"/>
      <c r="FQ1593" s="6"/>
      <c r="FR1593" s="6"/>
      <c r="FS1593" s="6"/>
      <c r="FT1593" s="6"/>
      <c r="FU1593" s="6"/>
      <c r="FV1593" s="6"/>
      <c r="FW1593" s="6"/>
      <c r="FX1593" s="6"/>
      <c r="FY1593" s="6"/>
      <c r="FZ1593" s="6"/>
      <c r="GA1593" s="6"/>
      <c r="GB1593" s="6"/>
      <c r="GC1593" s="6"/>
      <c r="GD1593" s="6"/>
      <c r="GE1593" s="6"/>
      <c r="GF1593" s="6"/>
      <c r="GG1593" s="6"/>
      <c r="GH1593" s="6"/>
      <c r="GI1593" s="6"/>
      <c r="GJ1593" s="6"/>
      <c r="GK1593" s="6"/>
      <c r="GL1593" s="6"/>
      <c r="GM1593" s="6"/>
      <c r="GN1593" s="6"/>
      <c r="GO1593" s="6"/>
      <c r="GP1593" s="6"/>
      <c r="GQ1593" s="6"/>
      <c r="GR1593" s="6"/>
      <c r="GS1593" s="6"/>
      <c r="GT1593" s="6"/>
      <c r="GU1593" s="6"/>
      <c r="GV1593" s="6"/>
      <c r="GW1593" s="6"/>
      <c r="GX1593" s="6"/>
      <c r="GY1593" s="6"/>
      <c r="GZ1593" s="6"/>
      <c r="HA1593" s="6"/>
      <c r="HB1593" s="6"/>
      <c r="HC1593" s="6"/>
      <c r="HD1593" s="6"/>
      <c r="HE1593" s="6"/>
      <c r="HF1593" s="6"/>
      <c r="HG1593" s="6"/>
      <c r="HH1593" s="6"/>
    </row>
    <row r="1594" spans="1:216" x14ac:dyDescent="0.3">
      <c r="A1594" s="8"/>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6"/>
      <c r="AR1594" s="6"/>
      <c r="AS1594" s="6"/>
      <c r="AT1594" s="6"/>
      <c r="AU1594" s="6"/>
      <c r="AV1594" s="6"/>
      <c r="AW1594" s="6"/>
      <c r="AX1594" s="6"/>
      <c r="AY1594" s="6"/>
      <c r="AZ1594" s="6"/>
      <c r="BA1594" s="6"/>
      <c r="BB1594" s="6"/>
      <c r="BC1594" s="6"/>
      <c r="BD1594" s="6"/>
      <c r="BE1594" s="6"/>
      <c r="BF1594" s="6"/>
      <c r="BG1594" s="6"/>
      <c r="BH1594" s="6"/>
      <c r="BI1594" s="6"/>
      <c r="BJ1594" s="6"/>
      <c r="BK1594" s="6"/>
      <c r="BL1594" s="6"/>
      <c r="BM1594" s="6"/>
      <c r="BN1594" s="6"/>
      <c r="BO1594" s="6"/>
      <c r="BP1594" s="6"/>
      <c r="BQ1594" s="6"/>
      <c r="BR1594" s="6"/>
      <c r="BS1594" s="6"/>
      <c r="BT1594" s="6"/>
      <c r="BU1594" s="6"/>
      <c r="BV1594" s="6"/>
      <c r="BW1594" s="6"/>
      <c r="BX1594" s="6"/>
      <c r="BY1594" s="6"/>
      <c r="BZ1594" s="6"/>
      <c r="CA1594" s="6"/>
      <c r="CB1594" s="6"/>
      <c r="CC1594" s="6"/>
      <c r="CD1594" s="6"/>
      <c r="CE1594" s="6"/>
      <c r="CF1594" s="6"/>
      <c r="CG1594" s="6"/>
      <c r="CH1594" s="6"/>
      <c r="CI1594" s="6"/>
      <c r="CJ1594" s="6"/>
      <c r="CK1594" s="6"/>
      <c r="CL1594" s="6"/>
      <c r="CM1594" s="6"/>
      <c r="CN1594" s="6"/>
      <c r="CO1594" s="6"/>
      <c r="CP1594" s="6"/>
      <c r="CQ1594" s="6"/>
      <c r="CR1594" s="6"/>
      <c r="CS1594" s="6"/>
      <c r="CT1594" s="6"/>
      <c r="CU1594" s="6"/>
      <c r="CV1594" s="6"/>
      <c r="CW1594" s="6"/>
      <c r="CX1594" s="6"/>
      <c r="CY1594" s="6"/>
      <c r="CZ1594" s="6"/>
      <c r="DA1594" s="6"/>
      <c r="DB1594" s="6"/>
      <c r="DC1594" s="6"/>
      <c r="DD1594" s="6"/>
      <c r="DE1594" s="6"/>
      <c r="DF1594" s="6"/>
      <c r="DG1594" s="6"/>
      <c r="DH1594" s="6"/>
      <c r="DI1594" s="6"/>
      <c r="DJ1594" s="6"/>
      <c r="DK1594" s="6"/>
      <c r="DL1594" s="6"/>
      <c r="DM1594" s="6"/>
      <c r="DN1594" s="6"/>
      <c r="DO1594" s="6"/>
      <c r="DP1594" s="6"/>
      <c r="DQ1594" s="6"/>
      <c r="DR1594" s="6"/>
      <c r="DS1594" s="6"/>
      <c r="DT1594" s="6"/>
      <c r="DU1594" s="6"/>
      <c r="DV1594" s="6"/>
      <c r="DW1594" s="6"/>
      <c r="DX1594" s="6"/>
      <c r="DY1594" s="6"/>
      <c r="DZ1594" s="6"/>
      <c r="EA1594" s="6"/>
      <c r="EB1594" s="6"/>
      <c r="EC1594" s="6"/>
      <c r="ED1594" s="6"/>
      <c r="EE1594" s="6"/>
      <c r="EF1594" s="6"/>
      <c r="EG1594" s="6"/>
      <c r="EH1594" s="6"/>
      <c r="EI1594" s="6"/>
      <c r="EJ1594" s="6"/>
      <c r="EK1594" s="6"/>
      <c r="EL1594" s="6"/>
      <c r="EM1594" s="6"/>
      <c r="EN1594" s="6"/>
      <c r="EO1594" s="6"/>
      <c r="EP1594" s="6"/>
      <c r="EQ1594" s="6"/>
      <c r="ER1594" s="6"/>
      <c r="ES1594" s="6"/>
      <c r="ET1594" s="6"/>
      <c r="EU1594" s="6"/>
      <c r="EV1594" s="6"/>
      <c r="EW1594" s="6"/>
      <c r="EX1594" s="6"/>
      <c r="EY1594" s="6"/>
      <c r="EZ1594" s="6"/>
      <c r="FA1594" s="6"/>
      <c r="FB1594" s="6"/>
      <c r="FC1594" s="6"/>
      <c r="FD1594" s="6"/>
      <c r="FE1594" s="6"/>
      <c r="FF1594" s="6"/>
      <c r="FG1594" s="6"/>
      <c r="FH1594" s="6"/>
      <c r="FI1594" s="6"/>
      <c r="FJ1594" s="6"/>
      <c r="FK1594" s="6"/>
      <c r="FL1594" s="6"/>
      <c r="FM1594" s="6"/>
      <c r="FN1594" s="6"/>
      <c r="FO1594" s="6"/>
      <c r="FP1594" s="6"/>
      <c r="FQ1594" s="6"/>
      <c r="FR1594" s="6"/>
      <c r="FS1594" s="6"/>
      <c r="FT1594" s="6"/>
      <c r="FU1594" s="6"/>
      <c r="FV1594" s="6"/>
      <c r="FW1594" s="6"/>
      <c r="FX1594" s="6"/>
      <c r="FY1594" s="6"/>
      <c r="FZ1594" s="6"/>
      <c r="GA1594" s="6"/>
      <c r="GB1594" s="6"/>
      <c r="GC1594" s="6"/>
      <c r="GD1594" s="6"/>
      <c r="GE1594" s="6"/>
      <c r="GF1594" s="6"/>
      <c r="GG1594" s="6"/>
      <c r="GH1594" s="6"/>
      <c r="GI1594" s="6"/>
      <c r="GJ1594" s="6"/>
      <c r="GK1594" s="6"/>
      <c r="GL1594" s="6"/>
      <c r="GM1594" s="6"/>
      <c r="GN1594" s="6"/>
      <c r="GO1594" s="6"/>
      <c r="GP1594" s="6"/>
      <c r="GQ1594" s="6"/>
      <c r="GR1594" s="6"/>
      <c r="GS1594" s="6"/>
      <c r="GT1594" s="6"/>
      <c r="GU1594" s="6"/>
      <c r="GV1594" s="6"/>
      <c r="GW1594" s="6"/>
      <c r="GX1594" s="6"/>
      <c r="GY1594" s="6"/>
      <c r="GZ1594" s="6"/>
      <c r="HA1594" s="6"/>
      <c r="HB1594" s="6"/>
      <c r="HC1594" s="6"/>
      <c r="HD1594" s="6"/>
      <c r="HE1594" s="6"/>
      <c r="HF1594" s="6"/>
      <c r="HG1594" s="6"/>
      <c r="HH1594" s="6"/>
    </row>
    <row r="1595" spans="1:216" x14ac:dyDescent="0.3">
      <c r="A1595" s="8"/>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6"/>
      <c r="AR1595" s="6"/>
      <c r="AS1595" s="6"/>
      <c r="AT1595" s="6"/>
      <c r="AU1595" s="6"/>
      <c r="AV1595" s="6"/>
      <c r="AW1595" s="6"/>
      <c r="AX1595" s="6"/>
      <c r="AY1595" s="6"/>
      <c r="AZ1595" s="6"/>
      <c r="BA1595" s="6"/>
      <c r="BB1595" s="6"/>
      <c r="BC1595" s="6"/>
      <c r="BD1595" s="6"/>
      <c r="BE1595" s="6"/>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c r="DX1595" s="6"/>
      <c r="DY1595" s="6"/>
      <c r="DZ1595" s="6"/>
      <c r="EA1595" s="6"/>
      <c r="EB1595" s="6"/>
      <c r="EC1595" s="6"/>
      <c r="ED1595" s="6"/>
      <c r="EE1595" s="6"/>
      <c r="EF1595" s="6"/>
      <c r="EG1595" s="6"/>
      <c r="EH1595" s="6"/>
      <c r="EI1595" s="6"/>
      <c r="EJ1595" s="6"/>
      <c r="EK1595" s="6"/>
      <c r="EL1595" s="6"/>
      <c r="EM1595" s="6"/>
      <c r="EN1595" s="6"/>
      <c r="EO1595" s="6"/>
      <c r="EP1595" s="6"/>
      <c r="EQ1595" s="6"/>
      <c r="ER1595" s="6"/>
      <c r="ES1595" s="6"/>
      <c r="ET1595" s="6"/>
      <c r="EU1595" s="6"/>
      <c r="EV1595" s="6"/>
      <c r="EW1595" s="6"/>
      <c r="EX1595" s="6"/>
      <c r="EY1595" s="6"/>
      <c r="EZ1595" s="6"/>
      <c r="FA1595" s="6"/>
      <c r="FB1595" s="6"/>
      <c r="FC1595" s="6"/>
      <c r="FD1595" s="6"/>
      <c r="FE1595" s="6"/>
      <c r="FF1595" s="6"/>
      <c r="FG1595" s="6"/>
      <c r="FH1595" s="6"/>
      <c r="FI1595" s="6"/>
      <c r="FJ1595" s="6"/>
      <c r="FK1595" s="6"/>
      <c r="FL1595" s="6"/>
      <c r="FM1595" s="6"/>
      <c r="FN1595" s="6"/>
      <c r="FO1595" s="6"/>
      <c r="FP1595" s="6"/>
      <c r="FQ1595" s="6"/>
      <c r="FR1595" s="6"/>
      <c r="FS1595" s="6"/>
      <c r="FT1595" s="6"/>
      <c r="FU1595" s="6"/>
      <c r="FV1595" s="6"/>
      <c r="FW1595" s="6"/>
      <c r="FX1595" s="6"/>
      <c r="FY1595" s="6"/>
      <c r="FZ1595" s="6"/>
      <c r="GA1595" s="6"/>
      <c r="GB1595" s="6"/>
      <c r="GC1595" s="6"/>
      <c r="GD1595" s="6"/>
      <c r="GE1595" s="6"/>
      <c r="GF1595" s="6"/>
      <c r="GG1595" s="6"/>
      <c r="GH1595" s="6"/>
      <c r="GI1595" s="6"/>
      <c r="GJ1595" s="6"/>
      <c r="GK1595" s="6"/>
      <c r="GL1595" s="6"/>
      <c r="GM1595" s="6"/>
      <c r="GN1595" s="6"/>
      <c r="GO1595" s="6"/>
      <c r="GP1595" s="6"/>
      <c r="GQ1595" s="6"/>
      <c r="GR1595" s="6"/>
      <c r="GS1595" s="6"/>
      <c r="GT1595" s="6"/>
      <c r="GU1595" s="6"/>
      <c r="GV1595" s="6"/>
      <c r="GW1595" s="6"/>
      <c r="GX1595" s="6"/>
      <c r="GY1595" s="6"/>
      <c r="GZ1595" s="6"/>
      <c r="HA1595" s="6"/>
      <c r="HB1595" s="6"/>
      <c r="HC1595" s="6"/>
      <c r="HD1595" s="6"/>
      <c r="HE1595" s="6"/>
      <c r="HF1595" s="6"/>
      <c r="HG1595" s="6"/>
      <c r="HH1595" s="6"/>
    </row>
    <row r="1596" spans="1:216" x14ac:dyDescent="0.3">
      <c r="A1596" s="8"/>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6"/>
      <c r="AR1596" s="6"/>
      <c r="AS1596" s="6"/>
      <c r="AT1596" s="6"/>
      <c r="AU1596" s="6"/>
      <c r="AV1596" s="6"/>
      <c r="AW1596" s="6"/>
      <c r="AX1596" s="6"/>
      <c r="AY1596" s="6"/>
      <c r="AZ1596" s="6"/>
      <c r="BA1596" s="6"/>
      <c r="BB1596" s="6"/>
      <c r="BC1596" s="6"/>
      <c r="BD1596" s="6"/>
      <c r="BE1596" s="6"/>
      <c r="BF1596" s="6"/>
      <c r="BG1596" s="6"/>
      <c r="BH1596" s="6"/>
      <c r="BI1596" s="6"/>
      <c r="BJ1596" s="6"/>
      <c r="BK1596" s="6"/>
      <c r="BL1596" s="6"/>
      <c r="BM1596" s="6"/>
      <c r="BN1596" s="6"/>
      <c r="BO1596" s="6"/>
      <c r="BP1596" s="6"/>
      <c r="BQ1596" s="6"/>
      <c r="BR1596" s="6"/>
      <c r="BS1596" s="6"/>
      <c r="BT1596" s="6"/>
      <c r="BU1596" s="6"/>
      <c r="BV1596" s="6"/>
      <c r="BW1596" s="6"/>
      <c r="BX1596" s="6"/>
      <c r="BY1596" s="6"/>
      <c r="BZ1596" s="6"/>
      <c r="CA1596" s="6"/>
      <c r="CB1596" s="6"/>
      <c r="CC1596" s="6"/>
      <c r="CD1596" s="6"/>
      <c r="CE1596" s="6"/>
      <c r="CF1596" s="6"/>
      <c r="CG1596" s="6"/>
      <c r="CH1596" s="6"/>
      <c r="CI1596" s="6"/>
      <c r="CJ1596" s="6"/>
      <c r="CK1596" s="6"/>
      <c r="CL1596" s="6"/>
      <c r="CM1596" s="6"/>
      <c r="CN1596" s="6"/>
      <c r="CO1596" s="6"/>
      <c r="CP1596" s="6"/>
      <c r="CQ1596" s="6"/>
      <c r="CR1596" s="6"/>
      <c r="CS1596" s="6"/>
      <c r="CT1596" s="6"/>
      <c r="CU1596" s="6"/>
      <c r="CV1596" s="6"/>
      <c r="CW1596" s="6"/>
      <c r="CX1596" s="6"/>
      <c r="CY1596" s="6"/>
      <c r="CZ1596" s="6"/>
      <c r="DA1596" s="6"/>
      <c r="DB1596" s="6"/>
      <c r="DC1596" s="6"/>
      <c r="DD1596" s="6"/>
      <c r="DE1596" s="6"/>
      <c r="DF1596" s="6"/>
      <c r="DG1596" s="6"/>
      <c r="DH1596" s="6"/>
      <c r="DI1596" s="6"/>
      <c r="DJ1596" s="6"/>
      <c r="DK1596" s="6"/>
      <c r="DL1596" s="6"/>
      <c r="DM1596" s="6"/>
      <c r="DN1596" s="6"/>
      <c r="DO1596" s="6"/>
      <c r="DP1596" s="6"/>
      <c r="DQ1596" s="6"/>
      <c r="DR1596" s="6"/>
      <c r="DS1596" s="6"/>
      <c r="DT1596" s="6"/>
      <c r="DU1596" s="6"/>
      <c r="DV1596" s="6"/>
      <c r="DW1596" s="6"/>
      <c r="DX1596" s="6"/>
      <c r="DY1596" s="6"/>
      <c r="DZ1596" s="6"/>
      <c r="EA1596" s="6"/>
      <c r="EB1596" s="6"/>
      <c r="EC1596" s="6"/>
      <c r="ED1596" s="6"/>
      <c r="EE1596" s="6"/>
      <c r="EF1596" s="6"/>
      <c r="EG1596" s="6"/>
      <c r="EH1596" s="6"/>
      <c r="EI1596" s="6"/>
      <c r="EJ1596" s="6"/>
      <c r="EK1596" s="6"/>
      <c r="EL1596" s="6"/>
      <c r="EM1596" s="6"/>
      <c r="EN1596" s="6"/>
      <c r="EO1596" s="6"/>
      <c r="EP1596" s="6"/>
      <c r="EQ1596" s="6"/>
      <c r="ER1596" s="6"/>
      <c r="ES1596" s="6"/>
      <c r="ET1596" s="6"/>
      <c r="EU1596" s="6"/>
      <c r="EV1596" s="6"/>
      <c r="EW1596" s="6"/>
      <c r="EX1596" s="6"/>
      <c r="EY1596" s="6"/>
      <c r="EZ1596" s="6"/>
      <c r="FA1596" s="6"/>
      <c r="FB1596" s="6"/>
      <c r="FC1596" s="6"/>
      <c r="FD1596" s="6"/>
      <c r="FE1596" s="6"/>
      <c r="FF1596" s="6"/>
      <c r="FG1596" s="6"/>
      <c r="FH1596" s="6"/>
      <c r="FI1596" s="6"/>
      <c r="FJ1596" s="6"/>
      <c r="FK1596" s="6"/>
      <c r="FL1596" s="6"/>
      <c r="FM1596" s="6"/>
      <c r="FN1596" s="6"/>
      <c r="FO1596" s="6"/>
      <c r="FP1596" s="6"/>
      <c r="FQ1596" s="6"/>
      <c r="FR1596" s="6"/>
      <c r="FS1596" s="6"/>
      <c r="FT1596" s="6"/>
      <c r="FU1596" s="6"/>
      <c r="FV1596" s="6"/>
      <c r="FW1596" s="6"/>
      <c r="FX1596" s="6"/>
      <c r="FY1596" s="6"/>
      <c r="FZ1596" s="6"/>
      <c r="GA1596" s="6"/>
      <c r="GB1596" s="6"/>
      <c r="GC1596" s="6"/>
      <c r="GD1596" s="6"/>
      <c r="GE1596" s="6"/>
      <c r="GF1596" s="6"/>
      <c r="GG1596" s="6"/>
      <c r="GH1596" s="6"/>
      <c r="GI1596" s="6"/>
      <c r="GJ1596" s="6"/>
      <c r="GK1596" s="6"/>
      <c r="GL1596" s="6"/>
      <c r="GM1596" s="6"/>
      <c r="GN1596" s="6"/>
      <c r="GO1596" s="6"/>
      <c r="GP1596" s="6"/>
      <c r="GQ1596" s="6"/>
      <c r="GR1596" s="6"/>
      <c r="GS1596" s="6"/>
      <c r="GT1596" s="6"/>
      <c r="GU1596" s="6"/>
      <c r="GV1596" s="6"/>
      <c r="GW1596" s="6"/>
      <c r="GX1596" s="6"/>
      <c r="GY1596" s="6"/>
      <c r="GZ1596" s="6"/>
      <c r="HA1596" s="6"/>
      <c r="HB1596" s="6"/>
      <c r="HC1596" s="6"/>
      <c r="HD1596" s="6"/>
      <c r="HE1596" s="6"/>
      <c r="HF1596" s="6"/>
      <c r="HG1596" s="6"/>
      <c r="HH1596" s="6"/>
    </row>
    <row r="1597" spans="1:216" x14ac:dyDescent="0.3">
      <c r="A1597" s="8"/>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6"/>
      <c r="AR1597" s="6"/>
      <c r="AS1597" s="6"/>
      <c r="AT1597" s="6"/>
      <c r="AU1597" s="6"/>
      <c r="AV1597" s="6"/>
      <c r="AW1597" s="6"/>
      <c r="AX1597" s="6"/>
      <c r="AY1597" s="6"/>
      <c r="AZ1597" s="6"/>
      <c r="BA1597" s="6"/>
      <c r="BB1597" s="6"/>
      <c r="BC1597" s="6"/>
      <c r="BD1597" s="6"/>
      <c r="BE1597" s="6"/>
      <c r="BF1597" s="6"/>
      <c r="BG1597" s="6"/>
      <c r="BH1597" s="6"/>
      <c r="BI1597" s="6"/>
      <c r="BJ1597" s="6"/>
      <c r="BK1597" s="6"/>
      <c r="BL1597" s="6"/>
      <c r="BM1597" s="6"/>
      <c r="BN1597" s="6"/>
      <c r="BO1597" s="6"/>
      <c r="BP1597" s="6"/>
      <c r="BQ1597" s="6"/>
      <c r="BR1597" s="6"/>
      <c r="BS1597" s="6"/>
      <c r="BT1597" s="6"/>
      <c r="BU1597" s="6"/>
      <c r="BV1597" s="6"/>
      <c r="BW1597" s="6"/>
      <c r="BX1597" s="6"/>
      <c r="BY1597" s="6"/>
      <c r="BZ1597" s="6"/>
      <c r="CA1597" s="6"/>
      <c r="CB1597" s="6"/>
      <c r="CC1597" s="6"/>
      <c r="CD1597" s="6"/>
      <c r="CE1597" s="6"/>
      <c r="CF1597" s="6"/>
      <c r="CG1597" s="6"/>
      <c r="CH1597" s="6"/>
      <c r="CI1597" s="6"/>
      <c r="CJ1597" s="6"/>
      <c r="CK1597" s="6"/>
      <c r="CL1597" s="6"/>
      <c r="CM1597" s="6"/>
      <c r="CN1597" s="6"/>
      <c r="CO1597" s="6"/>
      <c r="CP1597" s="6"/>
      <c r="CQ1597" s="6"/>
      <c r="CR1597" s="6"/>
      <c r="CS1597" s="6"/>
      <c r="CT1597" s="6"/>
      <c r="CU1597" s="6"/>
      <c r="CV1597" s="6"/>
      <c r="CW1597" s="6"/>
      <c r="CX1597" s="6"/>
      <c r="CY1597" s="6"/>
      <c r="CZ1597" s="6"/>
      <c r="DA1597" s="6"/>
      <c r="DB1597" s="6"/>
      <c r="DC1597" s="6"/>
      <c r="DD1597" s="6"/>
      <c r="DE1597" s="6"/>
      <c r="DF1597" s="6"/>
      <c r="DG1597" s="6"/>
      <c r="DH1597" s="6"/>
      <c r="DI1597" s="6"/>
      <c r="DJ1597" s="6"/>
      <c r="DK1597" s="6"/>
      <c r="DL1597" s="6"/>
      <c r="DM1597" s="6"/>
      <c r="DN1597" s="6"/>
      <c r="DO1597" s="6"/>
      <c r="DP1597" s="6"/>
      <c r="DQ1597" s="6"/>
      <c r="DR1597" s="6"/>
      <c r="DS1597" s="6"/>
      <c r="DT1597" s="6"/>
      <c r="DU1597" s="6"/>
      <c r="DV1597" s="6"/>
      <c r="DW1597" s="6"/>
      <c r="DX1597" s="6"/>
      <c r="DY1597" s="6"/>
      <c r="DZ1597" s="6"/>
      <c r="EA1597" s="6"/>
      <c r="EB1597" s="6"/>
      <c r="EC1597" s="6"/>
      <c r="ED1597" s="6"/>
      <c r="EE1597" s="6"/>
      <c r="EF1597" s="6"/>
      <c r="EG1597" s="6"/>
      <c r="EH1597" s="6"/>
      <c r="EI1597" s="6"/>
      <c r="EJ1597" s="6"/>
      <c r="EK1597" s="6"/>
      <c r="EL1597" s="6"/>
      <c r="EM1597" s="6"/>
      <c r="EN1597" s="6"/>
      <c r="EO1597" s="6"/>
      <c r="EP1597" s="6"/>
      <c r="EQ1597" s="6"/>
      <c r="ER1597" s="6"/>
      <c r="ES1597" s="6"/>
      <c r="ET1597" s="6"/>
      <c r="EU1597" s="6"/>
      <c r="EV1597" s="6"/>
      <c r="EW1597" s="6"/>
      <c r="EX1597" s="6"/>
      <c r="EY1597" s="6"/>
      <c r="EZ1597" s="6"/>
      <c r="FA1597" s="6"/>
      <c r="FB1597" s="6"/>
      <c r="FC1597" s="6"/>
      <c r="FD1597" s="6"/>
      <c r="FE1597" s="6"/>
      <c r="FF1597" s="6"/>
      <c r="FG1597" s="6"/>
      <c r="FH1597" s="6"/>
      <c r="FI1597" s="6"/>
      <c r="FJ1597" s="6"/>
      <c r="FK1597" s="6"/>
      <c r="FL1597" s="6"/>
      <c r="FM1597" s="6"/>
      <c r="FN1597" s="6"/>
      <c r="FO1597" s="6"/>
      <c r="FP1597" s="6"/>
      <c r="FQ1597" s="6"/>
      <c r="FR1597" s="6"/>
      <c r="FS1597" s="6"/>
      <c r="FT1597" s="6"/>
      <c r="FU1597" s="6"/>
      <c r="FV1597" s="6"/>
      <c r="FW1597" s="6"/>
      <c r="FX1597" s="6"/>
      <c r="FY1597" s="6"/>
      <c r="FZ1597" s="6"/>
      <c r="GA1597" s="6"/>
      <c r="GB1597" s="6"/>
      <c r="GC1597" s="6"/>
      <c r="GD1597" s="6"/>
      <c r="GE1597" s="6"/>
      <c r="GF1597" s="6"/>
      <c r="GG1597" s="6"/>
      <c r="GH1597" s="6"/>
      <c r="GI1597" s="6"/>
      <c r="GJ1597" s="6"/>
      <c r="GK1597" s="6"/>
      <c r="GL1597" s="6"/>
      <c r="GM1597" s="6"/>
      <c r="GN1597" s="6"/>
      <c r="GO1597" s="6"/>
      <c r="GP1597" s="6"/>
      <c r="GQ1597" s="6"/>
      <c r="GR1597" s="6"/>
      <c r="GS1597" s="6"/>
      <c r="GT1597" s="6"/>
      <c r="GU1597" s="6"/>
      <c r="GV1597" s="6"/>
      <c r="GW1597" s="6"/>
      <c r="GX1597" s="6"/>
      <c r="GY1597" s="6"/>
      <c r="GZ1597" s="6"/>
      <c r="HA1597" s="6"/>
      <c r="HB1597" s="6"/>
      <c r="HC1597" s="6"/>
      <c r="HD1597" s="6"/>
      <c r="HE1597" s="6"/>
      <c r="HF1597" s="6"/>
      <c r="HG1597" s="6"/>
      <c r="HH1597" s="6"/>
    </row>
    <row r="1598" spans="1:216" x14ac:dyDescent="0.3">
      <c r="A1598" s="8"/>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6"/>
      <c r="AR1598" s="6"/>
      <c r="AS1598" s="6"/>
      <c r="AT1598" s="6"/>
      <c r="AU1598" s="6"/>
      <c r="AV1598" s="6"/>
      <c r="AW1598" s="6"/>
      <c r="AX1598" s="6"/>
      <c r="AY1598" s="6"/>
      <c r="AZ1598" s="6"/>
      <c r="BA1598" s="6"/>
      <c r="BB1598" s="6"/>
      <c r="BC1598" s="6"/>
      <c r="BD1598" s="6"/>
      <c r="BE1598" s="6"/>
      <c r="BF1598" s="6"/>
      <c r="BG1598" s="6"/>
      <c r="BH1598" s="6"/>
      <c r="BI1598" s="6"/>
      <c r="BJ1598" s="6"/>
      <c r="BK1598" s="6"/>
      <c r="BL1598" s="6"/>
      <c r="BM1598" s="6"/>
      <c r="BN1598" s="6"/>
      <c r="BO1598" s="6"/>
      <c r="BP1598" s="6"/>
      <c r="BQ1598" s="6"/>
      <c r="BR1598" s="6"/>
      <c r="BS1598" s="6"/>
      <c r="BT1598" s="6"/>
      <c r="BU1598" s="6"/>
      <c r="BV1598" s="6"/>
      <c r="BW1598" s="6"/>
      <c r="BX1598" s="6"/>
      <c r="BY1598" s="6"/>
      <c r="BZ1598" s="6"/>
      <c r="CA1598" s="6"/>
      <c r="CB1598" s="6"/>
      <c r="CC1598" s="6"/>
      <c r="CD1598" s="6"/>
      <c r="CE1598" s="6"/>
      <c r="CF1598" s="6"/>
      <c r="CG1598" s="6"/>
      <c r="CH1598" s="6"/>
      <c r="CI1598" s="6"/>
      <c r="CJ1598" s="6"/>
      <c r="CK1598" s="6"/>
      <c r="CL1598" s="6"/>
      <c r="CM1598" s="6"/>
      <c r="CN1598" s="6"/>
      <c r="CO1598" s="6"/>
      <c r="CP1598" s="6"/>
      <c r="CQ1598" s="6"/>
      <c r="CR1598" s="6"/>
      <c r="CS1598" s="6"/>
      <c r="CT1598" s="6"/>
      <c r="CU1598" s="6"/>
      <c r="CV1598" s="6"/>
      <c r="CW1598" s="6"/>
      <c r="CX1598" s="6"/>
      <c r="CY1598" s="6"/>
      <c r="CZ1598" s="6"/>
      <c r="DA1598" s="6"/>
      <c r="DB1598" s="6"/>
      <c r="DC1598" s="6"/>
      <c r="DD1598" s="6"/>
      <c r="DE1598" s="6"/>
      <c r="DF1598" s="6"/>
      <c r="DG1598" s="6"/>
      <c r="DH1598" s="6"/>
      <c r="DI1598" s="6"/>
      <c r="DJ1598" s="6"/>
      <c r="DK1598" s="6"/>
      <c r="DL1598" s="6"/>
      <c r="DM1598" s="6"/>
      <c r="DN1598" s="6"/>
      <c r="DO1598" s="6"/>
      <c r="DP1598" s="6"/>
      <c r="DQ1598" s="6"/>
      <c r="DR1598" s="6"/>
      <c r="DS1598" s="6"/>
      <c r="DT1598" s="6"/>
      <c r="DU1598" s="6"/>
      <c r="DV1598" s="6"/>
      <c r="DW1598" s="6"/>
      <c r="DX1598" s="6"/>
      <c r="DY1598" s="6"/>
      <c r="DZ1598" s="6"/>
      <c r="EA1598" s="6"/>
      <c r="EB1598" s="6"/>
      <c r="EC1598" s="6"/>
      <c r="ED1598" s="6"/>
      <c r="EE1598" s="6"/>
      <c r="EF1598" s="6"/>
      <c r="EG1598" s="6"/>
      <c r="EH1598" s="6"/>
      <c r="EI1598" s="6"/>
      <c r="EJ1598" s="6"/>
      <c r="EK1598" s="6"/>
      <c r="EL1598" s="6"/>
      <c r="EM1598" s="6"/>
      <c r="EN1598" s="6"/>
      <c r="EO1598" s="6"/>
      <c r="EP1598" s="6"/>
      <c r="EQ1598" s="6"/>
      <c r="ER1598" s="6"/>
      <c r="ES1598" s="6"/>
      <c r="ET1598" s="6"/>
      <c r="EU1598" s="6"/>
      <c r="EV1598" s="6"/>
      <c r="EW1598" s="6"/>
      <c r="EX1598" s="6"/>
      <c r="EY1598" s="6"/>
      <c r="EZ1598" s="6"/>
      <c r="FA1598" s="6"/>
      <c r="FB1598" s="6"/>
      <c r="FC1598" s="6"/>
      <c r="FD1598" s="6"/>
      <c r="FE1598" s="6"/>
      <c r="FF1598" s="6"/>
      <c r="FG1598" s="6"/>
      <c r="FH1598" s="6"/>
      <c r="FI1598" s="6"/>
      <c r="FJ1598" s="6"/>
      <c r="FK1598" s="6"/>
      <c r="FL1598" s="6"/>
      <c r="FM1598" s="6"/>
      <c r="FN1598" s="6"/>
      <c r="FO1598" s="6"/>
      <c r="FP1598" s="6"/>
      <c r="FQ1598" s="6"/>
      <c r="FR1598" s="6"/>
      <c r="FS1598" s="6"/>
      <c r="FT1598" s="6"/>
      <c r="FU1598" s="6"/>
      <c r="FV1598" s="6"/>
      <c r="FW1598" s="6"/>
      <c r="FX1598" s="6"/>
      <c r="FY1598" s="6"/>
      <c r="FZ1598" s="6"/>
      <c r="GA1598" s="6"/>
      <c r="GB1598" s="6"/>
      <c r="GC1598" s="6"/>
      <c r="GD1598" s="6"/>
      <c r="GE1598" s="6"/>
      <c r="GF1598" s="6"/>
      <c r="GG1598" s="6"/>
      <c r="GH1598" s="6"/>
      <c r="GI1598" s="6"/>
      <c r="GJ1598" s="6"/>
      <c r="GK1598" s="6"/>
      <c r="GL1598" s="6"/>
      <c r="GM1598" s="6"/>
      <c r="GN1598" s="6"/>
      <c r="GO1598" s="6"/>
      <c r="GP1598" s="6"/>
      <c r="GQ1598" s="6"/>
      <c r="GR1598" s="6"/>
      <c r="GS1598" s="6"/>
      <c r="GT1598" s="6"/>
      <c r="GU1598" s="6"/>
      <c r="GV1598" s="6"/>
      <c r="GW1598" s="6"/>
      <c r="GX1598" s="6"/>
      <c r="GY1598" s="6"/>
      <c r="GZ1598" s="6"/>
      <c r="HA1598" s="6"/>
      <c r="HB1598" s="6"/>
      <c r="HC1598" s="6"/>
      <c r="HD1598" s="6"/>
      <c r="HE1598" s="6"/>
      <c r="HF1598" s="6"/>
      <c r="HG1598" s="6"/>
      <c r="HH1598" s="6"/>
    </row>
    <row r="1599" spans="1:216" x14ac:dyDescent="0.3">
      <c r="A1599" s="8"/>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6"/>
      <c r="AR1599" s="6"/>
      <c r="AS1599" s="6"/>
      <c r="AT1599" s="6"/>
      <c r="AU1599" s="6"/>
      <c r="AV1599" s="6"/>
      <c r="AW1599" s="6"/>
      <c r="AX1599" s="6"/>
      <c r="AY1599" s="6"/>
      <c r="AZ1599" s="6"/>
      <c r="BA1599" s="6"/>
      <c r="BB1599" s="6"/>
      <c r="BC1599" s="6"/>
      <c r="BD1599" s="6"/>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c r="DX1599" s="6"/>
      <c r="DY1599" s="6"/>
      <c r="DZ1599" s="6"/>
      <c r="EA1599" s="6"/>
      <c r="EB1599" s="6"/>
      <c r="EC1599" s="6"/>
      <c r="ED1599" s="6"/>
      <c r="EE1599" s="6"/>
      <c r="EF1599" s="6"/>
      <c r="EG1599" s="6"/>
      <c r="EH1599" s="6"/>
      <c r="EI1599" s="6"/>
      <c r="EJ1599" s="6"/>
      <c r="EK1599" s="6"/>
      <c r="EL1599" s="6"/>
      <c r="EM1599" s="6"/>
      <c r="EN1599" s="6"/>
      <c r="EO1599" s="6"/>
      <c r="EP1599" s="6"/>
      <c r="EQ1599" s="6"/>
      <c r="ER1599" s="6"/>
      <c r="ES1599" s="6"/>
      <c r="ET1599" s="6"/>
      <c r="EU1599" s="6"/>
      <c r="EV1599" s="6"/>
      <c r="EW1599" s="6"/>
      <c r="EX1599" s="6"/>
      <c r="EY1599" s="6"/>
      <c r="EZ1599" s="6"/>
      <c r="FA1599" s="6"/>
      <c r="FB1599" s="6"/>
      <c r="FC1599" s="6"/>
      <c r="FD1599" s="6"/>
      <c r="FE1599" s="6"/>
      <c r="FF1599" s="6"/>
      <c r="FG1599" s="6"/>
      <c r="FH1599" s="6"/>
      <c r="FI1599" s="6"/>
      <c r="FJ1599" s="6"/>
      <c r="FK1599" s="6"/>
      <c r="FL1599" s="6"/>
      <c r="FM1599" s="6"/>
      <c r="FN1599" s="6"/>
      <c r="FO1599" s="6"/>
      <c r="FP1599" s="6"/>
      <c r="FQ1599" s="6"/>
      <c r="FR1599" s="6"/>
      <c r="FS1599" s="6"/>
      <c r="FT1599" s="6"/>
      <c r="FU1599" s="6"/>
      <c r="FV1599" s="6"/>
      <c r="FW1599" s="6"/>
      <c r="FX1599" s="6"/>
      <c r="FY1599" s="6"/>
      <c r="FZ1599" s="6"/>
      <c r="GA1599" s="6"/>
      <c r="GB1599" s="6"/>
      <c r="GC1599" s="6"/>
      <c r="GD1599" s="6"/>
      <c r="GE1599" s="6"/>
      <c r="GF1599" s="6"/>
      <c r="GG1599" s="6"/>
      <c r="GH1599" s="6"/>
      <c r="GI1599" s="6"/>
      <c r="GJ1599" s="6"/>
      <c r="GK1599" s="6"/>
      <c r="GL1599" s="6"/>
      <c r="GM1599" s="6"/>
      <c r="GN1599" s="6"/>
      <c r="GO1599" s="6"/>
      <c r="GP1599" s="6"/>
      <c r="GQ1599" s="6"/>
      <c r="GR1599" s="6"/>
      <c r="GS1599" s="6"/>
      <c r="GT1599" s="6"/>
      <c r="GU1599" s="6"/>
      <c r="GV1599" s="6"/>
      <c r="GW1599" s="6"/>
      <c r="GX1599" s="6"/>
      <c r="GY1599" s="6"/>
      <c r="GZ1599" s="6"/>
      <c r="HA1599" s="6"/>
      <c r="HB1599" s="6"/>
      <c r="HC1599" s="6"/>
      <c r="HD1599" s="6"/>
      <c r="HE1599" s="6"/>
      <c r="HF1599" s="6"/>
      <c r="HG1599" s="6"/>
      <c r="HH1599" s="6"/>
    </row>
    <row r="1600" spans="1:216" x14ac:dyDescent="0.3">
      <c r="A1600" s="8"/>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6"/>
      <c r="AR1600" s="6"/>
      <c r="AS1600" s="6"/>
      <c r="AT1600" s="6"/>
      <c r="AU1600" s="6"/>
      <c r="AV1600" s="6"/>
      <c r="AW1600" s="6"/>
      <c r="AX1600" s="6"/>
      <c r="AY1600" s="6"/>
      <c r="AZ1600" s="6"/>
      <c r="BA1600" s="6"/>
      <c r="BB1600" s="6"/>
      <c r="BC1600" s="6"/>
      <c r="BD1600" s="6"/>
      <c r="BE1600" s="6"/>
      <c r="BF1600" s="6"/>
      <c r="BG1600" s="6"/>
      <c r="BH1600" s="6"/>
      <c r="BI1600" s="6"/>
      <c r="BJ1600" s="6"/>
      <c r="BK1600" s="6"/>
      <c r="BL1600" s="6"/>
      <c r="BM1600" s="6"/>
      <c r="BN1600" s="6"/>
      <c r="BO1600" s="6"/>
      <c r="BP1600" s="6"/>
      <c r="BQ1600" s="6"/>
      <c r="BR1600" s="6"/>
      <c r="BS1600" s="6"/>
      <c r="BT1600" s="6"/>
      <c r="BU1600" s="6"/>
      <c r="BV1600" s="6"/>
      <c r="BW1600" s="6"/>
      <c r="BX1600" s="6"/>
      <c r="BY1600" s="6"/>
      <c r="BZ1600" s="6"/>
      <c r="CA1600" s="6"/>
      <c r="CB1600" s="6"/>
      <c r="CC1600" s="6"/>
      <c r="CD1600" s="6"/>
      <c r="CE1600" s="6"/>
      <c r="CF1600" s="6"/>
      <c r="CG1600" s="6"/>
      <c r="CH1600" s="6"/>
      <c r="CI1600" s="6"/>
      <c r="CJ1600" s="6"/>
      <c r="CK1600" s="6"/>
      <c r="CL1600" s="6"/>
      <c r="CM1600" s="6"/>
      <c r="CN1600" s="6"/>
      <c r="CO1600" s="6"/>
      <c r="CP1600" s="6"/>
      <c r="CQ1600" s="6"/>
      <c r="CR1600" s="6"/>
      <c r="CS1600" s="6"/>
      <c r="CT1600" s="6"/>
      <c r="CU1600" s="6"/>
      <c r="CV1600" s="6"/>
      <c r="CW1600" s="6"/>
      <c r="CX1600" s="6"/>
      <c r="CY1600" s="6"/>
      <c r="CZ1600" s="6"/>
      <c r="DA1600" s="6"/>
      <c r="DB1600" s="6"/>
      <c r="DC1600" s="6"/>
      <c r="DD1600" s="6"/>
      <c r="DE1600" s="6"/>
      <c r="DF1600" s="6"/>
      <c r="DG1600" s="6"/>
      <c r="DH1600" s="6"/>
      <c r="DI1600" s="6"/>
      <c r="DJ1600" s="6"/>
      <c r="DK1600" s="6"/>
      <c r="DL1600" s="6"/>
      <c r="DM1600" s="6"/>
      <c r="DN1600" s="6"/>
      <c r="DO1600" s="6"/>
      <c r="DP1600" s="6"/>
      <c r="DQ1600" s="6"/>
      <c r="DR1600" s="6"/>
      <c r="DS1600" s="6"/>
      <c r="DT1600" s="6"/>
      <c r="DU1600" s="6"/>
      <c r="DV1600" s="6"/>
      <c r="DW1600" s="6"/>
      <c r="DX1600" s="6"/>
      <c r="DY1600" s="6"/>
      <c r="DZ1600" s="6"/>
      <c r="EA1600" s="6"/>
      <c r="EB1600" s="6"/>
      <c r="EC1600" s="6"/>
      <c r="ED1600" s="6"/>
      <c r="EE1600" s="6"/>
      <c r="EF1600" s="6"/>
      <c r="EG1600" s="6"/>
      <c r="EH1600" s="6"/>
      <c r="EI1600" s="6"/>
      <c r="EJ1600" s="6"/>
      <c r="EK1600" s="6"/>
      <c r="EL1600" s="6"/>
      <c r="EM1600" s="6"/>
      <c r="EN1600" s="6"/>
      <c r="EO1600" s="6"/>
      <c r="EP1600" s="6"/>
      <c r="EQ1600" s="6"/>
      <c r="ER1600" s="6"/>
      <c r="ES1600" s="6"/>
      <c r="ET1600" s="6"/>
      <c r="EU1600" s="6"/>
      <c r="EV1600" s="6"/>
      <c r="EW1600" s="6"/>
      <c r="EX1600" s="6"/>
      <c r="EY1600" s="6"/>
      <c r="EZ1600" s="6"/>
      <c r="FA1600" s="6"/>
      <c r="FB1600" s="6"/>
      <c r="FC1600" s="6"/>
      <c r="FD1600" s="6"/>
      <c r="FE1600" s="6"/>
      <c r="FF1600" s="6"/>
      <c r="FG1600" s="6"/>
      <c r="FH1600" s="6"/>
      <c r="FI1600" s="6"/>
      <c r="FJ1600" s="6"/>
      <c r="FK1600" s="6"/>
      <c r="FL1600" s="6"/>
      <c r="FM1600" s="6"/>
      <c r="FN1600" s="6"/>
      <c r="FO1600" s="6"/>
      <c r="FP1600" s="6"/>
      <c r="FQ1600" s="6"/>
      <c r="FR1600" s="6"/>
      <c r="FS1600" s="6"/>
      <c r="FT1600" s="6"/>
      <c r="FU1600" s="6"/>
      <c r="FV1600" s="6"/>
      <c r="FW1600" s="6"/>
      <c r="FX1600" s="6"/>
      <c r="FY1600" s="6"/>
      <c r="FZ1600" s="6"/>
      <c r="GA1600" s="6"/>
      <c r="GB1600" s="6"/>
      <c r="GC1600" s="6"/>
      <c r="GD1600" s="6"/>
      <c r="GE1600" s="6"/>
      <c r="GF1600" s="6"/>
      <c r="GG1600" s="6"/>
      <c r="GH1600" s="6"/>
      <c r="GI1600" s="6"/>
      <c r="GJ1600" s="6"/>
      <c r="GK1600" s="6"/>
      <c r="GL1600" s="6"/>
      <c r="GM1600" s="6"/>
      <c r="GN1600" s="6"/>
      <c r="GO1600" s="6"/>
      <c r="GP1600" s="6"/>
      <c r="GQ1600" s="6"/>
      <c r="GR1600" s="6"/>
      <c r="GS1600" s="6"/>
      <c r="GT1600" s="6"/>
      <c r="GU1600" s="6"/>
      <c r="GV1600" s="6"/>
      <c r="GW1600" s="6"/>
      <c r="GX1600" s="6"/>
      <c r="GY1600" s="6"/>
      <c r="GZ1600" s="6"/>
      <c r="HA1600" s="6"/>
      <c r="HB1600" s="6"/>
      <c r="HC1600" s="6"/>
      <c r="HD1600" s="6"/>
      <c r="HE1600" s="6"/>
      <c r="HF1600" s="6"/>
      <c r="HG1600" s="6"/>
      <c r="HH1600" s="6"/>
    </row>
    <row r="1601" spans="1:216" x14ac:dyDescent="0.3">
      <c r="A1601" s="8"/>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6"/>
      <c r="AR1601" s="6"/>
      <c r="AS1601" s="6"/>
      <c r="AT1601" s="6"/>
      <c r="AU1601" s="6"/>
      <c r="AV1601" s="6"/>
      <c r="AW1601" s="6"/>
      <c r="AX1601" s="6"/>
      <c r="AY1601" s="6"/>
      <c r="AZ1601" s="6"/>
      <c r="BA1601" s="6"/>
      <c r="BB1601" s="6"/>
      <c r="BC1601" s="6"/>
      <c r="BD1601" s="6"/>
      <c r="BE1601" s="6"/>
      <c r="BF1601" s="6"/>
      <c r="BG1601" s="6"/>
      <c r="BH1601" s="6"/>
      <c r="BI1601" s="6"/>
      <c r="BJ1601" s="6"/>
      <c r="BK1601" s="6"/>
      <c r="BL1601" s="6"/>
      <c r="BM1601" s="6"/>
      <c r="BN1601" s="6"/>
      <c r="BO1601" s="6"/>
      <c r="BP1601" s="6"/>
      <c r="BQ1601" s="6"/>
      <c r="BR1601" s="6"/>
      <c r="BS1601" s="6"/>
      <c r="BT1601" s="6"/>
      <c r="BU1601" s="6"/>
      <c r="BV1601" s="6"/>
      <c r="BW1601" s="6"/>
      <c r="BX1601" s="6"/>
      <c r="BY1601" s="6"/>
      <c r="BZ1601" s="6"/>
      <c r="CA1601" s="6"/>
      <c r="CB1601" s="6"/>
      <c r="CC1601" s="6"/>
      <c r="CD1601" s="6"/>
      <c r="CE1601" s="6"/>
      <c r="CF1601" s="6"/>
      <c r="CG1601" s="6"/>
      <c r="CH1601" s="6"/>
      <c r="CI1601" s="6"/>
      <c r="CJ1601" s="6"/>
      <c r="CK1601" s="6"/>
      <c r="CL1601" s="6"/>
      <c r="CM1601" s="6"/>
      <c r="CN1601" s="6"/>
      <c r="CO1601" s="6"/>
      <c r="CP1601" s="6"/>
      <c r="CQ1601" s="6"/>
      <c r="CR1601" s="6"/>
      <c r="CS1601" s="6"/>
      <c r="CT1601" s="6"/>
      <c r="CU1601" s="6"/>
      <c r="CV1601" s="6"/>
      <c r="CW1601" s="6"/>
      <c r="CX1601" s="6"/>
      <c r="CY1601" s="6"/>
      <c r="CZ1601" s="6"/>
      <c r="DA1601" s="6"/>
      <c r="DB1601" s="6"/>
      <c r="DC1601" s="6"/>
      <c r="DD1601" s="6"/>
      <c r="DE1601" s="6"/>
      <c r="DF1601" s="6"/>
      <c r="DG1601" s="6"/>
      <c r="DH1601" s="6"/>
      <c r="DI1601" s="6"/>
      <c r="DJ1601" s="6"/>
      <c r="DK1601" s="6"/>
      <c r="DL1601" s="6"/>
      <c r="DM1601" s="6"/>
      <c r="DN1601" s="6"/>
      <c r="DO1601" s="6"/>
      <c r="DP1601" s="6"/>
      <c r="DQ1601" s="6"/>
      <c r="DR1601" s="6"/>
      <c r="DS1601" s="6"/>
      <c r="DT1601" s="6"/>
      <c r="DU1601" s="6"/>
      <c r="DV1601" s="6"/>
      <c r="DW1601" s="6"/>
      <c r="DX1601" s="6"/>
      <c r="DY1601" s="6"/>
      <c r="DZ1601" s="6"/>
      <c r="EA1601" s="6"/>
      <c r="EB1601" s="6"/>
      <c r="EC1601" s="6"/>
      <c r="ED1601" s="6"/>
      <c r="EE1601" s="6"/>
      <c r="EF1601" s="6"/>
      <c r="EG1601" s="6"/>
      <c r="EH1601" s="6"/>
      <c r="EI1601" s="6"/>
      <c r="EJ1601" s="6"/>
      <c r="EK1601" s="6"/>
      <c r="EL1601" s="6"/>
      <c r="EM1601" s="6"/>
      <c r="EN1601" s="6"/>
      <c r="EO1601" s="6"/>
      <c r="EP1601" s="6"/>
      <c r="EQ1601" s="6"/>
      <c r="ER1601" s="6"/>
      <c r="ES1601" s="6"/>
      <c r="ET1601" s="6"/>
      <c r="EU1601" s="6"/>
      <c r="EV1601" s="6"/>
      <c r="EW1601" s="6"/>
      <c r="EX1601" s="6"/>
      <c r="EY1601" s="6"/>
      <c r="EZ1601" s="6"/>
      <c r="FA1601" s="6"/>
      <c r="FB1601" s="6"/>
      <c r="FC1601" s="6"/>
      <c r="FD1601" s="6"/>
      <c r="FE1601" s="6"/>
      <c r="FF1601" s="6"/>
      <c r="FG1601" s="6"/>
      <c r="FH1601" s="6"/>
      <c r="FI1601" s="6"/>
      <c r="FJ1601" s="6"/>
      <c r="FK1601" s="6"/>
      <c r="FL1601" s="6"/>
      <c r="FM1601" s="6"/>
      <c r="FN1601" s="6"/>
      <c r="FO1601" s="6"/>
      <c r="FP1601" s="6"/>
      <c r="FQ1601" s="6"/>
      <c r="FR1601" s="6"/>
      <c r="FS1601" s="6"/>
      <c r="FT1601" s="6"/>
      <c r="FU1601" s="6"/>
      <c r="FV1601" s="6"/>
      <c r="FW1601" s="6"/>
      <c r="FX1601" s="6"/>
      <c r="FY1601" s="6"/>
      <c r="FZ1601" s="6"/>
      <c r="GA1601" s="6"/>
      <c r="GB1601" s="6"/>
      <c r="GC1601" s="6"/>
      <c r="GD1601" s="6"/>
      <c r="GE1601" s="6"/>
      <c r="GF1601" s="6"/>
      <c r="GG1601" s="6"/>
      <c r="GH1601" s="6"/>
      <c r="GI1601" s="6"/>
      <c r="GJ1601" s="6"/>
      <c r="GK1601" s="6"/>
      <c r="GL1601" s="6"/>
      <c r="GM1601" s="6"/>
      <c r="GN1601" s="6"/>
      <c r="GO1601" s="6"/>
      <c r="GP1601" s="6"/>
      <c r="GQ1601" s="6"/>
      <c r="GR1601" s="6"/>
      <c r="GS1601" s="6"/>
      <c r="GT1601" s="6"/>
      <c r="GU1601" s="6"/>
      <c r="GV1601" s="6"/>
      <c r="GW1601" s="6"/>
      <c r="GX1601" s="6"/>
      <c r="GY1601" s="6"/>
      <c r="GZ1601" s="6"/>
      <c r="HA1601" s="6"/>
      <c r="HB1601" s="6"/>
      <c r="HC1601" s="6"/>
      <c r="HD1601" s="6"/>
      <c r="HE1601" s="6"/>
      <c r="HF1601" s="6"/>
      <c r="HG1601" s="6"/>
      <c r="HH1601" s="6"/>
    </row>
    <row r="1602" spans="1:216" x14ac:dyDescent="0.3">
      <c r="A1602" s="8"/>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6"/>
      <c r="BA1602" s="6"/>
      <c r="BB1602" s="6"/>
      <c r="BC1602" s="6"/>
      <c r="BD1602" s="6"/>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c r="DX1602" s="6"/>
      <c r="DY1602" s="6"/>
      <c r="DZ1602" s="6"/>
      <c r="EA1602" s="6"/>
      <c r="EB1602" s="6"/>
      <c r="EC1602" s="6"/>
      <c r="ED1602" s="6"/>
      <c r="EE1602" s="6"/>
      <c r="EF1602" s="6"/>
      <c r="EG1602" s="6"/>
      <c r="EH1602" s="6"/>
      <c r="EI1602" s="6"/>
      <c r="EJ1602" s="6"/>
      <c r="EK1602" s="6"/>
      <c r="EL1602" s="6"/>
      <c r="EM1602" s="6"/>
      <c r="EN1602" s="6"/>
      <c r="EO1602" s="6"/>
      <c r="EP1602" s="6"/>
      <c r="EQ1602" s="6"/>
      <c r="ER1602" s="6"/>
      <c r="ES1602" s="6"/>
      <c r="ET1602" s="6"/>
      <c r="EU1602" s="6"/>
      <c r="EV1602" s="6"/>
      <c r="EW1602" s="6"/>
      <c r="EX1602" s="6"/>
      <c r="EY1602" s="6"/>
      <c r="EZ1602" s="6"/>
      <c r="FA1602" s="6"/>
      <c r="FB1602" s="6"/>
      <c r="FC1602" s="6"/>
      <c r="FD1602" s="6"/>
      <c r="FE1602" s="6"/>
      <c r="FF1602" s="6"/>
      <c r="FG1602" s="6"/>
      <c r="FH1602" s="6"/>
      <c r="FI1602" s="6"/>
      <c r="FJ1602" s="6"/>
      <c r="FK1602" s="6"/>
      <c r="FL1602" s="6"/>
      <c r="FM1602" s="6"/>
      <c r="FN1602" s="6"/>
      <c r="FO1602" s="6"/>
      <c r="FP1602" s="6"/>
      <c r="FQ1602" s="6"/>
      <c r="FR1602" s="6"/>
      <c r="FS1602" s="6"/>
      <c r="FT1602" s="6"/>
      <c r="FU1602" s="6"/>
      <c r="FV1602" s="6"/>
      <c r="FW1602" s="6"/>
      <c r="FX1602" s="6"/>
      <c r="FY1602" s="6"/>
      <c r="FZ1602" s="6"/>
      <c r="GA1602" s="6"/>
      <c r="GB1602" s="6"/>
      <c r="GC1602" s="6"/>
      <c r="GD1602" s="6"/>
      <c r="GE1602" s="6"/>
      <c r="GF1602" s="6"/>
      <c r="GG1602" s="6"/>
      <c r="GH1602" s="6"/>
      <c r="GI1602" s="6"/>
      <c r="GJ1602" s="6"/>
      <c r="GK1602" s="6"/>
      <c r="GL1602" s="6"/>
      <c r="GM1602" s="6"/>
      <c r="GN1602" s="6"/>
      <c r="GO1602" s="6"/>
      <c r="GP1602" s="6"/>
      <c r="GQ1602" s="6"/>
      <c r="GR1602" s="6"/>
      <c r="GS1602" s="6"/>
      <c r="GT1602" s="6"/>
      <c r="GU1602" s="6"/>
      <c r="GV1602" s="6"/>
      <c r="GW1602" s="6"/>
      <c r="GX1602" s="6"/>
      <c r="GY1602" s="6"/>
      <c r="GZ1602" s="6"/>
      <c r="HA1602" s="6"/>
      <c r="HB1602" s="6"/>
      <c r="HC1602" s="6"/>
      <c r="HD1602" s="6"/>
      <c r="HE1602" s="6"/>
      <c r="HF1602" s="6"/>
      <c r="HG1602" s="6"/>
      <c r="HH1602" s="6"/>
    </row>
    <row r="1603" spans="1:216" x14ac:dyDescent="0.3">
      <c r="A1603" s="8"/>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6"/>
      <c r="AR1603" s="6"/>
      <c r="AS1603" s="6"/>
      <c r="AT1603" s="6"/>
      <c r="AU1603" s="6"/>
      <c r="AV1603" s="6"/>
      <c r="AW1603" s="6"/>
      <c r="AX1603" s="6"/>
      <c r="AY1603" s="6"/>
      <c r="AZ1603" s="6"/>
      <c r="BA1603" s="6"/>
      <c r="BB1603" s="6"/>
      <c r="BC1603" s="6"/>
      <c r="BD1603" s="6"/>
      <c r="BE1603" s="6"/>
      <c r="BF1603" s="6"/>
      <c r="BG1603" s="6"/>
      <c r="BH1603" s="6"/>
      <c r="BI1603" s="6"/>
      <c r="BJ1603" s="6"/>
      <c r="BK1603" s="6"/>
      <c r="BL1603" s="6"/>
      <c r="BM1603" s="6"/>
      <c r="BN1603" s="6"/>
      <c r="BO1603" s="6"/>
      <c r="BP1603" s="6"/>
      <c r="BQ1603" s="6"/>
      <c r="BR1603" s="6"/>
      <c r="BS1603" s="6"/>
      <c r="BT1603" s="6"/>
      <c r="BU1603" s="6"/>
      <c r="BV1603" s="6"/>
      <c r="BW1603" s="6"/>
      <c r="BX1603" s="6"/>
      <c r="BY1603" s="6"/>
      <c r="BZ1603" s="6"/>
      <c r="CA1603" s="6"/>
      <c r="CB1603" s="6"/>
      <c r="CC1603" s="6"/>
      <c r="CD1603" s="6"/>
      <c r="CE1603" s="6"/>
      <c r="CF1603" s="6"/>
      <c r="CG1603" s="6"/>
      <c r="CH1603" s="6"/>
      <c r="CI1603" s="6"/>
      <c r="CJ1603" s="6"/>
      <c r="CK1603" s="6"/>
      <c r="CL1603" s="6"/>
      <c r="CM1603" s="6"/>
      <c r="CN1603" s="6"/>
      <c r="CO1603" s="6"/>
      <c r="CP1603" s="6"/>
      <c r="CQ1603" s="6"/>
      <c r="CR1603" s="6"/>
      <c r="CS1603" s="6"/>
      <c r="CT1603" s="6"/>
      <c r="CU1603" s="6"/>
      <c r="CV1603" s="6"/>
      <c r="CW1603" s="6"/>
      <c r="CX1603" s="6"/>
      <c r="CY1603" s="6"/>
      <c r="CZ1603" s="6"/>
      <c r="DA1603" s="6"/>
      <c r="DB1603" s="6"/>
      <c r="DC1603" s="6"/>
      <c r="DD1603" s="6"/>
      <c r="DE1603" s="6"/>
      <c r="DF1603" s="6"/>
      <c r="DG1603" s="6"/>
      <c r="DH1603" s="6"/>
      <c r="DI1603" s="6"/>
      <c r="DJ1603" s="6"/>
      <c r="DK1603" s="6"/>
      <c r="DL1603" s="6"/>
      <c r="DM1603" s="6"/>
      <c r="DN1603" s="6"/>
      <c r="DO1603" s="6"/>
      <c r="DP1603" s="6"/>
      <c r="DQ1603" s="6"/>
      <c r="DR1603" s="6"/>
      <c r="DS1603" s="6"/>
      <c r="DT1603" s="6"/>
      <c r="DU1603" s="6"/>
      <c r="DV1603" s="6"/>
      <c r="DW1603" s="6"/>
      <c r="DX1603" s="6"/>
      <c r="DY1603" s="6"/>
      <c r="DZ1603" s="6"/>
      <c r="EA1603" s="6"/>
      <c r="EB1603" s="6"/>
      <c r="EC1603" s="6"/>
      <c r="ED1603" s="6"/>
      <c r="EE1603" s="6"/>
      <c r="EF1603" s="6"/>
      <c r="EG1603" s="6"/>
      <c r="EH1603" s="6"/>
      <c r="EI1603" s="6"/>
      <c r="EJ1603" s="6"/>
      <c r="EK1603" s="6"/>
      <c r="EL1603" s="6"/>
      <c r="EM1603" s="6"/>
      <c r="EN1603" s="6"/>
      <c r="EO1603" s="6"/>
      <c r="EP1603" s="6"/>
      <c r="EQ1603" s="6"/>
      <c r="ER1603" s="6"/>
      <c r="ES1603" s="6"/>
      <c r="ET1603" s="6"/>
      <c r="EU1603" s="6"/>
      <c r="EV1603" s="6"/>
      <c r="EW1603" s="6"/>
      <c r="EX1603" s="6"/>
      <c r="EY1603" s="6"/>
      <c r="EZ1603" s="6"/>
      <c r="FA1603" s="6"/>
      <c r="FB1603" s="6"/>
      <c r="FC1603" s="6"/>
      <c r="FD1603" s="6"/>
      <c r="FE1603" s="6"/>
      <c r="FF1603" s="6"/>
      <c r="FG1603" s="6"/>
      <c r="FH1603" s="6"/>
      <c r="FI1603" s="6"/>
      <c r="FJ1603" s="6"/>
      <c r="FK1603" s="6"/>
      <c r="FL1603" s="6"/>
      <c r="FM1603" s="6"/>
      <c r="FN1603" s="6"/>
      <c r="FO1603" s="6"/>
      <c r="FP1603" s="6"/>
      <c r="FQ1603" s="6"/>
      <c r="FR1603" s="6"/>
      <c r="FS1603" s="6"/>
      <c r="FT1603" s="6"/>
      <c r="FU1603" s="6"/>
      <c r="FV1603" s="6"/>
      <c r="FW1603" s="6"/>
      <c r="FX1603" s="6"/>
      <c r="FY1603" s="6"/>
      <c r="FZ1603" s="6"/>
      <c r="GA1603" s="6"/>
      <c r="GB1603" s="6"/>
      <c r="GC1603" s="6"/>
      <c r="GD1603" s="6"/>
      <c r="GE1603" s="6"/>
      <c r="GF1603" s="6"/>
      <c r="GG1603" s="6"/>
      <c r="GH1603" s="6"/>
      <c r="GI1603" s="6"/>
      <c r="GJ1603" s="6"/>
      <c r="GK1603" s="6"/>
      <c r="GL1603" s="6"/>
      <c r="GM1603" s="6"/>
      <c r="GN1603" s="6"/>
      <c r="GO1603" s="6"/>
      <c r="GP1603" s="6"/>
      <c r="GQ1603" s="6"/>
      <c r="GR1603" s="6"/>
      <c r="GS1603" s="6"/>
      <c r="GT1603" s="6"/>
      <c r="GU1603" s="6"/>
      <c r="GV1603" s="6"/>
      <c r="GW1603" s="6"/>
      <c r="GX1603" s="6"/>
      <c r="GY1603" s="6"/>
      <c r="GZ1603" s="6"/>
      <c r="HA1603" s="6"/>
      <c r="HB1603" s="6"/>
      <c r="HC1603" s="6"/>
      <c r="HD1603" s="6"/>
      <c r="HE1603" s="6"/>
      <c r="HF1603" s="6"/>
      <c r="HG1603" s="6"/>
      <c r="HH1603" s="6"/>
    </row>
    <row r="1604" spans="1:216" x14ac:dyDescent="0.3">
      <c r="A1604" s="8"/>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6"/>
      <c r="AR1604" s="6"/>
      <c r="AS1604" s="6"/>
      <c r="AT1604" s="6"/>
      <c r="AU1604" s="6"/>
      <c r="AV1604" s="6"/>
      <c r="AW1604" s="6"/>
      <c r="AX1604" s="6"/>
      <c r="AY1604" s="6"/>
      <c r="AZ1604" s="6"/>
      <c r="BA1604" s="6"/>
      <c r="BB1604" s="6"/>
      <c r="BC1604" s="6"/>
      <c r="BD1604" s="6"/>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c r="DX1604" s="6"/>
      <c r="DY1604" s="6"/>
      <c r="DZ1604" s="6"/>
      <c r="EA1604" s="6"/>
      <c r="EB1604" s="6"/>
      <c r="EC1604" s="6"/>
      <c r="ED1604" s="6"/>
      <c r="EE1604" s="6"/>
      <c r="EF1604" s="6"/>
      <c r="EG1604" s="6"/>
      <c r="EH1604" s="6"/>
      <c r="EI1604" s="6"/>
      <c r="EJ1604" s="6"/>
      <c r="EK1604" s="6"/>
      <c r="EL1604" s="6"/>
      <c r="EM1604" s="6"/>
      <c r="EN1604" s="6"/>
      <c r="EO1604" s="6"/>
      <c r="EP1604" s="6"/>
      <c r="EQ1604" s="6"/>
      <c r="ER1604" s="6"/>
      <c r="ES1604" s="6"/>
      <c r="ET1604" s="6"/>
      <c r="EU1604" s="6"/>
      <c r="EV1604" s="6"/>
      <c r="EW1604" s="6"/>
      <c r="EX1604" s="6"/>
      <c r="EY1604" s="6"/>
      <c r="EZ1604" s="6"/>
      <c r="FA1604" s="6"/>
      <c r="FB1604" s="6"/>
      <c r="FC1604" s="6"/>
      <c r="FD1604" s="6"/>
      <c r="FE1604" s="6"/>
      <c r="FF1604" s="6"/>
      <c r="FG1604" s="6"/>
      <c r="FH1604" s="6"/>
      <c r="FI1604" s="6"/>
      <c r="FJ1604" s="6"/>
      <c r="FK1604" s="6"/>
      <c r="FL1604" s="6"/>
      <c r="FM1604" s="6"/>
      <c r="FN1604" s="6"/>
      <c r="FO1604" s="6"/>
      <c r="FP1604" s="6"/>
      <c r="FQ1604" s="6"/>
      <c r="FR1604" s="6"/>
      <c r="FS1604" s="6"/>
      <c r="FT1604" s="6"/>
      <c r="FU1604" s="6"/>
      <c r="FV1604" s="6"/>
      <c r="FW1604" s="6"/>
      <c r="FX1604" s="6"/>
      <c r="FY1604" s="6"/>
      <c r="FZ1604" s="6"/>
      <c r="GA1604" s="6"/>
      <c r="GB1604" s="6"/>
      <c r="GC1604" s="6"/>
      <c r="GD1604" s="6"/>
      <c r="GE1604" s="6"/>
      <c r="GF1604" s="6"/>
      <c r="GG1604" s="6"/>
      <c r="GH1604" s="6"/>
      <c r="GI1604" s="6"/>
      <c r="GJ1604" s="6"/>
      <c r="GK1604" s="6"/>
      <c r="GL1604" s="6"/>
      <c r="GM1604" s="6"/>
      <c r="GN1604" s="6"/>
      <c r="GO1604" s="6"/>
      <c r="GP1604" s="6"/>
      <c r="GQ1604" s="6"/>
      <c r="GR1604" s="6"/>
      <c r="GS1604" s="6"/>
      <c r="GT1604" s="6"/>
      <c r="GU1604" s="6"/>
      <c r="GV1604" s="6"/>
      <c r="GW1604" s="6"/>
      <c r="GX1604" s="6"/>
      <c r="GY1604" s="6"/>
      <c r="GZ1604" s="6"/>
      <c r="HA1604" s="6"/>
      <c r="HB1604" s="6"/>
      <c r="HC1604" s="6"/>
      <c r="HD1604" s="6"/>
      <c r="HE1604" s="6"/>
      <c r="HF1604" s="6"/>
      <c r="HG1604" s="6"/>
      <c r="HH1604" s="6"/>
    </row>
    <row r="1605" spans="1:216" x14ac:dyDescent="0.3">
      <c r="A1605" s="8"/>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6"/>
      <c r="AR1605" s="6"/>
      <c r="AS1605" s="6"/>
      <c r="AT1605" s="6"/>
      <c r="AU1605" s="6"/>
      <c r="AV1605" s="6"/>
      <c r="AW1605" s="6"/>
      <c r="AX1605" s="6"/>
      <c r="AY1605" s="6"/>
      <c r="AZ1605" s="6"/>
      <c r="BA1605" s="6"/>
      <c r="BB1605" s="6"/>
      <c r="BC1605" s="6"/>
      <c r="BD1605" s="6"/>
      <c r="BE1605" s="6"/>
      <c r="BF1605" s="6"/>
      <c r="BG1605" s="6"/>
      <c r="BH1605" s="6"/>
      <c r="BI1605" s="6"/>
      <c r="BJ1605" s="6"/>
      <c r="BK1605" s="6"/>
      <c r="BL1605" s="6"/>
      <c r="BM1605" s="6"/>
      <c r="BN1605" s="6"/>
      <c r="BO1605" s="6"/>
      <c r="BP1605" s="6"/>
      <c r="BQ1605" s="6"/>
      <c r="BR1605" s="6"/>
      <c r="BS1605" s="6"/>
      <c r="BT1605" s="6"/>
      <c r="BU1605" s="6"/>
      <c r="BV1605" s="6"/>
      <c r="BW1605" s="6"/>
      <c r="BX1605" s="6"/>
      <c r="BY1605" s="6"/>
      <c r="BZ1605" s="6"/>
      <c r="CA1605" s="6"/>
      <c r="CB1605" s="6"/>
      <c r="CC1605" s="6"/>
      <c r="CD1605" s="6"/>
      <c r="CE1605" s="6"/>
      <c r="CF1605" s="6"/>
      <c r="CG1605" s="6"/>
      <c r="CH1605" s="6"/>
      <c r="CI1605" s="6"/>
      <c r="CJ1605" s="6"/>
      <c r="CK1605" s="6"/>
      <c r="CL1605" s="6"/>
      <c r="CM1605" s="6"/>
      <c r="CN1605" s="6"/>
      <c r="CO1605" s="6"/>
      <c r="CP1605" s="6"/>
      <c r="CQ1605" s="6"/>
      <c r="CR1605" s="6"/>
      <c r="CS1605" s="6"/>
      <c r="CT1605" s="6"/>
      <c r="CU1605" s="6"/>
      <c r="CV1605" s="6"/>
      <c r="CW1605" s="6"/>
      <c r="CX1605" s="6"/>
      <c r="CY1605" s="6"/>
      <c r="CZ1605" s="6"/>
      <c r="DA1605" s="6"/>
      <c r="DB1605" s="6"/>
      <c r="DC1605" s="6"/>
      <c r="DD1605" s="6"/>
      <c r="DE1605" s="6"/>
      <c r="DF1605" s="6"/>
      <c r="DG1605" s="6"/>
      <c r="DH1605" s="6"/>
      <c r="DI1605" s="6"/>
      <c r="DJ1605" s="6"/>
      <c r="DK1605" s="6"/>
      <c r="DL1605" s="6"/>
      <c r="DM1605" s="6"/>
      <c r="DN1605" s="6"/>
      <c r="DO1605" s="6"/>
      <c r="DP1605" s="6"/>
      <c r="DQ1605" s="6"/>
      <c r="DR1605" s="6"/>
      <c r="DS1605" s="6"/>
      <c r="DT1605" s="6"/>
      <c r="DU1605" s="6"/>
      <c r="DV1605" s="6"/>
      <c r="DW1605" s="6"/>
      <c r="DX1605" s="6"/>
      <c r="DY1605" s="6"/>
      <c r="DZ1605" s="6"/>
      <c r="EA1605" s="6"/>
      <c r="EB1605" s="6"/>
      <c r="EC1605" s="6"/>
      <c r="ED1605" s="6"/>
      <c r="EE1605" s="6"/>
      <c r="EF1605" s="6"/>
      <c r="EG1605" s="6"/>
      <c r="EH1605" s="6"/>
      <c r="EI1605" s="6"/>
      <c r="EJ1605" s="6"/>
      <c r="EK1605" s="6"/>
      <c r="EL1605" s="6"/>
      <c r="EM1605" s="6"/>
      <c r="EN1605" s="6"/>
      <c r="EO1605" s="6"/>
      <c r="EP1605" s="6"/>
      <c r="EQ1605" s="6"/>
      <c r="ER1605" s="6"/>
      <c r="ES1605" s="6"/>
      <c r="ET1605" s="6"/>
      <c r="EU1605" s="6"/>
      <c r="EV1605" s="6"/>
      <c r="EW1605" s="6"/>
      <c r="EX1605" s="6"/>
      <c r="EY1605" s="6"/>
      <c r="EZ1605" s="6"/>
      <c r="FA1605" s="6"/>
      <c r="FB1605" s="6"/>
      <c r="FC1605" s="6"/>
      <c r="FD1605" s="6"/>
      <c r="FE1605" s="6"/>
      <c r="FF1605" s="6"/>
      <c r="FG1605" s="6"/>
      <c r="FH1605" s="6"/>
      <c r="FI1605" s="6"/>
      <c r="FJ1605" s="6"/>
      <c r="FK1605" s="6"/>
      <c r="FL1605" s="6"/>
      <c r="FM1605" s="6"/>
      <c r="FN1605" s="6"/>
      <c r="FO1605" s="6"/>
      <c r="FP1605" s="6"/>
      <c r="FQ1605" s="6"/>
      <c r="FR1605" s="6"/>
      <c r="FS1605" s="6"/>
      <c r="FT1605" s="6"/>
      <c r="FU1605" s="6"/>
      <c r="FV1605" s="6"/>
      <c r="FW1605" s="6"/>
      <c r="FX1605" s="6"/>
      <c r="FY1605" s="6"/>
      <c r="FZ1605" s="6"/>
      <c r="GA1605" s="6"/>
      <c r="GB1605" s="6"/>
      <c r="GC1605" s="6"/>
      <c r="GD1605" s="6"/>
      <c r="GE1605" s="6"/>
      <c r="GF1605" s="6"/>
      <c r="GG1605" s="6"/>
      <c r="GH1605" s="6"/>
      <c r="GI1605" s="6"/>
      <c r="GJ1605" s="6"/>
      <c r="GK1605" s="6"/>
      <c r="GL1605" s="6"/>
      <c r="GM1605" s="6"/>
      <c r="GN1605" s="6"/>
      <c r="GO1605" s="6"/>
      <c r="GP1605" s="6"/>
      <c r="GQ1605" s="6"/>
      <c r="GR1605" s="6"/>
      <c r="GS1605" s="6"/>
      <c r="GT1605" s="6"/>
      <c r="GU1605" s="6"/>
      <c r="GV1605" s="6"/>
      <c r="GW1605" s="6"/>
      <c r="GX1605" s="6"/>
      <c r="GY1605" s="6"/>
      <c r="GZ1605" s="6"/>
      <c r="HA1605" s="6"/>
      <c r="HB1605" s="6"/>
      <c r="HC1605" s="6"/>
      <c r="HD1605" s="6"/>
      <c r="HE1605" s="6"/>
      <c r="HF1605" s="6"/>
      <c r="HG1605" s="6"/>
      <c r="HH1605" s="6"/>
    </row>
    <row r="1606" spans="1:216" x14ac:dyDescent="0.3">
      <c r="A1606" s="8"/>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6"/>
      <c r="AR1606" s="6"/>
      <c r="AS1606" s="6"/>
      <c r="AT1606" s="6"/>
      <c r="AU1606" s="6"/>
      <c r="AV1606" s="6"/>
      <c r="AW1606" s="6"/>
      <c r="AX1606" s="6"/>
      <c r="AY1606" s="6"/>
      <c r="AZ1606" s="6"/>
      <c r="BA1606" s="6"/>
      <c r="BB1606" s="6"/>
      <c r="BC1606" s="6"/>
      <c r="BD1606" s="6"/>
      <c r="BE1606" s="6"/>
      <c r="BF1606" s="6"/>
      <c r="BG1606" s="6"/>
      <c r="BH1606" s="6"/>
      <c r="BI1606" s="6"/>
      <c r="BJ1606" s="6"/>
      <c r="BK1606" s="6"/>
      <c r="BL1606" s="6"/>
      <c r="BM1606" s="6"/>
      <c r="BN1606" s="6"/>
      <c r="BO1606" s="6"/>
      <c r="BP1606" s="6"/>
      <c r="BQ1606" s="6"/>
      <c r="BR1606" s="6"/>
      <c r="BS1606" s="6"/>
      <c r="BT1606" s="6"/>
      <c r="BU1606" s="6"/>
      <c r="BV1606" s="6"/>
      <c r="BW1606" s="6"/>
      <c r="BX1606" s="6"/>
      <c r="BY1606" s="6"/>
      <c r="BZ1606" s="6"/>
      <c r="CA1606" s="6"/>
      <c r="CB1606" s="6"/>
      <c r="CC1606" s="6"/>
      <c r="CD1606" s="6"/>
      <c r="CE1606" s="6"/>
      <c r="CF1606" s="6"/>
      <c r="CG1606" s="6"/>
      <c r="CH1606" s="6"/>
      <c r="CI1606" s="6"/>
      <c r="CJ1606" s="6"/>
      <c r="CK1606" s="6"/>
      <c r="CL1606" s="6"/>
      <c r="CM1606" s="6"/>
      <c r="CN1606" s="6"/>
      <c r="CO1606" s="6"/>
      <c r="CP1606" s="6"/>
      <c r="CQ1606" s="6"/>
      <c r="CR1606" s="6"/>
      <c r="CS1606" s="6"/>
      <c r="CT1606" s="6"/>
      <c r="CU1606" s="6"/>
      <c r="CV1606" s="6"/>
      <c r="CW1606" s="6"/>
      <c r="CX1606" s="6"/>
      <c r="CY1606" s="6"/>
      <c r="CZ1606" s="6"/>
      <c r="DA1606" s="6"/>
      <c r="DB1606" s="6"/>
      <c r="DC1606" s="6"/>
      <c r="DD1606" s="6"/>
      <c r="DE1606" s="6"/>
      <c r="DF1606" s="6"/>
      <c r="DG1606" s="6"/>
      <c r="DH1606" s="6"/>
      <c r="DI1606" s="6"/>
      <c r="DJ1606" s="6"/>
      <c r="DK1606" s="6"/>
      <c r="DL1606" s="6"/>
      <c r="DM1606" s="6"/>
      <c r="DN1606" s="6"/>
      <c r="DO1606" s="6"/>
      <c r="DP1606" s="6"/>
      <c r="DQ1606" s="6"/>
      <c r="DR1606" s="6"/>
      <c r="DS1606" s="6"/>
      <c r="DT1606" s="6"/>
      <c r="DU1606" s="6"/>
      <c r="DV1606" s="6"/>
      <c r="DW1606" s="6"/>
      <c r="DX1606" s="6"/>
      <c r="DY1606" s="6"/>
      <c r="DZ1606" s="6"/>
      <c r="EA1606" s="6"/>
      <c r="EB1606" s="6"/>
      <c r="EC1606" s="6"/>
      <c r="ED1606" s="6"/>
      <c r="EE1606" s="6"/>
      <c r="EF1606" s="6"/>
      <c r="EG1606" s="6"/>
      <c r="EH1606" s="6"/>
      <c r="EI1606" s="6"/>
      <c r="EJ1606" s="6"/>
      <c r="EK1606" s="6"/>
      <c r="EL1606" s="6"/>
      <c r="EM1606" s="6"/>
      <c r="EN1606" s="6"/>
      <c r="EO1606" s="6"/>
      <c r="EP1606" s="6"/>
      <c r="EQ1606" s="6"/>
      <c r="ER1606" s="6"/>
      <c r="ES1606" s="6"/>
      <c r="ET1606" s="6"/>
      <c r="EU1606" s="6"/>
      <c r="EV1606" s="6"/>
      <c r="EW1606" s="6"/>
      <c r="EX1606" s="6"/>
      <c r="EY1606" s="6"/>
      <c r="EZ1606" s="6"/>
      <c r="FA1606" s="6"/>
      <c r="FB1606" s="6"/>
      <c r="FC1606" s="6"/>
      <c r="FD1606" s="6"/>
      <c r="FE1606" s="6"/>
      <c r="FF1606" s="6"/>
      <c r="FG1606" s="6"/>
      <c r="FH1606" s="6"/>
      <c r="FI1606" s="6"/>
      <c r="FJ1606" s="6"/>
      <c r="FK1606" s="6"/>
      <c r="FL1606" s="6"/>
      <c r="FM1606" s="6"/>
      <c r="FN1606" s="6"/>
      <c r="FO1606" s="6"/>
      <c r="FP1606" s="6"/>
      <c r="FQ1606" s="6"/>
      <c r="FR1606" s="6"/>
      <c r="FS1606" s="6"/>
      <c r="FT1606" s="6"/>
      <c r="FU1606" s="6"/>
      <c r="FV1606" s="6"/>
      <c r="FW1606" s="6"/>
      <c r="FX1606" s="6"/>
      <c r="FY1606" s="6"/>
      <c r="FZ1606" s="6"/>
      <c r="GA1606" s="6"/>
      <c r="GB1606" s="6"/>
      <c r="GC1606" s="6"/>
      <c r="GD1606" s="6"/>
      <c r="GE1606" s="6"/>
      <c r="GF1606" s="6"/>
      <c r="GG1606" s="6"/>
      <c r="GH1606" s="6"/>
      <c r="GI1606" s="6"/>
      <c r="GJ1606" s="6"/>
      <c r="GK1606" s="6"/>
      <c r="GL1606" s="6"/>
      <c r="GM1606" s="6"/>
      <c r="GN1606" s="6"/>
      <c r="GO1606" s="6"/>
      <c r="GP1606" s="6"/>
      <c r="GQ1606" s="6"/>
      <c r="GR1606" s="6"/>
      <c r="GS1606" s="6"/>
      <c r="GT1606" s="6"/>
      <c r="GU1606" s="6"/>
      <c r="GV1606" s="6"/>
      <c r="GW1606" s="6"/>
      <c r="GX1606" s="6"/>
      <c r="GY1606" s="6"/>
      <c r="GZ1606" s="6"/>
      <c r="HA1606" s="6"/>
      <c r="HB1606" s="6"/>
      <c r="HC1606" s="6"/>
      <c r="HD1606" s="6"/>
      <c r="HE1606" s="6"/>
      <c r="HF1606" s="6"/>
      <c r="HG1606" s="6"/>
      <c r="HH1606" s="6"/>
    </row>
    <row r="1607" spans="1:216" x14ac:dyDescent="0.3">
      <c r="A1607" s="8"/>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6"/>
      <c r="AR1607" s="6"/>
      <c r="AS1607" s="6"/>
      <c r="AT1607" s="6"/>
      <c r="AU1607" s="6"/>
      <c r="AV1607" s="6"/>
      <c r="AW1607" s="6"/>
      <c r="AX1607" s="6"/>
      <c r="AY1607" s="6"/>
      <c r="AZ1607" s="6"/>
      <c r="BA1607" s="6"/>
      <c r="BB1607" s="6"/>
      <c r="BC1607" s="6"/>
      <c r="BD1607" s="6"/>
      <c r="BE1607" s="6"/>
      <c r="BF1607" s="6"/>
      <c r="BG1607" s="6"/>
      <c r="BH1607" s="6"/>
      <c r="BI1607" s="6"/>
      <c r="BJ1607" s="6"/>
      <c r="BK1607" s="6"/>
      <c r="BL1607" s="6"/>
      <c r="BM1607" s="6"/>
      <c r="BN1607" s="6"/>
      <c r="BO1607" s="6"/>
      <c r="BP1607" s="6"/>
      <c r="BQ1607" s="6"/>
      <c r="BR1607" s="6"/>
      <c r="BS1607" s="6"/>
      <c r="BT1607" s="6"/>
      <c r="BU1607" s="6"/>
      <c r="BV1607" s="6"/>
      <c r="BW1607" s="6"/>
      <c r="BX1607" s="6"/>
      <c r="BY1607" s="6"/>
      <c r="BZ1607" s="6"/>
      <c r="CA1607" s="6"/>
      <c r="CB1607" s="6"/>
      <c r="CC1607" s="6"/>
      <c r="CD1607" s="6"/>
      <c r="CE1607" s="6"/>
      <c r="CF1607" s="6"/>
      <c r="CG1607" s="6"/>
      <c r="CH1607" s="6"/>
      <c r="CI1607" s="6"/>
      <c r="CJ1607" s="6"/>
      <c r="CK1607" s="6"/>
      <c r="CL1607" s="6"/>
      <c r="CM1607" s="6"/>
      <c r="CN1607" s="6"/>
      <c r="CO1607" s="6"/>
      <c r="CP1607" s="6"/>
      <c r="CQ1607" s="6"/>
      <c r="CR1607" s="6"/>
      <c r="CS1607" s="6"/>
      <c r="CT1607" s="6"/>
      <c r="CU1607" s="6"/>
      <c r="CV1607" s="6"/>
      <c r="CW1607" s="6"/>
      <c r="CX1607" s="6"/>
      <c r="CY1607" s="6"/>
      <c r="CZ1607" s="6"/>
      <c r="DA1607" s="6"/>
      <c r="DB1607" s="6"/>
      <c r="DC1607" s="6"/>
      <c r="DD1607" s="6"/>
      <c r="DE1607" s="6"/>
      <c r="DF1607" s="6"/>
      <c r="DG1607" s="6"/>
      <c r="DH1607" s="6"/>
      <c r="DI1607" s="6"/>
      <c r="DJ1607" s="6"/>
      <c r="DK1607" s="6"/>
      <c r="DL1607" s="6"/>
      <c r="DM1607" s="6"/>
      <c r="DN1607" s="6"/>
      <c r="DO1607" s="6"/>
      <c r="DP1607" s="6"/>
      <c r="DQ1607" s="6"/>
      <c r="DR1607" s="6"/>
      <c r="DS1607" s="6"/>
      <c r="DT1607" s="6"/>
      <c r="DU1607" s="6"/>
      <c r="DV1607" s="6"/>
      <c r="DW1607" s="6"/>
      <c r="DX1607" s="6"/>
      <c r="DY1607" s="6"/>
      <c r="DZ1607" s="6"/>
      <c r="EA1607" s="6"/>
      <c r="EB1607" s="6"/>
      <c r="EC1607" s="6"/>
      <c r="ED1607" s="6"/>
      <c r="EE1607" s="6"/>
      <c r="EF1607" s="6"/>
      <c r="EG1607" s="6"/>
      <c r="EH1607" s="6"/>
      <c r="EI1607" s="6"/>
      <c r="EJ1607" s="6"/>
      <c r="EK1607" s="6"/>
      <c r="EL1607" s="6"/>
      <c r="EM1607" s="6"/>
      <c r="EN1607" s="6"/>
      <c r="EO1607" s="6"/>
      <c r="EP1607" s="6"/>
      <c r="EQ1607" s="6"/>
      <c r="ER1607" s="6"/>
      <c r="ES1607" s="6"/>
      <c r="ET1607" s="6"/>
      <c r="EU1607" s="6"/>
      <c r="EV1607" s="6"/>
      <c r="EW1607" s="6"/>
      <c r="EX1607" s="6"/>
      <c r="EY1607" s="6"/>
      <c r="EZ1607" s="6"/>
      <c r="FA1607" s="6"/>
      <c r="FB1607" s="6"/>
      <c r="FC1607" s="6"/>
      <c r="FD1607" s="6"/>
      <c r="FE1607" s="6"/>
      <c r="FF1607" s="6"/>
      <c r="FG1607" s="6"/>
      <c r="FH1607" s="6"/>
      <c r="FI1607" s="6"/>
      <c r="FJ1607" s="6"/>
      <c r="FK1607" s="6"/>
      <c r="FL1607" s="6"/>
      <c r="FM1607" s="6"/>
      <c r="FN1607" s="6"/>
      <c r="FO1607" s="6"/>
      <c r="FP1607" s="6"/>
      <c r="FQ1607" s="6"/>
      <c r="FR1607" s="6"/>
      <c r="FS1607" s="6"/>
      <c r="FT1607" s="6"/>
      <c r="FU1607" s="6"/>
      <c r="FV1607" s="6"/>
      <c r="FW1607" s="6"/>
      <c r="FX1607" s="6"/>
      <c r="FY1607" s="6"/>
      <c r="FZ1607" s="6"/>
      <c r="GA1607" s="6"/>
      <c r="GB1607" s="6"/>
      <c r="GC1607" s="6"/>
      <c r="GD1607" s="6"/>
      <c r="GE1607" s="6"/>
      <c r="GF1607" s="6"/>
      <c r="GG1607" s="6"/>
      <c r="GH1607" s="6"/>
      <c r="GI1607" s="6"/>
      <c r="GJ1607" s="6"/>
      <c r="GK1607" s="6"/>
      <c r="GL1607" s="6"/>
      <c r="GM1607" s="6"/>
      <c r="GN1607" s="6"/>
      <c r="GO1607" s="6"/>
      <c r="GP1607" s="6"/>
      <c r="GQ1607" s="6"/>
      <c r="GR1607" s="6"/>
      <c r="GS1607" s="6"/>
      <c r="GT1607" s="6"/>
      <c r="GU1607" s="6"/>
      <c r="GV1607" s="6"/>
      <c r="GW1607" s="6"/>
      <c r="GX1607" s="6"/>
      <c r="GY1607" s="6"/>
      <c r="GZ1607" s="6"/>
      <c r="HA1607" s="6"/>
      <c r="HB1607" s="6"/>
      <c r="HC1607" s="6"/>
      <c r="HD1607" s="6"/>
      <c r="HE1607" s="6"/>
      <c r="HF1607" s="6"/>
      <c r="HG1607" s="6"/>
      <c r="HH1607" s="6"/>
    </row>
    <row r="1608" spans="1:216" x14ac:dyDescent="0.3">
      <c r="A1608" s="8"/>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6"/>
      <c r="AR1608" s="6"/>
      <c r="AS1608" s="6"/>
      <c r="AT1608" s="6"/>
      <c r="AU1608" s="6"/>
      <c r="AV1608" s="6"/>
      <c r="AW1608" s="6"/>
      <c r="AX1608" s="6"/>
      <c r="AY1608" s="6"/>
      <c r="AZ1608" s="6"/>
      <c r="BA1608" s="6"/>
      <c r="BB1608" s="6"/>
      <c r="BC1608" s="6"/>
      <c r="BD1608" s="6"/>
      <c r="BE1608" s="6"/>
      <c r="BF1608" s="6"/>
      <c r="BG1608" s="6"/>
      <c r="BH1608" s="6"/>
      <c r="BI1608" s="6"/>
      <c r="BJ1608" s="6"/>
      <c r="BK1608" s="6"/>
      <c r="BL1608" s="6"/>
      <c r="BM1608" s="6"/>
      <c r="BN1608" s="6"/>
      <c r="BO1608" s="6"/>
      <c r="BP1608" s="6"/>
      <c r="BQ1608" s="6"/>
      <c r="BR1608" s="6"/>
      <c r="BS1608" s="6"/>
      <c r="BT1608" s="6"/>
      <c r="BU1608" s="6"/>
      <c r="BV1608" s="6"/>
      <c r="BW1608" s="6"/>
      <c r="BX1608" s="6"/>
      <c r="BY1608" s="6"/>
      <c r="BZ1608" s="6"/>
      <c r="CA1608" s="6"/>
      <c r="CB1608" s="6"/>
      <c r="CC1608" s="6"/>
      <c r="CD1608" s="6"/>
      <c r="CE1608" s="6"/>
      <c r="CF1608" s="6"/>
      <c r="CG1608" s="6"/>
      <c r="CH1608" s="6"/>
      <c r="CI1608" s="6"/>
      <c r="CJ1608" s="6"/>
      <c r="CK1608" s="6"/>
      <c r="CL1608" s="6"/>
      <c r="CM1608" s="6"/>
      <c r="CN1608" s="6"/>
      <c r="CO1608" s="6"/>
      <c r="CP1608" s="6"/>
      <c r="CQ1608" s="6"/>
      <c r="CR1608" s="6"/>
      <c r="CS1608" s="6"/>
      <c r="CT1608" s="6"/>
      <c r="CU1608" s="6"/>
      <c r="CV1608" s="6"/>
      <c r="CW1608" s="6"/>
      <c r="CX1608" s="6"/>
      <c r="CY1608" s="6"/>
      <c r="CZ1608" s="6"/>
      <c r="DA1608" s="6"/>
      <c r="DB1608" s="6"/>
      <c r="DC1608" s="6"/>
      <c r="DD1608" s="6"/>
      <c r="DE1608" s="6"/>
      <c r="DF1608" s="6"/>
      <c r="DG1608" s="6"/>
      <c r="DH1608" s="6"/>
      <c r="DI1608" s="6"/>
      <c r="DJ1608" s="6"/>
      <c r="DK1608" s="6"/>
      <c r="DL1608" s="6"/>
      <c r="DM1608" s="6"/>
      <c r="DN1608" s="6"/>
      <c r="DO1608" s="6"/>
      <c r="DP1608" s="6"/>
      <c r="DQ1608" s="6"/>
      <c r="DR1608" s="6"/>
      <c r="DS1608" s="6"/>
      <c r="DT1608" s="6"/>
      <c r="DU1608" s="6"/>
      <c r="DV1608" s="6"/>
      <c r="DW1608" s="6"/>
      <c r="DX1608" s="6"/>
      <c r="DY1608" s="6"/>
      <c r="DZ1608" s="6"/>
      <c r="EA1608" s="6"/>
      <c r="EB1608" s="6"/>
      <c r="EC1608" s="6"/>
      <c r="ED1608" s="6"/>
      <c r="EE1608" s="6"/>
      <c r="EF1608" s="6"/>
      <c r="EG1608" s="6"/>
      <c r="EH1608" s="6"/>
      <c r="EI1608" s="6"/>
      <c r="EJ1608" s="6"/>
      <c r="EK1608" s="6"/>
      <c r="EL1608" s="6"/>
      <c r="EM1608" s="6"/>
      <c r="EN1608" s="6"/>
      <c r="EO1608" s="6"/>
      <c r="EP1608" s="6"/>
      <c r="EQ1608" s="6"/>
      <c r="ER1608" s="6"/>
      <c r="ES1608" s="6"/>
      <c r="ET1608" s="6"/>
      <c r="EU1608" s="6"/>
      <c r="EV1608" s="6"/>
      <c r="EW1608" s="6"/>
      <c r="EX1608" s="6"/>
      <c r="EY1608" s="6"/>
      <c r="EZ1608" s="6"/>
      <c r="FA1608" s="6"/>
      <c r="FB1608" s="6"/>
      <c r="FC1608" s="6"/>
      <c r="FD1608" s="6"/>
      <c r="FE1608" s="6"/>
      <c r="FF1608" s="6"/>
      <c r="FG1608" s="6"/>
      <c r="FH1608" s="6"/>
      <c r="FI1608" s="6"/>
      <c r="FJ1608" s="6"/>
      <c r="FK1608" s="6"/>
      <c r="FL1608" s="6"/>
      <c r="FM1608" s="6"/>
      <c r="FN1608" s="6"/>
      <c r="FO1608" s="6"/>
      <c r="FP1608" s="6"/>
      <c r="FQ1608" s="6"/>
      <c r="FR1608" s="6"/>
      <c r="FS1608" s="6"/>
      <c r="FT1608" s="6"/>
      <c r="FU1608" s="6"/>
      <c r="FV1608" s="6"/>
      <c r="FW1608" s="6"/>
      <c r="FX1608" s="6"/>
      <c r="FY1608" s="6"/>
      <c r="FZ1608" s="6"/>
      <c r="GA1608" s="6"/>
      <c r="GB1608" s="6"/>
      <c r="GC1608" s="6"/>
      <c r="GD1608" s="6"/>
      <c r="GE1608" s="6"/>
      <c r="GF1608" s="6"/>
      <c r="GG1608" s="6"/>
      <c r="GH1608" s="6"/>
      <c r="GI1608" s="6"/>
      <c r="GJ1608" s="6"/>
      <c r="GK1608" s="6"/>
      <c r="GL1608" s="6"/>
      <c r="GM1608" s="6"/>
      <c r="GN1608" s="6"/>
      <c r="GO1608" s="6"/>
      <c r="GP1608" s="6"/>
      <c r="GQ1608" s="6"/>
      <c r="GR1608" s="6"/>
      <c r="GS1608" s="6"/>
      <c r="GT1608" s="6"/>
      <c r="GU1608" s="6"/>
      <c r="GV1608" s="6"/>
      <c r="GW1608" s="6"/>
      <c r="GX1608" s="6"/>
      <c r="GY1608" s="6"/>
      <c r="GZ1608" s="6"/>
      <c r="HA1608" s="6"/>
      <c r="HB1608" s="6"/>
      <c r="HC1608" s="6"/>
      <c r="HD1608" s="6"/>
      <c r="HE1608" s="6"/>
      <c r="HF1608" s="6"/>
      <c r="HG1608" s="6"/>
      <c r="HH1608" s="6"/>
    </row>
    <row r="1609" spans="1:216" x14ac:dyDescent="0.3">
      <c r="A1609" s="8"/>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6"/>
      <c r="AR1609" s="6"/>
      <c r="AS1609" s="6"/>
      <c r="AT1609" s="6"/>
      <c r="AU1609" s="6"/>
      <c r="AV1609" s="6"/>
      <c r="AW1609" s="6"/>
      <c r="AX1609" s="6"/>
      <c r="AY1609" s="6"/>
      <c r="AZ1609" s="6"/>
      <c r="BA1609" s="6"/>
      <c r="BB1609" s="6"/>
      <c r="BC1609" s="6"/>
      <c r="BD1609" s="6"/>
      <c r="BE1609" s="6"/>
      <c r="BF1609" s="6"/>
      <c r="BG1609" s="6"/>
      <c r="BH1609" s="6"/>
      <c r="BI1609" s="6"/>
      <c r="BJ1609" s="6"/>
      <c r="BK1609" s="6"/>
      <c r="BL1609" s="6"/>
      <c r="BM1609" s="6"/>
      <c r="BN1609" s="6"/>
      <c r="BO1609" s="6"/>
      <c r="BP1609" s="6"/>
      <c r="BQ1609" s="6"/>
      <c r="BR1609" s="6"/>
      <c r="BS1609" s="6"/>
      <c r="BT1609" s="6"/>
      <c r="BU1609" s="6"/>
      <c r="BV1609" s="6"/>
      <c r="BW1609" s="6"/>
      <c r="BX1609" s="6"/>
      <c r="BY1609" s="6"/>
      <c r="BZ1609" s="6"/>
      <c r="CA1609" s="6"/>
      <c r="CB1609" s="6"/>
      <c r="CC1609" s="6"/>
      <c r="CD1609" s="6"/>
      <c r="CE1609" s="6"/>
      <c r="CF1609" s="6"/>
      <c r="CG1609" s="6"/>
      <c r="CH1609" s="6"/>
      <c r="CI1609" s="6"/>
      <c r="CJ1609" s="6"/>
      <c r="CK1609" s="6"/>
      <c r="CL1609" s="6"/>
      <c r="CM1609" s="6"/>
      <c r="CN1609" s="6"/>
      <c r="CO1609" s="6"/>
      <c r="CP1609" s="6"/>
      <c r="CQ1609" s="6"/>
      <c r="CR1609" s="6"/>
      <c r="CS1609" s="6"/>
      <c r="CT1609" s="6"/>
      <c r="CU1609" s="6"/>
      <c r="CV1609" s="6"/>
      <c r="CW1609" s="6"/>
      <c r="CX1609" s="6"/>
      <c r="CY1609" s="6"/>
      <c r="CZ1609" s="6"/>
      <c r="DA1609" s="6"/>
      <c r="DB1609" s="6"/>
      <c r="DC1609" s="6"/>
      <c r="DD1609" s="6"/>
      <c r="DE1609" s="6"/>
      <c r="DF1609" s="6"/>
      <c r="DG1609" s="6"/>
      <c r="DH1609" s="6"/>
      <c r="DI1609" s="6"/>
      <c r="DJ1609" s="6"/>
      <c r="DK1609" s="6"/>
      <c r="DL1609" s="6"/>
      <c r="DM1609" s="6"/>
      <c r="DN1609" s="6"/>
      <c r="DO1609" s="6"/>
      <c r="DP1609" s="6"/>
      <c r="DQ1609" s="6"/>
      <c r="DR1609" s="6"/>
      <c r="DS1609" s="6"/>
      <c r="DT1609" s="6"/>
      <c r="DU1609" s="6"/>
      <c r="DV1609" s="6"/>
      <c r="DW1609" s="6"/>
      <c r="DX1609" s="6"/>
      <c r="DY1609" s="6"/>
      <c r="DZ1609" s="6"/>
      <c r="EA1609" s="6"/>
      <c r="EB1609" s="6"/>
      <c r="EC1609" s="6"/>
      <c r="ED1609" s="6"/>
      <c r="EE1609" s="6"/>
      <c r="EF1609" s="6"/>
      <c r="EG1609" s="6"/>
      <c r="EH1609" s="6"/>
      <c r="EI1609" s="6"/>
      <c r="EJ1609" s="6"/>
      <c r="EK1609" s="6"/>
      <c r="EL1609" s="6"/>
      <c r="EM1609" s="6"/>
      <c r="EN1609" s="6"/>
      <c r="EO1609" s="6"/>
      <c r="EP1609" s="6"/>
      <c r="EQ1609" s="6"/>
      <c r="ER1609" s="6"/>
      <c r="ES1609" s="6"/>
      <c r="ET1609" s="6"/>
      <c r="EU1609" s="6"/>
      <c r="EV1609" s="6"/>
      <c r="EW1609" s="6"/>
      <c r="EX1609" s="6"/>
      <c r="EY1609" s="6"/>
      <c r="EZ1609" s="6"/>
      <c r="FA1609" s="6"/>
      <c r="FB1609" s="6"/>
      <c r="FC1609" s="6"/>
      <c r="FD1609" s="6"/>
      <c r="FE1609" s="6"/>
      <c r="FF1609" s="6"/>
      <c r="FG1609" s="6"/>
      <c r="FH1609" s="6"/>
      <c r="FI1609" s="6"/>
      <c r="FJ1609" s="6"/>
      <c r="FK1609" s="6"/>
      <c r="FL1609" s="6"/>
      <c r="FM1609" s="6"/>
      <c r="FN1609" s="6"/>
      <c r="FO1609" s="6"/>
      <c r="FP1609" s="6"/>
      <c r="FQ1609" s="6"/>
      <c r="FR1609" s="6"/>
      <c r="FS1609" s="6"/>
      <c r="FT1609" s="6"/>
      <c r="FU1609" s="6"/>
      <c r="FV1609" s="6"/>
      <c r="FW1609" s="6"/>
      <c r="FX1609" s="6"/>
      <c r="FY1609" s="6"/>
      <c r="FZ1609" s="6"/>
      <c r="GA1609" s="6"/>
      <c r="GB1609" s="6"/>
      <c r="GC1609" s="6"/>
      <c r="GD1609" s="6"/>
      <c r="GE1609" s="6"/>
      <c r="GF1609" s="6"/>
      <c r="GG1609" s="6"/>
      <c r="GH1609" s="6"/>
      <c r="GI1609" s="6"/>
      <c r="GJ1609" s="6"/>
      <c r="GK1609" s="6"/>
      <c r="GL1609" s="6"/>
      <c r="GM1609" s="6"/>
      <c r="GN1609" s="6"/>
      <c r="GO1609" s="6"/>
      <c r="GP1609" s="6"/>
      <c r="GQ1609" s="6"/>
      <c r="GR1609" s="6"/>
      <c r="GS1609" s="6"/>
      <c r="GT1609" s="6"/>
      <c r="GU1609" s="6"/>
      <c r="GV1609" s="6"/>
      <c r="GW1609" s="6"/>
      <c r="GX1609" s="6"/>
      <c r="GY1609" s="6"/>
      <c r="GZ1609" s="6"/>
      <c r="HA1609" s="6"/>
      <c r="HB1609" s="6"/>
      <c r="HC1609" s="6"/>
      <c r="HD1609" s="6"/>
      <c r="HE1609" s="6"/>
      <c r="HF1609" s="6"/>
      <c r="HG1609" s="6"/>
      <c r="HH1609" s="6"/>
    </row>
    <row r="1610" spans="1:216" x14ac:dyDescent="0.3">
      <c r="A1610" s="8"/>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row>
    <row r="1611" spans="1:216" x14ac:dyDescent="0.3">
      <c r="A1611" s="8"/>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row>
    <row r="1612" spans="1:216" x14ac:dyDescent="0.3">
      <c r="A1612" s="8"/>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row>
    <row r="1613" spans="1:216" x14ac:dyDescent="0.3">
      <c r="A1613" s="8"/>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row>
    <row r="1614" spans="1:216" x14ac:dyDescent="0.3">
      <c r="A1614" s="8"/>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row>
    <row r="1615" spans="1:216" x14ac:dyDescent="0.3">
      <c r="A1615" s="8"/>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row>
    <row r="1616" spans="1:216" x14ac:dyDescent="0.3">
      <c r="A1616" s="8"/>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row>
    <row r="1617" spans="1:216" x14ac:dyDescent="0.3">
      <c r="A1617" s="8"/>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row>
    <row r="1618" spans="1:216" x14ac:dyDescent="0.3">
      <c r="A1618" s="8"/>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row>
    <row r="1619" spans="1:216" x14ac:dyDescent="0.3">
      <c r="A1619" s="8"/>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row>
    <row r="1620" spans="1:216" x14ac:dyDescent="0.3">
      <c r="A1620" s="8"/>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row>
    <row r="1621" spans="1:216" x14ac:dyDescent="0.3">
      <c r="A1621" s="8"/>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row>
    <row r="1622" spans="1:216" x14ac:dyDescent="0.3">
      <c r="A1622" s="8"/>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row>
    <row r="1623" spans="1:216" x14ac:dyDescent="0.3">
      <c r="A1623" s="8"/>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row>
    <row r="1624" spans="1:216" x14ac:dyDescent="0.3">
      <c r="A1624" s="8"/>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row>
    <row r="1625" spans="1:216" x14ac:dyDescent="0.3">
      <c r="A1625" s="8"/>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row>
    <row r="1626" spans="1:216" x14ac:dyDescent="0.3">
      <c r="A1626" s="8"/>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6"/>
      <c r="AR1626" s="6"/>
      <c r="AS1626" s="6"/>
      <c r="AT1626" s="6"/>
      <c r="AU1626" s="6"/>
      <c r="AV1626" s="6"/>
      <c r="AW1626" s="6"/>
      <c r="AX1626" s="6"/>
      <c r="AY1626" s="6"/>
      <c r="AZ1626" s="6"/>
      <c r="BA1626" s="6"/>
      <c r="BB1626" s="6"/>
      <c r="BC1626" s="6"/>
      <c r="BD1626" s="6"/>
      <c r="BE1626" s="6"/>
      <c r="BF1626" s="6"/>
      <c r="BG1626" s="6"/>
      <c r="BH1626" s="6"/>
      <c r="BI1626" s="6"/>
      <c r="BJ1626" s="6"/>
      <c r="BK1626" s="6"/>
      <c r="BL1626" s="6"/>
      <c r="BM1626" s="6"/>
      <c r="BN1626" s="6"/>
      <c r="BO1626" s="6"/>
      <c r="BP1626" s="6"/>
      <c r="BQ1626" s="6"/>
      <c r="BR1626" s="6"/>
      <c r="BS1626" s="6"/>
      <c r="BT1626" s="6"/>
      <c r="BU1626" s="6"/>
      <c r="BV1626" s="6"/>
      <c r="BW1626" s="6"/>
      <c r="BX1626" s="6"/>
      <c r="BY1626" s="6"/>
      <c r="BZ1626" s="6"/>
      <c r="CA1626" s="6"/>
      <c r="CB1626" s="6"/>
      <c r="CC1626" s="6"/>
      <c r="CD1626" s="6"/>
      <c r="CE1626" s="6"/>
      <c r="CF1626" s="6"/>
      <c r="CG1626" s="6"/>
      <c r="CH1626" s="6"/>
      <c r="CI1626" s="6"/>
      <c r="CJ1626" s="6"/>
      <c r="CK1626" s="6"/>
      <c r="CL1626" s="6"/>
      <c r="CM1626" s="6"/>
      <c r="CN1626" s="6"/>
      <c r="CO1626" s="6"/>
      <c r="CP1626" s="6"/>
      <c r="CQ1626" s="6"/>
      <c r="CR1626" s="6"/>
      <c r="CS1626" s="6"/>
      <c r="CT1626" s="6"/>
      <c r="CU1626" s="6"/>
      <c r="CV1626" s="6"/>
      <c r="CW1626" s="6"/>
      <c r="CX1626" s="6"/>
      <c r="CY1626" s="6"/>
      <c r="CZ1626" s="6"/>
      <c r="DA1626" s="6"/>
      <c r="DB1626" s="6"/>
      <c r="DC1626" s="6"/>
      <c r="DD1626" s="6"/>
      <c r="DE1626" s="6"/>
      <c r="DF1626" s="6"/>
      <c r="DG1626" s="6"/>
      <c r="DH1626" s="6"/>
      <c r="DI1626" s="6"/>
      <c r="DJ1626" s="6"/>
      <c r="DK1626" s="6"/>
      <c r="DL1626" s="6"/>
      <c r="DM1626" s="6"/>
      <c r="DN1626" s="6"/>
      <c r="DO1626" s="6"/>
      <c r="DP1626" s="6"/>
      <c r="DQ1626" s="6"/>
      <c r="DR1626" s="6"/>
      <c r="DS1626" s="6"/>
      <c r="DT1626" s="6"/>
      <c r="DU1626" s="6"/>
      <c r="DV1626" s="6"/>
      <c r="DW1626" s="6"/>
      <c r="DX1626" s="6"/>
      <c r="DY1626" s="6"/>
      <c r="DZ1626" s="6"/>
      <c r="EA1626" s="6"/>
      <c r="EB1626" s="6"/>
      <c r="EC1626" s="6"/>
      <c r="ED1626" s="6"/>
      <c r="EE1626" s="6"/>
      <c r="EF1626" s="6"/>
      <c r="EG1626" s="6"/>
      <c r="EH1626" s="6"/>
      <c r="EI1626" s="6"/>
      <c r="EJ1626" s="6"/>
      <c r="EK1626" s="6"/>
      <c r="EL1626" s="6"/>
      <c r="EM1626" s="6"/>
      <c r="EN1626" s="6"/>
      <c r="EO1626" s="6"/>
      <c r="EP1626" s="6"/>
      <c r="EQ1626" s="6"/>
      <c r="ER1626" s="6"/>
      <c r="ES1626" s="6"/>
      <c r="ET1626" s="6"/>
      <c r="EU1626" s="6"/>
      <c r="EV1626" s="6"/>
      <c r="EW1626" s="6"/>
      <c r="EX1626" s="6"/>
      <c r="EY1626" s="6"/>
      <c r="EZ1626" s="6"/>
      <c r="FA1626" s="6"/>
      <c r="FB1626" s="6"/>
      <c r="FC1626" s="6"/>
      <c r="FD1626" s="6"/>
      <c r="FE1626" s="6"/>
      <c r="FF1626" s="6"/>
      <c r="FG1626" s="6"/>
      <c r="FH1626" s="6"/>
      <c r="FI1626" s="6"/>
      <c r="FJ1626" s="6"/>
      <c r="FK1626" s="6"/>
      <c r="FL1626" s="6"/>
      <c r="FM1626" s="6"/>
      <c r="FN1626" s="6"/>
      <c r="FO1626" s="6"/>
      <c r="FP1626" s="6"/>
      <c r="FQ1626" s="6"/>
      <c r="FR1626" s="6"/>
      <c r="FS1626" s="6"/>
      <c r="FT1626" s="6"/>
      <c r="FU1626" s="6"/>
      <c r="FV1626" s="6"/>
      <c r="FW1626" s="6"/>
      <c r="FX1626" s="6"/>
      <c r="FY1626" s="6"/>
      <c r="FZ1626" s="6"/>
      <c r="GA1626" s="6"/>
      <c r="GB1626" s="6"/>
      <c r="GC1626" s="6"/>
      <c r="GD1626" s="6"/>
      <c r="GE1626" s="6"/>
      <c r="GF1626" s="6"/>
      <c r="GG1626" s="6"/>
      <c r="GH1626" s="6"/>
      <c r="GI1626" s="6"/>
      <c r="GJ1626" s="6"/>
      <c r="GK1626" s="6"/>
      <c r="GL1626" s="6"/>
      <c r="GM1626" s="6"/>
      <c r="GN1626" s="6"/>
      <c r="GO1626" s="6"/>
      <c r="GP1626" s="6"/>
      <c r="GQ1626" s="6"/>
      <c r="GR1626" s="6"/>
      <c r="GS1626" s="6"/>
      <c r="GT1626" s="6"/>
      <c r="GU1626" s="6"/>
      <c r="GV1626" s="6"/>
      <c r="GW1626" s="6"/>
      <c r="GX1626" s="6"/>
      <c r="GY1626" s="6"/>
      <c r="GZ1626" s="6"/>
      <c r="HA1626" s="6"/>
      <c r="HB1626" s="6"/>
      <c r="HC1626" s="6"/>
      <c r="HD1626" s="6"/>
      <c r="HE1626" s="6"/>
      <c r="HF1626" s="6"/>
      <c r="HG1626" s="6"/>
      <c r="HH1626" s="6"/>
    </row>
    <row r="1627" spans="1:216" x14ac:dyDescent="0.3">
      <c r="A1627" s="8"/>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6"/>
      <c r="AR1627" s="6"/>
      <c r="AS1627" s="6"/>
      <c r="AT1627" s="6"/>
      <c r="AU1627" s="6"/>
      <c r="AV1627" s="6"/>
      <c r="AW1627" s="6"/>
      <c r="AX1627" s="6"/>
      <c r="AY1627" s="6"/>
      <c r="AZ1627" s="6"/>
      <c r="BA1627" s="6"/>
      <c r="BB1627" s="6"/>
      <c r="BC1627" s="6"/>
      <c r="BD1627" s="6"/>
      <c r="BE1627" s="6"/>
      <c r="BF1627" s="6"/>
      <c r="BG1627" s="6"/>
      <c r="BH1627" s="6"/>
      <c r="BI1627" s="6"/>
      <c r="BJ1627" s="6"/>
      <c r="BK1627" s="6"/>
      <c r="BL1627" s="6"/>
      <c r="BM1627" s="6"/>
      <c r="BN1627" s="6"/>
      <c r="BO1627" s="6"/>
      <c r="BP1627" s="6"/>
      <c r="BQ1627" s="6"/>
      <c r="BR1627" s="6"/>
      <c r="BS1627" s="6"/>
      <c r="BT1627" s="6"/>
      <c r="BU1627" s="6"/>
      <c r="BV1627" s="6"/>
      <c r="BW1627" s="6"/>
      <c r="BX1627" s="6"/>
      <c r="BY1627" s="6"/>
      <c r="BZ1627" s="6"/>
      <c r="CA1627" s="6"/>
      <c r="CB1627" s="6"/>
      <c r="CC1627" s="6"/>
      <c r="CD1627" s="6"/>
      <c r="CE1627" s="6"/>
      <c r="CF1627" s="6"/>
      <c r="CG1627" s="6"/>
      <c r="CH1627" s="6"/>
      <c r="CI1627" s="6"/>
      <c r="CJ1627" s="6"/>
      <c r="CK1627" s="6"/>
      <c r="CL1627" s="6"/>
      <c r="CM1627" s="6"/>
      <c r="CN1627" s="6"/>
      <c r="CO1627" s="6"/>
      <c r="CP1627" s="6"/>
      <c r="CQ1627" s="6"/>
      <c r="CR1627" s="6"/>
      <c r="CS1627" s="6"/>
      <c r="CT1627" s="6"/>
      <c r="CU1627" s="6"/>
      <c r="CV1627" s="6"/>
      <c r="CW1627" s="6"/>
      <c r="CX1627" s="6"/>
      <c r="CY1627" s="6"/>
      <c r="CZ1627" s="6"/>
      <c r="DA1627" s="6"/>
      <c r="DB1627" s="6"/>
      <c r="DC1627" s="6"/>
      <c r="DD1627" s="6"/>
      <c r="DE1627" s="6"/>
      <c r="DF1627" s="6"/>
      <c r="DG1627" s="6"/>
      <c r="DH1627" s="6"/>
      <c r="DI1627" s="6"/>
      <c r="DJ1627" s="6"/>
      <c r="DK1627" s="6"/>
      <c r="DL1627" s="6"/>
      <c r="DM1627" s="6"/>
      <c r="DN1627" s="6"/>
      <c r="DO1627" s="6"/>
      <c r="DP1627" s="6"/>
      <c r="DQ1627" s="6"/>
      <c r="DR1627" s="6"/>
      <c r="DS1627" s="6"/>
      <c r="DT1627" s="6"/>
      <c r="DU1627" s="6"/>
      <c r="DV1627" s="6"/>
      <c r="DW1627" s="6"/>
      <c r="DX1627" s="6"/>
      <c r="DY1627" s="6"/>
      <c r="DZ1627" s="6"/>
      <c r="EA1627" s="6"/>
      <c r="EB1627" s="6"/>
      <c r="EC1627" s="6"/>
      <c r="ED1627" s="6"/>
      <c r="EE1627" s="6"/>
      <c r="EF1627" s="6"/>
      <c r="EG1627" s="6"/>
      <c r="EH1627" s="6"/>
      <c r="EI1627" s="6"/>
      <c r="EJ1627" s="6"/>
      <c r="EK1627" s="6"/>
      <c r="EL1627" s="6"/>
      <c r="EM1627" s="6"/>
      <c r="EN1627" s="6"/>
      <c r="EO1627" s="6"/>
      <c r="EP1627" s="6"/>
      <c r="EQ1627" s="6"/>
      <c r="ER1627" s="6"/>
      <c r="ES1627" s="6"/>
      <c r="ET1627" s="6"/>
      <c r="EU1627" s="6"/>
      <c r="EV1627" s="6"/>
      <c r="EW1627" s="6"/>
      <c r="EX1627" s="6"/>
      <c r="EY1627" s="6"/>
      <c r="EZ1627" s="6"/>
      <c r="FA1627" s="6"/>
      <c r="FB1627" s="6"/>
      <c r="FC1627" s="6"/>
      <c r="FD1627" s="6"/>
      <c r="FE1627" s="6"/>
      <c r="FF1627" s="6"/>
      <c r="FG1627" s="6"/>
      <c r="FH1627" s="6"/>
      <c r="FI1627" s="6"/>
      <c r="FJ1627" s="6"/>
      <c r="FK1627" s="6"/>
      <c r="FL1627" s="6"/>
      <c r="FM1627" s="6"/>
      <c r="FN1627" s="6"/>
      <c r="FO1627" s="6"/>
      <c r="FP1627" s="6"/>
      <c r="FQ1627" s="6"/>
      <c r="FR1627" s="6"/>
      <c r="FS1627" s="6"/>
      <c r="FT1627" s="6"/>
      <c r="FU1627" s="6"/>
      <c r="FV1627" s="6"/>
      <c r="FW1627" s="6"/>
      <c r="FX1627" s="6"/>
      <c r="FY1627" s="6"/>
      <c r="FZ1627" s="6"/>
      <c r="GA1627" s="6"/>
      <c r="GB1627" s="6"/>
      <c r="GC1627" s="6"/>
      <c r="GD1627" s="6"/>
      <c r="GE1627" s="6"/>
      <c r="GF1627" s="6"/>
      <c r="GG1627" s="6"/>
      <c r="GH1627" s="6"/>
      <c r="GI1627" s="6"/>
      <c r="GJ1627" s="6"/>
      <c r="GK1627" s="6"/>
      <c r="GL1627" s="6"/>
      <c r="GM1627" s="6"/>
      <c r="GN1627" s="6"/>
      <c r="GO1627" s="6"/>
      <c r="GP1627" s="6"/>
      <c r="GQ1627" s="6"/>
      <c r="GR1627" s="6"/>
      <c r="GS1627" s="6"/>
      <c r="GT1627" s="6"/>
      <c r="GU1627" s="6"/>
      <c r="GV1627" s="6"/>
      <c r="GW1627" s="6"/>
      <c r="GX1627" s="6"/>
      <c r="GY1627" s="6"/>
      <c r="GZ1627" s="6"/>
      <c r="HA1627" s="6"/>
      <c r="HB1627" s="6"/>
      <c r="HC1627" s="6"/>
      <c r="HD1627" s="6"/>
      <c r="HE1627" s="6"/>
      <c r="HF1627" s="6"/>
      <c r="HG1627" s="6"/>
      <c r="HH1627" s="6"/>
    </row>
    <row r="1628" spans="1:216" x14ac:dyDescent="0.3">
      <c r="A1628" s="8"/>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6"/>
      <c r="AR1628" s="6"/>
      <c r="AS1628" s="6"/>
      <c r="AT1628" s="6"/>
      <c r="AU1628" s="6"/>
      <c r="AV1628" s="6"/>
      <c r="AW1628" s="6"/>
      <c r="AX1628" s="6"/>
      <c r="AY1628" s="6"/>
      <c r="AZ1628" s="6"/>
      <c r="BA1628" s="6"/>
      <c r="BB1628" s="6"/>
      <c r="BC1628" s="6"/>
      <c r="BD1628" s="6"/>
      <c r="BE1628" s="6"/>
      <c r="BF1628" s="6"/>
      <c r="BG1628" s="6"/>
      <c r="BH1628" s="6"/>
      <c r="BI1628" s="6"/>
      <c r="BJ1628" s="6"/>
      <c r="BK1628" s="6"/>
      <c r="BL1628" s="6"/>
      <c r="BM1628" s="6"/>
      <c r="BN1628" s="6"/>
      <c r="BO1628" s="6"/>
      <c r="BP1628" s="6"/>
      <c r="BQ1628" s="6"/>
      <c r="BR1628" s="6"/>
      <c r="BS1628" s="6"/>
      <c r="BT1628" s="6"/>
      <c r="BU1628" s="6"/>
      <c r="BV1628" s="6"/>
      <c r="BW1628" s="6"/>
      <c r="BX1628" s="6"/>
      <c r="BY1628" s="6"/>
      <c r="BZ1628" s="6"/>
      <c r="CA1628" s="6"/>
      <c r="CB1628" s="6"/>
      <c r="CC1628" s="6"/>
      <c r="CD1628" s="6"/>
      <c r="CE1628" s="6"/>
      <c r="CF1628" s="6"/>
      <c r="CG1628" s="6"/>
      <c r="CH1628" s="6"/>
      <c r="CI1628" s="6"/>
      <c r="CJ1628" s="6"/>
      <c r="CK1628" s="6"/>
      <c r="CL1628" s="6"/>
      <c r="CM1628" s="6"/>
      <c r="CN1628" s="6"/>
      <c r="CO1628" s="6"/>
      <c r="CP1628" s="6"/>
      <c r="CQ1628" s="6"/>
      <c r="CR1628" s="6"/>
      <c r="CS1628" s="6"/>
      <c r="CT1628" s="6"/>
      <c r="CU1628" s="6"/>
      <c r="CV1628" s="6"/>
      <c r="CW1628" s="6"/>
      <c r="CX1628" s="6"/>
      <c r="CY1628" s="6"/>
      <c r="CZ1628" s="6"/>
      <c r="DA1628" s="6"/>
      <c r="DB1628" s="6"/>
      <c r="DC1628" s="6"/>
      <c r="DD1628" s="6"/>
      <c r="DE1628" s="6"/>
      <c r="DF1628" s="6"/>
      <c r="DG1628" s="6"/>
      <c r="DH1628" s="6"/>
      <c r="DI1628" s="6"/>
      <c r="DJ1628" s="6"/>
      <c r="DK1628" s="6"/>
      <c r="DL1628" s="6"/>
      <c r="DM1628" s="6"/>
      <c r="DN1628" s="6"/>
      <c r="DO1628" s="6"/>
      <c r="DP1628" s="6"/>
      <c r="DQ1628" s="6"/>
      <c r="DR1628" s="6"/>
      <c r="DS1628" s="6"/>
      <c r="DT1628" s="6"/>
      <c r="DU1628" s="6"/>
      <c r="DV1628" s="6"/>
      <c r="DW1628" s="6"/>
      <c r="DX1628" s="6"/>
      <c r="DY1628" s="6"/>
      <c r="DZ1628" s="6"/>
      <c r="EA1628" s="6"/>
      <c r="EB1628" s="6"/>
      <c r="EC1628" s="6"/>
      <c r="ED1628" s="6"/>
      <c r="EE1628" s="6"/>
      <c r="EF1628" s="6"/>
      <c r="EG1628" s="6"/>
      <c r="EH1628" s="6"/>
      <c r="EI1628" s="6"/>
      <c r="EJ1628" s="6"/>
      <c r="EK1628" s="6"/>
      <c r="EL1628" s="6"/>
      <c r="EM1628" s="6"/>
      <c r="EN1628" s="6"/>
      <c r="EO1628" s="6"/>
      <c r="EP1628" s="6"/>
      <c r="EQ1628" s="6"/>
      <c r="ER1628" s="6"/>
      <c r="ES1628" s="6"/>
      <c r="ET1628" s="6"/>
      <c r="EU1628" s="6"/>
      <c r="EV1628" s="6"/>
      <c r="EW1628" s="6"/>
      <c r="EX1628" s="6"/>
      <c r="EY1628" s="6"/>
      <c r="EZ1628" s="6"/>
      <c r="FA1628" s="6"/>
      <c r="FB1628" s="6"/>
      <c r="FC1628" s="6"/>
      <c r="FD1628" s="6"/>
      <c r="FE1628" s="6"/>
      <c r="FF1628" s="6"/>
      <c r="FG1628" s="6"/>
      <c r="FH1628" s="6"/>
      <c r="FI1628" s="6"/>
      <c r="FJ1628" s="6"/>
      <c r="FK1628" s="6"/>
      <c r="FL1628" s="6"/>
      <c r="FM1628" s="6"/>
      <c r="FN1628" s="6"/>
      <c r="FO1628" s="6"/>
      <c r="FP1628" s="6"/>
      <c r="FQ1628" s="6"/>
      <c r="FR1628" s="6"/>
      <c r="FS1628" s="6"/>
      <c r="FT1628" s="6"/>
      <c r="FU1628" s="6"/>
      <c r="FV1628" s="6"/>
      <c r="FW1628" s="6"/>
      <c r="FX1628" s="6"/>
      <c r="FY1628" s="6"/>
      <c r="FZ1628" s="6"/>
      <c r="GA1628" s="6"/>
      <c r="GB1628" s="6"/>
      <c r="GC1628" s="6"/>
      <c r="GD1628" s="6"/>
      <c r="GE1628" s="6"/>
      <c r="GF1628" s="6"/>
      <c r="GG1628" s="6"/>
      <c r="GH1628" s="6"/>
      <c r="GI1628" s="6"/>
      <c r="GJ1628" s="6"/>
      <c r="GK1628" s="6"/>
      <c r="GL1628" s="6"/>
      <c r="GM1628" s="6"/>
      <c r="GN1628" s="6"/>
      <c r="GO1628" s="6"/>
      <c r="GP1628" s="6"/>
      <c r="GQ1628" s="6"/>
      <c r="GR1628" s="6"/>
      <c r="GS1628" s="6"/>
      <c r="GT1628" s="6"/>
      <c r="GU1628" s="6"/>
      <c r="GV1628" s="6"/>
      <c r="GW1628" s="6"/>
      <c r="GX1628" s="6"/>
      <c r="GY1628" s="6"/>
      <c r="GZ1628" s="6"/>
      <c r="HA1628" s="6"/>
      <c r="HB1628" s="6"/>
      <c r="HC1628" s="6"/>
      <c r="HD1628" s="6"/>
      <c r="HE1628" s="6"/>
      <c r="HF1628" s="6"/>
      <c r="HG1628" s="6"/>
      <c r="HH1628" s="6"/>
    </row>
    <row r="1629" spans="1:216" x14ac:dyDescent="0.3">
      <c r="A1629" s="8"/>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6"/>
      <c r="AR1629" s="6"/>
      <c r="AS1629" s="6"/>
      <c r="AT1629" s="6"/>
      <c r="AU1629" s="6"/>
      <c r="AV1629" s="6"/>
      <c r="AW1629" s="6"/>
      <c r="AX1629" s="6"/>
      <c r="AY1629" s="6"/>
      <c r="AZ1629" s="6"/>
      <c r="BA1629" s="6"/>
      <c r="BB1629" s="6"/>
      <c r="BC1629" s="6"/>
      <c r="BD1629" s="6"/>
      <c r="BE1629" s="6"/>
      <c r="BF1629" s="6"/>
      <c r="BG1629" s="6"/>
      <c r="BH1629" s="6"/>
      <c r="BI1629" s="6"/>
      <c r="BJ1629" s="6"/>
      <c r="BK1629" s="6"/>
      <c r="BL1629" s="6"/>
      <c r="BM1629" s="6"/>
      <c r="BN1629" s="6"/>
      <c r="BO1629" s="6"/>
      <c r="BP1629" s="6"/>
      <c r="BQ1629" s="6"/>
      <c r="BR1629" s="6"/>
      <c r="BS1629" s="6"/>
      <c r="BT1629" s="6"/>
      <c r="BU1629" s="6"/>
      <c r="BV1629" s="6"/>
      <c r="BW1629" s="6"/>
      <c r="BX1629" s="6"/>
      <c r="BY1629" s="6"/>
      <c r="BZ1629" s="6"/>
      <c r="CA1629" s="6"/>
      <c r="CB1629" s="6"/>
      <c r="CC1629" s="6"/>
      <c r="CD1629" s="6"/>
      <c r="CE1629" s="6"/>
      <c r="CF1629" s="6"/>
      <c r="CG1629" s="6"/>
      <c r="CH1629" s="6"/>
      <c r="CI1629" s="6"/>
      <c r="CJ1629" s="6"/>
      <c r="CK1629" s="6"/>
      <c r="CL1629" s="6"/>
      <c r="CM1629" s="6"/>
      <c r="CN1629" s="6"/>
      <c r="CO1629" s="6"/>
      <c r="CP1629" s="6"/>
      <c r="CQ1629" s="6"/>
      <c r="CR1629" s="6"/>
      <c r="CS1629" s="6"/>
      <c r="CT1629" s="6"/>
      <c r="CU1629" s="6"/>
      <c r="CV1629" s="6"/>
      <c r="CW1629" s="6"/>
      <c r="CX1629" s="6"/>
      <c r="CY1629" s="6"/>
      <c r="CZ1629" s="6"/>
      <c r="DA1629" s="6"/>
      <c r="DB1629" s="6"/>
      <c r="DC1629" s="6"/>
      <c r="DD1629" s="6"/>
      <c r="DE1629" s="6"/>
      <c r="DF1629" s="6"/>
      <c r="DG1629" s="6"/>
      <c r="DH1629" s="6"/>
      <c r="DI1629" s="6"/>
      <c r="DJ1629" s="6"/>
      <c r="DK1629" s="6"/>
      <c r="DL1629" s="6"/>
      <c r="DM1629" s="6"/>
      <c r="DN1629" s="6"/>
      <c r="DO1629" s="6"/>
      <c r="DP1629" s="6"/>
      <c r="DQ1629" s="6"/>
      <c r="DR1629" s="6"/>
      <c r="DS1629" s="6"/>
      <c r="DT1629" s="6"/>
      <c r="DU1629" s="6"/>
      <c r="DV1629" s="6"/>
      <c r="DW1629" s="6"/>
      <c r="DX1629" s="6"/>
      <c r="DY1629" s="6"/>
      <c r="DZ1629" s="6"/>
      <c r="EA1629" s="6"/>
      <c r="EB1629" s="6"/>
      <c r="EC1629" s="6"/>
      <c r="ED1629" s="6"/>
      <c r="EE1629" s="6"/>
      <c r="EF1629" s="6"/>
      <c r="EG1629" s="6"/>
      <c r="EH1629" s="6"/>
      <c r="EI1629" s="6"/>
      <c r="EJ1629" s="6"/>
      <c r="EK1629" s="6"/>
      <c r="EL1629" s="6"/>
      <c r="EM1629" s="6"/>
      <c r="EN1629" s="6"/>
      <c r="EO1629" s="6"/>
      <c r="EP1629" s="6"/>
      <c r="EQ1629" s="6"/>
      <c r="ER1629" s="6"/>
      <c r="ES1629" s="6"/>
      <c r="ET1629" s="6"/>
      <c r="EU1629" s="6"/>
      <c r="EV1629" s="6"/>
      <c r="EW1629" s="6"/>
      <c r="EX1629" s="6"/>
      <c r="EY1629" s="6"/>
      <c r="EZ1629" s="6"/>
      <c r="FA1629" s="6"/>
      <c r="FB1629" s="6"/>
      <c r="FC1629" s="6"/>
      <c r="FD1629" s="6"/>
      <c r="FE1629" s="6"/>
      <c r="FF1629" s="6"/>
      <c r="FG1629" s="6"/>
      <c r="FH1629" s="6"/>
      <c r="FI1629" s="6"/>
      <c r="FJ1629" s="6"/>
      <c r="FK1629" s="6"/>
      <c r="FL1629" s="6"/>
      <c r="FM1629" s="6"/>
      <c r="FN1629" s="6"/>
      <c r="FO1629" s="6"/>
      <c r="FP1629" s="6"/>
      <c r="FQ1629" s="6"/>
      <c r="FR1629" s="6"/>
      <c r="FS1629" s="6"/>
      <c r="FT1629" s="6"/>
      <c r="FU1629" s="6"/>
      <c r="FV1629" s="6"/>
      <c r="FW1629" s="6"/>
      <c r="FX1629" s="6"/>
      <c r="FY1629" s="6"/>
      <c r="FZ1629" s="6"/>
      <c r="GA1629" s="6"/>
      <c r="GB1629" s="6"/>
      <c r="GC1629" s="6"/>
      <c r="GD1629" s="6"/>
      <c r="GE1629" s="6"/>
      <c r="GF1629" s="6"/>
      <c r="GG1629" s="6"/>
      <c r="GH1629" s="6"/>
      <c r="GI1629" s="6"/>
      <c r="GJ1629" s="6"/>
      <c r="GK1629" s="6"/>
      <c r="GL1629" s="6"/>
      <c r="GM1629" s="6"/>
      <c r="GN1629" s="6"/>
      <c r="GO1629" s="6"/>
      <c r="GP1629" s="6"/>
      <c r="GQ1629" s="6"/>
      <c r="GR1629" s="6"/>
      <c r="GS1629" s="6"/>
      <c r="GT1629" s="6"/>
      <c r="GU1629" s="6"/>
      <c r="GV1629" s="6"/>
      <c r="GW1629" s="6"/>
      <c r="GX1629" s="6"/>
      <c r="GY1629" s="6"/>
      <c r="GZ1629" s="6"/>
      <c r="HA1629" s="6"/>
      <c r="HB1629" s="6"/>
      <c r="HC1629" s="6"/>
      <c r="HD1629" s="6"/>
      <c r="HE1629" s="6"/>
      <c r="HF1629" s="6"/>
      <c r="HG1629" s="6"/>
      <c r="HH1629" s="6"/>
    </row>
    <row r="1630" spans="1:216" x14ac:dyDescent="0.3">
      <c r="A1630" s="8"/>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6"/>
      <c r="AR1630" s="6"/>
      <c r="AS1630" s="6"/>
      <c r="AT1630" s="6"/>
      <c r="AU1630" s="6"/>
      <c r="AV1630" s="6"/>
      <c r="AW1630" s="6"/>
      <c r="AX1630" s="6"/>
      <c r="AY1630" s="6"/>
      <c r="AZ1630" s="6"/>
      <c r="BA1630" s="6"/>
      <c r="BB1630" s="6"/>
      <c r="BC1630" s="6"/>
      <c r="BD1630" s="6"/>
      <c r="BE1630" s="6"/>
      <c r="BF1630" s="6"/>
      <c r="BG1630" s="6"/>
      <c r="BH1630" s="6"/>
      <c r="BI1630" s="6"/>
      <c r="BJ1630" s="6"/>
      <c r="BK1630" s="6"/>
      <c r="BL1630" s="6"/>
      <c r="BM1630" s="6"/>
      <c r="BN1630" s="6"/>
      <c r="BO1630" s="6"/>
      <c r="BP1630" s="6"/>
      <c r="BQ1630" s="6"/>
      <c r="BR1630" s="6"/>
      <c r="BS1630" s="6"/>
      <c r="BT1630" s="6"/>
      <c r="BU1630" s="6"/>
      <c r="BV1630" s="6"/>
      <c r="BW1630" s="6"/>
      <c r="BX1630" s="6"/>
      <c r="BY1630" s="6"/>
      <c r="BZ1630" s="6"/>
      <c r="CA1630" s="6"/>
      <c r="CB1630" s="6"/>
      <c r="CC1630" s="6"/>
      <c r="CD1630" s="6"/>
      <c r="CE1630" s="6"/>
      <c r="CF1630" s="6"/>
      <c r="CG1630" s="6"/>
      <c r="CH1630" s="6"/>
      <c r="CI1630" s="6"/>
      <c r="CJ1630" s="6"/>
      <c r="CK1630" s="6"/>
      <c r="CL1630" s="6"/>
      <c r="CM1630" s="6"/>
      <c r="CN1630" s="6"/>
      <c r="CO1630" s="6"/>
      <c r="CP1630" s="6"/>
      <c r="CQ1630" s="6"/>
      <c r="CR1630" s="6"/>
      <c r="CS1630" s="6"/>
      <c r="CT1630" s="6"/>
      <c r="CU1630" s="6"/>
      <c r="CV1630" s="6"/>
      <c r="CW1630" s="6"/>
      <c r="CX1630" s="6"/>
      <c r="CY1630" s="6"/>
      <c r="CZ1630" s="6"/>
      <c r="DA1630" s="6"/>
      <c r="DB1630" s="6"/>
      <c r="DC1630" s="6"/>
      <c r="DD1630" s="6"/>
      <c r="DE1630" s="6"/>
      <c r="DF1630" s="6"/>
      <c r="DG1630" s="6"/>
      <c r="DH1630" s="6"/>
      <c r="DI1630" s="6"/>
      <c r="DJ1630" s="6"/>
      <c r="DK1630" s="6"/>
      <c r="DL1630" s="6"/>
      <c r="DM1630" s="6"/>
      <c r="DN1630" s="6"/>
      <c r="DO1630" s="6"/>
      <c r="DP1630" s="6"/>
      <c r="DQ1630" s="6"/>
      <c r="DR1630" s="6"/>
      <c r="DS1630" s="6"/>
      <c r="DT1630" s="6"/>
      <c r="DU1630" s="6"/>
      <c r="DV1630" s="6"/>
      <c r="DW1630" s="6"/>
      <c r="DX1630" s="6"/>
      <c r="DY1630" s="6"/>
      <c r="DZ1630" s="6"/>
      <c r="EA1630" s="6"/>
      <c r="EB1630" s="6"/>
      <c r="EC1630" s="6"/>
      <c r="ED1630" s="6"/>
      <c r="EE1630" s="6"/>
      <c r="EF1630" s="6"/>
      <c r="EG1630" s="6"/>
      <c r="EH1630" s="6"/>
      <c r="EI1630" s="6"/>
      <c r="EJ1630" s="6"/>
      <c r="EK1630" s="6"/>
      <c r="EL1630" s="6"/>
      <c r="EM1630" s="6"/>
      <c r="EN1630" s="6"/>
      <c r="EO1630" s="6"/>
      <c r="EP1630" s="6"/>
      <c r="EQ1630" s="6"/>
      <c r="ER1630" s="6"/>
      <c r="ES1630" s="6"/>
      <c r="ET1630" s="6"/>
      <c r="EU1630" s="6"/>
      <c r="EV1630" s="6"/>
      <c r="EW1630" s="6"/>
      <c r="EX1630" s="6"/>
      <c r="EY1630" s="6"/>
      <c r="EZ1630" s="6"/>
      <c r="FA1630" s="6"/>
      <c r="FB1630" s="6"/>
      <c r="FC1630" s="6"/>
      <c r="FD1630" s="6"/>
      <c r="FE1630" s="6"/>
      <c r="FF1630" s="6"/>
      <c r="FG1630" s="6"/>
      <c r="FH1630" s="6"/>
      <c r="FI1630" s="6"/>
      <c r="FJ1630" s="6"/>
      <c r="FK1630" s="6"/>
      <c r="FL1630" s="6"/>
      <c r="FM1630" s="6"/>
      <c r="FN1630" s="6"/>
      <c r="FO1630" s="6"/>
      <c r="FP1630" s="6"/>
      <c r="FQ1630" s="6"/>
      <c r="FR1630" s="6"/>
      <c r="FS1630" s="6"/>
      <c r="FT1630" s="6"/>
      <c r="FU1630" s="6"/>
      <c r="FV1630" s="6"/>
      <c r="FW1630" s="6"/>
      <c r="FX1630" s="6"/>
      <c r="FY1630" s="6"/>
      <c r="FZ1630" s="6"/>
      <c r="GA1630" s="6"/>
      <c r="GB1630" s="6"/>
      <c r="GC1630" s="6"/>
      <c r="GD1630" s="6"/>
      <c r="GE1630" s="6"/>
      <c r="GF1630" s="6"/>
      <c r="GG1630" s="6"/>
      <c r="GH1630" s="6"/>
      <c r="GI1630" s="6"/>
      <c r="GJ1630" s="6"/>
      <c r="GK1630" s="6"/>
      <c r="GL1630" s="6"/>
      <c r="GM1630" s="6"/>
      <c r="GN1630" s="6"/>
      <c r="GO1630" s="6"/>
      <c r="GP1630" s="6"/>
      <c r="GQ1630" s="6"/>
      <c r="GR1630" s="6"/>
      <c r="GS1630" s="6"/>
      <c r="GT1630" s="6"/>
      <c r="GU1630" s="6"/>
      <c r="GV1630" s="6"/>
      <c r="GW1630" s="6"/>
      <c r="GX1630" s="6"/>
      <c r="GY1630" s="6"/>
      <c r="GZ1630" s="6"/>
      <c r="HA1630" s="6"/>
      <c r="HB1630" s="6"/>
      <c r="HC1630" s="6"/>
      <c r="HD1630" s="6"/>
      <c r="HE1630" s="6"/>
      <c r="HF1630" s="6"/>
      <c r="HG1630" s="6"/>
      <c r="HH1630" s="6"/>
    </row>
    <row r="1631" spans="1:216" x14ac:dyDescent="0.3">
      <c r="A1631" s="8"/>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6"/>
      <c r="AR1631" s="6"/>
      <c r="AS1631" s="6"/>
      <c r="AT1631" s="6"/>
      <c r="AU1631" s="6"/>
      <c r="AV1631" s="6"/>
      <c r="AW1631" s="6"/>
      <c r="AX1631" s="6"/>
      <c r="AY1631" s="6"/>
      <c r="AZ1631" s="6"/>
      <c r="BA1631" s="6"/>
      <c r="BB1631" s="6"/>
      <c r="BC1631" s="6"/>
      <c r="BD1631" s="6"/>
      <c r="BE1631" s="6"/>
      <c r="BF1631" s="6"/>
      <c r="BG1631" s="6"/>
      <c r="BH1631" s="6"/>
      <c r="BI1631" s="6"/>
      <c r="BJ1631" s="6"/>
      <c r="BK1631" s="6"/>
      <c r="BL1631" s="6"/>
      <c r="BM1631" s="6"/>
      <c r="BN1631" s="6"/>
      <c r="BO1631" s="6"/>
      <c r="BP1631" s="6"/>
      <c r="BQ1631" s="6"/>
      <c r="BR1631" s="6"/>
      <c r="BS1631" s="6"/>
      <c r="BT1631" s="6"/>
      <c r="BU1631" s="6"/>
      <c r="BV1631" s="6"/>
      <c r="BW1631" s="6"/>
      <c r="BX1631" s="6"/>
      <c r="BY1631" s="6"/>
      <c r="BZ1631" s="6"/>
      <c r="CA1631" s="6"/>
      <c r="CB1631" s="6"/>
      <c r="CC1631" s="6"/>
      <c r="CD1631" s="6"/>
      <c r="CE1631" s="6"/>
      <c r="CF1631" s="6"/>
      <c r="CG1631" s="6"/>
      <c r="CH1631" s="6"/>
      <c r="CI1631" s="6"/>
      <c r="CJ1631" s="6"/>
      <c r="CK1631" s="6"/>
      <c r="CL1631" s="6"/>
      <c r="CM1631" s="6"/>
      <c r="CN1631" s="6"/>
      <c r="CO1631" s="6"/>
      <c r="CP1631" s="6"/>
      <c r="CQ1631" s="6"/>
      <c r="CR1631" s="6"/>
      <c r="CS1631" s="6"/>
      <c r="CT1631" s="6"/>
      <c r="CU1631" s="6"/>
      <c r="CV1631" s="6"/>
      <c r="CW1631" s="6"/>
      <c r="CX1631" s="6"/>
      <c r="CY1631" s="6"/>
      <c r="CZ1631" s="6"/>
      <c r="DA1631" s="6"/>
      <c r="DB1631" s="6"/>
      <c r="DC1631" s="6"/>
      <c r="DD1631" s="6"/>
      <c r="DE1631" s="6"/>
      <c r="DF1631" s="6"/>
      <c r="DG1631" s="6"/>
      <c r="DH1631" s="6"/>
      <c r="DI1631" s="6"/>
      <c r="DJ1631" s="6"/>
      <c r="DK1631" s="6"/>
      <c r="DL1631" s="6"/>
      <c r="DM1631" s="6"/>
      <c r="DN1631" s="6"/>
      <c r="DO1631" s="6"/>
      <c r="DP1631" s="6"/>
      <c r="DQ1631" s="6"/>
      <c r="DR1631" s="6"/>
      <c r="DS1631" s="6"/>
      <c r="DT1631" s="6"/>
      <c r="DU1631" s="6"/>
      <c r="DV1631" s="6"/>
      <c r="DW1631" s="6"/>
      <c r="DX1631" s="6"/>
      <c r="DY1631" s="6"/>
      <c r="DZ1631" s="6"/>
      <c r="EA1631" s="6"/>
      <c r="EB1631" s="6"/>
      <c r="EC1631" s="6"/>
      <c r="ED1631" s="6"/>
      <c r="EE1631" s="6"/>
      <c r="EF1631" s="6"/>
      <c r="EG1631" s="6"/>
      <c r="EH1631" s="6"/>
      <c r="EI1631" s="6"/>
      <c r="EJ1631" s="6"/>
      <c r="EK1631" s="6"/>
      <c r="EL1631" s="6"/>
      <c r="EM1631" s="6"/>
      <c r="EN1631" s="6"/>
      <c r="EO1631" s="6"/>
      <c r="EP1631" s="6"/>
      <c r="EQ1631" s="6"/>
      <c r="ER1631" s="6"/>
      <c r="ES1631" s="6"/>
      <c r="ET1631" s="6"/>
      <c r="EU1631" s="6"/>
      <c r="EV1631" s="6"/>
      <c r="EW1631" s="6"/>
      <c r="EX1631" s="6"/>
      <c r="EY1631" s="6"/>
      <c r="EZ1631" s="6"/>
      <c r="FA1631" s="6"/>
      <c r="FB1631" s="6"/>
      <c r="FC1631" s="6"/>
      <c r="FD1631" s="6"/>
      <c r="FE1631" s="6"/>
      <c r="FF1631" s="6"/>
      <c r="FG1631" s="6"/>
      <c r="FH1631" s="6"/>
      <c r="FI1631" s="6"/>
      <c r="FJ1631" s="6"/>
      <c r="FK1631" s="6"/>
      <c r="FL1631" s="6"/>
      <c r="FM1631" s="6"/>
      <c r="FN1631" s="6"/>
      <c r="FO1631" s="6"/>
      <c r="FP1631" s="6"/>
      <c r="FQ1631" s="6"/>
      <c r="FR1631" s="6"/>
      <c r="FS1631" s="6"/>
      <c r="FT1631" s="6"/>
      <c r="FU1631" s="6"/>
      <c r="FV1631" s="6"/>
      <c r="FW1631" s="6"/>
      <c r="FX1631" s="6"/>
      <c r="FY1631" s="6"/>
      <c r="FZ1631" s="6"/>
      <c r="GA1631" s="6"/>
      <c r="GB1631" s="6"/>
      <c r="GC1631" s="6"/>
      <c r="GD1631" s="6"/>
      <c r="GE1631" s="6"/>
      <c r="GF1631" s="6"/>
      <c r="GG1631" s="6"/>
      <c r="GH1631" s="6"/>
      <c r="GI1631" s="6"/>
      <c r="GJ1631" s="6"/>
      <c r="GK1631" s="6"/>
      <c r="GL1631" s="6"/>
      <c r="GM1631" s="6"/>
      <c r="GN1631" s="6"/>
      <c r="GO1631" s="6"/>
      <c r="GP1631" s="6"/>
      <c r="GQ1631" s="6"/>
      <c r="GR1631" s="6"/>
      <c r="GS1631" s="6"/>
      <c r="GT1631" s="6"/>
      <c r="GU1631" s="6"/>
      <c r="GV1631" s="6"/>
      <c r="GW1631" s="6"/>
      <c r="GX1631" s="6"/>
      <c r="GY1631" s="6"/>
      <c r="GZ1631" s="6"/>
      <c r="HA1631" s="6"/>
      <c r="HB1631" s="6"/>
      <c r="HC1631" s="6"/>
      <c r="HD1631" s="6"/>
      <c r="HE1631" s="6"/>
      <c r="HF1631" s="6"/>
      <c r="HG1631" s="6"/>
      <c r="HH1631" s="6"/>
    </row>
    <row r="1632" spans="1:216" x14ac:dyDescent="0.3">
      <c r="A1632" s="8"/>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6"/>
      <c r="AR1632" s="6"/>
      <c r="AS1632" s="6"/>
      <c r="AT1632" s="6"/>
      <c r="AU1632" s="6"/>
      <c r="AV1632" s="6"/>
      <c r="AW1632" s="6"/>
      <c r="AX1632" s="6"/>
      <c r="AY1632" s="6"/>
      <c r="AZ1632" s="6"/>
      <c r="BA1632" s="6"/>
      <c r="BB1632" s="6"/>
      <c r="BC1632" s="6"/>
      <c r="BD1632" s="6"/>
      <c r="BE1632" s="6"/>
      <c r="BF1632" s="6"/>
      <c r="BG1632" s="6"/>
      <c r="BH1632" s="6"/>
      <c r="BI1632" s="6"/>
      <c r="BJ1632" s="6"/>
      <c r="BK1632" s="6"/>
      <c r="BL1632" s="6"/>
      <c r="BM1632" s="6"/>
      <c r="BN1632" s="6"/>
      <c r="BO1632" s="6"/>
      <c r="BP1632" s="6"/>
      <c r="BQ1632" s="6"/>
      <c r="BR1632" s="6"/>
      <c r="BS1632" s="6"/>
      <c r="BT1632" s="6"/>
      <c r="BU1632" s="6"/>
      <c r="BV1632" s="6"/>
      <c r="BW1632" s="6"/>
      <c r="BX1632" s="6"/>
      <c r="BY1632" s="6"/>
      <c r="BZ1632" s="6"/>
      <c r="CA1632" s="6"/>
      <c r="CB1632" s="6"/>
      <c r="CC1632" s="6"/>
      <c r="CD1632" s="6"/>
      <c r="CE1632" s="6"/>
      <c r="CF1632" s="6"/>
      <c r="CG1632" s="6"/>
      <c r="CH1632" s="6"/>
      <c r="CI1632" s="6"/>
      <c r="CJ1632" s="6"/>
      <c r="CK1632" s="6"/>
      <c r="CL1632" s="6"/>
      <c r="CM1632" s="6"/>
      <c r="CN1632" s="6"/>
      <c r="CO1632" s="6"/>
      <c r="CP1632" s="6"/>
      <c r="CQ1632" s="6"/>
      <c r="CR1632" s="6"/>
      <c r="CS1632" s="6"/>
      <c r="CT1632" s="6"/>
      <c r="CU1632" s="6"/>
      <c r="CV1632" s="6"/>
      <c r="CW1632" s="6"/>
      <c r="CX1632" s="6"/>
      <c r="CY1632" s="6"/>
      <c r="CZ1632" s="6"/>
      <c r="DA1632" s="6"/>
      <c r="DB1632" s="6"/>
      <c r="DC1632" s="6"/>
      <c r="DD1632" s="6"/>
      <c r="DE1632" s="6"/>
      <c r="DF1632" s="6"/>
      <c r="DG1632" s="6"/>
      <c r="DH1632" s="6"/>
      <c r="DI1632" s="6"/>
      <c r="DJ1632" s="6"/>
      <c r="DK1632" s="6"/>
      <c r="DL1632" s="6"/>
      <c r="DM1632" s="6"/>
      <c r="DN1632" s="6"/>
      <c r="DO1632" s="6"/>
      <c r="DP1632" s="6"/>
      <c r="DQ1632" s="6"/>
      <c r="DR1632" s="6"/>
      <c r="DS1632" s="6"/>
      <c r="DT1632" s="6"/>
      <c r="DU1632" s="6"/>
      <c r="DV1632" s="6"/>
      <c r="DW1632" s="6"/>
      <c r="DX1632" s="6"/>
      <c r="DY1632" s="6"/>
      <c r="DZ1632" s="6"/>
      <c r="EA1632" s="6"/>
      <c r="EB1632" s="6"/>
      <c r="EC1632" s="6"/>
      <c r="ED1632" s="6"/>
      <c r="EE1632" s="6"/>
      <c r="EF1632" s="6"/>
      <c r="EG1632" s="6"/>
      <c r="EH1632" s="6"/>
      <c r="EI1632" s="6"/>
      <c r="EJ1632" s="6"/>
      <c r="EK1632" s="6"/>
      <c r="EL1632" s="6"/>
      <c r="EM1632" s="6"/>
      <c r="EN1632" s="6"/>
      <c r="EO1632" s="6"/>
      <c r="EP1632" s="6"/>
      <c r="EQ1632" s="6"/>
      <c r="ER1632" s="6"/>
      <c r="ES1632" s="6"/>
      <c r="ET1632" s="6"/>
      <c r="EU1632" s="6"/>
      <c r="EV1632" s="6"/>
      <c r="EW1632" s="6"/>
      <c r="EX1632" s="6"/>
      <c r="EY1632" s="6"/>
      <c r="EZ1632" s="6"/>
      <c r="FA1632" s="6"/>
      <c r="FB1632" s="6"/>
      <c r="FC1632" s="6"/>
      <c r="FD1632" s="6"/>
      <c r="FE1632" s="6"/>
      <c r="FF1632" s="6"/>
      <c r="FG1632" s="6"/>
      <c r="FH1632" s="6"/>
      <c r="FI1632" s="6"/>
      <c r="FJ1632" s="6"/>
      <c r="FK1632" s="6"/>
      <c r="FL1632" s="6"/>
      <c r="FM1632" s="6"/>
      <c r="FN1632" s="6"/>
      <c r="FO1632" s="6"/>
      <c r="FP1632" s="6"/>
      <c r="FQ1632" s="6"/>
      <c r="FR1632" s="6"/>
      <c r="FS1632" s="6"/>
      <c r="FT1632" s="6"/>
      <c r="FU1632" s="6"/>
      <c r="FV1632" s="6"/>
      <c r="FW1632" s="6"/>
      <c r="FX1632" s="6"/>
      <c r="FY1632" s="6"/>
      <c r="FZ1632" s="6"/>
      <c r="GA1632" s="6"/>
      <c r="GB1632" s="6"/>
      <c r="GC1632" s="6"/>
      <c r="GD1632" s="6"/>
      <c r="GE1632" s="6"/>
      <c r="GF1632" s="6"/>
      <c r="GG1632" s="6"/>
      <c r="GH1632" s="6"/>
      <c r="GI1632" s="6"/>
      <c r="GJ1632" s="6"/>
      <c r="GK1632" s="6"/>
      <c r="GL1632" s="6"/>
      <c r="GM1632" s="6"/>
      <c r="GN1632" s="6"/>
      <c r="GO1632" s="6"/>
      <c r="GP1632" s="6"/>
      <c r="GQ1632" s="6"/>
      <c r="GR1632" s="6"/>
      <c r="GS1632" s="6"/>
      <c r="GT1632" s="6"/>
      <c r="GU1632" s="6"/>
      <c r="GV1632" s="6"/>
      <c r="GW1632" s="6"/>
      <c r="GX1632" s="6"/>
      <c r="GY1632" s="6"/>
      <c r="GZ1632" s="6"/>
      <c r="HA1632" s="6"/>
      <c r="HB1632" s="6"/>
      <c r="HC1632" s="6"/>
      <c r="HD1632" s="6"/>
      <c r="HE1632" s="6"/>
      <c r="HF1632" s="6"/>
      <c r="HG1632" s="6"/>
      <c r="HH1632" s="6"/>
    </row>
    <row r="1633" spans="1:216" x14ac:dyDescent="0.3">
      <c r="A1633" s="8"/>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6"/>
      <c r="AR1633" s="6"/>
      <c r="AS1633" s="6"/>
      <c r="AT1633" s="6"/>
      <c r="AU1633" s="6"/>
      <c r="AV1633" s="6"/>
      <c r="AW1633" s="6"/>
      <c r="AX1633" s="6"/>
      <c r="AY1633" s="6"/>
      <c r="AZ1633" s="6"/>
      <c r="BA1633" s="6"/>
      <c r="BB1633" s="6"/>
      <c r="BC1633" s="6"/>
      <c r="BD1633" s="6"/>
      <c r="BE1633" s="6"/>
      <c r="BF1633" s="6"/>
      <c r="BG1633" s="6"/>
      <c r="BH1633" s="6"/>
      <c r="BI1633" s="6"/>
      <c r="BJ1633" s="6"/>
      <c r="BK1633" s="6"/>
      <c r="BL1633" s="6"/>
      <c r="BM1633" s="6"/>
      <c r="BN1633" s="6"/>
      <c r="BO1633" s="6"/>
      <c r="BP1633" s="6"/>
      <c r="BQ1633" s="6"/>
      <c r="BR1633" s="6"/>
      <c r="BS1633" s="6"/>
      <c r="BT1633" s="6"/>
      <c r="BU1633" s="6"/>
      <c r="BV1633" s="6"/>
      <c r="BW1633" s="6"/>
      <c r="BX1633" s="6"/>
      <c r="BY1633" s="6"/>
      <c r="BZ1633" s="6"/>
      <c r="CA1633" s="6"/>
      <c r="CB1633" s="6"/>
      <c r="CC1633" s="6"/>
      <c r="CD1633" s="6"/>
      <c r="CE1633" s="6"/>
      <c r="CF1633" s="6"/>
      <c r="CG1633" s="6"/>
      <c r="CH1633" s="6"/>
      <c r="CI1633" s="6"/>
      <c r="CJ1633" s="6"/>
      <c r="CK1633" s="6"/>
      <c r="CL1633" s="6"/>
      <c r="CM1633" s="6"/>
      <c r="CN1633" s="6"/>
      <c r="CO1633" s="6"/>
      <c r="CP1633" s="6"/>
      <c r="CQ1633" s="6"/>
      <c r="CR1633" s="6"/>
      <c r="CS1633" s="6"/>
      <c r="CT1633" s="6"/>
      <c r="CU1633" s="6"/>
      <c r="CV1633" s="6"/>
      <c r="CW1633" s="6"/>
      <c r="CX1633" s="6"/>
      <c r="CY1633" s="6"/>
      <c r="CZ1633" s="6"/>
      <c r="DA1633" s="6"/>
      <c r="DB1633" s="6"/>
      <c r="DC1633" s="6"/>
      <c r="DD1633" s="6"/>
      <c r="DE1633" s="6"/>
      <c r="DF1633" s="6"/>
      <c r="DG1633" s="6"/>
      <c r="DH1633" s="6"/>
      <c r="DI1633" s="6"/>
      <c r="DJ1633" s="6"/>
      <c r="DK1633" s="6"/>
      <c r="DL1633" s="6"/>
      <c r="DM1633" s="6"/>
      <c r="DN1633" s="6"/>
      <c r="DO1633" s="6"/>
      <c r="DP1633" s="6"/>
      <c r="DQ1633" s="6"/>
      <c r="DR1633" s="6"/>
      <c r="DS1633" s="6"/>
      <c r="DT1633" s="6"/>
      <c r="DU1633" s="6"/>
      <c r="DV1633" s="6"/>
      <c r="DW1633" s="6"/>
      <c r="DX1633" s="6"/>
      <c r="DY1633" s="6"/>
      <c r="DZ1633" s="6"/>
      <c r="EA1633" s="6"/>
      <c r="EB1633" s="6"/>
      <c r="EC1633" s="6"/>
      <c r="ED1633" s="6"/>
      <c r="EE1633" s="6"/>
      <c r="EF1633" s="6"/>
      <c r="EG1633" s="6"/>
      <c r="EH1633" s="6"/>
      <c r="EI1633" s="6"/>
      <c r="EJ1633" s="6"/>
      <c r="EK1633" s="6"/>
      <c r="EL1633" s="6"/>
      <c r="EM1633" s="6"/>
      <c r="EN1633" s="6"/>
      <c r="EO1633" s="6"/>
      <c r="EP1633" s="6"/>
      <c r="EQ1633" s="6"/>
      <c r="ER1633" s="6"/>
      <c r="ES1633" s="6"/>
      <c r="ET1633" s="6"/>
      <c r="EU1633" s="6"/>
      <c r="EV1633" s="6"/>
      <c r="EW1633" s="6"/>
      <c r="EX1633" s="6"/>
      <c r="EY1633" s="6"/>
      <c r="EZ1633" s="6"/>
      <c r="FA1633" s="6"/>
      <c r="FB1633" s="6"/>
      <c r="FC1633" s="6"/>
      <c r="FD1633" s="6"/>
      <c r="FE1633" s="6"/>
      <c r="FF1633" s="6"/>
      <c r="FG1633" s="6"/>
      <c r="FH1633" s="6"/>
      <c r="FI1633" s="6"/>
      <c r="FJ1633" s="6"/>
      <c r="FK1633" s="6"/>
      <c r="FL1633" s="6"/>
      <c r="FM1633" s="6"/>
      <c r="FN1633" s="6"/>
      <c r="FO1633" s="6"/>
      <c r="FP1633" s="6"/>
      <c r="FQ1633" s="6"/>
      <c r="FR1633" s="6"/>
      <c r="FS1633" s="6"/>
      <c r="FT1633" s="6"/>
      <c r="FU1633" s="6"/>
      <c r="FV1633" s="6"/>
      <c r="FW1633" s="6"/>
      <c r="FX1633" s="6"/>
      <c r="FY1633" s="6"/>
      <c r="FZ1633" s="6"/>
      <c r="GA1633" s="6"/>
      <c r="GB1633" s="6"/>
      <c r="GC1633" s="6"/>
      <c r="GD1633" s="6"/>
      <c r="GE1633" s="6"/>
      <c r="GF1633" s="6"/>
      <c r="GG1633" s="6"/>
      <c r="GH1633" s="6"/>
      <c r="GI1633" s="6"/>
      <c r="GJ1633" s="6"/>
      <c r="GK1633" s="6"/>
      <c r="GL1633" s="6"/>
      <c r="GM1633" s="6"/>
      <c r="GN1633" s="6"/>
      <c r="GO1633" s="6"/>
      <c r="GP1633" s="6"/>
      <c r="GQ1633" s="6"/>
      <c r="GR1633" s="6"/>
      <c r="GS1633" s="6"/>
      <c r="GT1633" s="6"/>
      <c r="GU1633" s="6"/>
      <c r="GV1633" s="6"/>
      <c r="GW1633" s="6"/>
      <c r="GX1633" s="6"/>
      <c r="GY1633" s="6"/>
      <c r="GZ1633" s="6"/>
      <c r="HA1633" s="6"/>
      <c r="HB1633" s="6"/>
      <c r="HC1633" s="6"/>
      <c r="HD1633" s="6"/>
      <c r="HE1633" s="6"/>
      <c r="HF1633" s="6"/>
      <c r="HG1633" s="6"/>
      <c r="HH1633" s="6"/>
    </row>
    <row r="1634" spans="1:216" x14ac:dyDescent="0.3">
      <c r="A1634" s="8"/>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6"/>
      <c r="AR1634" s="6"/>
      <c r="AS1634" s="6"/>
      <c r="AT1634" s="6"/>
      <c r="AU1634" s="6"/>
      <c r="AV1634" s="6"/>
      <c r="AW1634" s="6"/>
      <c r="AX1634" s="6"/>
      <c r="AY1634" s="6"/>
      <c r="AZ1634" s="6"/>
      <c r="BA1634" s="6"/>
      <c r="BB1634" s="6"/>
      <c r="BC1634" s="6"/>
      <c r="BD1634" s="6"/>
      <c r="BE1634" s="6"/>
      <c r="BF1634" s="6"/>
      <c r="BG1634" s="6"/>
      <c r="BH1634" s="6"/>
      <c r="BI1634" s="6"/>
      <c r="BJ1634" s="6"/>
      <c r="BK1634" s="6"/>
      <c r="BL1634" s="6"/>
      <c r="BM1634" s="6"/>
      <c r="BN1634" s="6"/>
      <c r="BO1634" s="6"/>
      <c r="BP1634" s="6"/>
      <c r="BQ1634" s="6"/>
      <c r="BR1634" s="6"/>
      <c r="BS1634" s="6"/>
      <c r="BT1634" s="6"/>
      <c r="BU1634" s="6"/>
      <c r="BV1634" s="6"/>
      <c r="BW1634" s="6"/>
      <c r="BX1634" s="6"/>
      <c r="BY1634" s="6"/>
      <c r="BZ1634" s="6"/>
      <c r="CA1634" s="6"/>
      <c r="CB1634" s="6"/>
      <c r="CC1634" s="6"/>
      <c r="CD1634" s="6"/>
      <c r="CE1634" s="6"/>
      <c r="CF1634" s="6"/>
      <c r="CG1634" s="6"/>
      <c r="CH1634" s="6"/>
      <c r="CI1634" s="6"/>
      <c r="CJ1634" s="6"/>
      <c r="CK1634" s="6"/>
      <c r="CL1634" s="6"/>
      <c r="CM1634" s="6"/>
      <c r="CN1634" s="6"/>
      <c r="CO1634" s="6"/>
      <c r="CP1634" s="6"/>
      <c r="CQ1634" s="6"/>
      <c r="CR1634" s="6"/>
      <c r="CS1634" s="6"/>
      <c r="CT1634" s="6"/>
      <c r="CU1634" s="6"/>
      <c r="CV1634" s="6"/>
      <c r="CW1634" s="6"/>
      <c r="CX1634" s="6"/>
      <c r="CY1634" s="6"/>
      <c r="CZ1634" s="6"/>
      <c r="DA1634" s="6"/>
      <c r="DB1634" s="6"/>
      <c r="DC1634" s="6"/>
      <c r="DD1634" s="6"/>
      <c r="DE1634" s="6"/>
      <c r="DF1634" s="6"/>
      <c r="DG1634" s="6"/>
      <c r="DH1634" s="6"/>
      <c r="DI1634" s="6"/>
      <c r="DJ1634" s="6"/>
      <c r="DK1634" s="6"/>
      <c r="DL1634" s="6"/>
      <c r="DM1634" s="6"/>
      <c r="DN1634" s="6"/>
      <c r="DO1634" s="6"/>
      <c r="DP1634" s="6"/>
      <c r="DQ1634" s="6"/>
      <c r="DR1634" s="6"/>
      <c r="DS1634" s="6"/>
      <c r="DT1634" s="6"/>
      <c r="DU1634" s="6"/>
      <c r="DV1634" s="6"/>
      <c r="DW1634" s="6"/>
      <c r="DX1634" s="6"/>
      <c r="DY1634" s="6"/>
      <c r="DZ1634" s="6"/>
      <c r="EA1634" s="6"/>
      <c r="EB1634" s="6"/>
      <c r="EC1634" s="6"/>
      <c r="ED1634" s="6"/>
      <c r="EE1634" s="6"/>
      <c r="EF1634" s="6"/>
      <c r="EG1634" s="6"/>
      <c r="EH1634" s="6"/>
      <c r="EI1634" s="6"/>
      <c r="EJ1634" s="6"/>
      <c r="EK1634" s="6"/>
      <c r="EL1634" s="6"/>
      <c r="EM1634" s="6"/>
      <c r="EN1634" s="6"/>
      <c r="EO1634" s="6"/>
      <c r="EP1634" s="6"/>
      <c r="EQ1634" s="6"/>
      <c r="ER1634" s="6"/>
      <c r="ES1634" s="6"/>
      <c r="ET1634" s="6"/>
      <c r="EU1634" s="6"/>
      <c r="EV1634" s="6"/>
      <c r="EW1634" s="6"/>
      <c r="EX1634" s="6"/>
      <c r="EY1634" s="6"/>
      <c r="EZ1634" s="6"/>
      <c r="FA1634" s="6"/>
      <c r="FB1634" s="6"/>
      <c r="FC1634" s="6"/>
      <c r="FD1634" s="6"/>
      <c r="FE1634" s="6"/>
      <c r="FF1634" s="6"/>
      <c r="FG1634" s="6"/>
      <c r="FH1634" s="6"/>
      <c r="FI1634" s="6"/>
      <c r="FJ1634" s="6"/>
      <c r="FK1634" s="6"/>
      <c r="FL1634" s="6"/>
      <c r="FM1634" s="6"/>
      <c r="FN1634" s="6"/>
      <c r="FO1634" s="6"/>
      <c r="FP1634" s="6"/>
      <c r="FQ1634" s="6"/>
      <c r="FR1634" s="6"/>
      <c r="FS1634" s="6"/>
      <c r="FT1634" s="6"/>
      <c r="FU1634" s="6"/>
      <c r="FV1634" s="6"/>
      <c r="FW1634" s="6"/>
      <c r="FX1634" s="6"/>
      <c r="FY1634" s="6"/>
      <c r="FZ1634" s="6"/>
      <c r="GA1634" s="6"/>
      <c r="GB1634" s="6"/>
      <c r="GC1634" s="6"/>
      <c r="GD1634" s="6"/>
      <c r="GE1634" s="6"/>
      <c r="GF1634" s="6"/>
      <c r="GG1634" s="6"/>
      <c r="GH1634" s="6"/>
      <c r="GI1634" s="6"/>
      <c r="GJ1634" s="6"/>
      <c r="GK1634" s="6"/>
      <c r="GL1634" s="6"/>
      <c r="GM1634" s="6"/>
      <c r="GN1634" s="6"/>
      <c r="GO1634" s="6"/>
      <c r="GP1634" s="6"/>
      <c r="GQ1634" s="6"/>
      <c r="GR1634" s="6"/>
      <c r="GS1634" s="6"/>
      <c r="GT1634" s="6"/>
      <c r="GU1634" s="6"/>
      <c r="GV1634" s="6"/>
      <c r="GW1634" s="6"/>
      <c r="GX1634" s="6"/>
      <c r="GY1634" s="6"/>
      <c r="GZ1634" s="6"/>
      <c r="HA1634" s="6"/>
      <c r="HB1634" s="6"/>
      <c r="HC1634" s="6"/>
      <c r="HD1634" s="6"/>
      <c r="HE1634" s="6"/>
      <c r="HF1634" s="6"/>
      <c r="HG1634" s="6"/>
      <c r="HH1634" s="6"/>
    </row>
    <row r="1635" spans="1:216" x14ac:dyDescent="0.3">
      <c r="A1635" s="8"/>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6"/>
      <c r="AR1635" s="6"/>
      <c r="AS1635" s="6"/>
      <c r="AT1635" s="6"/>
      <c r="AU1635" s="6"/>
      <c r="AV1635" s="6"/>
      <c r="AW1635" s="6"/>
      <c r="AX1635" s="6"/>
      <c r="AY1635" s="6"/>
      <c r="AZ1635" s="6"/>
      <c r="BA1635" s="6"/>
      <c r="BB1635" s="6"/>
      <c r="BC1635" s="6"/>
      <c r="BD1635" s="6"/>
      <c r="BE1635" s="6"/>
      <c r="BF1635" s="6"/>
      <c r="BG1635" s="6"/>
      <c r="BH1635" s="6"/>
      <c r="BI1635" s="6"/>
      <c r="BJ1635" s="6"/>
      <c r="BK1635" s="6"/>
      <c r="BL1635" s="6"/>
      <c r="BM1635" s="6"/>
      <c r="BN1635" s="6"/>
      <c r="BO1635" s="6"/>
      <c r="BP1635" s="6"/>
      <c r="BQ1635" s="6"/>
      <c r="BR1635" s="6"/>
      <c r="BS1635" s="6"/>
      <c r="BT1635" s="6"/>
      <c r="BU1635" s="6"/>
      <c r="BV1635" s="6"/>
      <c r="BW1635" s="6"/>
      <c r="BX1635" s="6"/>
      <c r="BY1635" s="6"/>
      <c r="BZ1635" s="6"/>
      <c r="CA1635" s="6"/>
      <c r="CB1635" s="6"/>
      <c r="CC1635" s="6"/>
      <c r="CD1635" s="6"/>
      <c r="CE1635" s="6"/>
      <c r="CF1635" s="6"/>
      <c r="CG1635" s="6"/>
      <c r="CH1635" s="6"/>
      <c r="CI1635" s="6"/>
      <c r="CJ1635" s="6"/>
      <c r="CK1635" s="6"/>
      <c r="CL1635" s="6"/>
      <c r="CM1635" s="6"/>
      <c r="CN1635" s="6"/>
      <c r="CO1635" s="6"/>
      <c r="CP1635" s="6"/>
      <c r="CQ1635" s="6"/>
      <c r="CR1635" s="6"/>
      <c r="CS1635" s="6"/>
      <c r="CT1635" s="6"/>
      <c r="CU1635" s="6"/>
      <c r="CV1635" s="6"/>
      <c r="CW1635" s="6"/>
      <c r="CX1635" s="6"/>
      <c r="CY1635" s="6"/>
      <c r="CZ1635" s="6"/>
      <c r="DA1635" s="6"/>
      <c r="DB1635" s="6"/>
      <c r="DC1635" s="6"/>
      <c r="DD1635" s="6"/>
      <c r="DE1635" s="6"/>
      <c r="DF1635" s="6"/>
      <c r="DG1635" s="6"/>
      <c r="DH1635" s="6"/>
      <c r="DI1635" s="6"/>
      <c r="DJ1635" s="6"/>
      <c r="DK1635" s="6"/>
      <c r="DL1635" s="6"/>
      <c r="DM1635" s="6"/>
      <c r="DN1635" s="6"/>
      <c r="DO1635" s="6"/>
      <c r="DP1635" s="6"/>
      <c r="DQ1635" s="6"/>
      <c r="DR1635" s="6"/>
      <c r="DS1635" s="6"/>
      <c r="DT1635" s="6"/>
      <c r="DU1635" s="6"/>
      <c r="DV1635" s="6"/>
      <c r="DW1635" s="6"/>
      <c r="DX1635" s="6"/>
      <c r="DY1635" s="6"/>
      <c r="DZ1635" s="6"/>
      <c r="EA1635" s="6"/>
      <c r="EB1635" s="6"/>
      <c r="EC1635" s="6"/>
      <c r="ED1635" s="6"/>
      <c r="EE1635" s="6"/>
      <c r="EF1635" s="6"/>
      <c r="EG1635" s="6"/>
      <c r="EH1635" s="6"/>
      <c r="EI1635" s="6"/>
      <c r="EJ1635" s="6"/>
      <c r="EK1635" s="6"/>
      <c r="EL1635" s="6"/>
      <c r="EM1635" s="6"/>
      <c r="EN1635" s="6"/>
      <c r="EO1635" s="6"/>
      <c r="EP1635" s="6"/>
      <c r="EQ1635" s="6"/>
      <c r="ER1635" s="6"/>
      <c r="ES1635" s="6"/>
      <c r="ET1635" s="6"/>
      <c r="EU1635" s="6"/>
      <c r="EV1635" s="6"/>
      <c r="EW1635" s="6"/>
      <c r="EX1635" s="6"/>
      <c r="EY1635" s="6"/>
      <c r="EZ1635" s="6"/>
      <c r="FA1635" s="6"/>
      <c r="FB1635" s="6"/>
      <c r="FC1635" s="6"/>
      <c r="FD1635" s="6"/>
      <c r="FE1635" s="6"/>
      <c r="FF1635" s="6"/>
      <c r="FG1635" s="6"/>
      <c r="FH1635" s="6"/>
      <c r="FI1635" s="6"/>
      <c r="FJ1635" s="6"/>
      <c r="FK1635" s="6"/>
      <c r="FL1635" s="6"/>
      <c r="FM1635" s="6"/>
      <c r="FN1635" s="6"/>
      <c r="FO1635" s="6"/>
      <c r="FP1635" s="6"/>
      <c r="FQ1635" s="6"/>
      <c r="FR1635" s="6"/>
      <c r="FS1635" s="6"/>
      <c r="FT1635" s="6"/>
      <c r="FU1635" s="6"/>
      <c r="FV1635" s="6"/>
      <c r="FW1635" s="6"/>
      <c r="FX1635" s="6"/>
      <c r="FY1635" s="6"/>
      <c r="FZ1635" s="6"/>
      <c r="GA1635" s="6"/>
      <c r="GB1635" s="6"/>
      <c r="GC1635" s="6"/>
      <c r="GD1635" s="6"/>
      <c r="GE1635" s="6"/>
      <c r="GF1635" s="6"/>
      <c r="GG1635" s="6"/>
      <c r="GH1635" s="6"/>
      <c r="GI1635" s="6"/>
      <c r="GJ1635" s="6"/>
      <c r="GK1635" s="6"/>
      <c r="GL1635" s="6"/>
      <c r="GM1635" s="6"/>
      <c r="GN1635" s="6"/>
      <c r="GO1635" s="6"/>
      <c r="GP1635" s="6"/>
      <c r="GQ1635" s="6"/>
      <c r="GR1635" s="6"/>
      <c r="GS1635" s="6"/>
      <c r="GT1635" s="6"/>
      <c r="GU1635" s="6"/>
      <c r="GV1635" s="6"/>
      <c r="GW1635" s="6"/>
      <c r="GX1635" s="6"/>
      <c r="GY1635" s="6"/>
      <c r="GZ1635" s="6"/>
      <c r="HA1635" s="6"/>
      <c r="HB1635" s="6"/>
      <c r="HC1635" s="6"/>
      <c r="HD1635" s="6"/>
      <c r="HE1635" s="6"/>
      <c r="HF1635" s="6"/>
      <c r="HG1635" s="6"/>
      <c r="HH1635" s="6"/>
    </row>
    <row r="1636" spans="1:216" x14ac:dyDescent="0.3">
      <c r="A1636" s="8"/>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6"/>
      <c r="AR1636" s="6"/>
      <c r="AS1636" s="6"/>
      <c r="AT1636" s="6"/>
      <c r="AU1636" s="6"/>
      <c r="AV1636" s="6"/>
      <c r="AW1636" s="6"/>
      <c r="AX1636" s="6"/>
      <c r="AY1636" s="6"/>
      <c r="AZ1636" s="6"/>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c r="DX1636" s="6"/>
      <c r="DY1636" s="6"/>
      <c r="DZ1636" s="6"/>
      <c r="EA1636" s="6"/>
      <c r="EB1636" s="6"/>
      <c r="EC1636" s="6"/>
      <c r="ED1636" s="6"/>
      <c r="EE1636" s="6"/>
      <c r="EF1636" s="6"/>
      <c r="EG1636" s="6"/>
      <c r="EH1636" s="6"/>
      <c r="EI1636" s="6"/>
      <c r="EJ1636" s="6"/>
      <c r="EK1636" s="6"/>
      <c r="EL1636" s="6"/>
      <c r="EM1636" s="6"/>
      <c r="EN1636" s="6"/>
      <c r="EO1636" s="6"/>
      <c r="EP1636" s="6"/>
      <c r="EQ1636" s="6"/>
      <c r="ER1636" s="6"/>
      <c r="ES1636" s="6"/>
      <c r="ET1636" s="6"/>
      <c r="EU1636" s="6"/>
      <c r="EV1636" s="6"/>
      <c r="EW1636" s="6"/>
      <c r="EX1636" s="6"/>
      <c r="EY1636" s="6"/>
      <c r="EZ1636" s="6"/>
      <c r="FA1636" s="6"/>
      <c r="FB1636" s="6"/>
      <c r="FC1636" s="6"/>
      <c r="FD1636" s="6"/>
      <c r="FE1636" s="6"/>
      <c r="FF1636" s="6"/>
      <c r="FG1636" s="6"/>
      <c r="FH1636" s="6"/>
      <c r="FI1636" s="6"/>
      <c r="FJ1636" s="6"/>
      <c r="FK1636" s="6"/>
      <c r="FL1636" s="6"/>
      <c r="FM1636" s="6"/>
      <c r="FN1636" s="6"/>
      <c r="FO1636" s="6"/>
      <c r="FP1636" s="6"/>
      <c r="FQ1636" s="6"/>
      <c r="FR1636" s="6"/>
      <c r="FS1636" s="6"/>
      <c r="FT1636" s="6"/>
      <c r="FU1636" s="6"/>
      <c r="FV1636" s="6"/>
      <c r="FW1636" s="6"/>
      <c r="FX1636" s="6"/>
      <c r="FY1636" s="6"/>
      <c r="FZ1636" s="6"/>
      <c r="GA1636" s="6"/>
      <c r="GB1636" s="6"/>
      <c r="GC1636" s="6"/>
      <c r="GD1636" s="6"/>
      <c r="GE1636" s="6"/>
      <c r="GF1636" s="6"/>
      <c r="GG1636" s="6"/>
      <c r="GH1636" s="6"/>
      <c r="GI1636" s="6"/>
      <c r="GJ1636" s="6"/>
      <c r="GK1636" s="6"/>
      <c r="GL1636" s="6"/>
      <c r="GM1636" s="6"/>
      <c r="GN1636" s="6"/>
      <c r="GO1636" s="6"/>
      <c r="GP1636" s="6"/>
      <c r="GQ1636" s="6"/>
      <c r="GR1636" s="6"/>
      <c r="GS1636" s="6"/>
      <c r="GT1636" s="6"/>
      <c r="GU1636" s="6"/>
      <c r="GV1636" s="6"/>
      <c r="GW1636" s="6"/>
      <c r="GX1636" s="6"/>
      <c r="GY1636" s="6"/>
      <c r="GZ1636" s="6"/>
      <c r="HA1636" s="6"/>
      <c r="HB1636" s="6"/>
      <c r="HC1636" s="6"/>
      <c r="HD1636" s="6"/>
      <c r="HE1636" s="6"/>
      <c r="HF1636" s="6"/>
      <c r="HG1636" s="6"/>
      <c r="HH1636" s="6"/>
    </row>
    <row r="1637" spans="1:216" x14ac:dyDescent="0.3">
      <c r="A1637" s="8"/>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6"/>
      <c r="AR1637" s="6"/>
      <c r="AS1637" s="6"/>
      <c r="AT1637" s="6"/>
      <c r="AU1637" s="6"/>
      <c r="AV1637" s="6"/>
      <c r="AW1637" s="6"/>
      <c r="AX1637" s="6"/>
      <c r="AY1637" s="6"/>
      <c r="AZ1637" s="6"/>
      <c r="BA1637" s="6"/>
      <c r="BB1637" s="6"/>
      <c r="BC1637" s="6"/>
      <c r="BD1637" s="6"/>
      <c r="BE1637" s="6"/>
      <c r="BF1637" s="6"/>
      <c r="BG1637" s="6"/>
      <c r="BH1637" s="6"/>
      <c r="BI1637" s="6"/>
      <c r="BJ1637" s="6"/>
      <c r="BK1637" s="6"/>
      <c r="BL1637" s="6"/>
      <c r="BM1637" s="6"/>
      <c r="BN1637" s="6"/>
      <c r="BO1637" s="6"/>
      <c r="BP1637" s="6"/>
      <c r="BQ1637" s="6"/>
      <c r="BR1637" s="6"/>
      <c r="BS1637" s="6"/>
      <c r="BT1637" s="6"/>
      <c r="BU1637" s="6"/>
      <c r="BV1637" s="6"/>
      <c r="BW1637" s="6"/>
      <c r="BX1637" s="6"/>
      <c r="BY1637" s="6"/>
      <c r="BZ1637" s="6"/>
      <c r="CA1637" s="6"/>
      <c r="CB1637" s="6"/>
      <c r="CC1637" s="6"/>
      <c r="CD1637" s="6"/>
      <c r="CE1637" s="6"/>
      <c r="CF1637" s="6"/>
      <c r="CG1637" s="6"/>
      <c r="CH1637" s="6"/>
      <c r="CI1637" s="6"/>
      <c r="CJ1637" s="6"/>
      <c r="CK1637" s="6"/>
      <c r="CL1637" s="6"/>
      <c r="CM1637" s="6"/>
      <c r="CN1637" s="6"/>
      <c r="CO1637" s="6"/>
      <c r="CP1637" s="6"/>
      <c r="CQ1637" s="6"/>
      <c r="CR1637" s="6"/>
      <c r="CS1637" s="6"/>
      <c r="CT1637" s="6"/>
      <c r="CU1637" s="6"/>
      <c r="CV1637" s="6"/>
      <c r="CW1637" s="6"/>
      <c r="CX1637" s="6"/>
      <c r="CY1637" s="6"/>
      <c r="CZ1637" s="6"/>
      <c r="DA1637" s="6"/>
      <c r="DB1637" s="6"/>
      <c r="DC1637" s="6"/>
      <c r="DD1637" s="6"/>
      <c r="DE1637" s="6"/>
      <c r="DF1637" s="6"/>
      <c r="DG1637" s="6"/>
      <c r="DH1637" s="6"/>
      <c r="DI1637" s="6"/>
      <c r="DJ1637" s="6"/>
      <c r="DK1637" s="6"/>
      <c r="DL1637" s="6"/>
      <c r="DM1637" s="6"/>
      <c r="DN1637" s="6"/>
      <c r="DO1637" s="6"/>
      <c r="DP1637" s="6"/>
      <c r="DQ1637" s="6"/>
      <c r="DR1637" s="6"/>
      <c r="DS1637" s="6"/>
      <c r="DT1637" s="6"/>
      <c r="DU1637" s="6"/>
      <c r="DV1637" s="6"/>
      <c r="DW1637" s="6"/>
      <c r="DX1637" s="6"/>
      <c r="DY1637" s="6"/>
      <c r="DZ1637" s="6"/>
      <c r="EA1637" s="6"/>
      <c r="EB1637" s="6"/>
      <c r="EC1637" s="6"/>
      <c r="ED1637" s="6"/>
      <c r="EE1637" s="6"/>
      <c r="EF1637" s="6"/>
      <c r="EG1637" s="6"/>
      <c r="EH1637" s="6"/>
      <c r="EI1637" s="6"/>
      <c r="EJ1637" s="6"/>
      <c r="EK1637" s="6"/>
      <c r="EL1637" s="6"/>
      <c r="EM1637" s="6"/>
      <c r="EN1637" s="6"/>
      <c r="EO1637" s="6"/>
      <c r="EP1637" s="6"/>
      <c r="EQ1637" s="6"/>
      <c r="ER1637" s="6"/>
      <c r="ES1637" s="6"/>
      <c r="ET1637" s="6"/>
      <c r="EU1637" s="6"/>
      <c r="EV1637" s="6"/>
      <c r="EW1637" s="6"/>
      <c r="EX1637" s="6"/>
      <c r="EY1637" s="6"/>
      <c r="EZ1637" s="6"/>
      <c r="FA1637" s="6"/>
      <c r="FB1637" s="6"/>
      <c r="FC1637" s="6"/>
      <c r="FD1637" s="6"/>
      <c r="FE1637" s="6"/>
      <c r="FF1637" s="6"/>
      <c r="FG1637" s="6"/>
      <c r="FH1637" s="6"/>
      <c r="FI1637" s="6"/>
      <c r="FJ1637" s="6"/>
      <c r="FK1637" s="6"/>
      <c r="FL1637" s="6"/>
      <c r="FM1637" s="6"/>
      <c r="FN1637" s="6"/>
      <c r="FO1637" s="6"/>
      <c r="FP1637" s="6"/>
      <c r="FQ1637" s="6"/>
      <c r="FR1637" s="6"/>
      <c r="FS1637" s="6"/>
      <c r="FT1637" s="6"/>
      <c r="FU1637" s="6"/>
      <c r="FV1637" s="6"/>
      <c r="FW1637" s="6"/>
      <c r="FX1637" s="6"/>
      <c r="FY1637" s="6"/>
      <c r="FZ1637" s="6"/>
      <c r="GA1637" s="6"/>
      <c r="GB1637" s="6"/>
      <c r="GC1637" s="6"/>
      <c r="GD1637" s="6"/>
      <c r="GE1637" s="6"/>
      <c r="GF1637" s="6"/>
      <c r="GG1637" s="6"/>
      <c r="GH1637" s="6"/>
      <c r="GI1637" s="6"/>
      <c r="GJ1637" s="6"/>
      <c r="GK1637" s="6"/>
      <c r="GL1637" s="6"/>
      <c r="GM1637" s="6"/>
      <c r="GN1637" s="6"/>
      <c r="GO1637" s="6"/>
      <c r="GP1637" s="6"/>
      <c r="GQ1637" s="6"/>
      <c r="GR1637" s="6"/>
      <c r="GS1637" s="6"/>
      <c r="GT1637" s="6"/>
      <c r="GU1637" s="6"/>
      <c r="GV1637" s="6"/>
      <c r="GW1637" s="6"/>
      <c r="GX1637" s="6"/>
      <c r="GY1637" s="6"/>
      <c r="GZ1637" s="6"/>
      <c r="HA1637" s="6"/>
      <c r="HB1637" s="6"/>
      <c r="HC1637" s="6"/>
      <c r="HD1637" s="6"/>
      <c r="HE1637" s="6"/>
      <c r="HF1637" s="6"/>
      <c r="HG1637" s="6"/>
      <c r="HH1637" s="6"/>
    </row>
    <row r="1638" spans="1:216" x14ac:dyDescent="0.3">
      <c r="A1638" s="8"/>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6"/>
      <c r="AR1638" s="6"/>
      <c r="AS1638" s="6"/>
      <c r="AT1638" s="6"/>
      <c r="AU1638" s="6"/>
      <c r="AV1638" s="6"/>
      <c r="AW1638" s="6"/>
      <c r="AX1638" s="6"/>
      <c r="AY1638" s="6"/>
      <c r="AZ1638" s="6"/>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c r="DX1638" s="6"/>
      <c r="DY1638" s="6"/>
      <c r="DZ1638" s="6"/>
      <c r="EA1638" s="6"/>
      <c r="EB1638" s="6"/>
      <c r="EC1638" s="6"/>
      <c r="ED1638" s="6"/>
      <c r="EE1638" s="6"/>
      <c r="EF1638" s="6"/>
      <c r="EG1638" s="6"/>
      <c r="EH1638" s="6"/>
      <c r="EI1638" s="6"/>
      <c r="EJ1638" s="6"/>
      <c r="EK1638" s="6"/>
      <c r="EL1638" s="6"/>
      <c r="EM1638" s="6"/>
      <c r="EN1638" s="6"/>
      <c r="EO1638" s="6"/>
      <c r="EP1638" s="6"/>
      <c r="EQ1638" s="6"/>
      <c r="ER1638" s="6"/>
      <c r="ES1638" s="6"/>
      <c r="ET1638" s="6"/>
      <c r="EU1638" s="6"/>
      <c r="EV1638" s="6"/>
      <c r="EW1638" s="6"/>
      <c r="EX1638" s="6"/>
      <c r="EY1638" s="6"/>
      <c r="EZ1638" s="6"/>
      <c r="FA1638" s="6"/>
      <c r="FB1638" s="6"/>
      <c r="FC1638" s="6"/>
      <c r="FD1638" s="6"/>
      <c r="FE1638" s="6"/>
      <c r="FF1638" s="6"/>
      <c r="FG1638" s="6"/>
      <c r="FH1638" s="6"/>
      <c r="FI1638" s="6"/>
      <c r="FJ1638" s="6"/>
      <c r="FK1638" s="6"/>
      <c r="FL1638" s="6"/>
      <c r="FM1638" s="6"/>
      <c r="FN1638" s="6"/>
      <c r="FO1638" s="6"/>
      <c r="FP1638" s="6"/>
      <c r="FQ1638" s="6"/>
      <c r="FR1638" s="6"/>
      <c r="FS1638" s="6"/>
      <c r="FT1638" s="6"/>
      <c r="FU1638" s="6"/>
      <c r="FV1638" s="6"/>
      <c r="FW1638" s="6"/>
      <c r="FX1638" s="6"/>
      <c r="FY1638" s="6"/>
      <c r="FZ1638" s="6"/>
      <c r="GA1638" s="6"/>
      <c r="GB1638" s="6"/>
      <c r="GC1638" s="6"/>
      <c r="GD1638" s="6"/>
      <c r="GE1638" s="6"/>
      <c r="GF1638" s="6"/>
      <c r="GG1638" s="6"/>
      <c r="GH1638" s="6"/>
      <c r="GI1638" s="6"/>
      <c r="GJ1638" s="6"/>
      <c r="GK1638" s="6"/>
      <c r="GL1638" s="6"/>
      <c r="GM1638" s="6"/>
      <c r="GN1638" s="6"/>
      <c r="GO1638" s="6"/>
      <c r="GP1638" s="6"/>
      <c r="GQ1638" s="6"/>
      <c r="GR1638" s="6"/>
      <c r="GS1638" s="6"/>
      <c r="GT1638" s="6"/>
      <c r="GU1638" s="6"/>
      <c r="GV1638" s="6"/>
      <c r="GW1638" s="6"/>
      <c r="GX1638" s="6"/>
      <c r="GY1638" s="6"/>
      <c r="GZ1638" s="6"/>
      <c r="HA1638" s="6"/>
      <c r="HB1638" s="6"/>
      <c r="HC1638" s="6"/>
      <c r="HD1638" s="6"/>
      <c r="HE1638" s="6"/>
      <c r="HF1638" s="6"/>
      <c r="HG1638" s="6"/>
      <c r="HH1638" s="6"/>
    </row>
    <row r="1639" spans="1:216" x14ac:dyDescent="0.3">
      <c r="A1639" s="8"/>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6"/>
      <c r="AR1639" s="6"/>
      <c r="AS1639" s="6"/>
      <c r="AT1639" s="6"/>
      <c r="AU1639" s="6"/>
      <c r="AV1639" s="6"/>
      <c r="AW1639" s="6"/>
      <c r="AX1639" s="6"/>
      <c r="AY1639" s="6"/>
      <c r="AZ1639" s="6"/>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c r="DX1639" s="6"/>
      <c r="DY1639" s="6"/>
      <c r="DZ1639" s="6"/>
      <c r="EA1639" s="6"/>
      <c r="EB1639" s="6"/>
      <c r="EC1639" s="6"/>
      <c r="ED1639" s="6"/>
      <c r="EE1639" s="6"/>
      <c r="EF1639" s="6"/>
      <c r="EG1639" s="6"/>
      <c r="EH1639" s="6"/>
      <c r="EI1639" s="6"/>
      <c r="EJ1639" s="6"/>
      <c r="EK1639" s="6"/>
      <c r="EL1639" s="6"/>
      <c r="EM1639" s="6"/>
      <c r="EN1639" s="6"/>
      <c r="EO1639" s="6"/>
      <c r="EP1639" s="6"/>
      <c r="EQ1639" s="6"/>
      <c r="ER1639" s="6"/>
      <c r="ES1639" s="6"/>
      <c r="ET1639" s="6"/>
      <c r="EU1639" s="6"/>
      <c r="EV1639" s="6"/>
      <c r="EW1639" s="6"/>
      <c r="EX1639" s="6"/>
      <c r="EY1639" s="6"/>
      <c r="EZ1639" s="6"/>
      <c r="FA1639" s="6"/>
      <c r="FB1639" s="6"/>
      <c r="FC1639" s="6"/>
      <c r="FD1639" s="6"/>
      <c r="FE1639" s="6"/>
      <c r="FF1639" s="6"/>
      <c r="FG1639" s="6"/>
      <c r="FH1639" s="6"/>
      <c r="FI1639" s="6"/>
      <c r="FJ1639" s="6"/>
      <c r="FK1639" s="6"/>
      <c r="FL1639" s="6"/>
      <c r="FM1639" s="6"/>
      <c r="FN1639" s="6"/>
      <c r="FO1639" s="6"/>
      <c r="FP1639" s="6"/>
      <c r="FQ1639" s="6"/>
      <c r="FR1639" s="6"/>
      <c r="FS1639" s="6"/>
      <c r="FT1639" s="6"/>
      <c r="FU1639" s="6"/>
      <c r="FV1639" s="6"/>
      <c r="FW1639" s="6"/>
      <c r="FX1639" s="6"/>
      <c r="FY1639" s="6"/>
      <c r="FZ1639" s="6"/>
      <c r="GA1639" s="6"/>
      <c r="GB1639" s="6"/>
      <c r="GC1639" s="6"/>
      <c r="GD1639" s="6"/>
      <c r="GE1639" s="6"/>
      <c r="GF1639" s="6"/>
      <c r="GG1639" s="6"/>
      <c r="GH1639" s="6"/>
      <c r="GI1639" s="6"/>
      <c r="GJ1639" s="6"/>
      <c r="GK1639" s="6"/>
      <c r="GL1639" s="6"/>
      <c r="GM1639" s="6"/>
      <c r="GN1639" s="6"/>
      <c r="GO1639" s="6"/>
      <c r="GP1639" s="6"/>
      <c r="GQ1639" s="6"/>
      <c r="GR1639" s="6"/>
      <c r="GS1639" s="6"/>
      <c r="GT1639" s="6"/>
      <c r="GU1639" s="6"/>
      <c r="GV1639" s="6"/>
      <c r="GW1639" s="6"/>
      <c r="GX1639" s="6"/>
      <c r="GY1639" s="6"/>
      <c r="GZ1639" s="6"/>
      <c r="HA1639" s="6"/>
      <c r="HB1639" s="6"/>
      <c r="HC1639" s="6"/>
      <c r="HD1639" s="6"/>
      <c r="HE1639" s="6"/>
      <c r="HF1639" s="6"/>
      <c r="HG1639" s="6"/>
      <c r="HH1639" s="6"/>
    </row>
    <row r="1640" spans="1:216" x14ac:dyDescent="0.3">
      <c r="A1640" s="8"/>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6"/>
      <c r="AR1640" s="6"/>
      <c r="AS1640" s="6"/>
      <c r="AT1640" s="6"/>
      <c r="AU1640" s="6"/>
      <c r="AV1640" s="6"/>
      <c r="AW1640" s="6"/>
      <c r="AX1640" s="6"/>
      <c r="AY1640" s="6"/>
      <c r="AZ1640" s="6"/>
      <c r="BA1640" s="6"/>
      <c r="BB1640" s="6"/>
      <c r="BC1640" s="6"/>
      <c r="BD1640" s="6"/>
      <c r="BE1640" s="6"/>
      <c r="BF1640" s="6"/>
      <c r="BG1640" s="6"/>
      <c r="BH1640" s="6"/>
      <c r="BI1640" s="6"/>
      <c r="BJ1640" s="6"/>
      <c r="BK1640" s="6"/>
      <c r="BL1640" s="6"/>
      <c r="BM1640" s="6"/>
      <c r="BN1640" s="6"/>
      <c r="BO1640" s="6"/>
      <c r="BP1640" s="6"/>
      <c r="BQ1640" s="6"/>
      <c r="BR1640" s="6"/>
      <c r="BS1640" s="6"/>
      <c r="BT1640" s="6"/>
      <c r="BU1640" s="6"/>
      <c r="BV1640" s="6"/>
      <c r="BW1640" s="6"/>
      <c r="BX1640" s="6"/>
      <c r="BY1640" s="6"/>
      <c r="BZ1640" s="6"/>
      <c r="CA1640" s="6"/>
      <c r="CB1640" s="6"/>
      <c r="CC1640" s="6"/>
      <c r="CD1640" s="6"/>
      <c r="CE1640" s="6"/>
      <c r="CF1640" s="6"/>
      <c r="CG1640" s="6"/>
      <c r="CH1640" s="6"/>
      <c r="CI1640" s="6"/>
      <c r="CJ1640" s="6"/>
      <c r="CK1640" s="6"/>
      <c r="CL1640" s="6"/>
      <c r="CM1640" s="6"/>
      <c r="CN1640" s="6"/>
      <c r="CO1640" s="6"/>
      <c r="CP1640" s="6"/>
      <c r="CQ1640" s="6"/>
      <c r="CR1640" s="6"/>
      <c r="CS1640" s="6"/>
      <c r="CT1640" s="6"/>
      <c r="CU1640" s="6"/>
      <c r="CV1640" s="6"/>
      <c r="CW1640" s="6"/>
      <c r="CX1640" s="6"/>
      <c r="CY1640" s="6"/>
      <c r="CZ1640" s="6"/>
      <c r="DA1640" s="6"/>
      <c r="DB1640" s="6"/>
      <c r="DC1640" s="6"/>
      <c r="DD1640" s="6"/>
      <c r="DE1640" s="6"/>
      <c r="DF1640" s="6"/>
      <c r="DG1640" s="6"/>
      <c r="DH1640" s="6"/>
      <c r="DI1640" s="6"/>
      <c r="DJ1640" s="6"/>
      <c r="DK1640" s="6"/>
      <c r="DL1640" s="6"/>
      <c r="DM1640" s="6"/>
      <c r="DN1640" s="6"/>
      <c r="DO1640" s="6"/>
      <c r="DP1640" s="6"/>
      <c r="DQ1640" s="6"/>
      <c r="DR1640" s="6"/>
      <c r="DS1640" s="6"/>
      <c r="DT1640" s="6"/>
      <c r="DU1640" s="6"/>
      <c r="DV1640" s="6"/>
      <c r="DW1640" s="6"/>
      <c r="DX1640" s="6"/>
      <c r="DY1640" s="6"/>
      <c r="DZ1640" s="6"/>
      <c r="EA1640" s="6"/>
      <c r="EB1640" s="6"/>
      <c r="EC1640" s="6"/>
      <c r="ED1640" s="6"/>
      <c r="EE1640" s="6"/>
      <c r="EF1640" s="6"/>
      <c r="EG1640" s="6"/>
      <c r="EH1640" s="6"/>
      <c r="EI1640" s="6"/>
      <c r="EJ1640" s="6"/>
      <c r="EK1640" s="6"/>
      <c r="EL1640" s="6"/>
      <c r="EM1640" s="6"/>
      <c r="EN1640" s="6"/>
      <c r="EO1640" s="6"/>
      <c r="EP1640" s="6"/>
      <c r="EQ1640" s="6"/>
      <c r="ER1640" s="6"/>
      <c r="ES1640" s="6"/>
      <c r="ET1640" s="6"/>
      <c r="EU1640" s="6"/>
      <c r="EV1640" s="6"/>
      <c r="EW1640" s="6"/>
      <c r="EX1640" s="6"/>
      <c r="EY1640" s="6"/>
      <c r="EZ1640" s="6"/>
      <c r="FA1640" s="6"/>
      <c r="FB1640" s="6"/>
      <c r="FC1640" s="6"/>
      <c r="FD1640" s="6"/>
      <c r="FE1640" s="6"/>
      <c r="FF1640" s="6"/>
      <c r="FG1640" s="6"/>
      <c r="FH1640" s="6"/>
      <c r="FI1640" s="6"/>
      <c r="FJ1640" s="6"/>
      <c r="FK1640" s="6"/>
      <c r="FL1640" s="6"/>
      <c r="FM1640" s="6"/>
      <c r="FN1640" s="6"/>
      <c r="FO1640" s="6"/>
      <c r="FP1640" s="6"/>
      <c r="FQ1640" s="6"/>
      <c r="FR1640" s="6"/>
      <c r="FS1640" s="6"/>
      <c r="FT1640" s="6"/>
      <c r="FU1640" s="6"/>
      <c r="FV1640" s="6"/>
      <c r="FW1640" s="6"/>
      <c r="FX1640" s="6"/>
      <c r="FY1640" s="6"/>
      <c r="FZ1640" s="6"/>
      <c r="GA1640" s="6"/>
      <c r="GB1640" s="6"/>
      <c r="GC1640" s="6"/>
      <c r="GD1640" s="6"/>
      <c r="GE1640" s="6"/>
      <c r="GF1640" s="6"/>
      <c r="GG1640" s="6"/>
      <c r="GH1640" s="6"/>
      <c r="GI1640" s="6"/>
      <c r="GJ1640" s="6"/>
      <c r="GK1640" s="6"/>
      <c r="GL1640" s="6"/>
      <c r="GM1640" s="6"/>
      <c r="GN1640" s="6"/>
      <c r="GO1640" s="6"/>
      <c r="GP1640" s="6"/>
      <c r="GQ1640" s="6"/>
      <c r="GR1640" s="6"/>
      <c r="GS1640" s="6"/>
      <c r="GT1640" s="6"/>
      <c r="GU1640" s="6"/>
      <c r="GV1640" s="6"/>
      <c r="GW1640" s="6"/>
      <c r="GX1640" s="6"/>
      <c r="GY1640" s="6"/>
      <c r="GZ1640" s="6"/>
      <c r="HA1640" s="6"/>
      <c r="HB1640" s="6"/>
      <c r="HC1640" s="6"/>
      <c r="HD1640" s="6"/>
      <c r="HE1640" s="6"/>
      <c r="HF1640" s="6"/>
      <c r="HG1640" s="6"/>
      <c r="HH1640" s="6"/>
    </row>
    <row r="1641" spans="1:216" x14ac:dyDescent="0.3">
      <c r="A1641" s="8"/>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6"/>
      <c r="AR1641" s="6"/>
      <c r="AS1641" s="6"/>
      <c r="AT1641" s="6"/>
      <c r="AU1641" s="6"/>
      <c r="AV1641" s="6"/>
      <c r="AW1641" s="6"/>
      <c r="AX1641" s="6"/>
      <c r="AY1641" s="6"/>
      <c r="AZ1641" s="6"/>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c r="DX1641" s="6"/>
      <c r="DY1641" s="6"/>
      <c r="DZ1641" s="6"/>
      <c r="EA1641" s="6"/>
      <c r="EB1641" s="6"/>
      <c r="EC1641" s="6"/>
      <c r="ED1641" s="6"/>
      <c r="EE1641" s="6"/>
      <c r="EF1641" s="6"/>
      <c r="EG1641" s="6"/>
      <c r="EH1641" s="6"/>
      <c r="EI1641" s="6"/>
      <c r="EJ1641" s="6"/>
      <c r="EK1641" s="6"/>
      <c r="EL1641" s="6"/>
      <c r="EM1641" s="6"/>
      <c r="EN1641" s="6"/>
      <c r="EO1641" s="6"/>
      <c r="EP1641" s="6"/>
      <c r="EQ1641" s="6"/>
      <c r="ER1641" s="6"/>
      <c r="ES1641" s="6"/>
      <c r="ET1641" s="6"/>
      <c r="EU1641" s="6"/>
      <c r="EV1641" s="6"/>
      <c r="EW1641" s="6"/>
      <c r="EX1641" s="6"/>
      <c r="EY1641" s="6"/>
      <c r="EZ1641" s="6"/>
      <c r="FA1641" s="6"/>
      <c r="FB1641" s="6"/>
      <c r="FC1641" s="6"/>
      <c r="FD1641" s="6"/>
      <c r="FE1641" s="6"/>
      <c r="FF1641" s="6"/>
      <c r="FG1641" s="6"/>
      <c r="FH1641" s="6"/>
      <c r="FI1641" s="6"/>
      <c r="FJ1641" s="6"/>
      <c r="FK1641" s="6"/>
      <c r="FL1641" s="6"/>
      <c r="FM1641" s="6"/>
      <c r="FN1641" s="6"/>
      <c r="FO1641" s="6"/>
      <c r="FP1641" s="6"/>
      <c r="FQ1641" s="6"/>
      <c r="FR1641" s="6"/>
      <c r="FS1641" s="6"/>
      <c r="FT1641" s="6"/>
      <c r="FU1641" s="6"/>
      <c r="FV1641" s="6"/>
      <c r="FW1641" s="6"/>
      <c r="FX1641" s="6"/>
      <c r="FY1641" s="6"/>
      <c r="FZ1641" s="6"/>
      <c r="GA1641" s="6"/>
      <c r="GB1641" s="6"/>
      <c r="GC1641" s="6"/>
      <c r="GD1641" s="6"/>
      <c r="GE1641" s="6"/>
      <c r="GF1641" s="6"/>
      <c r="GG1641" s="6"/>
      <c r="GH1641" s="6"/>
      <c r="GI1641" s="6"/>
      <c r="GJ1641" s="6"/>
      <c r="GK1641" s="6"/>
      <c r="GL1641" s="6"/>
      <c r="GM1641" s="6"/>
      <c r="GN1641" s="6"/>
      <c r="GO1641" s="6"/>
      <c r="GP1641" s="6"/>
      <c r="GQ1641" s="6"/>
      <c r="GR1641" s="6"/>
      <c r="GS1641" s="6"/>
      <c r="GT1641" s="6"/>
      <c r="GU1641" s="6"/>
      <c r="GV1641" s="6"/>
      <c r="GW1641" s="6"/>
      <c r="GX1641" s="6"/>
      <c r="GY1641" s="6"/>
      <c r="GZ1641" s="6"/>
      <c r="HA1641" s="6"/>
      <c r="HB1641" s="6"/>
      <c r="HC1641" s="6"/>
      <c r="HD1641" s="6"/>
      <c r="HE1641" s="6"/>
      <c r="HF1641" s="6"/>
      <c r="HG1641" s="6"/>
      <c r="HH1641" s="6"/>
    </row>
    <row r="1642" spans="1:216" x14ac:dyDescent="0.3">
      <c r="A1642" s="8"/>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6"/>
      <c r="AR1642" s="6"/>
      <c r="AS1642" s="6"/>
      <c r="AT1642" s="6"/>
      <c r="AU1642" s="6"/>
      <c r="AV1642" s="6"/>
      <c r="AW1642" s="6"/>
      <c r="AX1642" s="6"/>
      <c r="AY1642" s="6"/>
      <c r="AZ1642" s="6"/>
      <c r="BA1642" s="6"/>
      <c r="BB1642" s="6"/>
      <c r="BC1642" s="6"/>
      <c r="BD1642" s="6"/>
      <c r="BE1642" s="6"/>
      <c r="BF1642" s="6"/>
      <c r="BG1642" s="6"/>
      <c r="BH1642" s="6"/>
      <c r="BI1642" s="6"/>
      <c r="BJ1642" s="6"/>
      <c r="BK1642" s="6"/>
      <c r="BL1642" s="6"/>
      <c r="BM1642" s="6"/>
      <c r="BN1642" s="6"/>
      <c r="BO1642" s="6"/>
      <c r="BP1642" s="6"/>
      <c r="BQ1642" s="6"/>
      <c r="BR1642" s="6"/>
      <c r="BS1642" s="6"/>
      <c r="BT1642" s="6"/>
      <c r="BU1642" s="6"/>
      <c r="BV1642" s="6"/>
      <c r="BW1642" s="6"/>
      <c r="BX1642" s="6"/>
      <c r="BY1642" s="6"/>
      <c r="BZ1642" s="6"/>
      <c r="CA1642" s="6"/>
      <c r="CB1642" s="6"/>
      <c r="CC1642" s="6"/>
      <c r="CD1642" s="6"/>
      <c r="CE1642" s="6"/>
      <c r="CF1642" s="6"/>
      <c r="CG1642" s="6"/>
      <c r="CH1642" s="6"/>
      <c r="CI1642" s="6"/>
      <c r="CJ1642" s="6"/>
      <c r="CK1642" s="6"/>
      <c r="CL1642" s="6"/>
      <c r="CM1642" s="6"/>
      <c r="CN1642" s="6"/>
      <c r="CO1642" s="6"/>
      <c r="CP1642" s="6"/>
      <c r="CQ1642" s="6"/>
      <c r="CR1642" s="6"/>
      <c r="CS1642" s="6"/>
      <c r="CT1642" s="6"/>
      <c r="CU1642" s="6"/>
      <c r="CV1642" s="6"/>
      <c r="CW1642" s="6"/>
      <c r="CX1642" s="6"/>
      <c r="CY1642" s="6"/>
      <c r="CZ1642" s="6"/>
      <c r="DA1642" s="6"/>
      <c r="DB1642" s="6"/>
      <c r="DC1642" s="6"/>
      <c r="DD1642" s="6"/>
      <c r="DE1642" s="6"/>
      <c r="DF1642" s="6"/>
      <c r="DG1642" s="6"/>
      <c r="DH1642" s="6"/>
      <c r="DI1642" s="6"/>
      <c r="DJ1642" s="6"/>
      <c r="DK1642" s="6"/>
      <c r="DL1642" s="6"/>
      <c r="DM1642" s="6"/>
      <c r="DN1642" s="6"/>
      <c r="DO1642" s="6"/>
      <c r="DP1642" s="6"/>
      <c r="DQ1642" s="6"/>
      <c r="DR1642" s="6"/>
      <c r="DS1642" s="6"/>
      <c r="DT1642" s="6"/>
      <c r="DU1642" s="6"/>
      <c r="DV1642" s="6"/>
      <c r="DW1642" s="6"/>
      <c r="DX1642" s="6"/>
      <c r="DY1642" s="6"/>
      <c r="DZ1642" s="6"/>
      <c r="EA1642" s="6"/>
      <c r="EB1642" s="6"/>
      <c r="EC1642" s="6"/>
      <c r="ED1642" s="6"/>
      <c r="EE1642" s="6"/>
      <c r="EF1642" s="6"/>
      <c r="EG1642" s="6"/>
      <c r="EH1642" s="6"/>
      <c r="EI1642" s="6"/>
      <c r="EJ1642" s="6"/>
      <c r="EK1642" s="6"/>
      <c r="EL1642" s="6"/>
      <c r="EM1642" s="6"/>
      <c r="EN1642" s="6"/>
      <c r="EO1642" s="6"/>
      <c r="EP1642" s="6"/>
      <c r="EQ1642" s="6"/>
      <c r="ER1642" s="6"/>
      <c r="ES1642" s="6"/>
      <c r="ET1642" s="6"/>
      <c r="EU1642" s="6"/>
      <c r="EV1642" s="6"/>
      <c r="EW1642" s="6"/>
      <c r="EX1642" s="6"/>
      <c r="EY1642" s="6"/>
      <c r="EZ1642" s="6"/>
      <c r="FA1642" s="6"/>
      <c r="FB1642" s="6"/>
      <c r="FC1642" s="6"/>
      <c r="FD1642" s="6"/>
      <c r="FE1642" s="6"/>
      <c r="FF1642" s="6"/>
      <c r="FG1642" s="6"/>
      <c r="FH1642" s="6"/>
      <c r="FI1642" s="6"/>
      <c r="FJ1642" s="6"/>
      <c r="FK1642" s="6"/>
      <c r="FL1642" s="6"/>
      <c r="FM1642" s="6"/>
      <c r="FN1642" s="6"/>
      <c r="FO1642" s="6"/>
      <c r="FP1642" s="6"/>
      <c r="FQ1642" s="6"/>
      <c r="FR1642" s="6"/>
      <c r="FS1642" s="6"/>
      <c r="FT1642" s="6"/>
      <c r="FU1642" s="6"/>
      <c r="FV1642" s="6"/>
      <c r="FW1642" s="6"/>
      <c r="FX1642" s="6"/>
      <c r="FY1642" s="6"/>
      <c r="FZ1642" s="6"/>
      <c r="GA1642" s="6"/>
      <c r="GB1642" s="6"/>
      <c r="GC1642" s="6"/>
      <c r="GD1642" s="6"/>
      <c r="GE1642" s="6"/>
      <c r="GF1642" s="6"/>
      <c r="GG1642" s="6"/>
      <c r="GH1642" s="6"/>
      <c r="GI1642" s="6"/>
      <c r="GJ1642" s="6"/>
      <c r="GK1642" s="6"/>
      <c r="GL1642" s="6"/>
      <c r="GM1642" s="6"/>
      <c r="GN1642" s="6"/>
      <c r="GO1642" s="6"/>
      <c r="GP1642" s="6"/>
      <c r="GQ1642" s="6"/>
      <c r="GR1642" s="6"/>
      <c r="GS1642" s="6"/>
      <c r="GT1642" s="6"/>
      <c r="GU1642" s="6"/>
      <c r="GV1642" s="6"/>
      <c r="GW1642" s="6"/>
      <c r="GX1642" s="6"/>
      <c r="GY1642" s="6"/>
      <c r="GZ1642" s="6"/>
      <c r="HA1642" s="6"/>
      <c r="HB1642" s="6"/>
      <c r="HC1642" s="6"/>
      <c r="HD1642" s="6"/>
      <c r="HE1642" s="6"/>
      <c r="HF1642" s="6"/>
      <c r="HG1642" s="6"/>
      <c r="HH1642" s="6"/>
    </row>
    <row r="1643" spans="1:216" x14ac:dyDescent="0.3">
      <c r="A1643" s="8"/>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6"/>
      <c r="AR1643" s="6"/>
      <c r="AS1643" s="6"/>
      <c r="AT1643" s="6"/>
      <c r="AU1643" s="6"/>
      <c r="AV1643" s="6"/>
      <c r="AW1643" s="6"/>
      <c r="AX1643" s="6"/>
      <c r="AY1643" s="6"/>
      <c r="AZ1643" s="6"/>
      <c r="BA1643" s="6"/>
      <c r="BB1643" s="6"/>
      <c r="BC1643" s="6"/>
      <c r="BD1643" s="6"/>
      <c r="BE1643" s="6"/>
      <c r="BF1643" s="6"/>
      <c r="BG1643" s="6"/>
      <c r="BH1643" s="6"/>
      <c r="BI1643" s="6"/>
      <c r="BJ1643" s="6"/>
      <c r="BK1643" s="6"/>
      <c r="BL1643" s="6"/>
      <c r="BM1643" s="6"/>
      <c r="BN1643" s="6"/>
      <c r="BO1643" s="6"/>
      <c r="BP1643" s="6"/>
      <c r="BQ1643" s="6"/>
      <c r="BR1643" s="6"/>
      <c r="BS1643" s="6"/>
      <c r="BT1643" s="6"/>
      <c r="BU1643" s="6"/>
      <c r="BV1643" s="6"/>
      <c r="BW1643" s="6"/>
      <c r="BX1643" s="6"/>
      <c r="BY1643" s="6"/>
      <c r="BZ1643" s="6"/>
      <c r="CA1643" s="6"/>
      <c r="CB1643" s="6"/>
      <c r="CC1643" s="6"/>
      <c r="CD1643" s="6"/>
      <c r="CE1643" s="6"/>
      <c r="CF1643" s="6"/>
      <c r="CG1643" s="6"/>
      <c r="CH1643" s="6"/>
      <c r="CI1643" s="6"/>
      <c r="CJ1643" s="6"/>
      <c r="CK1643" s="6"/>
      <c r="CL1643" s="6"/>
      <c r="CM1643" s="6"/>
      <c r="CN1643" s="6"/>
      <c r="CO1643" s="6"/>
      <c r="CP1643" s="6"/>
      <c r="CQ1643" s="6"/>
      <c r="CR1643" s="6"/>
      <c r="CS1643" s="6"/>
      <c r="CT1643" s="6"/>
      <c r="CU1643" s="6"/>
      <c r="CV1643" s="6"/>
      <c r="CW1643" s="6"/>
      <c r="CX1643" s="6"/>
      <c r="CY1643" s="6"/>
      <c r="CZ1643" s="6"/>
      <c r="DA1643" s="6"/>
      <c r="DB1643" s="6"/>
      <c r="DC1643" s="6"/>
      <c r="DD1643" s="6"/>
      <c r="DE1643" s="6"/>
      <c r="DF1643" s="6"/>
      <c r="DG1643" s="6"/>
      <c r="DH1643" s="6"/>
      <c r="DI1643" s="6"/>
      <c r="DJ1643" s="6"/>
      <c r="DK1643" s="6"/>
      <c r="DL1643" s="6"/>
      <c r="DM1643" s="6"/>
      <c r="DN1643" s="6"/>
      <c r="DO1643" s="6"/>
      <c r="DP1643" s="6"/>
      <c r="DQ1643" s="6"/>
      <c r="DR1643" s="6"/>
      <c r="DS1643" s="6"/>
      <c r="DT1643" s="6"/>
      <c r="DU1643" s="6"/>
      <c r="DV1643" s="6"/>
      <c r="DW1643" s="6"/>
      <c r="DX1643" s="6"/>
      <c r="DY1643" s="6"/>
      <c r="DZ1643" s="6"/>
      <c r="EA1643" s="6"/>
      <c r="EB1643" s="6"/>
      <c r="EC1643" s="6"/>
      <c r="ED1643" s="6"/>
      <c r="EE1643" s="6"/>
      <c r="EF1643" s="6"/>
      <c r="EG1643" s="6"/>
      <c r="EH1643" s="6"/>
      <c r="EI1643" s="6"/>
      <c r="EJ1643" s="6"/>
      <c r="EK1643" s="6"/>
      <c r="EL1643" s="6"/>
      <c r="EM1643" s="6"/>
      <c r="EN1643" s="6"/>
      <c r="EO1643" s="6"/>
      <c r="EP1643" s="6"/>
      <c r="EQ1643" s="6"/>
      <c r="ER1643" s="6"/>
      <c r="ES1643" s="6"/>
      <c r="ET1643" s="6"/>
      <c r="EU1643" s="6"/>
      <c r="EV1643" s="6"/>
      <c r="EW1643" s="6"/>
      <c r="EX1643" s="6"/>
      <c r="EY1643" s="6"/>
      <c r="EZ1643" s="6"/>
      <c r="FA1643" s="6"/>
      <c r="FB1643" s="6"/>
      <c r="FC1643" s="6"/>
      <c r="FD1643" s="6"/>
      <c r="FE1643" s="6"/>
      <c r="FF1643" s="6"/>
      <c r="FG1643" s="6"/>
      <c r="FH1643" s="6"/>
      <c r="FI1643" s="6"/>
      <c r="FJ1643" s="6"/>
      <c r="FK1643" s="6"/>
      <c r="FL1643" s="6"/>
      <c r="FM1643" s="6"/>
      <c r="FN1643" s="6"/>
      <c r="FO1643" s="6"/>
      <c r="FP1643" s="6"/>
      <c r="FQ1643" s="6"/>
      <c r="FR1643" s="6"/>
      <c r="FS1643" s="6"/>
      <c r="FT1643" s="6"/>
      <c r="FU1643" s="6"/>
      <c r="FV1643" s="6"/>
      <c r="FW1643" s="6"/>
      <c r="FX1643" s="6"/>
      <c r="FY1643" s="6"/>
      <c r="FZ1643" s="6"/>
      <c r="GA1643" s="6"/>
      <c r="GB1643" s="6"/>
      <c r="GC1643" s="6"/>
      <c r="GD1643" s="6"/>
      <c r="GE1643" s="6"/>
      <c r="GF1643" s="6"/>
      <c r="GG1643" s="6"/>
      <c r="GH1643" s="6"/>
      <c r="GI1643" s="6"/>
      <c r="GJ1643" s="6"/>
      <c r="GK1643" s="6"/>
      <c r="GL1643" s="6"/>
      <c r="GM1643" s="6"/>
      <c r="GN1643" s="6"/>
      <c r="GO1643" s="6"/>
      <c r="GP1643" s="6"/>
      <c r="GQ1643" s="6"/>
      <c r="GR1643" s="6"/>
      <c r="GS1643" s="6"/>
      <c r="GT1643" s="6"/>
      <c r="GU1643" s="6"/>
      <c r="GV1643" s="6"/>
      <c r="GW1643" s="6"/>
      <c r="GX1643" s="6"/>
      <c r="GY1643" s="6"/>
      <c r="GZ1643" s="6"/>
      <c r="HA1643" s="6"/>
      <c r="HB1643" s="6"/>
      <c r="HC1643" s="6"/>
      <c r="HD1643" s="6"/>
      <c r="HE1643" s="6"/>
      <c r="HF1643" s="6"/>
      <c r="HG1643" s="6"/>
      <c r="HH1643" s="6"/>
    </row>
    <row r="1644" spans="1:216" x14ac:dyDescent="0.3">
      <c r="A1644" s="8"/>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6"/>
      <c r="AR1644" s="6"/>
      <c r="AS1644" s="6"/>
      <c r="AT1644" s="6"/>
      <c r="AU1644" s="6"/>
      <c r="AV1644" s="6"/>
      <c r="AW1644" s="6"/>
      <c r="AX1644" s="6"/>
      <c r="AY1644" s="6"/>
      <c r="AZ1644" s="6"/>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c r="DX1644" s="6"/>
      <c r="DY1644" s="6"/>
      <c r="DZ1644" s="6"/>
      <c r="EA1644" s="6"/>
      <c r="EB1644" s="6"/>
      <c r="EC1644" s="6"/>
      <c r="ED1644" s="6"/>
      <c r="EE1644" s="6"/>
      <c r="EF1644" s="6"/>
      <c r="EG1644" s="6"/>
      <c r="EH1644" s="6"/>
      <c r="EI1644" s="6"/>
      <c r="EJ1644" s="6"/>
      <c r="EK1644" s="6"/>
      <c r="EL1644" s="6"/>
      <c r="EM1644" s="6"/>
      <c r="EN1644" s="6"/>
      <c r="EO1644" s="6"/>
      <c r="EP1644" s="6"/>
      <c r="EQ1644" s="6"/>
      <c r="ER1644" s="6"/>
      <c r="ES1644" s="6"/>
      <c r="ET1644" s="6"/>
      <c r="EU1644" s="6"/>
      <c r="EV1644" s="6"/>
      <c r="EW1644" s="6"/>
      <c r="EX1644" s="6"/>
      <c r="EY1644" s="6"/>
      <c r="EZ1644" s="6"/>
      <c r="FA1644" s="6"/>
      <c r="FB1644" s="6"/>
      <c r="FC1644" s="6"/>
      <c r="FD1644" s="6"/>
      <c r="FE1644" s="6"/>
      <c r="FF1644" s="6"/>
      <c r="FG1644" s="6"/>
      <c r="FH1644" s="6"/>
      <c r="FI1644" s="6"/>
      <c r="FJ1644" s="6"/>
      <c r="FK1644" s="6"/>
      <c r="FL1644" s="6"/>
      <c r="FM1644" s="6"/>
      <c r="FN1644" s="6"/>
      <c r="FO1644" s="6"/>
      <c r="FP1644" s="6"/>
      <c r="FQ1644" s="6"/>
      <c r="FR1644" s="6"/>
      <c r="FS1644" s="6"/>
      <c r="FT1644" s="6"/>
      <c r="FU1644" s="6"/>
      <c r="FV1644" s="6"/>
      <c r="FW1644" s="6"/>
      <c r="FX1644" s="6"/>
      <c r="FY1644" s="6"/>
      <c r="FZ1644" s="6"/>
      <c r="GA1644" s="6"/>
      <c r="GB1644" s="6"/>
      <c r="GC1644" s="6"/>
      <c r="GD1644" s="6"/>
      <c r="GE1644" s="6"/>
      <c r="GF1644" s="6"/>
      <c r="GG1644" s="6"/>
      <c r="GH1644" s="6"/>
      <c r="GI1644" s="6"/>
      <c r="GJ1644" s="6"/>
      <c r="GK1644" s="6"/>
      <c r="GL1644" s="6"/>
      <c r="GM1644" s="6"/>
      <c r="GN1644" s="6"/>
      <c r="GO1644" s="6"/>
      <c r="GP1644" s="6"/>
      <c r="GQ1644" s="6"/>
      <c r="GR1644" s="6"/>
      <c r="GS1644" s="6"/>
      <c r="GT1644" s="6"/>
      <c r="GU1644" s="6"/>
      <c r="GV1644" s="6"/>
      <c r="GW1644" s="6"/>
      <c r="GX1644" s="6"/>
      <c r="GY1644" s="6"/>
      <c r="GZ1644" s="6"/>
      <c r="HA1644" s="6"/>
      <c r="HB1644" s="6"/>
      <c r="HC1644" s="6"/>
      <c r="HD1644" s="6"/>
      <c r="HE1644" s="6"/>
      <c r="HF1644" s="6"/>
      <c r="HG1644" s="6"/>
      <c r="HH1644" s="6"/>
    </row>
    <row r="1645" spans="1:216" x14ac:dyDescent="0.3">
      <c r="A1645" s="8"/>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6"/>
      <c r="AR1645" s="6"/>
      <c r="AS1645" s="6"/>
      <c r="AT1645" s="6"/>
      <c r="AU1645" s="6"/>
      <c r="AV1645" s="6"/>
      <c r="AW1645" s="6"/>
      <c r="AX1645" s="6"/>
      <c r="AY1645" s="6"/>
      <c r="AZ1645" s="6"/>
      <c r="BA1645" s="6"/>
      <c r="BB1645" s="6"/>
      <c r="BC1645" s="6"/>
      <c r="BD1645" s="6"/>
      <c r="BE1645" s="6"/>
      <c r="BF1645" s="6"/>
      <c r="BG1645" s="6"/>
      <c r="BH1645" s="6"/>
      <c r="BI1645" s="6"/>
      <c r="BJ1645" s="6"/>
      <c r="BK1645" s="6"/>
      <c r="BL1645" s="6"/>
      <c r="BM1645" s="6"/>
      <c r="BN1645" s="6"/>
      <c r="BO1645" s="6"/>
      <c r="BP1645" s="6"/>
      <c r="BQ1645" s="6"/>
      <c r="BR1645" s="6"/>
      <c r="BS1645" s="6"/>
      <c r="BT1645" s="6"/>
      <c r="BU1645" s="6"/>
      <c r="BV1645" s="6"/>
      <c r="BW1645" s="6"/>
      <c r="BX1645" s="6"/>
      <c r="BY1645" s="6"/>
      <c r="BZ1645" s="6"/>
      <c r="CA1645" s="6"/>
      <c r="CB1645" s="6"/>
      <c r="CC1645" s="6"/>
      <c r="CD1645" s="6"/>
      <c r="CE1645" s="6"/>
      <c r="CF1645" s="6"/>
      <c r="CG1645" s="6"/>
      <c r="CH1645" s="6"/>
      <c r="CI1645" s="6"/>
      <c r="CJ1645" s="6"/>
      <c r="CK1645" s="6"/>
      <c r="CL1645" s="6"/>
      <c r="CM1645" s="6"/>
      <c r="CN1645" s="6"/>
      <c r="CO1645" s="6"/>
      <c r="CP1645" s="6"/>
      <c r="CQ1645" s="6"/>
      <c r="CR1645" s="6"/>
      <c r="CS1645" s="6"/>
      <c r="CT1645" s="6"/>
      <c r="CU1645" s="6"/>
      <c r="CV1645" s="6"/>
      <c r="CW1645" s="6"/>
      <c r="CX1645" s="6"/>
      <c r="CY1645" s="6"/>
      <c r="CZ1645" s="6"/>
      <c r="DA1645" s="6"/>
      <c r="DB1645" s="6"/>
      <c r="DC1645" s="6"/>
      <c r="DD1645" s="6"/>
      <c r="DE1645" s="6"/>
      <c r="DF1645" s="6"/>
      <c r="DG1645" s="6"/>
      <c r="DH1645" s="6"/>
      <c r="DI1645" s="6"/>
      <c r="DJ1645" s="6"/>
      <c r="DK1645" s="6"/>
      <c r="DL1645" s="6"/>
      <c r="DM1645" s="6"/>
      <c r="DN1645" s="6"/>
      <c r="DO1645" s="6"/>
      <c r="DP1645" s="6"/>
      <c r="DQ1645" s="6"/>
      <c r="DR1645" s="6"/>
      <c r="DS1645" s="6"/>
      <c r="DT1645" s="6"/>
      <c r="DU1645" s="6"/>
      <c r="DV1645" s="6"/>
      <c r="DW1645" s="6"/>
      <c r="DX1645" s="6"/>
      <c r="DY1645" s="6"/>
      <c r="DZ1645" s="6"/>
      <c r="EA1645" s="6"/>
      <c r="EB1645" s="6"/>
      <c r="EC1645" s="6"/>
      <c r="ED1645" s="6"/>
      <c r="EE1645" s="6"/>
      <c r="EF1645" s="6"/>
      <c r="EG1645" s="6"/>
      <c r="EH1645" s="6"/>
      <c r="EI1645" s="6"/>
      <c r="EJ1645" s="6"/>
      <c r="EK1645" s="6"/>
      <c r="EL1645" s="6"/>
      <c r="EM1645" s="6"/>
      <c r="EN1645" s="6"/>
      <c r="EO1645" s="6"/>
      <c r="EP1645" s="6"/>
      <c r="EQ1645" s="6"/>
      <c r="ER1645" s="6"/>
      <c r="ES1645" s="6"/>
      <c r="ET1645" s="6"/>
      <c r="EU1645" s="6"/>
      <c r="EV1645" s="6"/>
      <c r="EW1645" s="6"/>
      <c r="EX1645" s="6"/>
      <c r="EY1645" s="6"/>
      <c r="EZ1645" s="6"/>
      <c r="FA1645" s="6"/>
      <c r="FB1645" s="6"/>
      <c r="FC1645" s="6"/>
      <c r="FD1645" s="6"/>
      <c r="FE1645" s="6"/>
      <c r="FF1645" s="6"/>
      <c r="FG1645" s="6"/>
      <c r="FH1645" s="6"/>
      <c r="FI1645" s="6"/>
      <c r="FJ1645" s="6"/>
      <c r="FK1645" s="6"/>
      <c r="FL1645" s="6"/>
      <c r="FM1645" s="6"/>
      <c r="FN1645" s="6"/>
      <c r="FO1645" s="6"/>
      <c r="FP1645" s="6"/>
      <c r="FQ1645" s="6"/>
      <c r="FR1645" s="6"/>
      <c r="FS1645" s="6"/>
      <c r="FT1645" s="6"/>
      <c r="FU1645" s="6"/>
      <c r="FV1645" s="6"/>
      <c r="FW1645" s="6"/>
      <c r="FX1645" s="6"/>
      <c r="FY1645" s="6"/>
      <c r="FZ1645" s="6"/>
      <c r="GA1645" s="6"/>
      <c r="GB1645" s="6"/>
      <c r="GC1645" s="6"/>
      <c r="GD1645" s="6"/>
      <c r="GE1645" s="6"/>
      <c r="GF1645" s="6"/>
      <c r="GG1645" s="6"/>
      <c r="GH1645" s="6"/>
      <c r="GI1645" s="6"/>
      <c r="GJ1645" s="6"/>
      <c r="GK1645" s="6"/>
      <c r="GL1645" s="6"/>
      <c r="GM1645" s="6"/>
      <c r="GN1645" s="6"/>
      <c r="GO1645" s="6"/>
      <c r="GP1645" s="6"/>
      <c r="GQ1645" s="6"/>
      <c r="GR1645" s="6"/>
      <c r="GS1645" s="6"/>
      <c r="GT1645" s="6"/>
      <c r="GU1645" s="6"/>
      <c r="GV1645" s="6"/>
      <c r="GW1645" s="6"/>
      <c r="GX1645" s="6"/>
      <c r="GY1645" s="6"/>
      <c r="GZ1645" s="6"/>
      <c r="HA1645" s="6"/>
      <c r="HB1645" s="6"/>
      <c r="HC1645" s="6"/>
      <c r="HD1645" s="6"/>
      <c r="HE1645" s="6"/>
      <c r="HF1645" s="6"/>
      <c r="HG1645" s="6"/>
      <c r="HH1645" s="6"/>
    </row>
    <row r="1646" spans="1:216" x14ac:dyDescent="0.3">
      <c r="A1646" s="8"/>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c r="DX1646" s="6"/>
      <c r="DY1646" s="6"/>
      <c r="DZ1646" s="6"/>
      <c r="EA1646" s="6"/>
      <c r="EB1646" s="6"/>
      <c r="EC1646" s="6"/>
      <c r="ED1646" s="6"/>
      <c r="EE1646" s="6"/>
      <c r="EF1646" s="6"/>
      <c r="EG1646" s="6"/>
      <c r="EH1646" s="6"/>
      <c r="EI1646" s="6"/>
      <c r="EJ1646" s="6"/>
      <c r="EK1646" s="6"/>
      <c r="EL1646" s="6"/>
      <c r="EM1646" s="6"/>
      <c r="EN1646" s="6"/>
      <c r="EO1646" s="6"/>
      <c r="EP1646" s="6"/>
      <c r="EQ1646" s="6"/>
      <c r="ER1646" s="6"/>
      <c r="ES1646" s="6"/>
      <c r="ET1646" s="6"/>
      <c r="EU1646" s="6"/>
      <c r="EV1646" s="6"/>
      <c r="EW1646" s="6"/>
      <c r="EX1646" s="6"/>
      <c r="EY1646" s="6"/>
      <c r="EZ1646" s="6"/>
      <c r="FA1646" s="6"/>
      <c r="FB1646" s="6"/>
      <c r="FC1646" s="6"/>
      <c r="FD1646" s="6"/>
      <c r="FE1646" s="6"/>
      <c r="FF1646" s="6"/>
      <c r="FG1646" s="6"/>
      <c r="FH1646" s="6"/>
      <c r="FI1646" s="6"/>
      <c r="FJ1646" s="6"/>
      <c r="FK1646" s="6"/>
      <c r="FL1646" s="6"/>
      <c r="FM1646" s="6"/>
      <c r="FN1646" s="6"/>
      <c r="FO1646" s="6"/>
      <c r="FP1646" s="6"/>
      <c r="FQ1646" s="6"/>
      <c r="FR1646" s="6"/>
      <c r="FS1646" s="6"/>
      <c r="FT1646" s="6"/>
      <c r="FU1646" s="6"/>
      <c r="FV1646" s="6"/>
      <c r="FW1646" s="6"/>
      <c r="FX1646" s="6"/>
      <c r="FY1646" s="6"/>
      <c r="FZ1646" s="6"/>
      <c r="GA1646" s="6"/>
      <c r="GB1646" s="6"/>
      <c r="GC1646" s="6"/>
      <c r="GD1646" s="6"/>
      <c r="GE1646" s="6"/>
      <c r="GF1646" s="6"/>
      <c r="GG1646" s="6"/>
      <c r="GH1646" s="6"/>
      <c r="GI1646" s="6"/>
      <c r="GJ1646" s="6"/>
      <c r="GK1646" s="6"/>
      <c r="GL1646" s="6"/>
      <c r="GM1646" s="6"/>
      <c r="GN1646" s="6"/>
      <c r="GO1646" s="6"/>
      <c r="GP1646" s="6"/>
      <c r="GQ1646" s="6"/>
      <c r="GR1646" s="6"/>
      <c r="GS1646" s="6"/>
      <c r="GT1646" s="6"/>
      <c r="GU1646" s="6"/>
      <c r="GV1646" s="6"/>
      <c r="GW1646" s="6"/>
      <c r="GX1646" s="6"/>
      <c r="GY1646" s="6"/>
      <c r="GZ1646" s="6"/>
      <c r="HA1646" s="6"/>
      <c r="HB1646" s="6"/>
      <c r="HC1646" s="6"/>
      <c r="HD1646" s="6"/>
      <c r="HE1646" s="6"/>
      <c r="HF1646" s="6"/>
      <c r="HG1646" s="6"/>
      <c r="HH1646" s="6"/>
    </row>
    <row r="1647" spans="1:216" x14ac:dyDescent="0.3">
      <c r="A1647" s="8"/>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6"/>
      <c r="AR1647" s="6"/>
      <c r="AS1647" s="6"/>
      <c r="AT1647" s="6"/>
      <c r="AU1647" s="6"/>
      <c r="AV1647" s="6"/>
      <c r="AW1647" s="6"/>
      <c r="AX1647" s="6"/>
      <c r="AY1647" s="6"/>
      <c r="AZ1647" s="6"/>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c r="DX1647" s="6"/>
      <c r="DY1647" s="6"/>
      <c r="DZ1647" s="6"/>
      <c r="EA1647" s="6"/>
      <c r="EB1647" s="6"/>
      <c r="EC1647" s="6"/>
      <c r="ED1647" s="6"/>
      <c r="EE1647" s="6"/>
      <c r="EF1647" s="6"/>
      <c r="EG1647" s="6"/>
      <c r="EH1647" s="6"/>
      <c r="EI1647" s="6"/>
      <c r="EJ1647" s="6"/>
      <c r="EK1647" s="6"/>
      <c r="EL1647" s="6"/>
      <c r="EM1647" s="6"/>
      <c r="EN1647" s="6"/>
      <c r="EO1647" s="6"/>
      <c r="EP1647" s="6"/>
      <c r="EQ1647" s="6"/>
      <c r="ER1647" s="6"/>
      <c r="ES1647" s="6"/>
      <c r="ET1647" s="6"/>
      <c r="EU1647" s="6"/>
      <c r="EV1647" s="6"/>
      <c r="EW1647" s="6"/>
      <c r="EX1647" s="6"/>
      <c r="EY1647" s="6"/>
      <c r="EZ1647" s="6"/>
      <c r="FA1647" s="6"/>
      <c r="FB1647" s="6"/>
      <c r="FC1647" s="6"/>
      <c r="FD1647" s="6"/>
      <c r="FE1647" s="6"/>
      <c r="FF1647" s="6"/>
      <c r="FG1647" s="6"/>
      <c r="FH1647" s="6"/>
      <c r="FI1647" s="6"/>
      <c r="FJ1647" s="6"/>
      <c r="FK1647" s="6"/>
      <c r="FL1647" s="6"/>
      <c r="FM1647" s="6"/>
      <c r="FN1647" s="6"/>
      <c r="FO1647" s="6"/>
      <c r="FP1647" s="6"/>
      <c r="FQ1647" s="6"/>
      <c r="FR1647" s="6"/>
      <c r="FS1647" s="6"/>
      <c r="FT1647" s="6"/>
      <c r="FU1647" s="6"/>
      <c r="FV1647" s="6"/>
      <c r="FW1647" s="6"/>
      <c r="FX1647" s="6"/>
      <c r="FY1647" s="6"/>
      <c r="FZ1647" s="6"/>
      <c r="GA1647" s="6"/>
      <c r="GB1647" s="6"/>
      <c r="GC1647" s="6"/>
      <c r="GD1647" s="6"/>
      <c r="GE1647" s="6"/>
      <c r="GF1647" s="6"/>
      <c r="GG1647" s="6"/>
      <c r="GH1647" s="6"/>
      <c r="GI1647" s="6"/>
      <c r="GJ1647" s="6"/>
      <c r="GK1647" s="6"/>
      <c r="GL1647" s="6"/>
      <c r="GM1647" s="6"/>
      <c r="GN1647" s="6"/>
      <c r="GO1647" s="6"/>
      <c r="GP1647" s="6"/>
      <c r="GQ1647" s="6"/>
      <c r="GR1647" s="6"/>
      <c r="GS1647" s="6"/>
      <c r="GT1647" s="6"/>
      <c r="GU1647" s="6"/>
      <c r="GV1647" s="6"/>
      <c r="GW1647" s="6"/>
      <c r="GX1647" s="6"/>
      <c r="GY1647" s="6"/>
      <c r="GZ1647" s="6"/>
      <c r="HA1647" s="6"/>
      <c r="HB1647" s="6"/>
      <c r="HC1647" s="6"/>
      <c r="HD1647" s="6"/>
      <c r="HE1647" s="6"/>
      <c r="HF1647" s="6"/>
      <c r="HG1647" s="6"/>
      <c r="HH1647" s="6"/>
    </row>
    <row r="1648" spans="1:216" x14ac:dyDescent="0.3">
      <c r="A1648" s="8"/>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6"/>
      <c r="AR1648" s="6"/>
      <c r="AS1648" s="6"/>
      <c r="AT1648" s="6"/>
      <c r="AU1648" s="6"/>
      <c r="AV1648" s="6"/>
      <c r="AW1648" s="6"/>
      <c r="AX1648" s="6"/>
      <c r="AY1648" s="6"/>
      <c r="AZ1648" s="6"/>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c r="DX1648" s="6"/>
      <c r="DY1648" s="6"/>
      <c r="DZ1648" s="6"/>
      <c r="EA1648" s="6"/>
      <c r="EB1648" s="6"/>
      <c r="EC1648" s="6"/>
      <c r="ED1648" s="6"/>
      <c r="EE1648" s="6"/>
      <c r="EF1648" s="6"/>
      <c r="EG1648" s="6"/>
      <c r="EH1648" s="6"/>
      <c r="EI1648" s="6"/>
      <c r="EJ1648" s="6"/>
      <c r="EK1648" s="6"/>
      <c r="EL1648" s="6"/>
      <c r="EM1648" s="6"/>
      <c r="EN1648" s="6"/>
      <c r="EO1648" s="6"/>
      <c r="EP1648" s="6"/>
      <c r="EQ1648" s="6"/>
      <c r="ER1648" s="6"/>
      <c r="ES1648" s="6"/>
      <c r="ET1648" s="6"/>
      <c r="EU1648" s="6"/>
      <c r="EV1648" s="6"/>
      <c r="EW1648" s="6"/>
      <c r="EX1648" s="6"/>
      <c r="EY1648" s="6"/>
      <c r="EZ1648" s="6"/>
      <c r="FA1648" s="6"/>
      <c r="FB1648" s="6"/>
      <c r="FC1648" s="6"/>
      <c r="FD1648" s="6"/>
      <c r="FE1648" s="6"/>
      <c r="FF1648" s="6"/>
      <c r="FG1648" s="6"/>
      <c r="FH1648" s="6"/>
      <c r="FI1648" s="6"/>
      <c r="FJ1648" s="6"/>
      <c r="FK1648" s="6"/>
      <c r="FL1648" s="6"/>
      <c r="FM1648" s="6"/>
      <c r="FN1648" s="6"/>
      <c r="FO1648" s="6"/>
      <c r="FP1648" s="6"/>
      <c r="FQ1648" s="6"/>
      <c r="FR1648" s="6"/>
      <c r="FS1648" s="6"/>
      <c r="FT1648" s="6"/>
      <c r="FU1648" s="6"/>
      <c r="FV1648" s="6"/>
      <c r="FW1648" s="6"/>
      <c r="FX1648" s="6"/>
      <c r="FY1648" s="6"/>
      <c r="FZ1648" s="6"/>
      <c r="GA1648" s="6"/>
      <c r="GB1648" s="6"/>
      <c r="GC1648" s="6"/>
      <c r="GD1648" s="6"/>
      <c r="GE1648" s="6"/>
      <c r="GF1648" s="6"/>
      <c r="GG1648" s="6"/>
      <c r="GH1648" s="6"/>
      <c r="GI1648" s="6"/>
      <c r="GJ1648" s="6"/>
      <c r="GK1648" s="6"/>
      <c r="GL1648" s="6"/>
      <c r="GM1648" s="6"/>
      <c r="GN1648" s="6"/>
      <c r="GO1648" s="6"/>
      <c r="GP1648" s="6"/>
      <c r="GQ1648" s="6"/>
      <c r="GR1648" s="6"/>
      <c r="GS1648" s="6"/>
      <c r="GT1648" s="6"/>
      <c r="GU1648" s="6"/>
      <c r="GV1648" s="6"/>
      <c r="GW1648" s="6"/>
      <c r="GX1648" s="6"/>
      <c r="GY1648" s="6"/>
      <c r="GZ1648" s="6"/>
      <c r="HA1648" s="6"/>
      <c r="HB1648" s="6"/>
      <c r="HC1648" s="6"/>
      <c r="HD1648" s="6"/>
      <c r="HE1648" s="6"/>
      <c r="HF1648" s="6"/>
      <c r="HG1648" s="6"/>
      <c r="HH1648" s="6"/>
    </row>
    <row r="1649" spans="1:216" x14ac:dyDescent="0.3">
      <c r="A1649" s="8"/>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6"/>
      <c r="AR1649" s="6"/>
      <c r="AS1649" s="6"/>
      <c r="AT1649" s="6"/>
      <c r="AU1649" s="6"/>
      <c r="AV1649" s="6"/>
      <c r="AW1649" s="6"/>
      <c r="AX1649" s="6"/>
      <c r="AY1649" s="6"/>
      <c r="AZ1649" s="6"/>
      <c r="BA1649" s="6"/>
      <c r="BB1649" s="6"/>
      <c r="BC1649" s="6"/>
      <c r="BD1649" s="6"/>
      <c r="BE1649" s="6"/>
      <c r="BF1649" s="6"/>
      <c r="BG1649" s="6"/>
      <c r="BH1649" s="6"/>
      <c r="BI1649" s="6"/>
      <c r="BJ1649" s="6"/>
      <c r="BK1649" s="6"/>
      <c r="BL1649" s="6"/>
      <c r="BM1649" s="6"/>
      <c r="BN1649" s="6"/>
      <c r="BO1649" s="6"/>
      <c r="BP1649" s="6"/>
      <c r="BQ1649" s="6"/>
      <c r="BR1649" s="6"/>
      <c r="BS1649" s="6"/>
      <c r="BT1649" s="6"/>
      <c r="BU1649" s="6"/>
      <c r="BV1649" s="6"/>
      <c r="BW1649" s="6"/>
      <c r="BX1649" s="6"/>
      <c r="BY1649" s="6"/>
      <c r="BZ1649" s="6"/>
      <c r="CA1649" s="6"/>
      <c r="CB1649" s="6"/>
      <c r="CC1649" s="6"/>
      <c r="CD1649" s="6"/>
      <c r="CE1649" s="6"/>
      <c r="CF1649" s="6"/>
      <c r="CG1649" s="6"/>
      <c r="CH1649" s="6"/>
      <c r="CI1649" s="6"/>
      <c r="CJ1649" s="6"/>
      <c r="CK1649" s="6"/>
      <c r="CL1649" s="6"/>
      <c r="CM1649" s="6"/>
      <c r="CN1649" s="6"/>
      <c r="CO1649" s="6"/>
      <c r="CP1649" s="6"/>
      <c r="CQ1649" s="6"/>
      <c r="CR1649" s="6"/>
      <c r="CS1649" s="6"/>
      <c r="CT1649" s="6"/>
      <c r="CU1649" s="6"/>
      <c r="CV1649" s="6"/>
      <c r="CW1649" s="6"/>
      <c r="CX1649" s="6"/>
      <c r="CY1649" s="6"/>
      <c r="CZ1649" s="6"/>
      <c r="DA1649" s="6"/>
      <c r="DB1649" s="6"/>
      <c r="DC1649" s="6"/>
      <c r="DD1649" s="6"/>
      <c r="DE1649" s="6"/>
      <c r="DF1649" s="6"/>
      <c r="DG1649" s="6"/>
      <c r="DH1649" s="6"/>
      <c r="DI1649" s="6"/>
      <c r="DJ1649" s="6"/>
      <c r="DK1649" s="6"/>
      <c r="DL1649" s="6"/>
      <c r="DM1649" s="6"/>
      <c r="DN1649" s="6"/>
      <c r="DO1649" s="6"/>
      <c r="DP1649" s="6"/>
      <c r="DQ1649" s="6"/>
      <c r="DR1649" s="6"/>
      <c r="DS1649" s="6"/>
      <c r="DT1649" s="6"/>
      <c r="DU1649" s="6"/>
      <c r="DV1649" s="6"/>
      <c r="DW1649" s="6"/>
      <c r="DX1649" s="6"/>
      <c r="DY1649" s="6"/>
      <c r="DZ1649" s="6"/>
      <c r="EA1649" s="6"/>
      <c r="EB1649" s="6"/>
      <c r="EC1649" s="6"/>
      <c r="ED1649" s="6"/>
      <c r="EE1649" s="6"/>
      <c r="EF1649" s="6"/>
      <c r="EG1649" s="6"/>
      <c r="EH1649" s="6"/>
      <c r="EI1649" s="6"/>
      <c r="EJ1649" s="6"/>
      <c r="EK1649" s="6"/>
      <c r="EL1649" s="6"/>
      <c r="EM1649" s="6"/>
      <c r="EN1649" s="6"/>
      <c r="EO1649" s="6"/>
      <c r="EP1649" s="6"/>
      <c r="EQ1649" s="6"/>
      <c r="ER1649" s="6"/>
      <c r="ES1649" s="6"/>
      <c r="ET1649" s="6"/>
      <c r="EU1649" s="6"/>
      <c r="EV1649" s="6"/>
      <c r="EW1649" s="6"/>
      <c r="EX1649" s="6"/>
      <c r="EY1649" s="6"/>
      <c r="EZ1649" s="6"/>
      <c r="FA1649" s="6"/>
      <c r="FB1649" s="6"/>
      <c r="FC1649" s="6"/>
      <c r="FD1649" s="6"/>
      <c r="FE1649" s="6"/>
      <c r="FF1649" s="6"/>
      <c r="FG1649" s="6"/>
      <c r="FH1649" s="6"/>
      <c r="FI1649" s="6"/>
      <c r="FJ1649" s="6"/>
      <c r="FK1649" s="6"/>
      <c r="FL1649" s="6"/>
      <c r="FM1649" s="6"/>
      <c r="FN1649" s="6"/>
      <c r="FO1649" s="6"/>
      <c r="FP1649" s="6"/>
      <c r="FQ1649" s="6"/>
      <c r="FR1649" s="6"/>
      <c r="FS1649" s="6"/>
      <c r="FT1649" s="6"/>
      <c r="FU1649" s="6"/>
      <c r="FV1649" s="6"/>
      <c r="FW1649" s="6"/>
      <c r="FX1649" s="6"/>
      <c r="FY1649" s="6"/>
      <c r="FZ1649" s="6"/>
      <c r="GA1649" s="6"/>
      <c r="GB1649" s="6"/>
      <c r="GC1649" s="6"/>
      <c r="GD1649" s="6"/>
      <c r="GE1649" s="6"/>
      <c r="GF1649" s="6"/>
      <c r="GG1649" s="6"/>
      <c r="GH1649" s="6"/>
      <c r="GI1649" s="6"/>
      <c r="GJ1649" s="6"/>
      <c r="GK1649" s="6"/>
      <c r="GL1649" s="6"/>
      <c r="GM1649" s="6"/>
      <c r="GN1649" s="6"/>
      <c r="GO1649" s="6"/>
      <c r="GP1649" s="6"/>
      <c r="GQ1649" s="6"/>
      <c r="GR1649" s="6"/>
      <c r="GS1649" s="6"/>
      <c r="GT1649" s="6"/>
      <c r="GU1649" s="6"/>
      <c r="GV1649" s="6"/>
      <c r="GW1649" s="6"/>
      <c r="GX1649" s="6"/>
      <c r="GY1649" s="6"/>
      <c r="GZ1649" s="6"/>
      <c r="HA1649" s="6"/>
      <c r="HB1649" s="6"/>
      <c r="HC1649" s="6"/>
      <c r="HD1649" s="6"/>
      <c r="HE1649" s="6"/>
      <c r="HF1649" s="6"/>
      <c r="HG1649" s="6"/>
      <c r="HH1649" s="6"/>
    </row>
    <row r="1650" spans="1:216" x14ac:dyDescent="0.3">
      <c r="A1650" s="8"/>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6"/>
      <c r="AR1650" s="6"/>
      <c r="AS1650" s="6"/>
      <c r="AT1650" s="6"/>
      <c r="AU1650" s="6"/>
      <c r="AV1650" s="6"/>
      <c r="AW1650" s="6"/>
      <c r="AX1650" s="6"/>
      <c r="AY1650" s="6"/>
      <c r="AZ1650" s="6"/>
      <c r="BA1650" s="6"/>
      <c r="BB1650" s="6"/>
      <c r="BC1650" s="6"/>
      <c r="BD1650" s="6"/>
      <c r="BE1650" s="6"/>
      <c r="BF1650" s="6"/>
      <c r="BG1650" s="6"/>
      <c r="BH1650" s="6"/>
      <c r="BI1650" s="6"/>
      <c r="BJ1650" s="6"/>
      <c r="BK1650" s="6"/>
      <c r="BL1650" s="6"/>
      <c r="BM1650" s="6"/>
      <c r="BN1650" s="6"/>
      <c r="BO1650" s="6"/>
      <c r="BP1650" s="6"/>
      <c r="BQ1650" s="6"/>
      <c r="BR1650" s="6"/>
      <c r="BS1650" s="6"/>
      <c r="BT1650" s="6"/>
      <c r="BU1650" s="6"/>
      <c r="BV1650" s="6"/>
      <c r="BW1650" s="6"/>
      <c r="BX1650" s="6"/>
      <c r="BY1650" s="6"/>
      <c r="BZ1650" s="6"/>
      <c r="CA1650" s="6"/>
      <c r="CB1650" s="6"/>
      <c r="CC1650" s="6"/>
      <c r="CD1650" s="6"/>
      <c r="CE1650" s="6"/>
      <c r="CF1650" s="6"/>
      <c r="CG1650" s="6"/>
      <c r="CH1650" s="6"/>
      <c r="CI1650" s="6"/>
      <c r="CJ1650" s="6"/>
      <c r="CK1650" s="6"/>
      <c r="CL1650" s="6"/>
      <c r="CM1650" s="6"/>
      <c r="CN1650" s="6"/>
      <c r="CO1650" s="6"/>
      <c r="CP1650" s="6"/>
      <c r="CQ1650" s="6"/>
      <c r="CR1650" s="6"/>
      <c r="CS1650" s="6"/>
      <c r="CT1650" s="6"/>
      <c r="CU1650" s="6"/>
      <c r="CV1650" s="6"/>
      <c r="CW1650" s="6"/>
      <c r="CX1650" s="6"/>
      <c r="CY1650" s="6"/>
      <c r="CZ1650" s="6"/>
      <c r="DA1650" s="6"/>
      <c r="DB1650" s="6"/>
      <c r="DC1650" s="6"/>
      <c r="DD1650" s="6"/>
      <c r="DE1650" s="6"/>
      <c r="DF1650" s="6"/>
      <c r="DG1650" s="6"/>
      <c r="DH1650" s="6"/>
      <c r="DI1650" s="6"/>
      <c r="DJ1650" s="6"/>
      <c r="DK1650" s="6"/>
      <c r="DL1650" s="6"/>
      <c r="DM1650" s="6"/>
      <c r="DN1650" s="6"/>
      <c r="DO1650" s="6"/>
      <c r="DP1650" s="6"/>
      <c r="DQ1650" s="6"/>
      <c r="DR1650" s="6"/>
      <c r="DS1650" s="6"/>
      <c r="DT1650" s="6"/>
      <c r="DU1650" s="6"/>
      <c r="DV1650" s="6"/>
      <c r="DW1650" s="6"/>
      <c r="DX1650" s="6"/>
      <c r="DY1650" s="6"/>
      <c r="DZ1650" s="6"/>
      <c r="EA1650" s="6"/>
      <c r="EB1650" s="6"/>
      <c r="EC1650" s="6"/>
      <c r="ED1650" s="6"/>
      <c r="EE1650" s="6"/>
      <c r="EF1650" s="6"/>
      <c r="EG1650" s="6"/>
      <c r="EH1650" s="6"/>
      <c r="EI1650" s="6"/>
      <c r="EJ1650" s="6"/>
      <c r="EK1650" s="6"/>
      <c r="EL1650" s="6"/>
      <c r="EM1650" s="6"/>
      <c r="EN1650" s="6"/>
      <c r="EO1650" s="6"/>
      <c r="EP1650" s="6"/>
      <c r="EQ1650" s="6"/>
      <c r="ER1650" s="6"/>
      <c r="ES1650" s="6"/>
      <c r="ET1650" s="6"/>
      <c r="EU1650" s="6"/>
      <c r="EV1650" s="6"/>
      <c r="EW1650" s="6"/>
      <c r="EX1650" s="6"/>
      <c r="EY1650" s="6"/>
      <c r="EZ1650" s="6"/>
      <c r="FA1650" s="6"/>
      <c r="FB1650" s="6"/>
      <c r="FC1650" s="6"/>
      <c r="FD1650" s="6"/>
      <c r="FE1650" s="6"/>
      <c r="FF1650" s="6"/>
      <c r="FG1650" s="6"/>
      <c r="FH1650" s="6"/>
      <c r="FI1650" s="6"/>
      <c r="FJ1650" s="6"/>
      <c r="FK1650" s="6"/>
      <c r="FL1650" s="6"/>
      <c r="FM1650" s="6"/>
      <c r="FN1650" s="6"/>
      <c r="FO1650" s="6"/>
      <c r="FP1650" s="6"/>
      <c r="FQ1650" s="6"/>
      <c r="FR1650" s="6"/>
      <c r="FS1650" s="6"/>
      <c r="FT1650" s="6"/>
      <c r="FU1650" s="6"/>
      <c r="FV1650" s="6"/>
      <c r="FW1650" s="6"/>
      <c r="FX1650" s="6"/>
      <c r="FY1650" s="6"/>
      <c r="FZ1650" s="6"/>
      <c r="GA1650" s="6"/>
      <c r="GB1650" s="6"/>
      <c r="GC1650" s="6"/>
      <c r="GD1650" s="6"/>
      <c r="GE1650" s="6"/>
      <c r="GF1650" s="6"/>
      <c r="GG1650" s="6"/>
      <c r="GH1650" s="6"/>
      <c r="GI1650" s="6"/>
      <c r="GJ1650" s="6"/>
      <c r="GK1650" s="6"/>
      <c r="GL1650" s="6"/>
      <c r="GM1650" s="6"/>
      <c r="GN1650" s="6"/>
      <c r="GO1650" s="6"/>
      <c r="GP1650" s="6"/>
      <c r="GQ1650" s="6"/>
      <c r="GR1650" s="6"/>
      <c r="GS1650" s="6"/>
      <c r="GT1650" s="6"/>
      <c r="GU1650" s="6"/>
      <c r="GV1650" s="6"/>
      <c r="GW1650" s="6"/>
      <c r="GX1650" s="6"/>
      <c r="GY1650" s="6"/>
      <c r="GZ1650" s="6"/>
      <c r="HA1650" s="6"/>
      <c r="HB1650" s="6"/>
      <c r="HC1650" s="6"/>
      <c r="HD1650" s="6"/>
      <c r="HE1650" s="6"/>
      <c r="HF1650" s="6"/>
      <c r="HG1650" s="6"/>
      <c r="HH1650" s="6"/>
    </row>
    <row r="1651" spans="1:216" x14ac:dyDescent="0.3">
      <c r="A1651" s="8"/>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6"/>
      <c r="AR1651" s="6"/>
      <c r="AS1651" s="6"/>
      <c r="AT1651" s="6"/>
      <c r="AU1651" s="6"/>
      <c r="AV1651" s="6"/>
      <c r="AW1651" s="6"/>
      <c r="AX1651" s="6"/>
      <c r="AY1651" s="6"/>
      <c r="AZ1651" s="6"/>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c r="DX1651" s="6"/>
      <c r="DY1651" s="6"/>
      <c r="DZ1651" s="6"/>
      <c r="EA1651" s="6"/>
      <c r="EB1651" s="6"/>
      <c r="EC1651" s="6"/>
      <c r="ED1651" s="6"/>
      <c r="EE1651" s="6"/>
      <c r="EF1651" s="6"/>
      <c r="EG1651" s="6"/>
      <c r="EH1651" s="6"/>
      <c r="EI1651" s="6"/>
      <c r="EJ1651" s="6"/>
      <c r="EK1651" s="6"/>
      <c r="EL1651" s="6"/>
      <c r="EM1651" s="6"/>
      <c r="EN1651" s="6"/>
      <c r="EO1651" s="6"/>
      <c r="EP1651" s="6"/>
      <c r="EQ1651" s="6"/>
      <c r="ER1651" s="6"/>
      <c r="ES1651" s="6"/>
      <c r="ET1651" s="6"/>
      <c r="EU1651" s="6"/>
      <c r="EV1651" s="6"/>
      <c r="EW1651" s="6"/>
      <c r="EX1651" s="6"/>
      <c r="EY1651" s="6"/>
      <c r="EZ1651" s="6"/>
      <c r="FA1651" s="6"/>
      <c r="FB1651" s="6"/>
      <c r="FC1651" s="6"/>
      <c r="FD1651" s="6"/>
      <c r="FE1651" s="6"/>
      <c r="FF1651" s="6"/>
      <c r="FG1651" s="6"/>
      <c r="FH1651" s="6"/>
      <c r="FI1651" s="6"/>
      <c r="FJ1651" s="6"/>
      <c r="FK1651" s="6"/>
      <c r="FL1651" s="6"/>
      <c r="FM1651" s="6"/>
      <c r="FN1651" s="6"/>
      <c r="FO1651" s="6"/>
      <c r="FP1651" s="6"/>
      <c r="FQ1651" s="6"/>
      <c r="FR1651" s="6"/>
      <c r="FS1651" s="6"/>
      <c r="FT1651" s="6"/>
      <c r="FU1651" s="6"/>
      <c r="FV1651" s="6"/>
      <c r="FW1651" s="6"/>
      <c r="FX1651" s="6"/>
      <c r="FY1651" s="6"/>
      <c r="FZ1651" s="6"/>
      <c r="GA1651" s="6"/>
      <c r="GB1651" s="6"/>
      <c r="GC1651" s="6"/>
      <c r="GD1651" s="6"/>
      <c r="GE1651" s="6"/>
      <c r="GF1651" s="6"/>
      <c r="GG1651" s="6"/>
      <c r="GH1651" s="6"/>
      <c r="GI1651" s="6"/>
      <c r="GJ1651" s="6"/>
      <c r="GK1651" s="6"/>
      <c r="GL1651" s="6"/>
      <c r="GM1651" s="6"/>
      <c r="GN1651" s="6"/>
      <c r="GO1651" s="6"/>
      <c r="GP1651" s="6"/>
      <c r="GQ1651" s="6"/>
      <c r="GR1651" s="6"/>
      <c r="GS1651" s="6"/>
      <c r="GT1651" s="6"/>
      <c r="GU1651" s="6"/>
      <c r="GV1651" s="6"/>
      <c r="GW1651" s="6"/>
      <c r="GX1651" s="6"/>
      <c r="GY1651" s="6"/>
      <c r="GZ1651" s="6"/>
      <c r="HA1651" s="6"/>
      <c r="HB1651" s="6"/>
      <c r="HC1651" s="6"/>
      <c r="HD1651" s="6"/>
      <c r="HE1651" s="6"/>
      <c r="HF1651" s="6"/>
      <c r="HG1651" s="6"/>
      <c r="HH1651" s="6"/>
    </row>
    <row r="1652" spans="1:216" x14ac:dyDescent="0.3">
      <c r="A1652" s="8"/>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6"/>
      <c r="AR1652" s="6"/>
      <c r="AS1652" s="6"/>
      <c r="AT1652" s="6"/>
      <c r="AU1652" s="6"/>
      <c r="AV1652" s="6"/>
      <c r="AW1652" s="6"/>
      <c r="AX1652" s="6"/>
      <c r="AY1652" s="6"/>
      <c r="AZ1652" s="6"/>
      <c r="BA1652" s="6"/>
      <c r="BB1652" s="6"/>
      <c r="BC1652" s="6"/>
      <c r="BD1652" s="6"/>
      <c r="BE1652" s="6"/>
      <c r="BF1652" s="6"/>
      <c r="BG1652" s="6"/>
      <c r="BH1652" s="6"/>
      <c r="BI1652" s="6"/>
      <c r="BJ1652" s="6"/>
      <c r="BK1652" s="6"/>
      <c r="BL1652" s="6"/>
      <c r="BM1652" s="6"/>
      <c r="BN1652" s="6"/>
      <c r="BO1652" s="6"/>
      <c r="BP1652" s="6"/>
      <c r="BQ1652" s="6"/>
      <c r="BR1652" s="6"/>
      <c r="BS1652" s="6"/>
      <c r="BT1652" s="6"/>
      <c r="BU1652" s="6"/>
      <c r="BV1652" s="6"/>
      <c r="BW1652" s="6"/>
      <c r="BX1652" s="6"/>
      <c r="BY1652" s="6"/>
      <c r="BZ1652" s="6"/>
      <c r="CA1652" s="6"/>
      <c r="CB1652" s="6"/>
      <c r="CC1652" s="6"/>
      <c r="CD1652" s="6"/>
      <c r="CE1652" s="6"/>
      <c r="CF1652" s="6"/>
      <c r="CG1652" s="6"/>
      <c r="CH1652" s="6"/>
      <c r="CI1652" s="6"/>
      <c r="CJ1652" s="6"/>
      <c r="CK1652" s="6"/>
      <c r="CL1652" s="6"/>
      <c r="CM1652" s="6"/>
      <c r="CN1652" s="6"/>
      <c r="CO1652" s="6"/>
      <c r="CP1652" s="6"/>
      <c r="CQ1652" s="6"/>
      <c r="CR1652" s="6"/>
      <c r="CS1652" s="6"/>
      <c r="CT1652" s="6"/>
      <c r="CU1652" s="6"/>
      <c r="CV1652" s="6"/>
      <c r="CW1652" s="6"/>
      <c r="CX1652" s="6"/>
      <c r="CY1652" s="6"/>
      <c r="CZ1652" s="6"/>
      <c r="DA1652" s="6"/>
      <c r="DB1652" s="6"/>
      <c r="DC1652" s="6"/>
      <c r="DD1652" s="6"/>
      <c r="DE1652" s="6"/>
      <c r="DF1652" s="6"/>
      <c r="DG1652" s="6"/>
      <c r="DH1652" s="6"/>
      <c r="DI1652" s="6"/>
      <c r="DJ1652" s="6"/>
      <c r="DK1652" s="6"/>
      <c r="DL1652" s="6"/>
      <c r="DM1652" s="6"/>
      <c r="DN1652" s="6"/>
      <c r="DO1652" s="6"/>
      <c r="DP1652" s="6"/>
      <c r="DQ1652" s="6"/>
      <c r="DR1652" s="6"/>
      <c r="DS1652" s="6"/>
      <c r="DT1652" s="6"/>
      <c r="DU1652" s="6"/>
      <c r="DV1652" s="6"/>
      <c r="DW1652" s="6"/>
      <c r="DX1652" s="6"/>
      <c r="DY1652" s="6"/>
      <c r="DZ1652" s="6"/>
      <c r="EA1652" s="6"/>
      <c r="EB1652" s="6"/>
      <c r="EC1652" s="6"/>
      <c r="ED1652" s="6"/>
      <c r="EE1652" s="6"/>
      <c r="EF1652" s="6"/>
      <c r="EG1652" s="6"/>
      <c r="EH1652" s="6"/>
      <c r="EI1652" s="6"/>
      <c r="EJ1652" s="6"/>
      <c r="EK1652" s="6"/>
      <c r="EL1652" s="6"/>
      <c r="EM1652" s="6"/>
      <c r="EN1652" s="6"/>
      <c r="EO1652" s="6"/>
      <c r="EP1652" s="6"/>
      <c r="EQ1652" s="6"/>
      <c r="ER1652" s="6"/>
      <c r="ES1652" s="6"/>
      <c r="ET1652" s="6"/>
      <c r="EU1652" s="6"/>
      <c r="EV1652" s="6"/>
      <c r="EW1652" s="6"/>
      <c r="EX1652" s="6"/>
      <c r="EY1652" s="6"/>
      <c r="EZ1652" s="6"/>
      <c r="FA1652" s="6"/>
      <c r="FB1652" s="6"/>
      <c r="FC1652" s="6"/>
      <c r="FD1652" s="6"/>
      <c r="FE1652" s="6"/>
      <c r="FF1652" s="6"/>
      <c r="FG1652" s="6"/>
      <c r="FH1652" s="6"/>
      <c r="FI1652" s="6"/>
      <c r="FJ1652" s="6"/>
      <c r="FK1652" s="6"/>
      <c r="FL1652" s="6"/>
      <c r="FM1652" s="6"/>
      <c r="FN1652" s="6"/>
      <c r="FO1652" s="6"/>
      <c r="FP1652" s="6"/>
      <c r="FQ1652" s="6"/>
      <c r="FR1652" s="6"/>
      <c r="FS1652" s="6"/>
      <c r="FT1652" s="6"/>
      <c r="FU1652" s="6"/>
      <c r="FV1652" s="6"/>
      <c r="FW1652" s="6"/>
      <c r="FX1652" s="6"/>
      <c r="FY1652" s="6"/>
      <c r="FZ1652" s="6"/>
      <c r="GA1652" s="6"/>
      <c r="GB1652" s="6"/>
      <c r="GC1652" s="6"/>
      <c r="GD1652" s="6"/>
      <c r="GE1652" s="6"/>
      <c r="GF1652" s="6"/>
      <c r="GG1652" s="6"/>
      <c r="GH1652" s="6"/>
      <c r="GI1652" s="6"/>
      <c r="GJ1652" s="6"/>
      <c r="GK1652" s="6"/>
      <c r="GL1652" s="6"/>
      <c r="GM1652" s="6"/>
      <c r="GN1652" s="6"/>
      <c r="GO1652" s="6"/>
      <c r="GP1652" s="6"/>
      <c r="GQ1652" s="6"/>
      <c r="GR1652" s="6"/>
      <c r="GS1652" s="6"/>
      <c r="GT1652" s="6"/>
      <c r="GU1652" s="6"/>
      <c r="GV1652" s="6"/>
      <c r="GW1652" s="6"/>
      <c r="GX1652" s="6"/>
      <c r="GY1652" s="6"/>
      <c r="GZ1652" s="6"/>
      <c r="HA1652" s="6"/>
      <c r="HB1652" s="6"/>
      <c r="HC1652" s="6"/>
      <c r="HD1652" s="6"/>
      <c r="HE1652" s="6"/>
      <c r="HF1652" s="6"/>
      <c r="HG1652" s="6"/>
      <c r="HH1652" s="6"/>
    </row>
    <row r="1653" spans="1:216" x14ac:dyDescent="0.3">
      <c r="A1653" s="8"/>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row>
    <row r="1654" spans="1:216" x14ac:dyDescent="0.3">
      <c r="A1654" s="8"/>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row>
    <row r="1655" spans="1:216" x14ac:dyDescent="0.3">
      <c r="A1655" s="8"/>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row>
    <row r="1656" spans="1:216" x14ac:dyDescent="0.3">
      <c r="A1656" s="8"/>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row>
    <row r="1657" spans="1:216" x14ac:dyDescent="0.3">
      <c r="A1657" s="8"/>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row>
    <row r="1658" spans="1:216" x14ac:dyDescent="0.3">
      <c r="A1658" s="8"/>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row>
    <row r="1659" spans="1:216" x14ac:dyDescent="0.3">
      <c r="A1659" s="8"/>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row>
    <row r="1660" spans="1:216" x14ac:dyDescent="0.3">
      <c r="A1660" s="8"/>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row>
    <row r="1661" spans="1:216" x14ac:dyDescent="0.3">
      <c r="A1661" s="8"/>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6"/>
      <c r="AR1661" s="6"/>
      <c r="AS1661" s="6"/>
      <c r="AT1661" s="6"/>
      <c r="AU1661" s="6"/>
      <c r="AV1661" s="6"/>
      <c r="AW1661" s="6"/>
      <c r="AX1661" s="6"/>
      <c r="AY1661" s="6"/>
      <c r="AZ1661" s="6"/>
      <c r="BA1661" s="6"/>
      <c r="BB1661" s="6"/>
      <c r="BC1661" s="6"/>
      <c r="BD1661" s="6"/>
      <c r="BE1661" s="6"/>
      <c r="BF1661" s="6"/>
      <c r="BG1661" s="6"/>
      <c r="BH1661" s="6"/>
      <c r="BI1661" s="6"/>
      <c r="BJ1661" s="6"/>
      <c r="BK1661" s="6"/>
      <c r="BL1661" s="6"/>
      <c r="BM1661" s="6"/>
      <c r="BN1661" s="6"/>
      <c r="BO1661" s="6"/>
      <c r="BP1661" s="6"/>
      <c r="BQ1661" s="6"/>
      <c r="BR1661" s="6"/>
      <c r="BS1661" s="6"/>
      <c r="BT1661" s="6"/>
      <c r="BU1661" s="6"/>
      <c r="BV1661" s="6"/>
      <c r="BW1661" s="6"/>
      <c r="BX1661" s="6"/>
      <c r="BY1661" s="6"/>
      <c r="BZ1661" s="6"/>
      <c r="CA1661" s="6"/>
      <c r="CB1661" s="6"/>
      <c r="CC1661" s="6"/>
      <c r="CD1661" s="6"/>
      <c r="CE1661" s="6"/>
      <c r="CF1661" s="6"/>
      <c r="CG1661" s="6"/>
      <c r="CH1661" s="6"/>
      <c r="CI1661" s="6"/>
      <c r="CJ1661" s="6"/>
      <c r="CK1661" s="6"/>
      <c r="CL1661" s="6"/>
      <c r="CM1661" s="6"/>
      <c r="CN1661" s="6"/>
      <c r="CO1661" s="6"/>
      <c r="CP1661" s="6"/>
      <c r="CQ1661" s="6"/>
      <c r="CR1661" s="6"/>
      <c r="CS1661" s="6"/>
      <c r="CT1661" s="6"/>
      <c r="CU1661" s="6"/>
      <c r="CV1661" s="6"/>
      <c r="CW1661" s="6"/>
      <c r="CX1661" s="6"/>
      <c r="CY1661" s="6"/>
      <c r="CZ1661" s="6"/>
      <c r="DA1661" s="6"/>
      <c r="DB1661" s="6"/>
      <c r="DC1661" s="6"/>
      <c r="DD1661" s="6"/>
      <c r="DE1661" s="6"/>
      <c r="DF1661" s="6"/>
      <c r="DG1661" s="6"/>
      <c r="DH1661" s="6"/>
      <c r="DI1661" s="6"/>
      <c r="DJ1661" s="6"/>
      <c r="DK1661" s="6"/>
      <c r="DL1661" s="6"/>
      <c r="DM1661" s="6"/>
      <c r="DN1661" s="6"/>
      <c r="DO1661" s="6"/>
      <c r="DP1661" s="6"/>
      <c r="DQ1661" s="6"/>
      <c r="DR1661" s="6"/>
      <c r="DS1661" s="6"/>
      <c r="DT1661" s="6"/>
      <c r="DU1661" s="6"/>
      <c r="DV1661" s="6"/>
      <c r="DW1661" s="6"/>
      <c r="DX1661" s="6"/>
      <c r="DY1661" s="6"/>
      <c r="DZ1661" s="6"/>
      <c r="EA1661" s="6"/>
      <c r="EB1661" s="6"/>
      <c r="EC1661" s="6"/>
      <c r="ED1661" s="6"/>
      <c r="EE1661" s="6"/>
      <c r="EF1661" s="6"/>
      <c r="EG1661" s="6"/>
      <c r="EH1661" s="6"/>
      <c r="EI1661" s="6"/>
      <c r="EJ1661" s="6"/>
      <c r="EK1661" s="6"/>
      <c r="EL1661" s="6"/>
      <c r="EM1661" s="6"/>
      <c r="EN1661" s="6"/>
      <c r="EO1661" s="6"/>
      <c r="EP1661" s="6"/>
      <c r="EQ1661" s="6"/>
      <c r="ER1661" s="6"/>
      <c r="ES1661" s="6"/>
      <c r="ET1661" s="6"/>
      <c r="EU1661" s="6"/>
      <c r="EV1661" s="6"/>
      <c r="EW1661" s="6"/>
      <c r="EX1661" s="6"/>
      <c r="EY1661" s="6"/>
      <c r="EZ1661" s="6"/>
      <c r="FA1661" s="6"/>
      <c r="FB1661" s="6"/>
      <c r="FC1661" s="6"/>
      <c r="FD1661" s="6"/>
      <c r="FE1661" s="6"/>
      <c r="FF1661" s="6"/>
      <c r="FG1661" s="6"/>
      <c r="FH1661" s="6"/>
      <c r="FI1661" s="6"/>
      <c r="FJ1661" s="6"/>
      <c r="FK1661" s="6"/>
      <c r="FL1661" s="6"/>
      <c r="FM1661" s="6"/>
      <c r="FN1661" s="6"/>
      <c r="FO1661" s="6"/>
      <c r="FP1661" s="6"/>
      <c r="FQ1661" s="6"/>
      <c r="FR1661" s="6"/>
      <c r="FS1661" s="6"/>
      <c r="FT1661" s="6"/>
      <c r="FU1661" s="6"/>
      <c r="FV1661" s="6"/>
      <c r="FW1661" s="6"/>
      <c r="FX1661" s="6"/>
      <c r="FY1661" s="6"/>
      <c r="FZ1661" s="6"/>
      <c r="GA1661" s="6"/>
      <c r="GB1661" s="6"/>
      <c r="GC1661" s="6"/>
      <c r="GD1661" s="6"/>
      <c r="GE1661" s="6"/>
      <c r="GF1661" s="6"/>
      <c r="GG1661" s="6"/>
      <c r="GH1661" s="6"/>
      <c r="GI1661" s="6"/>
      <c r="GJ1661" s="6"/>
      <c r="GK1661" s="6"/>
      <c r="GL1661" s="6"/>
      <c r="GM1661" s="6"/>
      <c r="GN1661" s="6"/>
      <c r="GO1661" s="6"/>
      <c r="GP1661" s="6"/>
      <c r="GQ1661" s="6"/>
      <c r="GR1661" s="6"/>
      <c r="GS1661" s="6"/>
      <c r="GT1661" s="6"/>
      <c r="GU1661" s="6"/>
      <c r="GV1661" s="6"/>
      <c r="GW1661" s="6"/>
      <c r="GX1661" s="6"/>
      <c r="GY1661" s="6"/>
      <c r="GZ1661" s="6"/>
      <c r="HA1661" s="6"/>
      <c r="HB1661" s="6"/>
      <c r="HC1661" s="6"/>
      <c r="HD1661" s="6"/>
      <c r="HE1661" s="6"/>
      <c r="HF1661" s="6"/>
      <c r="HG1661" s="6"/>
      <c r="HH1661" s="6"/>
    </row>
    <row r="1662" spans="1:216" x14ac:dyDescent="0.3">
      <c r="A1662" s="8"/>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6"/>
      <c r="AR1662" s="6"/>
      <c r="AS1662" s="6"/>
      <c r="AT1662" s="6"/>
      <c r="AU1662" s="6"/>
      <c r="AV1662" s="6"/>
      <c r="AW1662" s="6"/>
      <c r="AX1662" s="6"/>
      <c r="AY1662" s="6"/>
      <c r="AZ1662" s="6"/>
      <c r="BA1662" s="6"/>
      <c r="BB1662" s="6"/>
      <c r="BC1662" s="6"/>
      <c r="BD1662" s="6"/>
      <c r="BE1662" s="6"/>
      <c r="BF1662" s="6"/>
      <c r="BG1662" s="6"/>
      <c r="BH1662" s="6"/>
      <c r="BI1662" s="6"/>
      <c r="BJ1662" s="6"/>
      <c r="BK1662" s="6"/>
      <c r="BL1662" s="6"/>
      <c r="BM1662" s="6"/>
      <c r="BN1662" s="6"/>
      <c r="BO1662" s="6"/>
      <c r="BP1662" s="6"/>
      <c r="BQ1662" s="6"/>
      <c r="BR1662" s="6"/>
      <c r="BS1662" s="6"/>
      <c r="BT1662" s="6"/>
      <c r="BU1662" s="6"/>
      <c r="BV1662" s="6"/>
      <c r="BW1662" s="6"/>
      <c r="BX1662" s="6"/>
      <c r="BY1662" s="6"/>
      <c r="BZ1662" s="6"/>
      <c r="CA1662" s="6"/>
      <c r="CB1662" s="6"/>
      <c r="CC1662" s="6"/>
      <c r="CD1662" s="6"/>
      <c r="CE1662" s="6"/>
      <c r="CF1662" s="6"/>
      <c r="CG1662" s="6"/>
      <c r="CH1662" s="6"/>
      <c r="CI1662" s="6"/>
      <c r="CJ1662" s="6"/>
      <c r="CK1662" s="6"/>
      <c r="CL1662" s="6"/>
      <c r="CM1662" s="6"/>
      <c r="CN1662" s="6"/>
      <c r="CO1662" s="6"/>
      <c r="CP1662" s="6"/>
      <c r="CQ1662" s="6"/>
      <c r="CR1662" s="6"/>
      <c r="CS1662" s="6"/>
      <c r="CT1662" s="6"/>
      <c r="CU1662" s="6"/>
      <c r="CV1662" s="6"/>
      <c r="CW1662" s="6"/>
      <c r="CX1662" s="6"/>
      <c r="CY1662" s="6"/>
      <c r="CZ1662" s="6"/>
      <c r="DA1662" s="6"/>
      <c r="DB1662" s="6"/>
      <c r="DC1662" s="6"/>
      <c r="DD1662" s="6"/>
      <c r="DE1662" s="6"/>
      <c r="DF1662" s="6"/>
      <c r="DG1662" s="6"/>
      <c r="DH1662" s="6"/>
      <c r="DI1662" s="6"/>
      <c r="DJ1662" s="6"/>
      <c r="DK1662" s="6"/>
      <c r="DL1662" s="6"/>
      <c r="DM1662" s="6"/>
      <c r="DN1662" s="6"/>
      <c r="DO1662" s="6"/>
      <c r="DP1662" s="6"/>
      <c r="DQ1662" s="6"/>
      <c r="DR1662" s="6"/>
      <c r="DS1662" s="6"/>
      <c r="DT1662" s="6"/>
      <c r="DU1662" s="6"/>
      <c r="DV1662" s="6"/>
      <c r="DW1662" s="6"/>
      <c r="DX1662" s="6"/>
      <c r="DY1662" s="6"/>
      <c r="DZ1662" s="6"/>
      <c r="EA1662" s="6"/>
      <c r="EB1662" s="6"/>
      <c r="EC1662" s="6"/>
      <c r="ED1662" s="6"/>
      <c r="EE1662" s="6"/>
      <c r="EF1662" s="6"/>
      <c r="EG1662" s="6"/>
      <c r="EH1662" s="6"/>
      <c r="EI1662" s="6"/>
      <c r="EJ1662" s="6"/>
      <c r="EK1662" s="6"/>
      <c r="EL1662" s="6"/>
      <c r="EM1662" s="6"/>
      <c r="EN1662" s="6"/>
      <c r="EO1662" s="6"/>
      <c r="EP1662" s="6"/>
      <c r="EQ1662" s="6"/>
      <c r="ER1662" s="6"/>
      <c r="ES1662" s="6"/>
      <c r="ET1662" s="6"/>
      <c r="EU1662" s="6"/>
      <c r="EV1662" s="6"/>
      <c r="EW1662" s="6"/>
      <c r="EX1662" s="6"/>
      <c r="EY1662" s="6"/>
      <c r="EZ1662" s="6"/>
      <c r="FA1662" s="6"/>
      <c r="FB1662" s="6"/>
      <c r="FC1662" s="6"/>
      <c r="FD1662" s="6"/>
      <c r="FE1662" s="6"/>
      <c r="FF1662" s="6"/>
      <c r="FG1662" s="6"/>
      <c r="FH1662" s="6"/>
      <c r="FI1662" s="6"/>
      <c r="FJ1662" s="6"/>
      <c r="FK1662" s="6"/>
      <c r="FL1662" s="6"/>
      <c r="FM1662" s="6"/>
      <c r="FN1662" s="6"/>
      <c r="FO1662" s="6"/>
      <c r="FP1662" s="6"/>
      <c r="FQ1662" s="6"/>
      <c r="FR1662" s="6"/>
      <c r="FS1662" s="6"/>
      <c r="FT1662" s="6"/>
      <c r="FU1662" s="6"/>
      <c r="FV1662" s="6"/>
      <c r="FW1662" s="6"/>
      <c r="FX1662" s="6"/>
      <c r="FY1662" s="6"/>
      <c r="FZ1662" s="6"/>
      <c r="GA1662" s="6"/>
      <c r="GB1662" s="6"/>
      <c r="GC1662" s="6"/>
      <c r="GD1662" s="6"/>
      <c r="GE1662" s="6"/>
      <c r="GF1662" s="6"/>
      <c r="GG1662" s="6"/>
      <c r="GH1662" s="6"/>
      <c r="GI1662" s="6"/>
      <c r="GJ1662" s="6"/>
      <c r="GK1662" s="6"/>
      <c r="GL1662" s="6"/>
      <c r="GM1662" s="6"/>
      <c r="GN1662" s="6"/>
      <c r="GO1662" s="6"/>
      <c r="GP1662" s="6"/>
      <c r="GQ1662" s="6"/>
      <c r="GR1662" s="6"/>
      <c r="GS1662" s="6"/>
      <c r="GT1662" s="6"/>
      <c r="GU1662" s="6"/>
      <c r="GV1662" s="6"/>
      <c r="GW1662" s="6"/>
      <c r="GX1662" s="6"/>
      <c r="GY1662" s="6"/>
      <c r="GZ1662" s="6"/>
      <c r="HA1662" s="6"/>
      <c r="HB1662" s="6"/>
      <c r="HC1662" s="6"/>
      <c r="HD1662" s="6"/>
      <c r="HE1662" s="6"/>
      <c r="HF1662" s="6"/>
      <c r="HG1662" s="6"/>
      <c r="HH1662" s="6"/>
    </row>
    <row r="1663" spans="1:216" x14ac:dyDescent="0.3">
      <c r="A1663" s="8"/>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row>
    <row r="1664" spans="1:216" x14ac:dyDescent="0.3">
      <c r="A1664" s="8"/>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6"/>
      <c r="AR1664" s="6"/>
      <c r="AS1664" s="6"/>
      <c r="AT1664" s="6"/>
      <c r="AU1664" s="6"/>
      <c r="AV1664" s="6"/>
      <c r="AW1664" s="6"/>
      <c r="AX1664" s="6"/>
      <c r="AY1664" s="6"/>
      <c r="AZ1664" s="6"/>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c r="DX1664" s="6"/>
      <c r="DY1664" s="6"/>
      <c r="DZ1664" s="6"/>
      <c r="EA1664" s="6"/>
      <c r="EB1664" s="6"/>
      <c r="EC1664" s="6"/>
      <c r="ED1664" s="6"/>
      <c r="EE1664" s="6"/>
      <c r="EF1664" s="6"/>
      <c r="EG1664" s="6"/>
      <c r="EH1664" s="6"/>
      <c r="EI1664" s="6"/>
      <c r="EJ1664" s="6"/>
      <c r="EK1664" s="6"/>
      <c r="EL1664" s="6"/>
      <c r="EM1664" s="6"/>
      <c r="EN1664" s="6"/>
      <c r="EO1664" s="6"/>
      <c r="EP1664" s="6"/>
      <c r="EQ1664" s="6"/>
      <c r="ER1664" s="6"/>
      <c r="ES1664" s="6"/>
      <c r="ET1664" s="6"/>
      <c r="EU1664" s="6"/>
      <c r="EV1664" s="6"/>
      <c r="EW1664" s="6"/>
      <c r="EX1664" s="6"/>
      <c r="EY1664" s="6"/>
      <c r="EZ1664" s="6"/>
      <c r="FA1664" s="6"/>
      <c r="FB1664" s="6"/>
      <c r="FC1664" s="6"/>
      <c r="FD1664" s="6"/>
      <c r="FE1664" s="6"/>
      <c r="FF1664" s="6"/>
      <c r="FG1664" s="6"/>
      <c r="FH1664" s="6"/>
      <c r="FI1664" s="6"/>
      <c r="FJ1664" s="6"/>
      <c r="FK1664" s="6"/>
      <c r="FL1664" s="6"/>
      <c r="FM1664" s="6"/>
      <c r="FN1664" s="6"/>
      <c r="FO1664" s="6"/>
      <c r="FP1664" s="6"/>
      <c r="FQ1664" s="6"/>
      <c r="FR1664" s="6"/>
      <c r="FS1664" s="6"/>
      <c r="FT1664" s="6"/>
      <c r="FU1664" s="6"/>
      <c r="FV1664" s="6"/>
      <c r="FW1664" s="6"/>
      <c r="FX1664" s="6"/>
      <c r="FY1664" s="6"/>
      <c r="FZ1664" s="6"/>
      <c r="GA1664" s="6"/>
      <c r="GB1664" s="6"/>
      <c r="GC1664" s="6"/>
      <c r="GD1664" s="6"/>
      <c r="GE1664" s="6"/>
      <c r="GF1664" s="6"/>
      <c r="GG1664" s="6"/>
      <c r="GH1664" s="6"/>
      <c r="GI1664" s="6"/>
      <c r="GJ1664" s="6"/>
      <c r="GK1664" s="6"/>
      <c r="GL1664" s="6"/>
      <c r="GM1664" s="6"/>
      <c r="GN1664" s="6"/>
      <c r="GO1664" s="6"/>
      <c r="GP1664" s="6"/>
      <c r="GQ1664" s="6"/>
      <c r="GR1664" s="6"/>
      <c r="GS1664" s="6"/>
      <c r="GT1664" s="6"/>
      <c r="GU1664" s="6"/>
      <c r="GV1664" s="6"/>
      <c r="GW1664" s="6"/>
      <c r="GX1664" s="6"/>
      <c r="GY1664" s="6"/>
      <c r="GZ1664" s="6"/>
      <c r="HA1664" s="6"/>
      <c r="HB1664" s="6"/>
      <c r="HC1664" s="6"/>
      <c r="HD1664" s="6"/>
      <c r="HE1664" s="6"/>
      <c r="HF1664" s="6"/>
      <c r="HG1664" s="6"/>
      <c r="HH1664" s="6"/>
    </row>
    <row r="1665" spans="1:216" x14ac:dyDescent="0.3">
      <c r="A1665" s="8"/>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6"/>
      <c r="AR1665" s="6"/>
      <c r="AS1665" s="6"/>
      <c r="AT1665" s="6"/>
      <c r="AU1665" s="6"/>
      <c r="AV1665" s="6"/>
      <c r="AW1665" s="6"/>
      <c r="AX1665" s="6"/>
      <c r="AY1665" s="6"/>
      <c r="AZ1665" s="6"/>
      <c r="BA1665" s="6"/>
      <c r="BB1665" s="6"/>
      <c r="BC1665" s="6"/>
      <c r="BD1665" s="6"/>
      <c r="BE1665" s="6"/>
      <c r="BF1665" s="6"/>
      <c r="BG1665" s="6"/>
      <c r="BH1665" s="6"/>
      <c r="BI1665" s="6"/>
      <c r="BJ1665" s="6"/>
      <c r="BK1665" s="6"/>
      <c r="BL1665" s="6"/>
      <c r="BM1665" s="6"/>
      <c r="BN1665" s="6"/>
      <c r="BO1665" s="6"/>
      <c r="BP1665" s="6"/>
      <c r="BQ1665" s="6"/>
      <c r="BR1665" s="6"/>
      <c r="BS1665" s="6"/>
      <c r="BT1665" s="6"/>
      <c r="BU1665" s="6"/>
      <c r="BV1665" s="6"/>
      <c r="BW1665" s="6"/>
      <c r="BX1665" s="6"/>
      <c r="BY1665" s="6"/>
      <c r="BZ1665" s="6"/>
      <c r="CA1665" s="6"/>
      <c r="CB1665" s="6"/>
      <c r="CC1665" s="6"/>
      <c r="CD1665" s="6"/>
      <c r="CE1665" s="6"/>
      <c r="CF1665" s="6"/>
      <c r="CG1665" s="6"/>
      <c r="CH1665" s="6"/>
      <c r="CI1665" s="6"/>
      <c r="CJ1665" s="6"/>
      <c r="CK1665" s="6"/>
      <c r="CL1665" s="6"/>
      <c r="CM1665" s="6"/>
      <c r="CN1665" s="6"/>
      <c r="CO1665" s="6"/>
      <c r="CP1665" s="6"/>
      <c r="CQ1665" s="6"/>
      <c r="CR1665" s="6"/>
      <c r="CS1665" s="6"/>
      <c r="CT1665" s="6"/>
      <c r="CU1665" s="6"/>
      <c r="CV1665" s="6"/>
      <c r="CW1665" s="6"/>
      <c r="CX1665" s="6"/>
      <c r="CY1665" s="6"/>
      <c r="CZ1665" s="6"/>
      <c r="DA1665" s="6"/>
      <c r="DB1665" s="6"/>
      <c r="DC1665" s="6"/>
      <c r="DD1665" s="6"/>
      <c r="DE1665" s="6"/>
      <c r="DF1665" s="6"/>
      <c r="DG1665" s="6"/>
      <c r="DH1665" s="6"/>
      <c r="DI1665" s="6"/>
      <c r="DJ1665" s="6"/>
      <c r="DK1665" s="6"/>
      <c r="DL1665" s="6"/>
      <c r="DM1665" s="6"/>
      <c r="DN1665" s="6"/>
      <c r="DO1665" s="6"/>
      <c r="DP1665" s="6"/>
      <c r="DQ1665" s="6"/>
      <c r="DR1665" s="6"/>
      <c r="DS1665" s="6"/>
      <c r="DT1665" s="6"/>
      <c r="DU1665" s="6"/>
      <c r="DV1665" s="6"/>
      <c r="DW1665" s="6"/>
      <c r="DX1665" s="6"/>
      <c r="DY1665" s="6"/>
      <c r="DZ1665" s="6"/>
      <c r="EA1665" s="6"/>
      <c r="EB1665" s="6"/>
      <c r="EC1665" s="6"/>
      <c r="ED1665" s="6"/>
      <c r="EE1665" s="6"/>
      <c r="EF1665" s="6"/>
      <c r="EG1665" s="6"/>
      <c r="EH1665" s="6"/>
      <c r="EI1665" s="6"/>
      <c r="EJ1665" s="6"/>
      <c r="EK1665" s="6"/>
      <c r="EL1665" s="6"/>
      <c r="EM1665" s="6"/>
      <c r="EN1665" s="6"/>
      <c r="EO1665" s="6"/>
      <c r="EP1665" s="6"/>
      <c r="EQ1665" s="6"/>
      <c r="ER1665" s="6"/>
      <c r="ES1665" s="6"/>
      <c r="ET1665" s="6"/>
      <c r="EU1665" s="6"/>
      <c r="EV1665" s="6"/>
      <c r="EW1665" s="6"/>
      <c r="EX1665" s="6"/>
      <c r="EY1665" s="6"/>
      <c r="EZ1665" s="6"/>
      <c r="FA1665" s="6"/>
      <c r="FB1665" s="6"/>
      <c r="FC1665" s="6"/>
      <c r="FD1665" s="6"/>
      <c r="FE1665" s="6"/>
      <c r="FF1665" s="6"/>
      <c r="FG1665" s="6"/>
      <c r="FH1665" s="6"/>
      <c r="FI1665" s="6"/>
      <c r="FJ1665" s="6"/>
      <c r="FK1665" s="6"/>
      <c r="FL1665" s="6"/>
      <c r="FM1665" s="6"/>
      <c r="FN1665" s="6"/>
      <c r="FO1665" s="6"/>
      <c r="FP1665" s="6"/>
      <c r="FQ1665" s="6"/>
      <c r="FR1665" s="6"/>
      <c r="FS1665" s="6"/>
      <c r="FT1665" s="6"/>
      <c r="FU1665" s="6"/>
      <c r="FV1665" s="6"/>
      <c r="FW1665" s="6"/>
      <c r="FX1665" s="6"/>
      <c r="FY1665" s="6"/>
      <c r="FZ1665" s="6"/>
      <c r="GA1665" s="6"/>
      <c r="GB1665" s="6"/>
      <c r="GC1665" s="6"/>
      <c r="GD1665" s="6"/>
      <c r="GE1665" s="6"/>
      <c r="GF1665" s="6"/>
      <c r="GG1665" s="6"/>
      <c r="GH1665" s="6"/>
      <c r="GI1665" s="6"/>
      <c r="GJ1665" s="6"/>
      <c r="GK1665" s="6"/>
      <c r="GL1665" s="6"/>
      <c r="GM1665" s="6"/>
      <c r="GN1665" s="6"/>
      <c r="GO1665" s="6"/>
      <c r="GP1665" s="6"/>
      <c r="GQ1665" s="6"/>
      <c r="GR1665" s="6"/>
      <c r="GS1665" s="6"/>
      <c r="GT1665" s="6"/>
      <c r="GU1665" s="6"/>
      <c r="GV1665" s="6"/>
      <c r="GW1665" s="6"/>
      <c r="GX1665" s="6"/>
      <c r="GY1665" s="6"/>
      <c r="GZ1665" s="6"/>
      <c r="HA1665" s="6"/>
      <c r="HB1665" s="6"/>
      <c r="HC1665" s="6"/>
      <c r="HD1665" s="6"/>
      <c r="HE1665" s="6"/>
      <c r="HF1665" s="6"/>
      <c r="HG1665" s="6"/>
      <c r="HH1665" s="6"/>
    </row>
    <row r="1666" spans="1:216" x14ac:dyDescent="0.3">
      <c r="A1666" s="8"/>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6"/>
      <c r="AR1666" s="6"/>
      <c r="AS1666" s="6"/>
      <c r="AT1666" s="6"/>
      <c r="AU1666" s="6"/>
      <c r="AV1666" s="6"/>
      <c r="AW1666" s="6"/>
      <c r="AX1666" s="6"/>
      <c r="AY1666" s="6"/>
      <c r="AZ1666" s="6"/>
      <c r="BA1666" s="6"/>
      <c r="BB1666" s="6"/>
      <c r="BC1666" s="6"/>
      <c r="BD1666" s="6"/>
      <c r="BE1666" s="6"/>
      <c r="BF1666" s="6"/>
      <c r="BG1666" s="6"/>
      <c r="BH1666" s="6"/>
      <c r="BI1666" s="6"/>
      <c r="BJ1666" s="6"/>
      <c r="BK1666" s="6"/>
      <c r="BL1666" s="6"/>
      <c r="BM1666" s="6"/>
      <c r="BN1666" s="6"/>
      <c r="BO1666" s="6"/>
      <c r="BP1666" s="6"/>
      <c r="BQ1666" s="6"/>
      <c r="BR1666" s="6"/>
      <c r="BS1666" s="6"/>
      <c r="BT1666" s="6"/>
      <c r="BU1666" s="6"/>
      <c r="BV1666" s="6"/>
      <c r="BW1666" s="6"/>
      <c r="BX1666" s="6"/>
      <c r="BY1666" s="6"/>
      <c r="BZ1666" s="6"/>
      <c r="CA1666" s="6"/>
      <c r="CB1666" s="6"/>
      <c r="CC1666" s="6"/>
      <c r="CD1666" s="6"/>
      <c r="CE1666" s="6"/>
      <c r="CF1666" s="6"/>
      <c r="CG1666" s="6"/>
      <c r="CH1666" s="6"/>
      <c r="CI1666" s="6"/>
      <c r="CJ1666" s="6"/>
      <c r="CK1666" s="6"/>
      <c r="CL1666" s="6"/>
      <c r="CM1666" s="6"/>
      <c r="CN1666" s="6"/>
      <c r="CO1666" s="6"/>
      <c r="CP1666" s="6"/>
      <c r="CQ1666" s="6"/>
      <c r="CR1666" s="6"/>
      <c r="CS1666" s="6"/>
      <c r="CT1666" s="6"/>
      <c r="CU1666" s="6"/>
      <c r="CV1666" s="6"/>
      <c r="CW1666" s="6"/>
      <c r="CX1666" s="6"/>
      <c r="CY1666" s="6"/>
      <c r="CZ1666" s="6"/>
      <c r="DA1666" s="6"/>
      <c r="DB1666" s="6"/>
      <c r="DC1666" s="6"/>
      <c r="DD1666" s="6"/>
      <c r="DE1666" s="6"/>
      <c r="DF1666" s="6"/>
      <c r="DG1666" s="6"/>
      <c r="DH1666" s="6"/>
      <c r="DI1666" s="6"/>
      <c r="DJ1666" s="6"/>
      <c r="DK1666" s="6"/>
      <c r="DL1666" s="6"/>
      <c r="DM1666" s="6"/>
      <c r="DN1666" s="6"/>
      <c r="DO1666" s="6"/>
      <c r="DP1666" s="6"/>
      <c r="DQ1666" s="6"/>
      <c r="DR1666" s="6"/>
      <c r="DS1666" s="6"/>
      <c r="DT1666" s="6"/>
      <c r="DU1666" s="6"/>
      <c r="DV1666" s="6"/>
      <c r="DW1666" s="6"/>
      <c r="DX1666" s="6"/>
      <c r="DY1666" s="6"/>
      <c r="DZ1666" s="6"/>
      <c r="EA1666" s="6"/>
      <c r="EB1666" s="6"/>
      <c r="EC1666" s="6"/>
      <c r="ED1666" s="6"/>
      <c r="EE1666" s="6"/>
      <c r="EF1666" s="6"/>
      <c r="EG1666" s="6"/>
      <c r="EH1666" s="6"/>
      <c r="EI1666" s="6"/>
      <c r="EJ1666" s="6"/>
      <c r="EK1666" s="6"/>
      <c r="EL1666" s="6"/>
      <c r="EM1666" s="6"/>
      <c r="EN1666" s="6"/>
      <c r="EO1666" s="6"/>
      <c r="EP1666" s="6"/>
      <c r="EQ1666" s="6"/>
      <c r="ER1666" s="6"/>
      <c r="ES1666" s="6"/>
      <c r="ET1666" s="6"/>
      <c r="EU1666" s="6"/>
      <c r="EV1666" s="6"/>
      <c r="EW1666" s="6"/>
      <c r="EX1666" s="6"/>
      <c r="EY1666" s="6"/>
      <c r="EZ1666" s="6"/>
      <c r="FA1666" s="6"/>
      <c r="FB1666" s="6"/>
      <c r="FC1666" s="6"/>
      <c r="FD1666" s="6"/>
      <c r="FE1666" s="6"/>
      <c r="FF1666" s="6"/>
      <c r="FG1666" s="6"/>
      <c r="FH1666" s="6"/>
      <c r="FI1666" s="6"/>
      <c r="FJ1666" s="6"/>
      <c r="FK1666" s="6"/>
      <c r="FL1666" s="6"/>
      <c r="FM1666" s="6"/>
      <c r="FN1666" s="6"/>
      <c r="FO1666" s="6"/>
      <c r="FP1666" s="6"/>
      <c r="FQ1666" s="6"/>
      <c r="FR1666" s="6"/>
      <c r="FS1666" s="6"/>
      <c r="FT1666" s="6"/>
      <c r="FU1666" s="6"/>
      <c r="FV1666" s="6"/>
      <c r="FW1666" s="6"/>
      <c r="FX1666" s="6"/>
      <c r="FY1666" s="6"/>
      <c r="FZ1666" s="6"/>
      <c r="GA1666" s="6"/>
      <c r="GB1666" s="6"/>
      <c r="GC1666" s="6"/>
      <c r="GD1666" s="6"/>
      <c r="GE1666" s="6"/>
      <c r="GF1666" s="6"/>
      <c r="GG1666" s="6"/>
      <c r="GH1666" s="6"/>
      <c r="GI1666" s="6"/>
      <c r="GJ1666" s="6"/>
      <c r="GK1666" s="6"/>
      <c r="GL1666" s="6"/>
      <c r="GM1666" s="6"/>
      <c r="GN1666" s="6"/>
      <c r="GO1666" s="6"/>
      <c r="GP1666" s="6"/>
      <c r="GQ1666" s="6"/>
      <c r="GR1666" s="6"/>
      <c r="GS1666" s="6"/>
      <c r="GT1666" s="6"/>
      <c r="GU1666" s="6"/>
      <c r="GV1666" s="6"/>
      <c r="GW1666" s="6"/>
      <c r="GX1666" s="6"/>
      <c r="GY1666" s="6"/>
      <c r="GZ1666" s="6"/>
      <c r="HA1666" s="6"/>
      <c r="HB1666" s="6"/>
      <c r="HC1666" s="6"/>
      <c r="HD1666" s="6"/>
      <c r="HE1666" s="6"/>
      <c r="HF1666" s="6"/>
      <c r="HG1666" s="6"/>
      <c r="HH1666" s="6"/>
    </row>
    <row r="1667" spans="1:216" x14ac:dyDescent="0.3">
      <c r="A1667" s="8"/>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row>
    <row r="1668" spans="1:216" x14ac:dyDescent="0.3">
      <c r="A1668" s="8"/>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row>
    <row r="1669" spans="1:216" x14ac:dyDescent="0.3">
      <c r="A1669" s="8"/>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row>
    <row r="1670" spans="1:216" x14ac:dyDescent="0.3">
      <c r="A1670" s="8"/>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row>
    <row r="1671" spans="1:216" x14ac:dyDescent="0.3">
      <c r="A1671" s="8"/>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6"/>
      <c r="AR1671" s="6"/>
      <c r="AS1671" s="6"/>
      <c r="AT1671" s="6"/>
      <c r="AU1671" s="6"/>
      <c r="AV1671" s="6"/>
      <c r="AW1671" s="6"/>
      <c r="AX1671" s="6"/>
      <c r="AY1671" s="6"/>
      <c r="AZ1671" s="6"/>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c r="DX1671" s="6"/>
      <c r="DY1671" s="6"/>
      <c r="DZ1671" s="6"/>
      <c r="EA1671" s="6"/>
      <c r="EB1671" s="6"/>
      <c r="EC1671" s="6"/>
      <c r="ED1671" s="6"/>
      <c r="EE1671" s="6"/>
      <c r="EF1671" s="6"/>
      <c r="EG1671" s="6"/>
      <c r="EH1671" s="6"/>
      <c r="EI1671" s="6"/>
      <c r="EJ1671" s="6"/>
      <c r="EK1671" s="6"/>
      <c r="EL1671" s="6"/>
      <c r="EM1671" s="6"/>
      <c r="EN1671" s="6"/>
      <c r="EO1671" s="6"/>
      <c r="EP1671" s="6"/>
      <c r="EQ1671" s="6"/>
      <c r="ER1671" s="6"/>
      <c r="ES1671" s="6"/>
      <c r="ET1671" s="6"/>
      <c r="EU1671" s="6"/>
      <c r="EV1671" s="6"/>
      <c r="EW1671" s="6"/>
      <c r="EX1671" s="6"/>
      <c r="EY1671" s="6"/>
      <c r="EZ1671" s="6"/>
      <c r="FA1671" s="6"/>
      <c r="FB1671" s="6"/>
      <c r="FC1671" s="6"/>
      <c r="FD1671" s="6"/>
      <c r="FE1671" s="6"/>
      <c r="FF1671" s="6"/>
      <c r="FG1671" s="6"/>
      <c r="FH1671" s="6"/>
      <c r="FI1671" s="6"/>
      <c r="FJ1671" s="6"/>
      <c r="FK1671" s="6"/>
      <c r="FL1671" s="6"/>
      <c r="FM1671" s="6"/>
      <c r="FN1671" s="6"/>
      <c r="FO1671" s="6"/>
      <c r="FP1671" s="6"/>
      <c r="FQ1671" s="6"/>
      <c r="FR1671" s="6"/>
      <c r="FS1671" s="6"/>
      <c r="FT1671" s="6"/>
      <c r="FU1671" s="6"/>
      <c r="FV1671" s="6"/>
      <c r="FW1671" s="6"/>
      <c r="FX1671" s="6"/>
      <c r="FY1671" s="6"/>
      <c r="FZ1671" s="6"/>
      <c r="GA1671" s="6"/>
      <c r="GB1671" s="6"/>
      <c r="GC1671" s="6"/>
      <c r="GD1671" s="6"/>
      <c r="GE1671" s="6"/>
      <c r="GF1671" s="6"/>
      <c r="GG1671" s="6"/>
      <c r="GH1671" s="6"/>
      <c r="GI1671" s="6"/>
      <c r="GJ1671" s="6"/>
      <c r="GK1671" s="6"/>
      <c r="GL1671" s="6"/>
      <c r="GM1671" s="6"/>
      <c r="GN1671" s="6"/>
      <c r="GO1671" s="6"/>
      <c r="GP1671" s="6"/>
      <c r="GQ1671" s="6"/>
      <c r="GR1671" s="6"/>
      <c r="GS1671" s="6"/>
      <c r="GT1671" s="6"/>
      <c r="GU1671" s="6"/>
      <c r="GV1671" s="6"/>
      <c r="GW1671" s="6"/>
      <c r="GX1671" s="6"/>
      <c r="GY1671" s="6"/>
      <c r="GZ1671" s="6"/>
      <c r="HA1671" s="6"/>
      <c r="HB1671" s="6"/>
      <c r="HC1671" s="6"/>
      <c r="HD1671" s="6"/>
      <c r="HE1671" s="6"/>
      <c r="HF1671" s="6"/>
      <c r="HG1671" s="6"/>
      <c r="HH1671" s="6"/>
    </row>
    <row r="1672" spans="1:216" x14ac:dyDescent="0.3">
      <c r="A1672" s="8"/>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6"/>
      <c r="AR1672" s="6"/>
      <c r="AS1672" s="6"/>
      <c r="AT1672" s="6"/>
      <c r="AU1672" s="6"/>
      <c r="AV1672" s="6"/>
      <c r="AW1672" s="6"/>
      <c r="AX1672" s="6"/>
      <c r="AY1672" s="6"/>
      <c r="AZ1672" s="6"/>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c r="DX1672" s="6"/>
      <c r="DY1672" s="6"/>
      <c r="DZ1672" s="6"/>
      <c r="EA1672" s="6"/>
      <c r="EB1672" s="6"/>
      <c r="EC1672" s="6"/>
      <c r="ED1672" s="6"/>
      <c r="EE1672" s="6"/>
      <c r="EF1672" s="6"/>
      <c r="EG1672" s="6"/>
      <c r="EH1672" s="6"/>
      <c r="EI1672" s="6"/>
      <c r="EJ1672" s="6"/>
      <c r="EK1672" s="6"/>
      <c r="EL1672" s="6"/>
      <c r="EM1672" s="6"/>
      <c r="EN1672" s="6"/>
      <c r="EO1672" s="6"/>
      <c r="EP1672" s="6"/>
      <c r="EQ1672" s="6"/>
      <c r="ER1672" s="6"/>
      <c r="ES1672" s="6"/>
      <c r="ET1672" s="6"/>
      <c r="EU1672" s="6"/>
      <c r="EV1672" s="6"/>
      <c r="EW1672" s="6"/>
      <c r="EX1672" s="6"/>
      <c r="EY1672" s="6"/>
      <c r="EZ1672" s="6"/>
      <c r="FA1672" s="6"/>
      <c r="FB1672" s="6"/>
      <c r="FC1672" s="6"/>
      <c r="FD1672" s="6"/>
      <c r="FE1672" s="6"/>
      <c r="FF1672" s="6"/>
      <c r="FG1672" s="6"/>
      <c r="FH1672" s="6"/>
      <c r="FI1672" s="6"/>
      <c r="FJ1672" s="6"/>
      <c r="FK1672" s="6"/>
      <c r="FL1672" s="6"/>
      <c r="FM1672" s="6"/>
      <c r="FN1672" s="6"/>
      <c r="FO1672" s="6"/>
      <c r="FP1672" s="6"/>
      <c r="FQ1672" s="6"/>
      <c r="FR1672" s="6"/>
      <c r="FS1672" s="6"/>
      <c r="FT1672" s="6"/>
      <c r="FU1672" s="6"/>
      <c r="FV1672" s="6"/>
      <c r="FW1672" s="6"/>
      <c r="FX1672" s="6"/>
      <c r="FY1672" s="6"/>
      <c r="FZ1672" s="6"/>
      <c r="GA1672" s="6"/>
      <c r="GB1672" s="6"/>
      <c r="GC1672" s="6"/>
      <c r="GD1672" s="6"/>
      <c r="GE1672" s="6"/>
      <c r="GF1672" s="6"/>
      <c r="GG1672" s="6"/>
      <c r="GH1672" s="6"/>
      <c r="GI1672" s="6"/>
      <c r="GJ1672" s="6"/>
      <c r="GK1672" s="6"/>
      <c r="GL1672" s="6"/>
      <c r="GM1672" s="6"/>
      <c r="GN1672" s="6"/>
      <c r="GO1672" s="6"/>
      <c r="GP1672" s="6"/>
      <c r="GQ1672" s="6"/>
      <c r="GR1672" s="6"/>
      <c r="GS1672" s="6"/>
      <c r="GT1672" s="6"/>
      <c r="GU1672" s="6"/>
      <c r="GV1672" s="6"/>
      <c r="GW1672" s="6"/>
      <c r="GX1672" s="6"/>
      <c r="GY1672" s="6"/>
      <c r="GZ1672" s="6"/>
      <c r="HA1672" s="6"/>
      <c r="HB1672" s="6"/>
      <c r="HC1672" s="6"/>
      <c r="HD1672" s="6"/>
      <c r="HE1672" s="6"/>
      <c r="HF1672" s="6"/>
      <c r="HG1672" s="6"/>
      <c r="HH1672" s="6"/>
    </row>
    <row r="1673" spans="1:216" x14ac:dyDescent="0.3">
      <c r="A1673" s="8"/>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6"/>
      <c r="AR1673" s="6"/>
      <c r="AS1673" s="6"/>
      <c r="AT1673" s="6"/>
      <c r="AU1673" s="6"/>
      <c r="AV1673" s="6"/>
      <c r="AW1673" s="6"/>
      <c r="AX1673" s="6"/>
      <c r="AY1673" s="6"/>
      <c r="AZ1673" s="6"/>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c r="DX1673" s="6"/>
      <c r="DY1673" s="6"/>
      <c r="DZ1673" s="6"/>
      <c r="EA1673" s="6"/>
      <c r="EB1673" s="6"/>
      <c r="EC1673" s="6"/>
      <c r="ED1673" s="6"/>
      <c r="EE1673" s="6"/>
      <c r="EF1673" s="6"/>
      <c r="EG1673" s="6"/>
      <c r="EH1673" s="6"/>
      <c r="EI1673" s="6"/>
      <c r="EJ1673" s="6"/>
      <c r="EK1673" s="6"/>
      <c r="EL1673" s="6"/>
      <c r="EM1673" s="6"/>
      <c r="EN1673" s="6"/>
      <c r="EO1673" s="6"/>
      <c r="EP1673" s="6"/>
      <c r="EQ1673" s="6"/>
      <c r="ER1673" s="6"/>
      <c r="ES1673" s="6"/>
      <c r="ET1673" s="6"/>
      <c r="EU1673" s="6"/>
      <c r="EV1673" s="6"/>
      <c r="EW1673" s="6"/>
      <c r="EX1673" s="6"/>
      <c r="EY1673" s="6"/>
      <c r="EZ1673" s="6"/>
      <c r="FA1673" s="6"/>
      <c r="FB1673" s="6"/>
      <c r="FC1673" s="6"/>
      <c r="FD1673" s="6"/>
      <c r="FE1673" s="6"/>
      <c r="FF1673" s="6"/>
      <c r="FG1673" s="6"/>
      <c r="FH1673" s="6"/>
      <c r="FI1673" s="6"/>
      <c r="FJ1673" s="6"/>
      <c r="FK1673" s="6"/>
      <c r="FL1673" s="6"/>
      <c r="FM1673" s="6"/>
      <c r="FN1673" s="6"/>
      <c r="FO1673" s="6"/>
      <c r="FP1673" s="6"/>
      <c r="FQ1673" s="6"/>
      <c r="FR1673" s="6"/>
      <c r="FS1673" s="6"/>
      <c r="FT1673" s="6"/>
      <c r="FU1673" s="6"/>
      <c r="FV1673" s="6"/>
      <c r="FW1673" s="6"/>
      <c r="FX1673" s="6"/>
      <c r="FY1673" s="6"/>
      <c r="FZ1673" s="6"/>
      <c r="GA1673" s="6"/>
      <c r="GB1673" s="6"/>
      <c r="GC1673" s="6"/>
      <c r="GD1673" s="6"/>
      <c r="GE1673" s="6"/>
      <c r="GF1673" s="6"/>
      <c r="GG1673" s="6"/>
      <c r="GH1673" s="6"/>
      <c r="GI1673" s="6"/>
      <c r="GJ1673" s="6"/>
      <c r="GK1673" s="6"/>
      <c r="GL1673" s="6"/>
      <c r="GM1673" s="6"/>
      <c r="GN1673" s="6"/>
      <c r="GO1673" s="6"/>
      <c r="GP1673" s="6"/>
      <c r="GQ1673" s="6"/>
      <c r="GR1673" s="6"/>
      <c r="GS1673" s="6"/>
      <c r="GT1673" s="6"/>
      <c r="GU1673" s="6"/>
      <c r="GV1673" s="6"/>
      <c r="GW1673" s="6"/>
      <c r="GX1673" s="6"/>
      <c r="GY1673" s="6"/>
      <c r="GZ1673" s="6"/>
      <c r="HA1673" s="6"/>
      <c r="HB1673" s="6"/>
      <c r="HC1673" s="6"/>
      <c r="HD1673" s="6"/>
      <c r="HE1673" s="6"/>
      <c r="HF1673" s="6"/>
      <c r="HG1673" s="6"/>
      <c r="HH1673" s="6"/>
    </row>
    <row r="1674" spans="1:216" x14ac:dyDescent="0.3">
      <c r="A1674" s="8"/>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6"/>
      <c r="AR1674" s="6"/>
      <c r="AS1674" s="6"/>
      <c r="AT1674" s="6"/>
      <c r="AU1674" s="6"/>
      <c r="AV1674" s="6"/>
      <c r="AW1674" s="6"/>
      <c r="AX1674" s="6"/>
      <c r="AY1674" s="6"/>
      <c r="AZ1674" s="6"/>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c r="DX1674" s="6"/>
      <c r="DY1674" s="6"/>
      <c r="DZ1674" s="6"/>
      <c r="EA1674" s="6"/>
      <c r="EB1674" s="6"/>
      <c r="EC1674" s="6"/>
      <c r="ED1674" s="6"/>
      <c r="EE1674" s="6"/>
      <c r="EF1674" s="6"/>
      <c r="EG1674" s="6"/>
      <c r="EH1674" s="6"/>
      <c r="EI1674" s="6"/>
      <c r="EJ1674" s="6"/>
      <c r="EK1674" s="6"/>
      <c r="EL1674" s="6"/>
      <c r="EM1674" s="6"/>
      <c r="EN1674" s="6"/>
      <c r="EO1674" s="6"/>
      <c r="EP1674" s="6"/>
      <c r="EQ1674" s="6"/>
      <c r="ER1674" s="6"/>
      <c r="ES1674" s="6"/>
      <c r="ET1674" s="6"/>
      <c r="EU1674" s="6"/>
      <c r="EV1674" s="6"/>
      <c r="EW1674" s="6"/>
      <c r="EX1674" s="6"/>
      <c r="EY1674" s="6"/>
      <c r="EZ1674" s="6"/>
      <c r="FA1674" s="6"/>
      <c r="FB1674" s="6"/>
      <c r="FC1674" s="6"/>
      <c r="FD1674" s="6"/>
      <c r="FE1674" s="6"/>
      <c r="FF1674" s="6"/>
      <c r="FG1674" s="6"/>
      <c r="FH1674" s="6"/>
      <c r="FI1674" s="6"/>
      <c r="FJ1674" s="6"/>
      <c r="FK1674" s="6"/>
      <c r="FL1674" s="6"/>
      <c r="FM1674" s="6"/>
      <c r="FN1674" s="6"/>
      <c r="FO1674" s="6"/>
      <c r="FP1674" s="6"/>
      <c r="FQ1674" s="6"/>
      <c r="FR1674" s="6"/>
      <c r="FS1674" s="6"/>
      <c r="FT1674" s="6"/>
      <c r="FU1674" s="6"/>
      <c r="FV1674" s="6"/>
      <c r="FW1674" s="6"/>
      <c r="FX1674" s="6"/>
      <c r="FY1674" s="6"/>
      <c r="FZ1674" s="6"/>
      <c r="GA1674" s="6"/>
      <c r="GB1674" s="6"/>
      <c r="GC1674" s="6"/>
      <c r="GD1674" s="6"/>
      <c r="GE1674" s="6"/>
      <c r="GF1674" s="6"/>
      <c r="GG1674" s="6"/>
      <c r="GH1674" s="6"/>
      <c r="GI1674" s="6"/>
      <c r="GJ1674" s="6"/>
      <c r="GK1674" s="6"/>
      <c r="GL1674" s="6"/>
      <c r="GM1674" s="6"/>
      <c r="GN1674" s="6"/>
      <c r="GO1674" s="6"/>
      <c r="GP1674" s="6"/>
      <c r="GQ1674" s="6"/>
      <c r="GR1674" s="6"/>
      <c r="GS1674" s="6"/>
      <c r="GT1674" s="6"/>
      <c r="GU1674" s="6"/>
      <c r="GV1674" s="6"/>
      <c r="GW1674" s="6"/>
      <c r="GX1674" s="6"/>
      <c r="GY1674" s="6"/>
      <c r="GZ1674" s="6"/>
      <c r="HA1674" s="6"/>
      <c r="HB1674" s="6"/>
      <c r="HC1674" s="6"/>
      <c r="HD1674" s="6"/>
      <c r="HE1674" s="6"/>
      <c r="HF1674" s="6"/>
      <c r="HG1674" s="6"/>
      <c r="HH1674" s="6"/>
    </row>
    <row r="1675" spans="1:216" x14ac:dyDescent="0.3">
      <c r="A1675" s="8"/>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6"/>
      <c r="AR1675" s="6"/>
      <c r="AS1675" s="6"/>
      <c r="AT1675" s="6"/>
      <c r="AU1675" s="6"/>
      <c r="AV1675" s="6"/>
      <c r="AW1675" s="6"/>
      <c r="AX1675" s="6"/>
      <c r="AY1675" s="6"/>
      <c r="AZ1675" s="6"/>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c r="DX1675" s="6"/>
      <c r="DY1675" s="6"/>
      <c r="DZ1675" s="6"/>
      <c r="EA1675" s="6"/>
      <c r="EB1675" s="6"/>
      <c r="EC1675" s="6"/>
      <c r="ED1675" s="6"/>
      <c r="EE1675" s="6"/>
      <c r="EF1675" s="6"/>
      <c r="EG1675" s="6"/>
      <c r="EH1675" s="6"/>
      <c r="EI1675" s="6"/>
      <c r="EJ1675" s="6"/>
      <c r="EK1675" s="6"/>
      <c r="EL1675" s="6"/>
      <c r="EM1675" s="6"/>
      <c r="EN1675" s="6"/>
      <c r="EO1675" s="6"/>
      <c r="EP1675" s="6"/>
      <c r="EQ1675" s="6"/>
      <c r="ER1675" s="6"/>
      <c r="ES1675" s="6"/>
      <c r="ET1675" s="6"/>
      <c r="EU1675" s="6"/>
      <c r="EV1675" s="6"/>
      <c r="EW1675" s="6"/>
      <c r="EX1675" s="6"/>
      <c r="EY1675" s="6"/>
      <c r="EZ1675" s="6"/>
      <c r="FA1675" s="6"/>
      <c r="FB1675" s="6"/>
      <c r="FC1675" s="6"/>
      <c r="FD1675" s="6"/>
      <c r="FE1675" s="6"/>
      <c r="FF1675" s="6"/>
      <c r="FG1675" s="6"/>
      <c r="FH1675" s="6"/>
      <c r="FI1675" s="6"/>
      <c r="FJ1675" s="6"/>
      <c r="FK1675" s="6"/>
      <c r="FL1675" s="6"/>
      <c r="FM1675" s="6"/>
      <c r="FN1675" s="6"/>
      <c r="FO1675" s="6"/>
      <c r="FP1675" s="6"/>
      <c r="FQ1675" s="6"/>
      <c r="FR1675" s="6"/>
      <c r="FS1675" s="6"/>
      <c r="FT1675" s="6"/>
      <c r="FU1675" s="6"/>
      <c r="FV1675" s="6"/>
      <c r="FW1675" s="6"/>
      <c r="FX1675" s="6"/>
      <c r="FY1675" s="6"/>
      <c r="FZ1675" s="6"/>
      <c r="GA1675" s="6"/>
      <c r="GB1675" s="6"/>
      <c r="GC1675" s="6"/>
      <c r="GD1675" s="6"/>
      <c r="GE1675" s="6"/>
      <c r="GF1675" s="6"/>
      <c r="GG1675" s="6"/>
      <c r="GH1675" s="6"/>
      <c r="GI1675" s="6"/>
      <c r="GJ1675" s="6"/>
      <c r="GK1675" s="6"/>
      <c r="GL1675" s="6"/>
      <c r="GM1675" s="6"/>
      <c r="GN1675" s="6"/>
      <c r="GO1675" s="6"/>
      <c r="GP1675" s="6"/>
      <c r="GQ1675" s="6"/>
      <c r="GR1675" s="6"/>
      <c r="GS1675" s="6"/>
      <c r="GT1675" s="6"/>
      <c r="GU1675" s="6"/>
      <c r="GV1675" s="6"/>
      <c r="GW1675" s="6"/>
      <c r="GX1675" s="6"/>
      <c r="GY1675" s="6"/>
      <c r="GZ1675" s="6"/>
      <c r="HA1675" s="6"/>
      <c r="HB1675" s="6"/>
      <c r="HC1675" s="6"/>
      <c r="HD1675" s="6"/>
      <c r="HE1675" s="6"/>
      <c r="HF1675" s="6"/>
      <c r="HG1675" s="6"/>
      <c r="HH1675" s="6"/>
    </row>
    <row r="1676" spans="1:216" x14ac:dyDescent="0.3">
      <c r="A1676" s="8"/>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6"/>
      <c r="AR1676" s="6"/>
      <c r="AS1676" s="6"/>
      <c r="AT1676" s="6"/>
      <c r="AU1676" s="6"/>
      <c r="AV1676" s="6"/>
      <c r="AW1676" s="6"/>
      <c r="AX1676" s="6"/>
      <c r="AY1676" s="6"/>
      <c r="AZ1676" s="6"/>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c r="DX1676" s="6"/>
      <c r="DY1676" s="6"/>
      <c r="DZ1676" s="6"/>
      <c r="EA1676" s="6"/>
      <c r="EB1676" s="6"/>
      <c r="EC1676" s="6"/>
      <c r="ED1676" s="6"/>
      <c r="EE1676" s="6"/>
      <c r="EF1676" s="6"/>
      <c r="EG1676" s="6"/>
      <c r="EH1676" s="6"/>
      <c r="EI1676" s="6"/>
      <c r="EJ1676" s="6"/>
      <c r="EK1676" s="6"/>
      <c r="EL1676" s="6"/>
      <c r="EM1676" s="6"/>
      <c r="EN1676" s="6"/>
      <c r="EO1676" s="6"/>
      <c r="EP1676" s="6"/>
      <c r="EQ1676" s="6"/>
      <c r="ER1676" s="6"/>
      <c r="ES1676" s="6"/>
      <c r="ET1676" s="6"/>
      <c r="EU1676" s="6"/>
      <c r="EV1676" s="6"/>
      <c r="EW1676" s="6"/>
      <c r="EX1676" s="6"/>
      <c r="EY1676" s="6"/>
      <c r="EZ1676" s="6"/>
      <c r="FA1676" s="6"/>
      <c r="FB1676" s="6"/>
      <c r="FC1676" s="6"/>
      <c r="FD1676" s="6"/>
      <c r="FE1676" s="6"/>
      <c r="FF1676" s="6"/>
      <c r="FG1676" s="6"/>
      <c r="FH1676" s="6"/>
      <c r="FI1676" s="6"/>
      <c r="FJ1676" s="6"/>
      <c r="FK1676" s="6"/>
      <c r="FL1676" s="6"/>
      <c r="FM1676" s="6"/>
      <c r="FN1676" s="6"/>
      <c r="FO1676" s="6"/>
      <c r="FP1676" s="6"/>
      <c r="FQ1676" s="6"/>
      <c r="FR1676" s="6"/>
      <c r="FS1676" s="6"/>
      <c r="FT1676" s="6"/>
      <c r="FU1676" s="6"/>
      <c r="FV1676" s="6"/>
      <c r="FW1676" s="6"/>
      <c r="FX1676" s="6"/>
      <c r="FY1676" s="6"/>
      <c r="FZ1676" s="6"/>
      <c r="GA1676" s="6"/>
      <c r="GB1676" s="6"/>
      <c r="GC1676" s="6"/>
      <c r="GD1676" s="6"/>
      <c r="GE1676" s="6"/>
      <c r="GF1676" s="6"/>
      <c r="GG1676" s="6"/>
      <c r="GH1676" s="6"/>
      <c r="GI1676" s="6"/>
      <c r="GJ1676" s="6"/>
      <c r="GK1676" s="6"/>
      <c r="GL1676" s="6"/>
      <c r="GM1676" s="6"/>
      <c r="GN1676" s="6"/>
      <c r="GO1676" s="6"/>
      <c r="GP1676" s="6"/>
      <c r="GQ1676" s="6"/>
      <c r="GR1676" s="6"/>
      <c r="GS1676" s="6"/>
      <c r="GT1676" s="6"/>
      <c r="GU1676" s="6"/>
      <c r="GV1676" s="6"/>
      <c r="GW1676" s="6"/>
      <c r="GX1676" s="6"/>
      <c r="GY1676" s="6"/>
      <c r="GZ1676" s="6"/>
      <c r="HA1676" s="6"/>
      <c r="HB1676" s="6"/>
      <c r="HC1676" s="6"/>
      <c r="HD1676" s="6"/>
      <c r="HE1676" s="6"/>
      <c r="HF1676" s="6"/>
      <c r="HG1676" s="6"/>
      <c r="HH1676" s="6"/>
    </row>
    <row r="1677" spans="1:216" x14ac:dyDescent="0.3">
      <c r="A1677" s="8"/>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6"/>
      <c r="AR1677" s="6"/>
      <c r="AS1677" s="6"/>
      <c r="AT1677" s="6"/>
      <c r="AU1677" s="6"/>
      <c r="AV1677" s="6"/>
      <c r="AW1677" s="6"/>
      <c r="AX1677" s="6"/>
      <c r="AY1677" s="6"/>
      <c r="AZ1677" s="6"/>
      <c r="BA1677" s="6"/>
      <c r="BB1677" s="6"/>
      <c r="BC1677" s="6"/>
      <c r="BD1677" s="6"/>
      <c r="BE1677" s="6"/>
      <c r="BF1677" s="6"/>
      <c r="BG1677" s="6"/>
      <c r="BH1677" s="6"/>
      <c r="BI1677" s="6"/>
      <c r="BJ1677" s="6"/>
      <c r="BK1677" s="6"/>
      <c r="BL1677" s="6"/>
      <c r="BM1677" s="6"/>
      <c r="BN1677" s="6"/>
      <c r="BO1677" s="6"/>
      <c r="BP1677" s="6"/>
      <c r="BQ1677" s="6"/>
      <c r="BR1677" s="6"/>
      <c r="BS1677" s="6"/>
      <c r="BT1677" s="6"/>
      <c r="BU1677" s="6"/>
      <c r="BV1677" s="6"/>
      <c r="BW1677" s="6"/>
      <c r="BX1677" s="6"/>
      <c r="BY1677" s="6"/>
      <c r="BZ1677" s="6"/>
      <c r="CA1677" s="6"/>
      <c r="CB1677" s="6"/>
      <c r="CC1677" s="6"/>
      <c r="CD1677" s="6"/>
      <c r="CE1677" s="6"/>
      <c r="CF1677" s="6"/>
      <c r="CG1677" s="6"/>
      <c r="CH1677" s="6"/>
      <c r="CI1677" s="6"/>
      <c r="CJ1677" s="6"/>
      <c r="CK1677" s="6"/>
      <c r="CL1677" s="6"/>
      <c r="CM1677" s="6"/>
      <c r="CN1677" s="6"/>
      <c r="CO1677" s="6"/>
      <c r="CP1677" s="6"/>
      <c r="CQ1677" s="6"/>
      <c r="CR1677" s="6"/>
      <c r="CS1677" s="6"/>
      <c r="CT1677" s="6"/>
      <c r="CU1677" s="6"/>
      <c r="CV1677" s="6"/>
      <c r="CW1677" s="6"/>
      <c r="CX1677" s="6"/>
      <c r="CY1677" s="6"/>
      <c r="CZ1677" s="6"/>
      <c r="DA1677" s="6"/>
      <c r="DB1677" s="6"/>
      <c r="DC1677" s="6"/>
      <c r="DD1677" s="6"/>
      <c r="DE1677" s="6"/>
      <c r="DF1677" s="6"/>
      <c r="DG1677" s="6"/>
      <c r="DH1677" s="6"/>
      <c r="DI1677" s="6"/>
      <c r="DJ1677" s="6"/>
      <c r="DK1677" s="6"/>
      <c r="DL1677" s="6"/>
      <c r="DM1677" s="6"/>
      <c r="DN1677" s="6"/>
      <c r="DO1677" s="6"/>
      <c r="DP1677" s="6"/>
      <c r="DQ1677" s="6"/>
      <c r="DR1677" s="6"/>
      <c r="DS1677" s="6"/>
      <c r="DT1677" s="6"/>
      <c r="DU1677" s="6"/>
      <c r="DV1677" s="6"/>
      <c r="DW1677" s="6"/>
      <c r="DX1677" s="6"/>
      <c r="DY1677" s="6"/>
      <c r="DZ1677" s="6"/>
      <c r="EA1677" s="6"/>
      <c r="EB1677" s="6"/>
      <c r="EC1677" s="6"/>
      <c r="ED1677" s="6"/>
      <c r="EE1677" s="6"/>
      <c r="EF1677" s="6"/>
      <c r="EG1677" s="6"/>
      <c r="EH1677" s="6"/>
      <c r="EI1677" s="6"/>
      <c r="EJ1677" s="6"/>
      <c r="EK1677" s="6"/>
      <c r="EL1677" s="6"/>
      <c r="EM1677" s="6"/>
      <c r="EN1677" s="6"/>
      <c r="EO1677" s="6"/>
      <c r="EP1677" s="6"/>
      <c r="EQ1677" s="6"/>
      <c r="ER1677" s="6"/>
      <c r="ES1677" s="6"/>
      <c r="ET1677" s="6"/>
      <c r="EU1677" s="6"/>
      <c r="EV1677" s="6"/>
      <c r="EW1677" s="6"/>
      <c r="EX1677" s="6"/>
      <c r="EY1677" s="6"/>
      <c r="EZ1677" s="6"/>
      <c r="FA1677" s="6"/>
      <c r="FB1677" s="6"/>
      <c r="FC1677" s="6"/>
      <c r="FD1677" s="6"/>
      <c r="FE1677" s="6"/>
      <c r="FF1677" s="6"/>
      <c r="FG1677" s="6"/>
      <c r="FH1677" s="6"/>
      <c r="FI1677" s="6"/>
      <c r="FJ1677" s="6"/>
      <c r="FK1677" s="6"/>
      <c r="FL1677" s="6"/>
      <c r="FM1677" s="6"/>
      <c r="FN1677" s="6"/>
      <c r="FO1677" s="6"/>
      <c r="FP1677" s="6"/>
      <c r="FQ1677" s="6"/>
      <c r="FR1677" s="6"/>
      <c r="FS1677" s="6"/>
      <c r="FT1677" s="6"/>
      <c r="FU1677" s="6"/>
      <c r="FV1677" s="6"/>
      <c r="FW1677" s="6"/>
      <c r="FX1677" s="6"/>
      <c r="FY1677" s="6"/>
      <c r="FZ1677" s="6"/>
      <c r="GA1677" s="6"/>
      <c r="GB1677" s="6"/>
      <c r="GC1677" s="6"/>
      <c r="GD1677" s="6"/>
      <c r="GE1677" s="6"/>
      <c r="GF1677" s="6"/>
      <c r="GG1677" s="6"/>
      <c r="GH1677" s="6"/>
      <c r="GI1677" s="6"/>
      <c r="GJ1677" s="6"/>
      <c r="GK1677" s="6"/>
      <c r="GL1677" s="6"/>
      <c r="GM1677" s="6"/>
      <c r="GN1677" s="6"/>
      <c r="GO1677" s="6"/>
      <c r="GP1677" s="6"/>
      <c r="GQ1677" s="6"/>
      <c r="GR1677" s="6"/>
      <c r="GS1677" s="6"/>
      <c r="GT1677" s="6"/>
      <c r="GU1677" s="6"/>
      <c r="GV1677" s="6"/>
      <c r="GW1677" s="6"/>
      <c r="GX1677" s="6"/>
      <c r="GY1677" s="6"/>
      <c r="GZ1677" s="6"/>
      <c r="HA1677" s="6"/>
      <c r="HB1677" s="6"/>
      <c r="HC1677" s="6"/>
      <c r="HD1677" s="6"/>
      <c r="HE1677" s="6"/>
      <c r="HF1677" s="6"/>
      <c r="HG1677" s="6"/>
      <c r="HH1677" s="6"/>
    </row>
    <row r="1678" spans="1:216" x14ac:dyDescent="0.3">
      <c r="A1678" s="8"/>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6"/>
      <c r="AR1678" s="6"/>
      <c r="AS1678" s="6"/>
      <c r="AT1678" s="6"/>
      <c r="AU1678" s="6"/>
      <c r="AV1678" s="6"/>
      <c r="AW1678" s="6"/>
      <c r="AX1678" s="6"/>
      <c r="AY1678" s="6"/>
      <c r="AZ1678" s="6"/>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c r="DX1678" s="6"/>
      <c r="DY1678" s="6"/>
      <c r="DZ1678" s="6"/>
      <c r="EA1678" s="6"/>
      <c r="EB1678" s="6"/>
      <c r="EC1678" s="6"/>
      <c r="ED1678" s="6"/>
      <c r="EE1678" s="6"/>
      <c r="EF1678" s="6"/>
      <c r="EG1678" s="6"/>
      <c r="EH1678" s="6"/>
      <c r="EI1678" s="6"/>
      <c r="EJ1678" s="6"/>
      <c r="EK1678" s="6"/>
      <c r="EL1678" s="6"/>
      <c r="EM1678" s="6"/>
      <c r="EN1678" s="6"/>
      <c r="EO1678" s="6"/>
      <c r="EP1678" s="6"/>
      <c r="EQ1678" s="6"/>
      <c r="ER1678" s="6"/>
      <c r="ES1678" s="6"/>
      <c r="ET1678" s="6"/>
      <c r="EU1678" s="6"/>
      <c r="EV1678" s="6"/>
      <c r="EW1678" s="6"/>
      <c r="EX1678" s="6"/>
      <c r="EY1678" s="6"/>
      <c r="EZ1678" s="6"/>
      <c r="FA1678" s="6"/>
      <c r="FB1678" s="6"/>
      <c r="FC1678" s="6"/>
      <c r="FD1678" s="6"/>
      <c r="FE1678" s="6"/>
      <c r="FF1678" s="6"/>
      <c r="FG1678" s="6"/>
      <c r="FH1678" s="6"/>
      <c r="FI1678" s="6"/>
      <c r="FJ1678" s="6"/>
      <c r="FK1678" s="6"/>
      <c r="FL1678" s="6"/>
      <c r="FM1678" s="6"/>
      <c r="FN1678" s="6"/>
      <c r="FO1678" s="6"/>
      <c r="FP1678" s="6"/>
      <c r="FQ1678" s="6"/>
      <c r="FR1678" s="6"/>
      <c r="FS1678" s="6"/>
      <c r="FT1678" s="6"/>
      <c r="FU1678" s="6"/>
      <c r="FV1678" s="6"/>
      <c r="FW1678" s="6"/>
      <c r="FX1678" s="6"/>
      <c r="FY1678" s="6"/>
      <c r="FZ1678" s="6"/>
      <c r="GA1678" s="6"/>
      <c r="GB1678" s="6"/>
      <c r="GC1678" s="6"/>
      <c r="GD1678" s="6"/>
      <c r="GE1678" s="6"/>
      <c r="GF1678" s="6"/>
      <c r="GG1678" s="6"/>
      <c r="GH1678" s="6"/>
      <c r="GI1678" s="6"/>
      <c r="GJ1678" s="6"/>
      <c r="GK1678" s="6"/>
      <c r="GL1678" s="6"/>
      <c r="GM1678" s="6"/>
      <c r="GN1678" s="6"/>
      <c r="GO1678" s="6"/>
      <c r="GP1678" s="6"/>
      <c r="GQ1678" s="6"/>
      <c r="GR1678" s="6"/>
      <c r="GS1678" s="6"/>
      <c r="GT1678" s="6"/>
      <c r="GU1678" s="6"/>
      <c r="GV1678" s="6"/>
      <c r="GW1678" s="6"/>
      <c r="GX1678" s="6"/>
      <c r="GY1678" s="6"/>
      <c r="GZ1678" s="6"/>
      <c r="HA1678" s="6"/>
      <c r="HB1678" s="6"/>
      <c r="HC1678" s="6"/>
      <c r="HD1678" s="6"/>
      <c r="HE1678" s="6"/>
      <c r="HF1678" s="6"/>
      <c r="HG1678" s="6"/>
      <c r="HH1678" s="6"/>
    </row>
    <row r="1679" spans="1:216" x14ac:dyDescent="0.3">
      <c r="A1679" s="8"/>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6"/>
      <c r="AR1679" s="6"/>
      <c r="AS1679" s="6"/>
      <c r="AT1679" s="6"/>
      <c r="AU1679" s="6"/>
      <c r="AV1679" s="6"/>
      <c r="AW1679" s="6"/>
      <c r="AX1679" s="6"/>
      <c r="AY1679" s="6"/>
      <c r="AZ1679" s="6"/>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c r="DX1679" s="6"/>
      <c r="DY1679" s="6"/>
      <c r="DZ1679" s="6"/>
      <c r="EA1679" s="6"/>
      <c r="EB1679" s="6"/>
      <c r="EC1679" s="6"/>
      <c r="ED1679" s="6"/>
      <c r="EE1679" s="6"/>
      <c r="EF1679" s="6"/>
      <c r="EG1679" s="6"/>
      <c r="EH1679" s="6"/>
      <c r="EI1679" s="6"/>
      <c r="EJ1679" s="6"/>
      <c r="EK1679" s="6"/>
      <c r="EL1679" s="6"/>
      <c r="EM1679" s="6"/>
      <c r="EN1679" s="6"/>
      <c r="EO1679" s="6"/>
      <c r="EP1679" s="6"/>
      <c r="EQ1679" s="6"/>
      <c r="ER1679" s="6"/>
      <c r="ES1679" s="6"/>
      <c r="ET1679" s="6"/>
      <c r="EU1679" s="6"/>
      <c r="EV1679" s="6"/>
      <c r="EW1679" s="6"/>
      <c r="EX1679" s="6"/>
      <c r="EY1679" s="6"/>
      <c r="EZ1679" s="6"/>
      <c r="FA1679" s="6"/>
      <c r="FB1679" s="6"/>
      <c r="FC1679" s="6"/>
      <c r="FD1679" s="6"/>
      <c r="FE1679" s="6"/>
      <c r="FF1679" s="6"/>
      <c r="FG1679" s="6"/>
      <c r="FH1679" s="6"/>
      <c r="FI1679" s="6"/>
      <c r="FJ1679" s="6"/>
      <c r="FK1679" s="6"/>
      <c r="FL1679" s="6"/>
      <c r="FM1679" s="6"/>
      <c r="FN1679" s="6"/>
      <c r="FO1679" s="6"/>
      <c r="FP1679" s="6"/>
      <c r="FQ1679" s="6"/>
      <c r="FR1679" s="6"/>
      <c r="FS1679" s="6"/>
      <c r="FT1679" s="6"/>
      <c r="FU1679" s="6"/>
      <c r="FV1679" s="6"/>
      <c r="FW1679" s="6"/>
      <c r="FX1679" s="6"/>
      <c r="FY1679" s="6"/>
      <c r="FZ1679" s="6"/>
      <c r="GA1679" s="6"/>
      <c r="GB1679" s="6"/>
      <c r="GC1679" s="6"/>
      <c r="GD1679" s="6"/>
      <c r="GE1679" s="6"/>
      <c r="GF1679" s="6"/>
      <c r="GG1679" s="6"/>
      <c r="GH1679" s="6"/>
      <c r="GI1679" s="6"/>
      <c r="GJ1679" s="6"/>
      <c r="GK1679" s="6"/>
      <c r="GL1679" s="6"/>
      <c r="GM1679" s="6"/>
      <c r="GN1679" s="6"/>
      <c r="GO1679" s="6"/>
      <c r="GP1679" s="6"/>
      <c r="GQ1679" s="6"/>
      <c r="GR1679" s="6"/>
      <c r="GS1679" s="6"/>
      <c r="GT1679" s="6"/>
      <c r="GU1679" s="6"/>
      <c r="GV1679" s="6"/>
      <c r="GW1679" s="6"/>
      <c r="GX1679" s="6"/>
      <c r="GY1679" s="6"/>
      <c r="GZ1679" s="6"/>
      <c r="HA1679" s="6"/>
      <c r="HB1679" s="6"/>
      <c r="HC1679" s="6"/>
      <c r="HD1679" s="6"/>
      <c r="HE1679" s="6"/>
      <c r="HF1679" s="6"/>
      <c r="HG1679" s="6"/>
      <c r="HH1679" s="6"/>
    </row>
    <row r="1680" spans="1:216" x14ac:dyDescent="0.3">
      <c r="A1680" s="8"/>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6"/>
      <c r="AR1680" s="6"/>
      <c r="AS1680" s="6"/>
      <c r="AT1680" s="6"/>
      <c r="AU1680" s="6"/>
      <c r="AV1680" s="6"/>
      <c r="AW1680" s="6"/>
      <c r="AX1680" s="6"/>
      <c r="AY1680" s="6"/>
      <c r="AZ1680" s="6"/>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c r="DX1680" s="6"/>
      <c r="DY1680" s="6"/>
      <c r="DZ1680" s="6"/>
      <c r="EA1680" s="6"/>
      <c r="EB1680" s="6"/>
      <c r="EC1680" s="6"/>
      <c r="ED1680" s="6"/>
      <c r="EE1680" s="6"/>
      <c r="EF1680" s="6"/>
      <c r="EG1680" s="6"/>
      <c r="EH1680" s="6"/>
      <c r="EI1680" s="6"/>
      <c r="EJ1680" s="6"/>
      <c r="EK1680" s="6"/>
      <c r="EL1680" s="6"/>
      <c r="EM1680" s="6"/>
      <c r="EN1680" s="6"/>
      <c r="EO1680" s="6"/>
      <c r="EP1680" s="6"/>
      <c r="EQ1680" s="6"/>
      <c r="ER1680" s="6"/>
      <c r="ES1680" s="6"/>
      <c r="ET1680" s="6"/>
      <c r="EU1680" s="6"/>
      <c r="EV1680" s="6"/>
      <c r="EW1680" s="6"/>
      <c r="EX1680" s="6"/>
      <c r="EY1680" s="6"/>
      <c r="EZ1680" s="6"/>
      <c r="FA1680" s="6"/>
      <c r="FB1680" s="6"/>
      <c r="FC1680" s="6"/>
      <c r="FD1680" s="6"/>
      <c r="FE1680" s="6"/>
      <c r="FF1680" s="6"/>
      <c r="FG1680" s="6"/>
      <c r="FH1680" s="6"/>
      <c r="FI1680" s="6"/>
      <c r="FJ1680" s="6"/>
      <c r="FK1680" s="6"/>
      <c r="FL1680" s="6"/>
      <c r="FM1680" s="6"/>
      <c r="FN1680" s="6"/>
      <c r="FO1680" s="6"/>
      <c r="FP1680" s="6"/>
      <c r="FQ1680" s="6"/>
      <c r="FR1680" s="6"/>
      <c r="FS1680" s="6"/>
      <c r="FT1680" s="6"/>
      <c r="FU1680" s="6"/>
      <c r="FV1680" s="6"/>
      <c r="FW1680" s="6"/>
      <c r="FX1680" s="6"/>
      <c r="FY1680" s="6"/>
      <c r="FZ1680" s="6"/>
      <c r="GA1680" s="6"/>
      <c r="GB1680" s="6"/>
      <c r="GC1680" s="6"/>
      <c r="GD1680" s="6"/>
      <c r="GE1680" s="6"/>
      <c r="GF1680" s="6"/>
      <c r="GG1680" s="6"/>
      <c r="GH1680" s="6"/>
      <c r="GI1680" s="6"/>
      <c r="GJ1680" s="6"/>
      <c r="GK1680" s="6"/>
      <c r="GL1680" s="6"/>
      <c r="GM1680" s="6"/>
      <c r="GN1680" s="6"/>
      <c r="GO1680" s="6"/>
      <c r="GP1680" s="6"/>
      <c r="GQ1680" s="6"/>
      <c r="GR1680" s="6"/>
      <c r="GS1680" s="6"/>
      <c r="GT1680" s="6"/>
      <c r="GU1680" s="6"/>
      <c r="GV1680" s="6"/>
      <c r="GW1680" s="6"/>
      <c r="GX1680" s="6"/>
      <c r="GY1680" s="6"/>
      <c r="GZ1680" s="6"/>
      <c r="HA1680" s="6"/>
      <c r="HB1680" s="6"/>
      <c r="HC1680" s="6"/>
      <c r="HD1680" s="6"/>
      <c r="HE1680" s="6"/>
      <c r="HF1680" s="6"/>
      <c r="HG1680" s="6"/>
      <c r="HH1680" s="6"/>
    </row>
    <row r="1681" spans="1:216" x14ac:dyDescent="0.3">
      <c r="A1681" s="8"/>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6"/>
      <c r="AR1681" s="6"/>
      <c r="AS1681" s="6"/>
      <c r="AT1681" s="6"/>
      <c r="AU1681" s="6"/>
      <c r="AV1681" s="6"/>
      <c r="AW1681" s="6"/>
      <c r="AX1681" s="6"/>
      <c r="AY1681" s="6"/>
      <c r="AZ1681" s="6"/>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c r="DX1681" s="6"/>
      <c r="DY1681" s="6"/>
      <c r="DZ1681" s="6"/>
      <c r="EA1681" s="6"/>
      <c r="EB1681" s="6"/>
      <c r="EC1681" s="6"/>
      <c r="ED1681" s="6"/>
      <c r="EE1681" s="6"/>
      <c r="EF1681" s="6"/>
      <c r="EG1681" s="6"/>
      <c r="EH1681" s="6"/>
      <c r="EI1681" s="6"/>
      <c r="EJ1681" s="6"/>
      <c r="EK1681" s="6"/>
      <c r="EL1681" s="6"/>
      <c r="EM1681" s="6"/>
      <c r="EN1681" s="6"/>
      <c r="EO1681" s="6"/>
      <c r="EP1681" s="6"/>
      <c r="EQ1681" s="6"/>
      <c r="ER1681" s="6"/>
      <c r="ES1681" s="6"/>
      <c r="ET1681" s="6"/>
      <c r="EU1681" s="6"/>
      <c r="EV1681" s="6"/>
      <c r="EW1681" s="6"/>
      <c r="EX1681" s="6"/>
      <c r="EY1681" s="6"/>
      <c r="EZ1681" s="6"/>
      <c r="FA1681" s="6"/>
      <c r="FB1681" s="6"/>
      <c r="FC1681" s="6"/>
      <c r="FD1681" s="6"/>
      <c r="FE1681" s="6"/>
      <c r="FF1681" s="6"/>
      <c r="FG1681" s="6"/>
      <c r="FH1681" s="6"/>
      <c r="FI1681" s="6"/>
      <c r="FJ1681" s="6"/>
      <c r="FK1681" s="6"/>
      <c r="FL1681" s="6"/>
      <c r="FM1681" s="6"/>
      <c r="FN1681" s="6"/>
      <c r="FO1681" s="6"/>
      <c r="FP1681" s="6"/>
      <c r="FQ1681" s="6"/>
      <c r="FR1681" s="6"/>
      <c r="FS1681" s="6"/>
      <c r="FT1681" s="6"/>
      <c r="FU1681" s="6"/>
      <c r="FV1681" s="6"/>
      <c r="FW1681" s="6"/>
      <c r="FX1681" s="6"/>
      <c r="FY1681" s="6"/>
      <c r="FZ1681" s="6"/>
      <c r="GA1681" s="6"/>
      <c r="GB1681" s="6"/>
      <c r="GC1681" s="6"/>
      <c r="GD1681" s="6"/>
      <c r="GE1681" s="6"/>
      <c r="GF1681" s="6"/>
      <c r="GG1681" s="6"/>
      <c r="GH1681" s="6"/>
      <c r="GI1681" s="6"/>
      <c r="GJ1681" s="6"/>
      <c r="GK1681" s="6"/>
      <c r="GL1681" s="6"/>
      <c r="GM1681" s="6"/>
      <c r="GN1681" s="6"/>
      <c r="GO1681" s="6"/>
      <c r="GP1681" s="6"/>
      <c r="GQ1681" s="6"/>
      <c r="GR1681" s="6"/>
      <c r="GS1681" s="6"/>
      <c r="GT1681" s="6"/>
      <c r="GU1681" s="6"/>
      <c r="GV1681" s="6"/>
      <c r="GW1681" s="6"/>
      <c r="GX1681" s="6"/>
      <c r="GY1681" s="6"/>
      <c r="GZ1681" s="6"/>
      <c r="HA1681" s="6"/>
      <c r="HB1681" s="6"/>
      <c r="HC1681" s="6"/>
      <c r="HD1681" s="6"/>
      <c r="HE1681" s="6"/>
      <c r="HF1681" s="6"/>
      <c r="HG1681" s="6"/>
      <c r="HH1681" s="6"/>
    </row>
    <row r="1682" spans="1:216" x14ac:dyDescent="0.3">
      <c r="A1682" s="8"/>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6"/>
      <c r="AR1682" s="6"/>
      <c r="AS1682" s="6"/>
      <c r="AT1682" s="6"/>
      <c r="AU1682" s="6"/>
      <c r="AV1682" s="6"/>
      <c r="AW1682" s="6"/>
      <c r="AX1682" s="6"/>
      <c r="AY1682" s="6"/>
      <c r="AZ1682" s="6"/>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c r="DX1682" s="6"/>
      <c r="DY1682" s="6"/>
      <c r="DZ1682" s="6"/>
      <c r="EA1682" s="6"/>
      <c r="EB1682" s="6"/>
      <c r="EC1682" s="6"/>
      <c r="ED1682" s="6"/>
      <c r="EE1682" s="6"/>
      <c r="EF1682" s="6"/>
      <c r="EG1682" s="6"/>
      <c r="EH1682" s="6"/>
      <c r="EI1682" s="6"/>
      <c r="EJ1682" s="6"/>
      <c r="EK1682" s="6"/>
      <c r="EL1682" s="6"/>
      <c r="EM1682" s="6"/>
      <c r="EN1682" s="6"/>
      <c r="EO1682" s="6"/>
      <c r="EP1682" s="6"/>
      <c r="EQ1682" s="6"/>
      <c r="ER1682" s="6"/>
      <c r="ES1682" s="6"/>
      <c r="ET1682" s="6"/>
      <c r="EU1682" s="6"/>
      <c r="EV1682" s="6"/>
      <c r="EW1682" s="6"/>
      <c r="EX1682" s="6"/>
      <c r="EY1682" s="6"/>
      <c r="EZ1682" s="6"/>
      <c r="FA1682" s="6"/>
      <c r="FB1682" s="6"/>
      <c r="FC1682" s="6"/>
      <c r="FD1682" s="6"/>
      <c r="FE1682" s="6"/>
      <c r="FF1682" s="6"/>
      <c r="FG1682" s="6"/>
      <c r="FH1682" s="6"/>
      <c r="FI1682" s="6"/>
      <c r="FJ1682" s="6"/>
      <c r="FK1682" s="6"/>
      <c r="FL1682" s="6"/>
      <c r="FM1682" s="6"/>
      <c r="FN1682" s="6"/>
      <c r="FO1682" s="6"/>
      <c r="FP1682" s="6"/>
      <c r="FQ1682" s="6"/>
      <c r="FR1682" s="6"/>
      <c r="FS1682" s="6"/>
      <c r="FT1682" s="6"/>
      <c r="FU1682" s="6"/>
      <c r="FV1682" s="6"/>
      <c r="FW1682" s="6"/>
      <c r="FX1682" s="6"/>
      <c r="FY1682" s="6"/>
      <c r="FZ1682" s="6"/>
      <c r="GA1682" s="6"/>
      <c r="GB1682" s="6"/>
      <c r="GC1682" s="6"/>
      <c r="GD1682" s="6"/>
      <c r="GE1682" s="6"/>
      <c r="GF1682" s="6"/>
      <c r="GG1682" s="6"/>
      <c r="GH1682" s="6"/>
      <c r="GI1682" s="6"/>
      <c r="GJ1682" s="6"/>
      <c r="GK1682" s="6"/>
      <c r="GL1682" s="6"/>
      <c r="GM1682" s="6"/>
      <c r="GN1682" s="6"/>
      <c r="GO1682" s="6"/>
      <c r="GP1682" s="6"/>
      <c r="GQ1682" s="6"/>
      <c r="GR1682" s="6"/>
      <c r="GS1682" s="6"/>
      <c r="GT1682" s="6"/>
      <c r="GU1682" s="6"/>
      <c r="GV1682" s="6"/>
      <c r="GW1682" s="6"/>
      <c r="GX1682" s="6"/>
      <c r="GY1682" s="6"/>
      <c r="GZ1682" s="6"/>
      <c r="HA1682" s="6"/>
      <c r="HB1682" s="6"/>
      <c r="HC1682" s="6"/>
      <c r="HD1682" s="6"/>
      <c r="HE1682" s="6"/>
      <c r="HF1682" s="6"/>
      <c r="HG1682" s="6"/>
      <c r="HH1682" s="6"/>
    </row>
    <row r="1683" spans="1:216" x14ac:dyDescent="0.3">
      <c r="A1683" s="8"/>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6"/>
      <c r="AR1683" s="6"/>
      <c r="AS1683" s="6"/>
      <c r="AT1683" s="6"/>
      <c r="AU1683" s="6"/>
      <c r="AV1683" s="6"/>
      <c r="AW1683" s="6"/>
      <c r="AX1683" s="6"/>
      <c r="AY1683" s="6"/>
      <c r="AZ1683" s="6"/>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c r="DX1683" s="6"/>
      <c r="DY1683" s="6"/>
      <c r="DZ1683" s="6"/>
      <c r="EA1683" s="6"/>
      <c r="EB1683" s="6"/>
      <c r="EC1683" s="6"/>
      <c r="ED1683" s="6"/>
      <c r="EE1683" s="6"/>
      <c r="EF1683" s="6"/>
      <c r="EG1683" s="6"/>
      <c r="EH1683" s="6"/>
      <c r="EI1683" s="6"/>
      <c r="EJ1683" s="6"/>
      <c r="EK1683" s="6"/>
      <c r="EL1683" s="6"/>
      <c r="EM1683" s="6"/>
      <c r="EN1683" s="6"/>
      <c r="EO1683" s="6"/>
      <c r="EP1683" s="6"/>
      <c r="EQ1683" s="6"/>
      <c r="ER1683" s="6"/>
      <c r="ES1683" s="6"/>
      <c r="ET1683" s="6"/>
      <c r="EU1683" s="6"/>
      <c r="EV1683" s="6"/>
      <c r="EW1683" s="6"/>
      <c r="EX1683" s="6"/>
      <c r="EY1683" s="6"/>
      <c r="EZ1683" s="6"/>
      <c r="FA1683" s="6"/>
      <c r="FB1683" s="6"/>
      <c r="FC1683" s="6"/>
      <c r="FD1683" s="6"/>
      <c r="FE1683" s="6"/>
      <c r="FF1683" s="6"/>
      <c r="FG1683" s="6"/>
      <c r="FH1683" s="6"/>
      <c r="FI1683" s="6"/>
      <c r="FJ1683" s="6"/>
      <c r="FK1683" s="6"/>
      <c r="FL1683" s="6"/>
      <c r="FM1683" s="6"/>
      <c r="FN1683" s="6"/>
      <c r="FO1683" s="6"/>
      <c r="FP1683" s="6"/>
      <c r="FQ1683" s="6"/>
      <c r="FR1683" s="6"/>
      <c r="FS1683" s="6"/>
      <c r="FT1683" s="6"/>
      <c r="FU1683" s="6"/>
      <c r="FV1683" s="6"/>
      <c r="FW1683" s="6"/>
      <c r="FX1683" s="6"/>
      <c r="FY1683" s="6"/>
      <c r="FZ1683" s="6"/>
      <c r="GA1683" s="6"/>
      <c r="GB1683" s="6"/>
      <c r="GC1683" s="6"/>
      <c r="GD1683" s="6"/>
      <c r="GE1683" s="6"/>
      <c r="GF1683" s="6"/>
      <c r="GG1683" s="6"/>
      <c r="GH1683" s="6"/>
      <c r="GI1683" s="6"/>
      <c r="GJ1683" s="6"/>
      <c r="GK1683" s="6"/>
      <c r="GL1683" s="6"/>
      <c r="GM1683" s="6"/>
      <c r="GN1683" s="6"/>
      <c r="GO1683" s="6"/>
      <c r="GP1683" s="6"/>
      <c r="GQ1683" s="6"/>
      <c r="GR1683" s="6"/>
      <c r="GS1683" s="6"/>
      <c r="GT1683" s="6"/>
      <c r="GU1683" s="6"/>
      <c r="GV1683" s="6"/>
      <c r="GW1683" s="6"/>
      <c r="GX1683" s="6"/>
      <c r="GY1683" s="6"/>
      <c r="GZ1683" s="6"/>
      <c r="HA1683" s="6"/>
      <c r="HB1683" s="6"/>
      <c r="HC1683" s="6"/>
      <c r="HD1683" s="6"/>
      <c r="HE1683" s="6"/>
      <c r="HF1683" s="6"/>
      <c r="HG1683" s="6"/>
      <c r="HH1683" s="6"/>
    </row>
    <row r="1684" spans="1:216" x14ac:dyDescent="0.3">
      <c r="A1684" s="8"/>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6"/>
      <c r="AR1684" s="6"/>
      <c r="AS1684" s="6"/>
      <c r="AT1684" s="6"/>
      <c r="AU1684" s="6"/>
      <c r="AV1684" s="6"/>
      <c r="AW1684" s="6"/>
      <c r="AX1684" s="6"/>
      <c r="AY1684" s="6"/>
      <c r="AZ1684" s="6"/>
      <c r="BA1684" s="6"/>
      <c r="BB1684" s="6"/>
      <c r="BC1684" s="6"/>
      <c r="BD1684" s="6"/>
      <c r="BE1684" s="6"/>
      <c r="BF1684" s="6"/>
      <c r="BG1684" s="6"/>
      <c r="BH1684" s="6"/>
      <c r="BI1684" s="6"/>
      <c r="BJ1684" s="6"/>
      <c r="BK1684" s="6"/>
      <c r="BL1684" s="6"/>
      <c r="BM1684" s="6"/>
      <c r="BN1684" s="6"/>
      <c r="BO1684" s="6"/>
      <c r="BP1684" s="6"/>
      <c r="BQ1684" s="6"/>
      <c r="BR1684" s="6"/>
      <c r="BS1684" s="6"/>
      <c r="BT1684" s="6"/>
      <c r="BU1684" s="6"/>
      <c r="BV1684" s="6"/>
      <c r="BW1684" s="6"/>
      <c r="BX1684" s="6"/>
      <c r="BY1684" s="6"/>
      <c r="BZ1684" s="6"/>
      <c r="CA1684" s="6"/>
      <c r="CB1684" s="6"/>
      <c r="CC1684" s="6"/>
      <c r="CD1684" s="6"/>
      <c r="CE1684" s="6"/>
      <c r="CF1684" s="6"/>
      <c r="CG1684" s="6"/>
      <c r="CH1684" s="6"/>
      <c r="CI1684" s="6"/>
      <c r="CJ1684" s="6"/>
      <c r="CK1684" s="6"/>
      <c r="CL1684" s="6"/>
      <c r="CM1684" s="6"/>
      <c r="CN1684" s="6"/>
      <c r="CO1684" s="6"/>
      <c r="CP1684" s="6"/>
      <c r="CQ1684" s="6"/>
      <c r="CR1684" s="6"/>
      <c r="CS1684" s="6"/>
      <c r="CT1684" s="6"/>
      <c r="CU1684" s="6"/>
      <c r="CV1684" s="6"/>
      <c r="CW1684" s="6"/>
      <c r="CX1684" s="6"/>
      <c r="CY1684" s="6"/>
      <c r="CZ1684" s="6"/>
      <c r="DA1684" s="6"/>
      <c r="DB1684" s="6"/>
      <c r="DC1684" s="6"/>
      <c r="DD1684" s="6"/>
      <c r="DE1684" s="6"/>
      <c r="DF1684" s="6"/>
      <c r="DG1684" s="6"/>
      <c r="DH1684" s="6"/>
      <c r="DI1684" s="6"/>
      <c r="DJ1684" s="6"/>
      <c r="DK1684" s="6"/>
      <c r="DL1684" s="6"/>
      <c r="DM1684" s="6"/>
      <c r="DN1684" s="6"/>
      <c r="DO1684" s="6"/>
      <c r="DP1684" s="6"/>
      <c r="DQ1684" s="6"/>
      <c r="DR1684" s="6"/>
      <c r="DS1684" s="6"/>
      <c r="DT1684" s="6"/>
      <c r="DU1684" s="6"/>
      <c r="DV1684" s="6"/>
      <c r="DW1684" s="6"/>
      <c r="DX1684" s="6"/>
      <c r="DY1684" s="6"/>
      <c r="DZ1684" s="6"/>
      <c r="EA1684" s="6"/>
      <c r="EB1684" s="6"/>
      <c r="EC1684" s="6"/>
      <c r="ED1684" s="6"/>
      <c r="EE1684" s="6"/>
      <c r="EF1684" s="6"/>
      <c r="EG1684" s="6"/>
      <c r="EH1684" s="6"/>
      <c r="EI1684" s="6"/>
      <c r="EJ1684" s="6"/>
      <c r="EK1684" s="6"/>
      <c r="EL1684" s="6"/>
      <c r="EM1684" s="6"/>
      <c r="EN1684" s="6"/>
      <c r="EO1684" s="6"/>
      <c r="EP1684" s="6"/>
      <c r="EQ1684" s="6"/>
      <c r="ER1684" s="6"/>
      <c r="ES1684" s="6"/>
      <c r="ET1684" s="6"/>
      <c r="EU1684" s="6"/>
      <c r="EV1684" s="6"/>
      <c r="EW1684" s="6"/>
      <c r="EX1684" s="6"/>
      <c r="EY1684" s="6"/>
      <c r="EZ1684" s="6"/>
      <c r="FA1684" s="6"/>
      <c r="FB1684" s="6"/>
      <c r="FC1684" s="6"/>
      <c r="FD1684" s="6"/>
      <c r="FE1684" s="6"/>
      <c r="FF1684" s="6"/>
      <c r="FG1684" s="6"/>
      <c r="FH1684" s="6"/>
      <c r="FI1684" s="6"/>
      <c r="FJ1684" s="6"/>
      <c r="FK1684" s="6"/>
      <c r="FL1684" s="6"/>
      <c r="FM1684" s="6"/>
      <c r="FN1684" s="6"/>
      <c r="FO1684" s="6"/>
      <c r="FP1684" s="6"/>
      <c r="FQ1684" s="6"/>
      <c r="FR1684" s="6"/>
      <c r="FS1684" s="6"/>
      <c r="FT1684" s="6"/>
      <c r="FU1684" s="6"/>
      <c r="FV1684" s="6"/>
      <c r="FW1684" s="6"/>
      <c r="FX1684" s="6"/>
      <c r="FY1684" s="6"/>
      <c r="FZ1684" s="6"/>
      <c r="GA1684" s="6"/>
      <c r="GB1684" s="6"/>
      <c r="GC1684" s="6"/>
      <c r="GD1684" s="6"/>
      <c r="GE1684" s="6"/>
      <c r="GF1684" s="6"/>
      <c r="GG1684" s="6"/>
      <c r="GH1684" s="6"/>
      <c r="GI1684" s="6"/>
      <c r="GJ1684" s="6"/>
      <c r="GK1684" s="6"/>
      <c r="GL1684" s="6"/>
      <c r="GM1684" s="6"/>
      <c r="GN1684" s="6"/>
      <c r="GO1684" s="6"/>
      <c r="GP1684" s="6"/>
      <c r="GQ1684" s="6"/>
      <c r="GR1684" s="6"/>
      <c r="GS1684" s="6"/>
      <c r="GT1684" s="6"/>
      <c r="GU1684" s="6"/>
      <c r="GV1684" s="6"/>
      <c r="GW1684" s="6"/>
      <c r="GX1684" s="6"/>
      <c r="GY1684" s="6"/>
      <c r="GZ1684" s="6"/>
      <c r="HA1684" s="6"/>
      <c r="HB1684" s="6"/>
      <c r="HC1684" s="6"/>
      <c r="HD1684" s="6"/>
      <c r="HE1684" s="6"/>
      <c r="HF1684" s="6"/>
      <c r="HG1684" s="6"/>
      <c r="HH1684" s="6"/>
    </row>
    <row r="1685" spans="1:216" x14ac:dyDescent="0.3">
      <c r="A1685" s="8"/>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6"/>
      <c r="AR1685" s="6"/>
      <c r="AS1685" s="6"/>
      <c r="AT1685" s="6"/>
      <c r="AU1685" s="6"/>
      <c r="AV1685" s="6"/>
      <c r="AW1685" s="6"/>
      <c r="AX1685" s="6"/>
      <c r="AY1685" s="6"/>
      <c r="AZ1685" s="6"/>
      <c r="BA1685" s="6"/>
      <c r="BB1685" s="6"/>
      <c r="BC1685" s="6"/>
      <c r="BD1685" s="6"/>
      <c r="BE1685" s="6"/>
      <c r="BF1685" s="6"/>
      <c r="BG1685" s="6"/>
      <c r="BH1685" s="6"/>
      <c r="BI1685" s="6"/>
      <c r="BJ1685" s="6"/>
      <c r="BK1685" s="6"/>
      <c r="BL1685" s="6"/>
      <c r="BM1685" s="6"/>
      <c r="BN1685" s="6"/>
      <c r="BO1685" s="6"/>
      <c r="BP1685" s="6"/>
      <c r="BQ1685" s="6"/>
      <c r="BR1685" s="6"/>
      <c r="BS1685" s="6"/>
      <c r="BT1685" s="6"/>
      <c r="BU1685" s="6"/>
      <c r="BV1685" s="6"/>
      <c r="BW1685" s="6"/>
      <c r="BX1685" s="6"/>
      <c r="BY1685" s="6"/>
      <c r="BZ1685" s="6"/>
      <c r="CA1685" s="6"/>
      <c r="CB1685" s="6"/>
      <c r="CC1685" s="6"/>
      <c r="CD1685" s="6"/>
      <c r="CE1685" s="6"/>
      <c r="CF1685" s="6"/>
      <c r="CG1685" s="6"/>
      <c r="CH1685" s="6"/>
      <c r="CI1685" s="6"/>
      <c r="CJ1685" s="6"/>
      <c r="CK1685" s="6"/>
      <c r="CL1685" s="6"/>
      <c r="CM1685" s="6"/>
      <c r="CN1685" s="6"/>
      <c r="CO1685" s="6"/>
      <c r="CP1685" s="6"/>
      <c r="CQ1685" s="6"/>
      <c r="CR1685" s="6"/>
      <c r="CS1685" s="6"/>
      <c r="CT1685" s="6"/>
      <c r="CU1685" s="6"/>
      <c r="CV1685" s="6"/>
      <c r="CW1685" s="6"/>
      <c r="CX1685" s="6"/>
      <c r="CY1685" s="6"/>
      <c r="CZ1685" s="6"/>
      <c r="DA1685" s="6"/>
      <c r="DB1685" s="6"/>
      <c r="DC1685" s="6"/>
      <c r="DD1685" s="6"/>
      <c r="DE1685" s="6"/>
      <c r="DF1685" s="6"/>
      <c r="DG1685" s="6"/>
      <c r="DH1685" s="6"/>
      <c r="DI1685" s="6"/>
      <c r="DJ1685" s="6"/>
      <c r="DK1685" s="6"/>
      <c r="DL1685" s="6"/>
      <c r="DM1685" s="6"/>
      <c r="DN1685" s="6"/>
      <c r="DO1685" s="6"/>
      <c r="DP1685" s="6"/>
      <c r="DQ1685" s="6"/>
      <c r="DR1685" s="6"/>
      <c r="DS1685" s="6"/>
      <c r="DT1685" s="6"/>
      <c r="DU1685" s="6"/>
      <c r="DV1685" s="6"/>
      <c r="DW1685" s="6"/>
      <c r="DX1685" s="6"/>
      <c r="DY1685" s="6"/>
      <c r="DZ1685" s="6"/>
      <c r="EA1685" s="6"/>
      <c r="EB1685" s="6"/>
      <c r="EC1685" s="6"/>
      <c r="ED1685" s="6"/>
      <c r="EE1685" s="6"/>
      <c r="EF1685" s="6"/>
      <c r="EG1685" s="6"/>
      <c r="EH1685" s="6"/>
      <c r="EI1685" s="6"/>
      <c r="EJ1685" s="6"/>
      <c r="EK1685" s="6"/>
      <c r="EL1685" s="6"/>
      <c r="EM1685" s="6"/>
      <c r="EN1685" s="6"/>
      <c r="EO1685" s="6"/>
      <c r="EP1685" s="6"/>
      <c r="EQ1685" s="6"/>
      <c r="ER1685" s="6"/>
      <c r="ES1685" s="6"/>
      <c r="ET1685" s="6"/>
      <c r="EU1685" s="6"/>
      <c r="EV1685" s="6"/>
      <c r="EW1685" s="6"/>
      <c r="EX1685" s="6"/>
      <c r="EY1685" s="6"/>
      <c r="EZ1685" s="6"/>
      <c r="FA1685" s="6"/>
      <c r="FB1685" s="6"/>
      <c r="FC1685" s="6"/>
      <c r="FD1685" s="6"/>
      <c r="FE1685" s="6"/>
      <c r="FF1685" s="6"/>
      <c r="FG1685" s="6"/>
      <c r="FH1685" s="6"/>
      <c r="FI1685" s="6"/>
      <c r="FJ1685" s="6"/>
      <c r="FK1685" s="6"/>
      <c r="FL1685" s="6"/>
      <c r="FM1685" s="6"/>
      <c r="FN1685" s="6"/>
      <c r="FO1685" s="6"/>
      <c r="FP1685" s="6"/>
      <c r="FQ1685" s="6"/>
      <c r="FR1685" s="6"/>
      <c r="FS1685" s="6"/>
      <c r="FT1685" s="6"/>
      <c r="FU1685" s="6"/>
      <c r="FV1685" s="6"/>
      <c r="FW1685" s="6"/>
      <c r="FX1685" s="6"/>
      <c r="FY1685" s="6"/>
      <c r="FZ1685" s="6"/>
      <c r="GA1685" s="6"/>
      <c r="GB1685" s="6"/>
      <c r="GC1685" s="6"/>
      <c r="GD1685" s="6"/>
      <c r="GE1685" s="6"/>
      <c r="GF1685" s="6"/>
      <c r="GG1685" s="6"/>
      <c r="GH1685" s="6"/>
      <c r="GI1685" s="6"/>
      <c r="GJ1685" s="6"/>
      <c r="GK1685" s="6"/>
      <c r="GL1685" s="6"/>
      <c r="GM1685" s="6"/>
      <c r="GN1685" s="6"/>
      <c r="GO1685" s="6"/>
      <c r="GP1685" s="6"/>
      <c r="GQ1685" s="6"/>
      <c r="GR1685" s="6"/>
      <c r="GS1685" s="6"/>
      <c r="GT1685" s="6"/>
      <c r="GU1685" s="6"/>
      <c r="GV1685" s="6"/>
      <c r="GW1685" s="6"/>
      <c r="GX1685" s="6"/>
      <c r="GY1685" s="6"/>
      <c r="GZ1685" s="6"/>
      <c r="HA1685" s="6"/>
      <c r="HB1685" s="6"/>
      <c r="HC1685" s="6"/>
      <c r="HD1685" s="6"/>
      <c r="HE1685" s="6"/>
      <c r="HF1685" s="6"/>
      <c r="HG1685" s="6"/>
      <c r="HH1685" s="6"/>
    </row>
    <row r="1686" spans="1:216" x14ac:dyDescent="0.3">
      <c r="A1686" s="8"/>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6"/>
      <c r="AR1686" s="6"/>
      <c r="AS1686" s="6"/>
      <c r="AT1686" s="6"/>
      <c r="AU1686" s="6"/>
      <c r="AV1686" s="6"/>
      <c r="AW1686" s="6"/>
      <c r="AX1686" s="6"/>
      <c r="AY1686" s="6"/>
      <c r="AZ1686" s="6"/>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c r="DX1686" s="6"/>
      <c r="DY1686" s="6"/>
      <c r="DZ1686" s="6"/>
      <c r="EA1686" s="6"/>
      <c r="EB1686" s="6"/>
      <c r="EC1686" s="6"/>
      <c r="ED1686" s="6"/>
      <c r="EE1686" s="6"/>
      <c r="EF1686" s="6"/>
      <c r="EG1686" s="6"/>
      <c r="EH1686" s="6"/>
      <c r="EI1686" s="6"/>
      <c r="EJ1686" s="6"/>
      <c r="EK1686" s="6"/>
      <c r="EL1686" s="6"/>
      <c r="EM1686" s="6"/>
      <c r="EN1686" s="6"/>
      <c r="EO1686" s="6"/>
      <c r="EP1686" s="6"/>
      <c r="EQ1686" s="6"/>
      <c r="ER1686" s="6"/>
      <c r="ES1686" s="6"/>
      <c r="ET1686" s="6"/>
      <c r="EU1686" s="6"/>
      <c r="EV1686" s="6"/>
      <c r="EW1686" s="6"/>
      <c r="EX1686" s="6"/>
      <c r="EY1686" s="6"/>
      <c r="EZ1686" s="6"/>
      <c r="FA1686" s="6"/>
      <c r="FB1686" s="6"/>
      <c r="FC1686" s="6"/>
      <c r="FD1686" s="6"/>
      <c r="FE1686" s="6"/>
      <c r="FF1686" s="6"/>
      <c r="FG1686" s="6"/>
      <c r="FH1686" s="6"/>
      <c r="FI1686" s="6"/>
      <c r="FJ1686" s="6"/>
      <c r="FK1686" s="6"/>
      <c r="FL1686" s="6"/>
      <c r="FM1686" s="6"/>
      <c r="FN1686" s="6"/>
      <c r="FO1686" s="6"/>
      <c r="FP1686" s="6"/>
      <c r="FQ1686" s="6"/>
      <c r="FR1686" s="6"/>
      <c r="FS1686" s="6"/>
      <c r="FT1686" s="6"/>
      <c r="FU1686" s="6"/>
      <c r="FV1686" s="6"/>
      <c r="FW1686" s="6"/>
      <c r="FX1686" s="6"/>
      <c r="FY1686" s="6"/>
      <c r="FZ1686" s="6"/>
      <c r="GA1686" s="6"/>
      <c r="GB1686" s="6"/>
      <c r="GC1686" s="6"/>
      <c r="GD1686" s="6"/>
      <c r="GE1686" s="6"/>
      <c r="GF1686" s="6"/>
      <c r="GG1686" s="6"/>
      <c r="GH1686" s="6"/>
      <c r="GI1686" s="6"/>
      <c r="GJ1686" s="6"/>
      <c r="GK1686" s="6"/>
      <c r="GL1686" s="6"/>
      <c r="GM1686" s="6"/>
      <c r="GN1686" s="6"/>
      <c r="GO1686" s="6"/>
      <c r="GP1686" s="6"/>
      <c r="GQ1686" s="6"/>
      <c r="GR1686" s="6"/>
      <c r="GS1686" s="6"/>
      <c r="GT1686" s="6"/>
      <c r="GU1686" s="6"/>
      <c r="GV1686" s="6"/>
      <c r="GW1686" s="6"/>
      <c r="GX1686" s="6"/>
      <c r="GY1686" s="6"/>
      <c r="GZ1686" s="6"/>
      <c r="HA1686" s="6"/>
      <c r="HB1686" s="6"/>
      <c r="HC1686" s="6"/>
      <c r="HD1686" s="6"/>
      <c r="HE1686" s="6"/>
      <c r="HF1686" s="6"/>
      <c r="HG1686" s="6"/>
      <c r="HH1686" s="6"/>
    </row>
    <row r="1687" spans="1:216" x14ac:dyDescent="0.3">
      <c r="A1687" s="8"/>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6"/>
      <c r="AR1687" s="6"/>
      <c r="AS1687" s="6"/>
      <c r="AT1687" s="6"/>
      <c r="AU1687" s="6"/>
      <c r="AV1687" s="6"/>
      <c r="AW1687" s="6"/>
      <c r="AX1687" s="6"/>
      <c r="AY1687" s="6"/>
      <c r="AZ1687" s="6"/>
      <c r="BA1687" s="6"/>
      <c r="BB1687" s="6"/>
      <c r="BC1687" s="6"/>
      <c r="BD1687" s="6"/>
      <c r="BE1687" s="6"/>
      <c r="BF1687" s="6"/>
      <c r="BG1687" s="6"/>
      <c r="BH1687" s="6"/>
      <c r="BI1687" s="6"/>
      <c r="BJ1687" s="6"/>
      <c r="BK1687" s="6"/>
      <c r="BL1687" s="6"/>
      <c r="BM1687" s="6"/>
      <c r="BN1687" s="6"/>
      <c r="BO1687" s="6"/>
      <c r="BP1687" s="6"/>
      <c r="BQ1687" s="6"/>
      <c r="BR1687" s="6"/>
      <c r="BS1687" s="6"/>
      <c r="BT1687" s="6"/>
      <c r="BU1687" s="6"/>
      <c r="BV1687" s="6"/>
      <c r="BW1687" s="6"/>
      <c r="BX1687" s="6"/>
      <c r="BY1687" s="6"/>
      <c r="BZ1687" s="6"/>
      <c r="CA1687" s="6"/>
      <c r="CB1687" s="6"/>
      <c r="CC1687" s="6"/>
      <c r="CD1687" s="6"/>
      <c r="CE1687" s="6"/>
      <c r="CF1687" s="6"/>
      <c r="CG1687" s="6"/>
      <c r="CH1687" s="6"/>
      <c r="CI1687" s="6"/>
      <c r="CJ1687" s="6"/>
      <c r="CK1687" s="6"/>
      <c r="CL1687" s="6"/>
      <c r="CM1687" s="6"/>
      <c r="CN1687" s="6"/>
      <c r="CO1687" s="6"/>
      <c r="CP1687" s="6"/>
      <c r="CQ1687" s="6"/>
      <c r="CR1687" s="6"/>
      <c r="CS1687" s="6"/>
      <c r="CT1687" s="6"/>
      <c r="CU1687" s="6"/>
      <c r="CV1687" s="6"/>
      <c r="CW1687" s="6"/>
      <c r="CX1687" s="6"/>
      <c r="CY1687" s="6"/>
      <c r="CZ1687" s="6"/>
      <c r="DA1687" s="6"/>
      <c r="DB1687" s="6"/>
      <c r="DC1687" s="6"/>
      <c r="DD1687" s="6"/>
      <c r="DE1687" s="6"/>
      <c r="DF1687" s="6"/>
      <c r="DG1687" s="6"/>
      <c r="DH1687" s="6"/>
      <c r="DI1687" s="6"/>
      <c r="DJ1687" s="6"/>
      <c r="DK1687" s="6"/>
      <c r="DL1687" s="6"/>
      <c r="DM1687" s="6"/>
      <c r="DN1687" s="6"/>
      <c r="DO1687" s="6"/>
      <c r="DP1687" s="6"/>
      <c r="DQ1687" s="6"/>
      <c r="DR1687" s="6"/>
      <c r="DS1687" s="6"/>
      <c r="DT1687" s="6"/>
      <c r="DU1687" s="6"/>
      <c r="DV1687" s="6"/>
      <c r="DW1687" s="6"/>
      <c r="DX1687" s="6"/>
      <c r="DY1687" s="6"/>
      <c r="DZ1687" s="6"/>
      <c r="EA1687" s="6"/>
      <c r="EB1687" s="6"/>
      <c r="EC1687" s="6"/>
      <c r="ED1687" s="6"/>
      <c r="EE1687" s="6"/>
      <c r="EF1687" s="6"/>
      <c r="EG1687" s="6"/>
      <c r="EH1687" s="6"/>
      <c r="EI1687" s="6"/>
      <c r="EJ1687" s="6"/>
      <c r="EK1687" s="6"/>
      <c r="EL1687" s="6"/>
      <c r="EM1687" s="6"/>
      <c r="EN1687" s="6"/>
      <c r="EO1687" s="6"/>
      <c r="EP1687" s="6"/>
      <c r="EQ1687" s="6"/>
      <c r="ER1687" s="6"/>
      <c r="ES1687" s="6"/>
      <c r="ET1687" s="6"/>
      <c r="EU1687" s="6"/>
      <c r="EV1687" s="6"/>
      <c r="EW1687" s="6"/>
      <c r="EX1687" s="6"/>
      <c r="EY1687" s="6"/>
      <c r="EZ1687" s="6"/>
      <c r="FA1687" s="6"/>
      <c r="FB1687" s="6"/>
      <c r="FC1687" s="6"/>
      <c r="FD1687" s="6"/>
      <c r="FE1687" s="6"/>
      <c r="FF1687" s="6"/>
      <c r="FG1687" s="6"/>
      <c r="FH1687" s="6"/>
      <c r="FI1687" s="6"/>
      <c r="FJ1687" s="6"/>
      <c r="FK1687" s="6"/>
      <c r="FL1687" s="6"/>
      <c r="FM1687" s="6"/>
      <c r="FN1687" s="6"/>
      <c r="FO1687" s="6"/>
      <c r="FP1687" s="6"/>
      <c r="FQ1687" s="6"/>
      <c r="FR1687" s="6"/>
      <c r="FS1687" s="6"/>
      <c r="FT1687" s="6"/>
      <c r="FU1687" s="6"/>
      <c r="FV1687" s="6"/>
      <c r="FW1687" s="6"/>
      <c r="FX1687" s="6"/>
      <c r="FY1687" s="6"/>
      <c r="FZ1687" s="6"/>
      <c r="GA1687" s="6"/>
      <c r="GB1687" s="6"/>
      <c r="GC1687" s="6"/>
      <c r="GD1687" s="6"/>
      <c r="GE1687" s="6"/>
      <c r="GF1687" s="6"/>
      <c r="GG1687" s="6"/>
      <c r="GH1687" s="6"/>
      <c r="GI1687" s="6"/>
      <c r="GJ1687" s="6"/>
      <c r="GK1687" s="6"/>
      <c r="GL1687" s="6"/>
      <c r="GM1687" s="6"/>
      <c r="GN1687" s="6"/>
      <c r="GO1687" s="6"/>
      <c r="GP1687" s="6"/>
      <c r="GQ1687" s="6"/>
      <c r="GR1687" s="6"/>
      <c r="GS1687" s="6"/>
      <c r="GT1687" s="6"/>
      <c r="GU1687" s="6"/>
      <c r="GV1687" s="6"/>
      <c r="GW1687" s="6"/>
      <c r="GX1687" s="6"/>
      <c r="GY1687" s="6"/>
      <c r="GZ1687" s="6"/>
      <c r="HA1687" s="6"/>
      <c r="HB1687" s="6"/>
      <c r="HC1687" s="6"/>
      <c r="HD1687" s="6"/>
      <c r="HE1687" s="6"/>
      <c r="HF1687" s="6"/>
      <c r="HG1687" s="6"/>
      <c r="HH1687" s="6"/>
    </row>
    <row r="1688" spans="1:216" x14ac:dyDescent="0.3">
      <c r="A1688" s="8"/>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6"/>
      <c r="AR1688" s="6"/>
      <c r="AS1688" s="6"/>
      <c r="AT1688" s="6"/>
      <c r="AU1688" s="6"/>
      <c r="AV1688" s="6"/>
      <c r="AW1688" s="6"/>
      <c r="AX1688" s="6"/>
      <c r="AY1688" s="6"/>
      <c r="AZ1688" s="6"/>
      <c r="BA1688" s="6"/>
      <c r="BB1688" s="6"/>
      <c r="BC1688" s="6"/>
      <c r="BD1688" s="6"/>
      <c r="BE1688" s="6"/>
      <c r="BF1688" s="6"/>
      <c r="BG1688" s="6"/>
      <c r="BH1688" s="6"/>
      <c r="BI1688" s="6"/>
      <c r="BJ1688" s="6"/>
      <c r="BK1688" s="6"/>
      <c r="BL1688" s="6"/>
      <c r="BM1688" s="6"/>
      <c r="BN1688" s="6"/>
      <c r="BO1688" s="6"/>
      <c r="BP1688" s="6"/>
      <c r="BQ1688" s="6"/>
      <c r="BR1688" s="6"/>
      <c r="BS1688" s="6"/>
      <c r="BT1688" s="6"/>
      <c r="BU1688" s="6"/>
      <c r="BV1688" s="6"/>
      <c r="BW1688" s="6"/>
      <c r="BX1688" s="6"/>
      <c r="BY1688" s="6"/>
      <c r="BZ1688" s="6"/>
      <c r="CA1688" s="6"/>
      <c r="CB1688" s="6"/>
      <c r="CC1688" s="6"/>
      <c r="CD1688" s="6"/>
      <c r="CE1688" s="6"/>
      <c r="CF1688" s="6"/>
      <c r="CG1688" s="6"/>
      <c r="CH1688" s="6"/>
      <c r="CI1688" s="6"/>
      <c r="CJ1688" s="6"/>
      <c r="CK1688" s="6"/>
      <c r="CL1688" s="6"/>
      <c r="CM1688" s="6"/>
      <c r="CN1688" s="6"/>
      <c r="CO1688" s="6"/>
      <c r="CP1688" s="6"/>
      <c r="CQ1688" s="6"/>
      <c r="CR1688" s="6"/>
      <c r="CS1688" s="6"/>
      <c r="CT1688" s="6"/>
      <c r="CU1688" s="6"/>
      <c r="CV1688" s="6"/>
      <c r="CW1688" s="6"/>
      <c r="CX1688" s="6"/>
      <c r="CY1688" s="6"/>
      <c r="CZ1688" s="6"/>
      <c r="DA1688" s="6"/>
      <c r="DB1688" s="6"/>
      <c r="DC1688" s="6"/>
      <c r="DD1688" s="6"/>
      <c r="DE1688" s="6"/>
      <c r="DF1688" s="6"/>
      <c r="DG1688" s="6"/>
      <c r="DH1688" s="6"/>
      <c r="DI1688" s="6"/>
      <c r="DJ1688" s="6"/>
      <c r="DK1688" s="6"/>
      <c r="DL1688" s="6"/>
      <c r="DM1688" s="6"/>
      <c r="DN1688" s="6"/>
      <c r="DO1688" s="6"/>
      <c r="DP1688" s="6"/>
      <c r="DQ1688" s="6"/>
      <c r="DR1688" s="6"/>
      <c r="DS1688" s="6"/>
      <c r="DT1688" s="6"/>
      <c r="DU1688" s="6"/>
      <c r="DV1688" s="6"/>
      <c r="DW1688" s="6"/>
      <c r="DX1688" s="6"/>
      <c r="DY1688" s="6"/>
      <c r="DZ1688" s="6"/>
      <c r="EA1688" s="6"/>
      <c r="EB1688" s="6"/>
      <c r="EC1688" s="6"/>
      <c r="ED1688" s="6"/>
      <c r="EE1688" s="6"/>
      <c r="EF1688" s="6"/>
      <c r="EG1688" s="6"/>
      <c r="EH1688" s="6"/>
      <c r="EI1688" s="6"/>
      <c r="EJ1688" s="6"/>
      <c r="EK1688" s="6"/>
      <c r="EL1688" s="6"/>
      <c r="EM1688" s="6"/>
      <c r="EN1688" s="6"/>
      <c r="EO1688" s="6"/>
      <c r="EP1688" s="6"/>
      <c r="EQ1688" s="6"/>
      <c r="ER1688" s="6"/>
      <c r="ES1688" s="6"/>
      <c r="ET1688" s="6"/>
      <c r="EU1688" s="6"/>
      <c r="EV1688" s="6"/>
      <c r="EW1688" s="6"/>
      <c r="EX1688" s="6"/>
      <c r="EY1688" s="6"/>
      <c r="EZ1688" s="6"/>
      <c r="FA1688" s="6"/>
      <c r="FB1688" s="6"/>
      <c r="FC1688" s="6"/>
      <c r="FD1688" s="6"/>
      <c r="FE1688" s="6"/>
      <c r="FF1688" s="6"/>
      <c r="FG1688" s="6"/>
      <c r="FH1688" s="6"/>
      <c r="FI1688" s="6"/>
      <c r="FJ1688" s="6"/>
      <c r="FK1688" s="6"/>
      <c r="FL1688" s="6"/>
      <c r="FM1688" s="6"/>
      <c r="FN1688" s="6"/>
      <c r="FO1688" s="6"/>
      <c r="FP1688" s="6"/>
      <c r="FQ1688" s="6"/>
      <c r="FR1688" s="6"/>
      <c r="FS1688" s="6"/>
      <c r="FT1688" s="6"/>
      <c r="FU1688" s="6"/>
      <c r="FV1688" s="6"/>
      <c r="FW1688" s="6"/>
      <c r="FX1688" s="6"/>
      <c r="FY1688" s="6"/>
      <c r="FZ1688" s="6"/>
      <c r="GA1688" s="6"/>
      <c r="GB1688" s="6"/>
      <c r="GC1688" s="6"/>
      <c r="GD1688" s="6"/>
      <c r="GE1688" s="6"/>
      <c r="GF1688" s="6"/>
      <c r="GG1688" s="6"/>
      <c r="GH1688" s="6"/>
      <c r="GI1688" s="6"/>
      <c r="GJ1688" s="6"/>
      <c r="GK1688" s="6"/>
      <c r="GL1688" s="6"/>
      <c r="GM1688" s="6"/>
      <c r="GN1688" s="6"/>
      <c r="GO1688" s="6"/>
      <c r="GP1688" s="6"/>
      <c r="GQ1688" s="6"/>
      <c r="GR1688" s="6"/>
      <c r="GS1688" s="6"/>
      <c r="GT1688" s="6"/>
      <c r="GU1688" s="6"/>
      <c r="GV1688" s="6"/>
      <c r="GW1688" s="6"/>
      <c r="GX1688" s="6"/>
      <c r="GY1688" s="6"/>
      <c r="GZ1688" s="6"/>
      <c r="HA1688" s="6"/>
      <c r="HB1688" s="6"/>
      <c r="HC1688" s="6"/>
      <c r="HD1688" s="6"/>
      <c r="HE1688" s="6"/>
      <c r="HF1688" s="6"/>
      <c r="HG1688" s="6"/>
      <c r="HH1688" s="6"/>
    </row>
    <row r="1689" spans="1:216" x14ac:dyDescent="0.3">
      <c r="A1689" s="8"/>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6"/>
      <c r="AR1689" s="6"/>
      <c r="AS1689" s="6"/>
      <c r="AT1689" s="6"/>
      <c r="AU1689" s="6"/>
      <c r="AV1689" s="6"/>
      <c r="AW1689" s="6"/>
      <c r="AX1689" s="6"/>
      <c r="AY1689" s="6"/>
      <c r="AZ1689" s="6"/>
      <c r="BA1689" s="6"/>
      <c r="BB1689" s="6"/>
      <c r="BC1689" s="6"/>
      <c r="BD1689" s="6"/>
      <c r="BE1689" s="6"/>
      <c r="BF1689" s="6"/>
      <c r="BG1689" s="6"/>
      <c r="BH1689" s="6"/>
      <c r="BI1689" s="6"/>
      <c r="BJ1689" s="6"/>
      <c r="BK1689" s="6"/>
      <c r="BL1689" s="6"/>
      <c r="BM1689" s="6"/>
      <c r="BN1689" s="6"/>
      <c r="BO1689" s="6"/>
      <c r="BP1689" s="6"/>
      <c r="BQ1689" s="6"/>
      <c r="BR1689" s="6"/>
      <c r="BS1689" s="6"/>
      <c r="BT1689" s="6"/>
      <c r="BU1689" s="6"/>
      <c r="BV1689" s="6"/>
      <c r="BW1689" s="6"/>
      <c r="BX1689" s="6"/>
      <c r="BY1689" s="6"/>
      <c r="BZ1689" s="6"/>
      <c r="CA1689" s="6"/>
      <c r="CB1689" s="6"/>
      <c r="CC1689" s="6"/>
      <c r="CD1689" s="6"/>
      <c r="CE1689" s="6"/>
      <c r="CF1689" s="6"/>
      <c r="CG1689" s="6"/>
      <c r="CH1689" s="6"/>
      <c r="CI1689" s="6"/>
      <c r="CJ1689" s="6"/>
      <c r="CK1689" s="6"/>
      <c r="CL1689" s="6"/>
      <c r="CM1689" s="6"/>
      <c r="CN1689" s="6"/>
      <c r="CO1689" s="6"/>
      <c r="CP1689" s="6"/>
      <c r="CQ1689" s="6"/>
      <c r="CR1689" s="6"/>
      <c r="CS1689" s="6"/>
      <c r="CT1689" s="6"/>
      <c r="CU1689" s="6"/>
      <c r="CV1689" s="6"/>
      <c r="CW1689" s="6"/>
      <c r="CX1689" s="6"/>
      <c r="CY1689" s="6"/>
      <c r="CZ1689" s="6"/>
      <c r="DA1689" s="6"/>
      <c r="DB1689" s="6"/>
      <c r="DC1689" s="6"/>
      <c r="DD1689" s="6"/>
      <c r="DE1689" s="6"/>
      <c r="DF1689" s="6"/>
      <c r="DG1689" s="6"/>
      <c r="DH1689" s="6"/>
      <c r="DI1689" s="6"/>
      <c r="DJ1689" s="6"/>
      <c r="DK1689" s="6"/>
      <c r="DL1689" s="6"/>
      <c r="DM1689" s="6"/>
      <c r="DN1689" s="6"/>
      <c r="DO1689" s="6"/>
      <c r="DP1689" s="6"/>
      <c r="DQ1689" s="6"/>
      <c r="DR1689" s="6"/>
      <c r="DS1689" s="6"/>
      <c r="DT1689" s="6"/>
      <c r="DU1689" s="6"/>
      <c r="DV1689" s="6"/>
      <c r="DW1689" s="6"/>
      <c r="DX1689" s="6"/>
      <c r="DY1689" s="6"/>
      <c r="DZ1689" s="6"/>
      <c r="EA1689" s="6"/>
      <c r="EB1689" s="6"/>
      <c r="EC1689" s="6"/>
      <c r="ED1689" s="6"/>
      <c r="EE1689" s="6"/>
      <c r="EF1689" s="6"/>
      <c r="EG1689" s="6"/>
      <c r="EH1689" s="6"/>
      <c r="EI1689" s="6"/>
      <c r="EJ1689" s="6"/>
      <c r="EK1689" s="6"/>
      <c r="EL1689" s="6"/>
      <c r="EM1689" s="6"/>
      <c r="EN1689" s="6"/>
      <c r="EO1689" s="6"/>
      <c r="EP1689" s="6"/>
      <c r="EQ1689" s="6"/>
      <c r="ER1689" s="6"/>
      <c r="ES1689" s="6"/>
      <c r="ET1689" s="6"/>
      <c r="EU1689" s="6"/>
      <c r="EV1689" s="6"/>
      <c r="EW1689" s="6"/>
      <c r="EX1689" s="6"/>
      <c r="EY1689" s="6"/>
      <c r="EZ1689" s="6"/>
      <c r="FA1689" s="6"/>
      <c r="FB1689" s="6"/>
      <c r="FC1689" s="6"/>
      <c r="FD1689" s="6"/>
      <c r="FE1689" s="6"/>
      <c r="FF1689" s="6"/>
      <c r="FG1689" s="6"/>
      <c r="FH1689" s="6"/>
      <c r="FI1689" s="6"/>
      <c r="FJ1689" s="6"/>
      <c r="FK1689" s="6"/>
      <c r="FL1689" s="6"/>
      <c r="FM1689" s="6"/>
      <c r="FN1689" s="6"/>
      <c r="FO1689" s="6"/>
      <c r="FP1689" s="6"/>
      <c r="FQ1689" s="6"/>
      <c r="FR1689" s="6"/>
      <c r="FS1689" s="6"/>
      <c r="FT1689" s="6"/>
      <c r="FU1689" s="6"/>
      <c r="FV1689" s="6"/>
      <c r="FW1689" s="6"/>
      <c r="FX1689" s="6"/>
      <c r="FY1689" s="6"/>
      <c r="FZ1689" s="6"/>
      <c r="GA1689" s="6"/>
      <c r="GB1689" s="6"/>
      <c r="GC1689" s="6"/>
      <c r="GD1689" s="6"/>
      <c r="GE1689" s="6"/>
      <c r="GF1689" s="6"/>
      <c r="GG1689" s="6"/>
      <c r="GH1689" s="6"/>
      <c r="GI1689" s="6"/>
      <c r="GJ1689" s="6"/>
      <c r="GK1689" s="6"/>
      <c r="GL1689" s="6"/>
      <c r="GM1689" s="6"/>
      <c r="GN1689" s="6"/>
      <c r="GO1689" s="6"/>
      <c r="GP1689" s="6"/>
      <c r="GQ1689" s="6"/>
      <c r="GR1689" s="6"/>
      <c r="GS1689" s="6"/>
      <c r="GT1689" s="6"/>
      <c r="GU1689" s="6"/>
      <c r="GV1689" s="6"/>
      <c r="GW1689" s="6"/>
      <c r="GX1689" s="6"/>
      <c r="GY1689" s="6"/>
      <c r="GZ1689" s="6"/>
      <c r="HA1689" s="6"/>
      <c r="HB1689" s="6"/>
      <c r="HC1689" s="6"/>
      <c r="HD1689" s="6"/>
      <c r="HE1689" s="6"/>
      <c r="HF1689" s="6"/>
      <c r="HG1689" s="6"/>
      <c r="HH1689" s="6"/>
    </row>
    <row r="1690" spans="1:216" x14ac:dyDescent="0.3">
      <c r="A1690" s="8"/>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row>
    <row r="1691" spans="1:216" x14ac:dyDescent="0.3">
      <c r="A1691" s="8"/>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row>
    <row r="1692" spans="1:216" x14ac:dyDescent="0.3">
      <c r="A1692" s="8"/>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row>
    <row r="1693" spans="1:216" x14ac:dyDescent="0.3">
      <c r="A1693" s="8"/>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row>
    <row r="1694" spans="1:216" x14ac:dyDescent="0.3">
      <c r="A1694" s="8"/>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row>
    <row r="1695" spans="1:216" x14ac:dyDescent="0.3">
      <c r="A1695" s="8"/>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row>
    <row r="1696" spans="1:216" x14ac:dyDescent="0.3">
      <c r="A1696" s="8"/>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row>
    <row r="1697" spans="1:216" x14ac:dyDescent="0.3">
      <c r="A1697" s="8"/>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row>
    <row r="1698" spans="1:216" x14ac:dyDescent="0.3">
      <c r="A1698" s="8"/>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row>
    <row r="1699" spans="1:216" x14ac:dyDescent="0.3">
      <c r="A1699" s="8"/>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row>
    <row r="1700" spans="1:216" x14ac:dyDescent="0.3">
      <c r="A1700" s="8"/>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row>
    <row r="1701" spans="1:216" x14ac:dyDescent="0.3">
      <c r="A1701" s="8"/>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row>
    <row r="1702" spans="1:216" x14ac:dyDescent="0.3">
      <c r="A1702" s="8"/>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row>
    <row r="1703" spans="1:216" x14ac:dyDescent="0.3">
      <c r="A1703" s="8"/>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row>
    <row r="1704" spans="1:216" x14ac:dyDescent="0.3">
      <c r="A1704" s="8"/>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row>
    <row r="1705" spans="1:216" x14ac:dyDescent="0.3">
      <c r="A1705" s="8"/>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row>
    <row r="1706" spans="1:216" x14ac:dyDescent="0.3">
      <c r="A1706" s="8"/>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row>
    <row r="1707" spans="1:216" x14ac:dyDescent="0.3">
      <c r="A1707" s="8"/>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row>
    <row r="1708" spans="1:216" x14ac:dyDescent="0.3">
      <c r="A1708" s="8"/>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row>
    <row r="1709" spans="1:216" x14ac:dyDescent="0.3">
      <c r="A1709" s="8"/>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row>
    <row r="1710" spans="1:216" x14ac:dyDescent="0.3">
      <c r="A1710" s="8"/>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6"/>
      <c r="AR1710" s="6"/>
      <c r="AS1710" s="6"/>
      <c r="AT1710" s="6"/>
      <c r="AU1710" s="6"/>
      <c r="AV1710" s="6"/>
      <c r="AW1710" s="6"/>
      <c r="AX1710" s="6"/>
      <c r="AY1710" s="6"/>
      <c r="AZ1710" s="6"/>
      <c r="BA1710" s="6"/>
      <c r="BB1710" s="6"/>
      <c r="BC1710" s="6"/>
      <c r="BD1710" s="6"/>
      <c r="BE1710" s="6"/>
      <c r="BF1710" s="6"/>
      <c r="BG1710" s="6"/>
      <c r="BH1710" s="6"/>
      <c r="BI1710" s="6"/>
      <c r="BJ1710" s="6"/>
      <c r="BK1710" s="6"/>
      <c r="BL1710" s="6"/>
      <c r="BM1710" s="6"/>
      <c r="BN1710" s="6"/>
      <c r="BO1710" s="6"/>
      <c r="BP1710" s="6"/>
      <c r="BQ1710" s="6"/>
      <c r="BR1710" s="6"/>
      <c r="BS1710" s="6"/>
      <c r="BT1710" s="6"/>
      <c r="BU1710" s="6"/>
      <c r="BV1710" s="6"/>
      <c r="BW1710" s="6"/>
      <c r="BX1710" s="6"/>
      <c r="BY1710" s="6"/>
      <c r="BZ1710" s="6"/>
      <c r="CA1710" s="6"/>
      <c r="CB1710" s="6"/>
      <c r="CC1710" s="6"/>
      <c r="CD1710" s="6"/>
      <c r="CE1710" s="6"/>
      <c r="CF1710" s="6"/>
      <c r="CG1710" s="6"/>
      <c r="CH1710" s="6"/>
      <c r="CI1710" s="6"/>
      <c r="CJ1710" s="6"/>
      <c r="CK1710" s="6"/>
      <c r="CL1710" s="6"/>
      <c r="CM1710" s="6"/>
      <c r="CN1710" s="6"/>
      <c r="CO1710" s="6"/>
      <c r="CP1710" s="6"/>
      <c r="CQ1710" s="6"/>
      <c r="CR1710" s="6"/>
      <c r="CS1710" s="6"/>
      <c r="CT1710" s="6"/>
      <c r="CU1710" s="6"/>
      <c r="CV1710" s="6"/>
      <c r="CW1710" s="6"/>
      <c r="CX1710" s="6"/>
      <c r="CY1710" s="6"/>
      <c r="CZ1710" s="6"/>
      <c r="DA1710" s="6"/>
      <c r="DB1710" s="6"/>
      <c r="DC1710" s="6"/>
      <c r="DD1710" s="6"/>
      <c r="DE1710" s="6"/>
      <c r="DF1710" s="6"/>
      <c r="DG1710" s="6"/>
      <c r="DH1710" s="6"/>
      <c r="DI1710" s="6"/>
      <c r="DJ1710" s="6"/>
      <c r="DK1710" s="6"/>
      <c r="DL1710" s="6"/>
      <c r="DM1710" s="6"/>
      <c r="DN1710" s="6"/>
      <c r="DO1710" s="6"/>
      <c r="DP1710" s="6"/>
      <c r="DQ1710" s="6"/>
      <c r="DR1710" s="6"/>
      <c r="DS1710" s="6"/>
      <c r="DT1710" s="6"/>
      <c r="DU1710" s="6"/>
      <c r="DV1710" s="6"/>
      <c r="DW1710" s="6"/>
      <c r="DX1710" s="6"/>
      <c r="DY1710" s="6"/>
      <c r="DZ1710" s="6"/>
      <c r="EA1710" s="6"/>
      <c r="EB1710" s="6"/>
      <c r="EC1710" s="6"/>
      <c r="ED1710" s="6"/>
      <c r="EE1710" s="6"/>
      <c r="EF1710" s="6"/>
      <c r="EG1710" s="6"/>
      <c r="EH1710" s="6"/>
      <c r="EI1710" s="6"/>
      <c r="EJ1710" s="6"/>
      <c r="EK1710" s="6"/>
      <c r="EL1710" s="6"/>
      <c r="EM1710" s="6"/>
      <c r="EN1710" s="6"/>
      <c r="EO1710" s="6"/>
      <c r="EP1710" s="6"/>
      <c r="EQ1710" s="6"/>
      <c r="ER1710" s="6"/>
      <c r="ES1710" s="6"/>
      <c r="ET1710" s="6"/>
      <c r="EU1710" s="6"/>
      <c r="EV1710" s="6"/>
      <c r="EW1710" s="6"/>
      <c r="EX1710" s="6"/>
      <c r="EY1710" s="6"/>
      <c r="EZ1710" s="6"/>
      <c r="FA1710" s="6"/>
      <c r="FB1710" s="6"/>
      <c r="FC1710" s="6"/>
      <c r="FD1710" s="6"/>
      <c r="FE1710" s="6"/>
      <c r="FF1710" s="6"/>
      <c r="FG1710" s="6"/>
      <c r="FH1710" s="6"/>
      <c r="FI1710" s="6"/>
      <c r="FJ1710" s="6"/>
      <c r="FK1710" s="6"/>
      <c r="FL1710" s="6"/>
      <c r="FM1710" s="6"/>
      <c r="FN1710" s="6"/>
      <c r="FO1710" s="6"/>
      <c r="FP1710" s="6"/>
      <c r="FQ1710" s="6"/>
      <c r="FR1710" s="6"/>
      <c r="FS1710" s="6"/>
      <c r="FT1710" s="6"/>
      <c r="FU1710" s="6"/>
      <c r="FV1710" s="6"/>
      <c r="FW1710" s="6"/>
      <c r="FX1710" s="6"/>
      <c r="FY1710" s="6"/>
      <c r="FZ1710" s="6"/>
      <c r="GA1710" s="6"/>
      <c r="GB1710" s="6"/>
      <c r="GC1710" s="6"/>
      <c r="GD1710" s="6"/>
      <c r="GE1710" s="6"/>
      <c r="GF1710" s="6"/>
      <c r="GG1710" s="6"/>
      <c r="GH1710" s="6"/>
      <c r="GI1710" s="6"/>
      <c r="GJ1710" s="6"/>
      <c r="GK1710" s="6"/>
      <c r="GL1710" s="6"/>
      <c r="GM1710" s="6"/>
      <c r="GN1710" s="6"/>
      <c r="GO1710" s="6"/>
      <c r="GP1710" s="6"/>
      <c r="GQ1710" s="6"/>
      <c r="GR1710" s="6"/>
      <c r="GS1710" s="6"/>
      <c r="GT1710" s="6"/>
      <c r="GU1710" s="6"/>
      <c r="GV1710" s="6"/>
      <c r="GW1710" s="6"/>
      <c r="GX1710" s="6"/>
      <c r="GY1710" s="6"/>
      <c r="GZ1710" s="6"/>
      <c r="HA1710" s="6"/>
      <c r="HB1710" s="6"/>
      <c r="HC1710" s="6"/>
      <c r="HD1710" s="6"/>
      <c r="HE1710" s="6"/>
      <c r="HF1710" s="6"/>
      <c r="HG1710" s="6"/>
      <c r="HH1710" s="6"/>
    </row>
    <row r="1711" spans="1:216" x14ac:dyDescent="0.3">
      <c r="A1711" s="8"/>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6"/>
      <c r="AR1711" s="6"/>
      <c r="AS1711" s="6"/>
      <c r="AT1711" s="6"/>
      <c r="AU1711" s="6"/>
      <c r="AV1711" s="6"/>
      <c r="AW1711" s="6"/>
      <c r="AX1711" s="6"/>
      <c r="AY1711" s="6"/>
      <c r="AZ1711" s="6"/>
      <c r="BA1711" s="6"/>
      <c r="BB1711" s="6"/>
      <c r="BC1711" s="6"/>
      <c r="BD1711" s="6"/>
      <c r="BE1711" s="6"/>
      <c r="BF1711" s="6"/>
      <c r="BG1711" s="6"/>
      <c r="BH1711" s="6"/>
      <c r="BI1711" s="6"/>
      <c r="BJ1711" s="6"/>
      <c r="BK1711" s="6"/>
      <c r="BL1711" s="6"/>
      <c r="BM1711" s="6"/>
      <c r="BN1711" s="6"/>
      <c r="BO1711" s="6"/>
      <c r="BP1711" s="6"/>
      <c r="BQ1711" s="6"/>
      <c r="BR1711" s="6"/>
      <c r="BS1711" s="6"/>
      <c r="BT1711" s="6"/>
      <c r="BU1711" s="6"/>
      <c r="BV1711" s="6"/>
      <c r="BW1711" s="6"/>
      <c r="BX1711" s="6"/>
      <c r="BY1711" s="6"/>
      <c r="BZ1711" s="6"/>
      <c r="CA1711" s="6"/>
      <c r="CB1711" s="6"/>
      <c r="CC1711" s="6"/>
      <c r="CD1711" s="6"/>
      <c r="CE1711" s="6"/>
      <c r="CF1711" s="6"/>
      <c r="CG1711" s="6"/>
      <c r="CH1711" s="6"/>
      <c r="CI1711" s="6"/>
      <c r="CJ1711" s="6"/>
      <c r="CK1711" s="6"/>
      <c r="CL1711" s="6"/>
      <c r="CM1711" s="6"/>
      <c r="CN1711" s="6"/>
      <c r="CO1711" s="6"/>
      <c r="CP1711" s="6"/>
      <c r="CQ1711" s="6"/>
      <c r="CR1711" s="6"/>
      <c r="CS1711" s="6"/>
      <c r="CT1711" s="6"/>
      <c r="CU1711" s="6"/>
      <c r="CV1711" s="6"/>
      <c r="CW1711" s="6"/>
      <c r="CX1711" s="6"/>
      <c r="CY1711" s="6"/>
      <c r="CZ1711" s="6"/>
      <c r="DA1711" s="6"/>
      <c r="DB1711" s="6"/>
      <c r="DC1711" s="6"/>
      <c r="DD1711" s="6"/>
      <c r="DE1711" s="6"/>
      <c r="DF1711" s="6"/>
      <c r="DG1711" s="6"/>
      <c r="DH1711" s="6"/>
      <c r="DI1711" s="6"/>
      <c r="DJ1711" s="6"/>
      <c r="DK1711" s="6"/>
      <c r="DL1711" s="6"/>
      <c r="DM1711" s="6"/>
      <c r="DN1711" s="6"/>
      <c r="DO1711" s="6"/>
      <c r="DP1711" s="6"/>
      <c r="DQ1711" s="6"/>
      <c r="DR1711" s="6"/>
      <c r="DS1711" s="6"/>
      <c r="DT1711" s="6"/>
      <c r="DU1711" s="6"/>
      <c r="DV1711" s="6"/>
      <c r="DW1711" s="6"/>
      <c r="DX1711" s="6"/>
      <c r="DY1711" s="6"/>
      <c r="DZ1711" s="6"/>
      <c r="EA1711" s="6"/>
      <c r="EB1711" s="6"/>
      <c r="EC1711" s="6"/>
      <c r="ED1711" s="6"/>
      <c r="EE1711" s="6"/>
      <c r="EF1711" s="6"/>
      <c r="EG1711" s="6"/>
      <c r="EH1711" s="6"/>
      <c r="EI1711" s="6"/>
      <c r="EJ1711" s="6"/>
      <c r="EK1711" s="6"/>
      <c r="EL1711" s="6"/>
      <c r="EM1711" s="6"/>
      <c r="EN1711" s="6"/>
      <c r="EO1711" s="6"/>
      <c r="EP1711" s="6"/>
      <c r="EQ1711" s="6"/>
      <c r="ER1711" s="6"/>
      <c r="ES1711" s="6"/>
      <c r="ET1711" s="6"/>
      <c r="EU1711" s="6"/>
      <c r="EV1711" s="6"/>
      <c r="EW1711" s="6"/>
      <c r="EX1711" s="6"/>
      <c r="EY1711" s="6"/>
      <c r="EZ1711" s="6"/>
      <c r="FA1711" s="6"/>
      <c r="FB1711" s="6"/>
      <c r="FC1711" s="6"/>
      <c r="FD1711" s="6"/>
      <c r="FE1711" s="6"/>
      <c r="FF1711" s="6"/>
      <c r="FG1711" s="6"/>
      <c r="FH1711" s="6"/>
      <c r="FI1711" s="6"/>
      <c r="FJ1711" s="6"/>
      <c r="FK1711" s="6"/>
      <c r="FL1711" s="6"/>
      <c r="FM1711" s="6"/>
      <c r="FN1711" s="6"/>
      <c r="FO1711" s="6"/>
      <c r="FP1711" s="6"/>
      <c r="FQ1711" s="6"/>
      <c r="FR1711" s="6"/>
      <c r="FS1711" s="6"/>
      <c r="FT1711" s="6"/>
      <c r="FU1711" s="6"/>
      <c r="FV1711" s="6"/>
      <c r="FW1711" s="6"/>
      <c r="FX1711" s="6"/>
      <c r="FY1711" s="6"/>
      <c r="FZ1711" s="6"/>
      <c r="GA1711" s="6"/>
      <c r="GB1711" s="6"/>
      <c r="GC1711" s="6"/>
      <c r="GD1711" s="6"/>
      <c r="GE1711" s="6"/>
      <c r="GF1711" s="6"/>
      <c r="GG1711" s="6"/>
      <c r="GH1711" s="6"/>
      <c r="GI1711" s="6"/>
      <c r="GJ1711" s="6"/>
      <c r="GK1711" s="6"/>
      <c r="GL1711" s="6"/>
      <c r="GM1711" s="6"/>
      <c r="GN1711" s="6"/>
      <c r="GO1711" s="6"/>
      <c r="GP1711" s="6"/>
      <c r="GQ1711" s="6"/>
      <c r="GR1711" s="6"/>
      <c r="GS1711" s="6"/>
      <c r="GT1711" s="6"/>
      <c r="GU1711" s="6"/>
      <c r="GV1711" s="6"/>
      <c r="GW1711" s="6"/>
      <c r="GX1711" s="6"/>
      <c r="GY1711" s="6"/>
      <c r="GZ1711" s="6"/>
      <c r="HA1711" s="6"/>
      <c r="HB1711" s="6"/>
      <c r="HC1711" s="6"/>
      <c r="HD1711" s="6"/>
      <c r="HE1711" s="6"/>
      <c r="HF1711" s="6"/>
      <c r="HG1711" s="6"/>
      <c r="HH1711" s="6"/>
    </row>
    <row r="1712" spans="1:216" x14ac:dyDescent="0.3">
      <c r="A1712" s="8"/>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6"/>
      <c r="AR1712" s="6"/>
      <c r="AS1712" s="6"/>
      <c r="AT1712" s="6"/>
      <c r="AU1712" s="6"/>
      <c r="AV1712" s="6"/>
      <c r="AW1712" s="6"/>
      <c r="AX1712" s="6"/>
      <c r="AY1712" s="6"/>
      <c r="AZ1712" s="6"/>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c r="DX1712" s="6"/>
      <c r="DY1712" s="6"/>
      <c r="DZ1712" s="6"/>
      <c r="EA1712" s="6"/>
      <c r="EB1712" s="6"/>
      <c r="EC1712" s="6"/>
      <c r="ED1712" s="6"/>
      <c r="EE1712" s="6"/>
      <c r="EF1712" s="6"/>
      <c r="EG1712" s="6"/>
      <c r="EH1712" s="6"/>
      <c r="EI1712" s="6"/>
      <c r="EJ1712" s="6"/>
      <c r="EK1712" s="6"/>
      <c r="EL1712" s="6"/>
      <c r="EM1712" s="6"/>
      <c r="EN1712" s="6"/>
      <c r="EO1712" s="6"/>
      <c r="EP1712" s="6"/>
      <c r="EQ1712" s="6"/>
      <c r="ER1712" s="6"/>
      <c r="ES1712" s="6"/>
      <c r="ET1712" s="6"/>
      <c r="EU1712" s="6"/>
      <c r="EV1712" s="6"/>
      <c r="EW1712" s="6"/>
      <c r="EX1712" s="6"/>
      <c r="EY1712" s="6"/>
      <c r="EZ1712" s="6"/>
      <c r="FA1712" s="6"/>
      <c r="FB1712" s="6"/>
      <c r="FC1712" s="6"/>
      <c r="FD1712" s="6"/>
      <c r="FE1712" s="6"/>
      <c r="FF1712" s="6"/>
      <c r="FG1712" s="6"/>
      <c r="FH1712" s="6"/>
      <c r="FI1712" s="6"/>
      <c r="FJ1712" s="6"/>
      <c r="FK1712" s="6"/>
      <c r="FL1712" s="6"/>
      <c r="FM1712" s="6"/>
      <c r="FN1712" s="6"/>
      <c r="FO1712" s="6"/>
      <c r="FP1712" s="6"/>
      <c r="FQ1712" s="6"/>
      <c r="FR1712" s="6"/>
      <c r="FS1712" s="6"/>
      <c r="FT1712" s="6"/>
      <c r="FU1712" s="6"/>
      <c r="FV1712" s="6"/>
      <c r="FW1712" s="6"/>
      <c r="FX1712" s="6"/>
      <c r="FY1712" s="6"/>
      <c r="FZ1712" s="6"/>
      <c r="GA1712" s="6"/>
      <c r="GB1712" s="6"/>
      <c r="GC1712" s="6"/>
      <c r="GD1712" s="6"/>
      <c r="GE1712" s="6"/>
      <c r="GF1712" s="6"/>
      <c r="GG1712" s="6"/>
      <c r="GH1712" s="6"/>
      <c r="GI1712" s="6"/>
      <c r="GJ1712" s="6"/>
      <c r="GK1712" s="6"/>
      <c r="GL1712" s="6"/>
      <c r="GM1712" s="6"/>
      <c r="GN1712" s="6"/>
      <c r="GO1712" s="6"/>
      <c r="GP1712" s="6"/>
      <c r="GQ1712" s="6"/>
      <c r="GR1712" s="6"/>
      <c r="GS1712" s="6"/>
      <c r="GT1712" s="6"/>
      <c r="GU1712" s="6"/>
      <c r="GV1712" s="6"/>
      <c r="GW1712" s="6"/>
      <c r="GX1712" s="6"/>
      <c r="GY1712" s="6"/>
      <c r="GZ1712" s="6"/>
      <c r="HA1712" s="6"/>
      <c r="HB1712" s="6"/>
      <c r="HC1712" s="6"/>
      <c r="HD1712" s="6"/>
      <c r="HE1712" s="6"/>
      <c r="HF1712" s="6"/>
      <c r="HG1712" s="6"/>
      <c r="HH1712" s="6"/>
    </row>
    <row r="1713" spans="1:216" x14ac:dyDescent="0.3">
      <c r="A1713" s="8"/>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6"/>
      <c r="AR1713" s="6"/>
      <c r="AS1713" s="6"/>
      <c r="AT1713" s="6"/>
      <c r="AU1713" s="6"/>
      <c r="AV1713" s="6"/>
      <c r="AW1713" s="6"/>
      <c r="AX1713" s="6"/>
      <c r="AY1713" s="6"/>
      <c r="AZ1713" s="6"/>
      <c r="BA1713" s="6"/>
      <c r="BB1713" s="6"/>
      <c r="BC1713" s="6"/>
      <c r="BD1713" s="6"/>
      <c r="BE1713" s="6"/>
      <c r="BF1713" s="6"/>
      <c r="BG1713" s="6"/>
      <c r="BH1713" s="6"/>
      <c r="BI1713" s="6"/>
      <c r="BJ1713" s="6"/>
      <c r="BK1713" s="6"/>
      <c r="BL1713" s="6"/>
      <c r="BM1713" s="6"/>
      <c r="BN1713" s="6"/>
      <c r="BO1713" s="6"/>
      <c r="BP1713" s="6"/>
      <c r="BQ1713" s="6"/>
      <c r="BR1713" s="6"/>
      <c r="BS1713" s="6"/>
      <c r="BT1713" s="6"/>
      <c r="BU1713" s="6"/>
      <c r="BV1713" s="6"/>
      <c r="BW1713" s="6"/>
      <c r="BX1713" s="6"/>
      <c r="BY1713" s="6"/>
      <c r="BZ1713" s="6"/>
      <c r="CA1713" s="6"/>
      <c r="CB1713" s="6"/>
      <c r="CC1713" s="6"/>
      <c r="CD1713" s="6"/>
      <c r="CE1713" s="6"/>
      <c r="CF1713" s="6"/>
      <c r="CG1713" s="6"/>
      <c r="CH1713" s="6"/>
      <c r="CI1713" s="6"/>
      <c r="CJ1713" s="6"/>
      <c r="CK1713" s="6"/>
      <c r="CL1713" s="6"/>
      <c r="CM1713" s="6"/>
      <c r="CN1713" s="6"/>
      <c r="CO1713" s="6"/>
      <c r="CP1713" s="6"/>
      <c r="CQ1713" s="6"/>
      <c r="CR1713" s="6"/>
      <c r="CS1713" s="6"/>
      <c r="CT1713" s="6"/>
      <c r="CU1713" s="6"/>
      <c r="CV1713" s="6"/>
      <c r="CW1713" s="6"/>
      <c r="CX1713" s="6"/>
      <c r="CY1713" s="6"/>
      <c r="CZ1713" s="6"/>
      <c r="DA1713" s="6"/>
      <c r="DB1713" s="6"/>
      <c r="DC1713" s="6"/>
      <c r="DD1713" s="6"/>
      <c r="DE1713" s="6"/>
      <c r="DF1713" s="6"/>
      <c r="DG1713" s="6"/>
      <c r="DH1713" s="6"/>
      <c r="DI1713" s="6"/>
      <c r="DJ1713" s="6"/>
      <c r="DK1713" s="6"/>
      <c r="DL1713" s="6"/>
      <c r="DM1713" s="6"/>
      <c r="DN1713" s="6"/>
      <c r="DO1713" s="6"/>
      <c r="DP1713" s="6"/>
      <c r="DQ1713" s="6"/>
      <c r="DR1713" s="6"/>
      <c r="DS1713" s="6"/>
      <c r="DT1713" s="6"/>
      <c r="DU1713" s="6"/>
      <c r="DV1713" s="6"/>
      <c r="DW1713" s="6"/>
      <c r="DX1713" s="6"/>
      <c r="DY1713" s="6"/>
      <c r="DZ1713" s="6"/>
      <c r="EA1713" s="6"/>
      <c r="EB1713" s="6"/>
      <c r="EC1713" s="6"/>
      <c r="ED1713" s="6"/>
      <c r="EE1713" s="6"/>
      <c r="EF1713" s="6"/>
      <c r="EG1713" s="6"/>
      <c r="EH1713" s="6"/>
      <c r="EI1713" s="6"/>
      <c r="EJ1713" s="6"/>
      <c r="EK1713" s="6"/>
      <c r="EL1713" s="6"/>
      <c r="EM1713" s="6"/>
      <c r="EN1713" s="6"/>
      <c r="EO1713" s="6"/>
      <c r="EP1713" s="6"/>
      <c r="EQ1713" s="6"/>
      <c r="ER1713" s="6"/>
      <c r="ES1713" s="6"/>
      <c r="ET1713" s="6"/>
      <c r="EU1713" s="6"/>
      <c r="EV1713" s="6"/>
      <c r="EW1713" s="6"/>
      <c r="EX1713" s="6"/>
      <c r="EY1713" s="6"/>
      <c r="EZ1713" s="6"/>
      <c r="FA1713" s="6"/>
      <c r="FB1713" s="6"/>
      <c r="FC1713" s="6"/>
      <c r="FD1713" s="6"/>
      <c r="FE1713" s="6"/>
      <c r="FF1713" s="6"/>
      <c r="FG1713" s="6"/>
      <c r="FH1713" s="6"/>
      <c r="FI1713" s="6"/>
      <c r="FJ1713" s="6"/>
      <c r="FK1713" s="6"/>
      <c r="FL1713" s="6"/>
      <c r="FM1713" s="6"/>
      <c r="FN1713" s="6"/>
      <c r="FO1713" s="6"/>
      <c r="FP1713" s="6"/>
      <c r="FQ1713" s="6"/>
      <c r="FR1713" s="6"/>
      <c r="FS1713" s="6"/>
      <c r="FT1713" s="6"/>
      <c r="FU1713" s="6"/>
      <c r="FV1713" s="6"/>
      <c r="FW1713" s="6"/>
      <c r="FX1713" s="6"/>
      <c r="FY1713" s="6"/>
      <c r="FZ1713" s="6"/>
      <c r="GA1713" s="6"/>
      <c r="GB1713" s="6"/>
      <c r="GC1713" s="6"/>
      <c r="GD1713" s="6"/>
      <c r="GE1713" s="6"/>
      <c r="GF1713" s="6"/>
      <c r="GG1713" s="6"/>
      <c r="GH1713" s="6"/>
      <c r="GI1713" s="6"/>
      <c r="GJ1713" s="6"/>
      <c r="GK1713" s="6"/>
      <c r="GL1713" s="6"/>
      <c r="GM1713" s="6"/>
      <c r="GN1713" s="6"/>
      <c r="GO1713" s="6"/>
      <c r="GP1713" s="6"/>
      <c r="GQ1713" s="6"/>
      <c r="GR1713" s="6"/>
      <c r="GS1713" s="6"/>
      <c r="GT1713" s="6"/>
      <c r="GU1713" s="6"/>
      <c r="GV1713" s="6"/>
      <c r="GW1713" s="6"/>
      <c r="GX1713" s="6"/>
      <c r="GY1713" s="6"/>
      <c r="GZ1713" s="6"/>
      <c r="HA1713" s="6"/>
      <c r="HB1713" s="6"/>
      <c r="HC1713" s="6"/>
      <c r="HD1713" s="6"/>
      <c r="HE1713" s="6"/>
      <c r="HF1713" s="6"/>
      <c r="HG1713" s="6"/>
      <c r="HH1713" s="6"/>
    </row>
    <row r="1714" spans="1:216" x14ac:dyDescent="0.3">
      <c r="A1714" s="8"/>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6"/>
      <c r="AR1714" s="6"/>
      <c r="AS1714" s="6"/>
      <c r="AT1714" s="6"/>
      <c r="AU1714" s="6"/>
      <c r="AV1714" s="6"/>
      <c r="AW1714" s="6"/>
      <c r="AX1714" s="6"/>
      <c r="AY1714" s="6"/>
      <c r="AZ1714" s="6"/>
      <c r="BA1714" s="6"/>
      <c r="BB1714" s="6"/>
      <c r="BC1714" s="6"/>
      <c r="BD1714" s="6"/>
      <c r="BE1714" s="6"/>
      <c r="BF1714" s="6"/>
      <c r="BG1714" s="6"/>
      <c r="BH1714" s="6"/>
      <c r="BI1714" s="6"/>
      <c r="BJ1714" s="6"/>
      <c r="BK1714" s="6"/>
      <c r="BL1714" s="6"/>
      <c r="BM1714" s="6"/>
      <c r="BN1714" s="6"/>
      <c r="BO1714" s="6"/>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6"/>
      <c r="CL1714" s="6"/>
      <c r="CM1714" s="6"/>
      <c r="CN1714" s="6"/>
      <c r="CO1714" s="6"/>
      <c r="CP1714" s="6"/>
      <c r="CQ1714" s="6"/>
      <c r="CR1714" s="6"/>
      <c r="CS1714" s="6"/>
      <c r="CT1714" s="6"/>
      <c r="CU1714" s="6"/>
      <c r="CV1714" s="6"/>
      <c r="CW1714" s="6"/>
      <c r="CX1714" s="6"/>
      <c r="CY1714" s="6"/>
      <c r="CZ1714" s="6"/>
      <c r="DA1714" s="6"/>
      <c r="DB1714" s="6"/>
      <c r="DC1714" s="6"/>
      <c r="DD1714" s="6"/>
      <c r="DE1714" s="6"/>
      <c r="DF1714" s="6"/>
      <c r="DG1714" s="6"/>
      <c r="DH1714" s="6"/>
      <c r="DI1714" s="6"/>
      <c r="DJ1714" s="6"/>
      <c r="DK1714" s="6"/>
      <c r="DL1714" s="6"/>
      <c r="DM1714" s="6"/>
      <c r="DN1714" s="6"/>
      <c r="DO1714" s="6"/>
      <c r="DP1714" s="6"/>
      <c r="DQ1714" s="6"/>
      <c r="DR1714" s="6"/>
      <c r="DS1714" s="6"/>
      <c r="DT1714" s="6"/>
      <c r="DU1714" s="6"/>
      <c r="DV1714" s="6"/>
      <c r="DW1714" s="6"/>
      <c r="DX1714" s="6"/>
      <c r="DY1714" s="6"/>
      <c r="DZ1714" s="6"/>
      <c r="EA1714" s="6"/>
      <c r="EB1714" s="6"/>
      <c r="EC1714" s="6"/>
      <c r="ED1714" s="6"/>
      <c r="EE1714" s="6"/>
      <c r="EF1714" s="6"/>
      <c r="EG1714" s="6"/>
      <c r="EH1714" s="6"/>
      <c r="EI1714" s="6"/>
      <c r="EJ1714" s="6"/>
      <c r="EK1714" s="6"/>
      <c r="EL1714" s="6"/>
      <c r="EM1714" s="6"/>
      <c r="EN1714" s="6"/>
      <c r="EO1714" s="6"/>
      <c r="EP1714" s="6"/>
      <c r="EQ1714" s="6"/>
      <c r="ER1714" s="6"/>
      <c r="ES1714" s="6"/>
      <c r="ET1714" s="6"/>
      <c r="EU1714" s="6"/>
      <c r="EV1714" s="6"/>
      <c r="EW1714" s="6"/>
      <c r="EX1714" s="6"/>
      <c r="EY1714" s="6"/>
      <c r="EZ1714" s="6"/>
      <c r="FA1714" s="6"/>
      <c r="FB1714" s="6"/>
      <c r="FC1714" s="6"/>
      <c r="FD1714" s="6"/>
      <c r="FE1714" s="6"/>
      <c r="FF1714" s="6"/>
      <c r="FG1714" s="6"/>
      <c r="FH1714" s="6"/>
      <c r="FI1714" s="6"/>
      <c r="FJ1714" s="6"/>
      <c r="FK1714" s="6"/>
      <c r="FL1714" s="6"/>
      <c r="FM1714" s="6"/>
      <c r="FN1714" s="6"/>
      <c r="FO1714" s="6"/>
      <c r="FP1714" s="6"/>
      <c r="FQ1714" s="6"/>
      <c r="FR1714" s="6"/>
      <c r="FS1714" s="6"/>
      <c r="FT1714" s="6"/>
      <c r="FU1714" s="6"/>
      <c r="FV1714" s="6"/>
      <c r="FW1714" s="6"/>
      <c r="FX1714" s="6"/>
      <c r="FY1714" s="6"/>
      <c r="FZ1714" s="6"/>
      <c r="GA1714" s="6"/>
      <c r="GB1714" s="6"/>
      <c r="GC1714" s="6"/>
      <c r="GD1714" s="6"/>
      <c r="GE1714" s="6"/>
      <c r="GF1714" s="6"/>
      <c r="GG1714" s="6"/>
      <c r="GH1714" s="6"/>
      <c r="GI1714" s="6"/>
      <c r="GJ1714" s="6"/>
      <c r="GK1714" s="6"/>
      <c r="GL1714" s="6"/>
      <c r="GM1714" s="6"/>
      <c r="GN1714" s="6"/>
      <c r="GO1714" s="6"/>
      <c r="GP1714" s="6"/>
      <c r="GQ1714" s="6"/>
      <c r="GR1714" s="6"/>
      <c r="GS1714" s="6"/>
      <c r="GT1714" s="6"/>
      <c r="GU1714" s="6"/>
      <c r="GV1714" s="6"/>
      <c r="GW1714" s="6"/>
      <c r="GX1714" s="6"/>
      <c r="GY1714" s="6"/>
      <c r="GZ1714" s="6"/>
      <c r="HA1714" s="6"/>
      <c r="HB1714" s="6"/>
      <c r="HC1714" s="6"/>
      <c r="HD1714" s="6"/>
      <c r="HE1714" s="6"/>
      <c r="HF1714" s="6"/>
      <c r="HG1714" s="6"/>
      <c r="HH1714" s="6"/>
    </row>
    <row r="1715" spans="1:216" x14ac:dyDescent="0.3">
      <c r="A1715" s="8"/>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6"/>
      <c r="AR1715" s="6"/>
      <c r="AS1715" s="6"/>
      <c r="AT1715" s="6"/>
      <c r="AU1715" s="6"/>
      <c r="AV1715" s="6"/>
      <c r="AW1715" s="6"/>
      <c r="AX1715" s="6"/>
      <c r="AY1715" s="6"/>
      <c r="AZ1715" s="6"/>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c r="DX1715" s="6"/>
      <c r="DY1715" s="6"/>
      <c r="DZ1715" s="6"/>
      <c r="EA1715" s="6"/>
      <c r="EB1715" s="6"/>
      <c r="EC1715" s="6"/>
      <c r="ED1715" s="6"/>
      <c r="EE1715" s="6"/>
      <c r="EF1715" s="6"/>
      <c r="EG1715" s="6"/>
      <c r="EH1715" s="6"/>
      <c r="EI1715" s="6"/>
      <c r="EJ1715" s="6"/>
      <c r="EK1715" s="6"/>
      <c r="EL1715" s="6"/>
      <c r="EM1715" s="6"/>
      <c r="EN1715" s="6"/>
      <c r="EO1715" s="6"/>
      <c r="EP1715" s="6"/>
      <c r="EQ1715" s="6"/>
      <c r="ER1715" s="6"/>
      <c r="ES1715" s="6"/>
      <c r="ET1715" s="6"/>
      <c r="EU1715" s="6"/>
      <c r="EV1715" s="6"/>
      <c r="EW1715" s="6"/>
      <c r="EX1715" s="6"/>
      <c r="EY1715" s="6"/>
      <c r="EZ1715" s="6"/>
      <c r="FA1715" s="6"/>
      <c r="FB1715" s="6"/>
      <c r="FC1715" s="6"/>
      <c r="FD1715" s="6"/>
      <c r="FE1715" s="6"/>
      <c r="FF1715" s="6"/>
      <c r="FG1715" s="6"/>
      <c r="FH1715" s="6"/>
      <c r="FI1715" s="6"/>
      <c r="FJ1715" s="6"/>
      <c r="FK1715" s="6"/>
      <c r="FL1715" s="6"/>
      <c r="FM1715" s="6"/>
      <c r="FN1715" s="6"/>
      <c r="FO1715" s="6"/>
      <c r="FP1715" s="6"/>
      <c r="FQ1715" s="6"/>
      <c r="FR1715" s="6"/>
      <c r="FS1715" s="6"/>
      <c r="FT1715" s="6"/>
      <c r="FU1715" s="6"/>
      <c r="FV1715" s="6"/>
      <c r="FW1715" s="6"/>
      <c r="FX1715" s="6"/>
      <c r="FY1715" s="6"/>
      <c r="FZ1715" s="6"/>
      <c r="GA1715" s="6"/>
      <c r="GB1715" s="6"/>
      <c r="GC1715" s="6"/>
      <c r="GD1715" s="6"/>
      <c r="GE1715" s="6"/>
      <c r="GF1715" s="6"/>
      <c r="GG1715" s="6"/>
      <c r="GH1715" s="6"/>
      <c r="GI1715" s="6"/>
      <c r="GJ1715" s="6"/>
      <c r="GK1715" s="6"/>
      <c r="GL1715" s="6"/>
      <c r="GM1715" s="6"/>
      <c r="GN1715" s="6"/>
      <c r="GO1715" s="6"/>
      <c r="GP1715" s="6"/>
      <c r="GQ1715" s="6"/>
      <c r="GR1715" s="6"/>
      <c r="GS1715" s="6"/>
      <c r="GT1715" s="6"/>
      <c r="GU1715" s="6"/>
      <c r="GV1715" s="6"/>
      <c r="GW1715" s="6"/>
      <c r="GX1715" s="6"/>
      <c r="GY1715" s="6"/>
      <c r="GZ1715" s="6"/>
      <c r="HA1715" s="6"/>
      <c r="HB1715" s="6"/>
      <c r="HC1715" s="6"/>
      <c r="HD1715" s="6"/>
      <c r="HE1715" s="6"/>
      <c r="HF1715" s="6"/>
      <c r="HG1715" s="6"/>
      <c r="HH1715" s="6"/>
    </row>
    <row r="1716" spans="1:216" x14ac:dyDescent="0.3">
      <c r="A1716" s="8"/>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6"/>
      <c r="AR1716" s="6"/>
      <c r="AS1716" s="6"/>
      <c r="AT1716" s="6"/>
      <c r="AU1716" s="6"/>
      <c r="AV1716" s="6"/>
      <c r="AW1716" s="6"/>
      <c r="AX1716" s="6"/>
      <c r="AY1716" s="6"/>
      <c r="AZ1716" s="6"/>
      <c r="BA1716" s="6"/>
      <c r="BB1716" s="6"/>
      <c r="BC1716" s="6"/>
      <c r="BD1716" s="6"/>
      <c r="BE1716" s="6"/>
      <c r="BF1716" s="6"/>
      <c r="BG1716" s="6"/>
      <c r="BH1716" s="6"/>
      <c r="BI1716" s="6"/>
      <c r="BJ1716" s="6"/>
      <c r="BK1716" s="6"/>
      <c r="BL1716" s="6"/>
      <c r="BM1716" s="6"/>
      <c r="BN1716" s="6"/>
      <c r="BO1716" s="6"/>
      <c r="BP1716" s="6"/>
      <c r="BQ1716" s="6"/>
      <c r="BR1716" s="6"/>
      <c r="BS1716" s="6"/>
      <c r="BT1716" s="6"/>
      <c r="BU1716" s="6"/>
      <c r="BV1716" s="6"/>
      <c r="BW1716" s="6"/>
      <c r="BX1716" s="6"/>
      <c r="BY1716" s="6"/>
      <c r="BZ1716" s="6"/>
      <c r="CA1716" s="6"/>
      <c r="CB1716" s="6"/>
      <c r="CC1716" s="6"/>
      <c r="CD1716" s="6"/>
      <c r="CE1716" s="6"/>
      <c r="CF1716" s="6"/>
      <c r="CG1716" s="6"/>
      <c r="CH1716" s="6"/>
      <c r="CI1716" s="6"/>
      <c r="CJ1716" s="6"/>
      <c r="CK1716" s="6"/>
      <c r="CL1716" s="6"/>
      <c r="CM1716" s="6"/>
      <c r="CN1716" s="6"/>
      <c r="CO1716" s="6"/>
      <c r="CP1716" s="6"/>
      <c r="CQ1716" s="6"/>
      <c r="CR1716" s="6"/>
      <c r="CS1716" s="6"/>
      <c r="CT1716" s="6"/>
      <c r="CU1716" s="6"/>
      <c r="CV1716" s="6"/>
      <c r="CW1716" s="6"/>
      <c r="CX1716" s="6"/>
      <c r="CY1716" s="6"/>
      <c r="CZ1716" s="6"/>
      <c r="DA1716" s="6"/>
      <c r="DB1716" s="6"/>
      <c r="DC1716" s="6"/>
      <c r="DD1716" s="6"/>
      <c r="DE1716" s="6"/>
      <c r="DF1716" s="6"/>
      <c r="DG1716" s="6"/>
      <c r="DH1716" s="6"/>
      <c r="DI1716" s="6"/>
      <c r="DJ1716" s="6"/>
      <c r="DK1716" s="6"/>
      <c r="DL1716" s="6"/>
      <c r="DM1716" s="6"/>
      <c r="DN1716" s="6"/>
      <c r="DO1716" s="6"/>
      <c r="DP1716" s="6"/>
      <c r="DQ1716" s="6"/>
      <c r="DR1716" s="6"/>
      <c r="DS1716" s="6"/>
      <c r="DT1716" s="6"/>
      <c r="DU1716" s="6"/>
      <c r="DV1716" s="6"/>
      <c r="DW1716" s="6"/>
      <c r="DX1716" s="6"/>
      <c r="DY1716" s="6"/>
      <c r="DZ1716" s="6"/>
      <c r="EA1716" s="6"/>
      <c r="EB1716" s="6"/>
      <c r="EC1716" s="6"/>
      <c r="ED1716" s="6"/>
      <c r="EE1716" s="6"/>
      <c r="EF1716" s="6"/>
      <c r="EG1716" s="6"/>
      <c r="EH1716" s="6"/>
      <c r="EI1716" s="6"/>
      <c r="EJ1716" s="6"/>
      <c r="EK1716" s="6"/>
      <c r="EL1716" s="6"/>
      <c r="EM1716" s="6"/>
      <c r="EN1716" s="6"/>
      <c r="EO1716" s="6"/>
      <c r="EP1716" s="6"/>
      <c r="EQ1716" s="6"/>
      <c r="ER1716" s="6"/>
      <c r="ES1716" s="6"/>
      <c r="ET1716" s="6"/>
      <c r="EU1716" s="6"/>
      <c r="EV1716" s="6"/>
      <c r="EW1716" s="6"/>
      <c r="EX1716" s="6"/>
      <c r="EY1716" s="6"/>
      <c r="EZ1716" s="6"/>
      <c r="FA1716" s="6"/>
      <c r="FB1716" s="6"/>
      <c r="FC1716" s="6"/>
      <c r="FD1716" s="6"/>
      <c r="FE1716" s="6"/>
      <c r="FF1716" s="6"/>
      <c r="FG1716" s="6"/>
      <c r="FH1716" s="6"/>
      <c r="FI1716" s="6"/>
      <c r="FJ1716" s="6"/>
      <c r="FK1716" s="6"/>
      <c r="FL1716" s="6"/>
      <c r="FM1716" s="6"/>
      <c r="FN1716" s="6"/>
      <c r="FO1716" s="6"/>
      <c r="FP1716" s="6"/>
      <c r="FQ1716" s="6"/>
      <c r="FR1716" s="6"/>
      <c r="FS1716" s="6"/>
      <c r="FT1716" s="6"/>
      <c r="FU1716" s="6"/>
      <c r="FV1716" s="6"/>
      <c r="FW1716" s="6"/>
      <c r="FX1716" s="6"/>
      <c r="FY1716" s="6"/>
      <c r="FZ1716" s="6"/>
      <c r="GA1716" s="6"/>
      <c r="GB1716" s="6"/>
      <c r="GC1716" s="6"/>
      <c r="GD1716" s="6"/>
      <c r="GE1716" s="6"/>
      <c r="GF1716" s="6"/>
      <c r="GG1716" s="6"/>
      <c r="GH1716" s="6"/>
      <c r="GI1716" s="6"/>
      <c r="GJ1716" s="6"/>
      <c r="GK1716" s="6"/>
      <c r="GL1716" s="6"/>
      <c r="GM1716" s="6"/>
      <c r="GN1716" s="6"/>
      <c r="GO1716" s="6"/>
      <c r="GP1716" s="6"/>
      <c r="GQ1716" s="6"/>
      <c r="GR1716" s="6"/>
      <c r="GS1716" s="6"/>
      <c r="GT1716" s="6"/>
      <c r="GU1716" s="6"/>
      <c r="GV1716" s="6"/>
      <c r="GW1716" s="6"/>
      <c r="GX1716" s="6"/>
      <c r="GY1716" s="6"/>
      <c r="GZ1716" s="6"/>
      <c r="HA1716" s="6"/>
      <c r="HB1716" s="6"/>
      <c r="HC1716" s="6"/>
      <c r="HD1716" s="6"/>
      <c r="HE1716" s="6"/>
      <c r="HF1716" s="6"/>
      <c r="HG1716" s="6"/>
      <c r="HH1716" s="6"/>
    </row>
    <row r="1717" spans="1:216" x14ac:dyDescent="0.3">
      <c r="A1717" s="8"/>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6"/>
      <c r="AR1717" s="6"/>
      <c r="AS1717" s="6"/>
      <c r="AT1717" s="6"/>
      <c r="AU1717" s="6"/>
      <c r="AV1717" s="6"/>
      <c r="AW1717" s="6"/>
      <c r="AX1717" s="6"/>
      <c r="AY1717" s="6"/>
      <c r="AZ1717" s="6"/>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c r="DX1717" s="6"/>
      <c r="DY1717" s="6"/>
      <c r="DZ1717" s="6"/>
      <c r="EA1717" s="6"/>
      <c r="EB1717" s="6"/>
      <c r="EC1717" s="6"/>
      <c r="ED1717" s="6"/>
      <c r="EE1717" s="6"/>
      <c r="EF1717" s="6"/>
      <c r="EG1717" s="6"/>
      <c r="EH1717" s="6"/>
      <c r="EI1717" s="6"/>
      <c r="EJ1717" s="6"/>
      <c r="EK1717" s="6"/>
      <c r="EL1717" s="6"/>
      <c r="EM1717" s="6"/>
      <c r="EN1717" s="6"/>
      <c r="EO1717" s="6"/>
      <c r="EP1717" s="6"/>
      <c r="EQ1717" s="6"/>
      <c r="ER1717" s="6"/>
      <c r="ES1717" s="6"/>
      <c r="ET1717" s="6"/>
      <c r="EU1717" s="6"/>
      <c r="EV1717" s="6"/>
      <c r="EW1717" s="6"/>
      <c r="EX1717" s="6"/>
      <c r="EY1717" s="6"/>
      <c r="EZ1717" s="6"/>
      <c r="FA1717" s="6"/>
      <c r="FB1717" s="6"/>
      <c r="FC1717" s="6"/>
      <c r="FD1717" s="6"/>
      <c r="FE1717" s="6"/>
      <c r="FF1717" s="6"/>
      <c r="FG1717" s="6"/>
      <c r="FH1717" s="6"/>
      <c r="FI1717" s="6"/>
      <c r="FJ1717" s="6"/>
      <c r="FK1717" s="6"/>
      <c r="FL1717" s="6"/>
      <c r="FM1717" s="6"/>
      <c r="FN1717" s="6"/>
      <c r="FO1717" s="6"/>
      <c r="FP1717" s="6"/>
      <c r="FQ1717" s="6"/>
      <c r="FR1717" s="6"/>
      <c r="FS1717" s="6"/>
      <c r="FT1717" s="6"/>
      <c r="FU1717" s="6"/>
      <c r="FV1717" s="6"/>
      <c r="FW1717" s="6"/>
      <c r="FX1717" s="6"/>
      <c r="FY1717" s="6"/>
      <c r="FZ1717" s="6"/>
      <c r="GA1717" s="6"/>
      <c r="GB1717" s="6"/>
      <c r="GC1717" s="6"/>
      <c r="GD1717" s="6"/>
      <c r="GE1717" s="6"/>
      <c r="GF1717" s="6"/>
      <c r="GG1717" s="6"/>
      <c r="GH1717" s="6"/>
      <c r="GI1717" s="6"/>
      <c r="GJ1717" s="6"/>
      <c r="GK1717" s="6"/>
      <c r="GL1717" s="6"/>
      <c r="GM1717" s="6"/>
      <c r="GN1717" s="6"/>
      <c r="GO1717" s="6"/>
      <c r="GP1717" s="6"/>
      <c r="GQ1717" s="6"/>
      <c r="GR1717" s="6"/>
      <c r="GS1717" s="6"/>
      <c r="GT1717" s="6"/>
      <c r="GU1717" s="6"/>
      <c r="GV1717" s="6"/>
      <c r="GW1717" s="6"/>
      <c r="GX1717" s="6"/>
      <c r="GY1717" s="6"/>
      <c r="GZ1717" s="6"/>
      <c r="HA1717" s="6"/>
      <c r="HB1717" s="6"/>
      <c r="HC1717" s="6"/>
      <c r="HD1717" s="6"/>
      <c r="HE1717" s="6"/>
      <c r="HF1717" s="6"/>
      <c r="HG1717" s="6"/>
      <c r="HH1717" s="6"/>
    </row>
    <row r="1718" spans="1:216" x14ac:dyDescent="0.3">
      <c r="A1718" s="8"/>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row>
    <row r="1719" spans="1:216" x14ac:dyDescent="0.3">
      <c r="A1719" s="8"/>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row>
    <row r="1720" spans="1:216" x14ac:dyDescent="0.3">
      <c r="A1720" s="8"/>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row>
    <row r="1721" spans="1:216" x14ac:dyDescent="0.3">
      <c r="A1721" s="8"/>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row>
    <row r="1722" spans="1:216" x14ac:dyDescent="0.3">
      <c r="A1722" s="8"/>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row>
    <row r="1723" spans="1:216" x14ac:dyDescent="0.3">
      <c r="A1723" s="8"/>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row>
    <row r="1724" spans="1:216" x14ac:dyDescent="0.3">
      <c r="A1724" s="8"/>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row>
    <row r="1725" spans="1:216" x14ac:dyDescent="0.3">
      <c r="A1725" s="8"/>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row>
    <row r="1726" spans="1:216" x14ac:dyDescent="0.3">
      <c r="A1726" s="8"/>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row>
    <row r="1727" spans="1:216" x14ac:dyDescent="0.3">
      <c r="A1727" s="8"/>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row>
    <row r="1728" spans="1:216" x14ac:dyDescent="0.3">
      <c r="A1728" s="8"/>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6"/>
      <c r="AR1728" s="6"/>
      <c r="AS1728" s="6"/>
      <c r="AT1728" s="6"/>
      <c r="AU1728" s="6"/>
      <c r="AV1728" s="6"/>
      <c r="AW1728" s="6"/>
      <c r="AX1728" s="6"/>
      <c r="AY1728" s="6"/>
      <c r="AZ1728" s="6"/>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c r="DX1728" s="6"/>
      <c r="DY1728" s="6"/>
      <c r="DZ1728" s="6"/>
      <c r="EA1728" s="6"/>
      <c r="EB1728" s="6"/>
      <c r="EC1728" s="6"/>
      <c r="ED1728" s="6"/>
      <c r="EE1728" s="6"/>
      <c r="EF1728" s="6"/>
      <c r="EG1728" s="6"/>
      <c r="EH1728" s="6"/>
      <c r="EI1728" s="6"/>
      <c r="EJ1728" s="6"/>
      <c r="EK1728" s="6"/>
      <c r="EL1728" s="6"/>
      <c r="EM1728" s="6"/>
      <c r="EN1728" s="6"/>
      <c r="EO1728" s="6"/>
      <c r="EP1728" s="6"/>
      <c r="EQ1728" s="6"/>
      <c r="ER1728" s="6"/>
      <c r="ES1728" s="6"/>
      <c r="ET1728" s="6"/>
      <c r="EU1728" s="6"/>
      <c r="EV1728" s="6"/>
      <c r="EW1728" s="6"/>
      <c r="EX1728" s="6"/>
      <c r="EY1728" s="6"/>
      <c r="EZ1728" s="6"/>
      <c r="FA1728" s="6"/>
      <c r="FB1728" s="6"/>
      <c r="FC1728" s="6"/>
      <c r="FD1728" s="6"/>
      <c r="FE1728" s="6"/>
      <c r="FF1728" s="6"/>
      <c r="FG1728" s="6"/>
      <c r="FH1728" s="6"/>
      <c r="FI1728" s="6"/>
      <c r="FJ1728" s="6"/>
      <c r="FK1728" s="6"/>
      <c r="FL1728" s="6"/>
      <c r="FM1728" s="6"/>
      <c r="FN1728" s="6"/>
      <c r="FO1728" s="6"/>
      <c r="FP1728" s="6"/>
      <c r="FQ1728" s="6"/>
      <c r="FR1728" s="6"/>
      <c r="FS1728" s="6"/>
      <c r="FT1728" s="6"/>
      <c r="FU1728" s="6"/>
      <c r="FV1728" s="6"/>
      <c r="FW1728" s="6"/>
      <c r="FX1728" s="6"/>
      <c r="FY1728" s="6"/>
      <c r="FZ1728" s="6"/>
      <c r="GA1728" s="6"/>
      <c r="GB1728" s="6"/>
      <c r="GC1728" s="6"/>
      <c r="GD1728" s="6"/>
      <c r="GE1728" s="6"/>
      <c r="GF1728" s="6"/>
      <c r="GG1728" s="6"/>
      <c r="GH1728" s="6"/>
      <c r="GI1728" s="6"/>
      <c r="GJ1728" s="6"/>
      <c r="GK1728" s="6"/>
      <c r="GL1728" s="6"/>
      <c r="GM1728" s="6"/>
      <c r="GN1728" s="6"/>
      <c r="GO1728" s="6"/>
      <c r="GP1728" s="6"/>
      <c r="GQ1728" s="6"/>
      <c r="GR1728" s="6"/>
      <c r="GS1728" s="6"/>
      <c r="GT1728" s="6"/>
      <c r="GU1728" s="6"/>
      <c r="GV1728" s="6"/>
      <c r="GW1728" s="6"/>
      <c r="GX1728" s="6"/>
      <c r="GY1728" s="6"/>
      <c r="GZ1728" s="6"/>
      <c r="HA1728" s="6"/>
      <c r="HB1728" s="6"/>
      <c r="HC1728" s="6"/>
      <c r="HD1728" s="6"/>
      <c r="HE1728" s="6"/>
      <c r="HF1728" s="6"/>
      <c r="HG1728" s="6"/>
      <c r="HH1728" s="6"/>
    </row>
    <row r="1729" spans="1:216" x14ac:dyDescent="0.3">
      <c r="A1729" s="8"/>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6"/>
      <c r="AR1729" s="6"/>
      <c r="AS1729" s="6"/>
      <c r="AT1729" s="6"/>
      <c r="AU1729" s="6"/>
      <c r="AV1729" s="6"/>
      <c r="AW1729" s="6"/>
      <c r="AX1729" s="6"/>
      <c r="AY1729" s="6"/>
      <c r="AZ1729" s="6"/>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c r="DX1729" s="6"/>
      <c r="DY1729" s="6"/>
      <c r="DZ1729" s="6"/>
      <c r="EA1729" s="6"/>
      <c r="EB1729" s="6"/>
      <c r="EC1729" s="6"/>
      <c r="ED1729" s="6"/>
      <c r="EE1729" s="6"/>
      <c r="EF1729" s="6"/>
      <c r="EG1729" s="6"/>
      <c r="EH1729" s="6"/>
      <c r="EI1729" s="6"/>
      <c r="EJ1729" s="6"/>
      <c r="EK1729" s="6"/>
      <c r="EL1729" s="6"/>
      <c r="EM1729" s="6"/>
      <c r="EN1729" s="6"/>
      <c r="EO1729" s="6"/>
      <c r="EP1729" s="6"/>
      <c r="EQ1729" s="6"/>
      <c r="ER1729" s="6"/>
      <c r="ES1729" s="6"/>
      <c r="ET1729" s="6"/>
      <c r="EU1729" s="6"/>
      <c r="EV1729" s="6"/>
      <c r="EW1729" s="6"/>
      <c r="EX1729" s="6"/>
      <c r="EY1729" s="6"/>
      <c r="EZ1729" s="6"/>
      <c r="FA1729" s="6"/>
      <c r="FB1729" s="6"/>
      <c r="FC1729" s="6"/>
      <c r="FD1729" s="6"/>
      <c r="FE1729" s="6"/>
      <c r="FF1729" s="6"/>
      <c r="FG1729" s="6"/>
      <c r="FH1729" s="6"/>
      <c r="FI1729" s="6"/>
      <c r="FJ1729" s="6"/>
      <c r="FK1729" s="6"/>
      <c r="FL1729" s="6"/>
      <c r="FM1729" s="6"/>
      <c r="FN1729" s="6"/>
      <c r="FO1729" s="6"/>
      <c r="FP1729" s="6"/>
      <c r="FQ1729" s="6"/>
      <c r="FR1729" s="6"/>
      <c r="FS1729" s="6"/>
      <c r="FT1729" s="6"/>
      <c r="FU1729" s="6"/>
      <c r="FV1729" s="6"/>
      <c r="FW1729" s="6"/>
      <c r="FX1729" s="6"/>
      <c r="FY1729" s="6"/>
      <c r="FZ1729" s="6"/>
      <c r="GA1729" s="6"/>
      <c r="GB1729" s="6"/>
      <c r="GC1729" s="6"/>
      <c r="GD1729" s="6"/>
      <c r="GE1729" s="6"/>
      <c r="GF1729" s="6"/>
      <c r="GG1729" s="6"/>
      <c r="GH1729" s="6"/>
      <c r="GI1729" s="6"/>
      <c r="GJ1729" s="6"/>
      <c r="GK1729" s="6"/>
      <c r="GL1729" s="6"/>
      <c r="GM1729" s="6"/>
      <c r="GN1729" s="6"/>
      <c r="GO1729" s="6"/>
      <c r="GP1729" s="6"/>
      <c r="GQ1729" s="6"/>
      <c r="GR1729" s="6"/>
      <c r="GS1729" s="6"/>
      <c r="GT1729" s="6"/>
      <c r="GU1729" s="6"/>
      <c r="GV1729" s="6"/>
      <c r="GW1729" s="6"/>
      <c r="GX1729" s="6"/>
      <c r="GY1729" s="6"/>
      <c r="GZ1729" s="6"/>
      <c r="HA1729" s="6"/>
      <c r="HB1729" s="6"/>
      <c r="HC1729" s="6"/>
      <c r="HD1729" s="6"/>
      <c r="HE1729" s="6"/>
      <c r="HF1729" s="6"/>
      <c r="HG1729" s="6"/>
      <c r="HH1729" s="6"/>
    </row>
    <row r="1730" spans="1:216" x14ac:dyDescent="0.3">
      <c r="A1730" s="8"/>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6"/>
      <c r="AR1730" s="6"/>
      <c r="AS1730" s="6"/>
      <c r="AT1730" s="6"/>
      <c r="AU1730" s="6"/>
      <c r="AV1730" s="6"/>
      <c r="AW1730" s="6"/>
      <c r="AX1730" s="6"/>
      <c r="AY1730" s="6"/>
      <c r="AZ1730" s="6"/>
      <c r="BA1730" s="6"/>
      <c r="BB1730" s="6"/>
      <c r="BC1730" s="6"/>
      <c r="BD1730" s="6"/>
      <c r="BE1730" s="6"/>
      <c r="BF1730" s="6"/>
      <c r="BG1730" s="6"/>
      <c r="BH1730" s="6"/>
      <c r="BI1730" s="6"/>
      <c r="BJ1730" s="6"/>
      <c r="BK1730" s="6"/>
      <c r="BL1730" s="6"/>
      <c r="BM1730" s="6"/>
      <c r="BN1730" s="6"/>
      <c r="BO1730" s="6"/>
      <c r="BP1730" s="6"/>
      <c r="BQ1730" s="6"/>
      <c r="BR1730" s="6"/>
      <c r="BS1730" s="6"/>
      <c r="BT1730" s="6"/>
      <c r="BU1730" s="6"/>
      <c r="BV1730" s="6"/>
      <c r="BW1730" s="6"/>
      <c r="BX1730" s="6"/>
      <c r="BY1730" s="6"/>
      <c r="BZ1730" s="6"/>
      <c r="CA1730" s="6"/>
      <c r="CB1730" s="6"/>
      <c r="CC1730" s="6"/>
      <c r="CD1730" s="6"/>
      <c r="CE1730" s="6"/>
      <c r="CF1730" s="6"/>
      <c r="CG1730" s="6"/>
      <c r="CH1730" s="6"/>
      <c r="CI1730" s="6"/>
      <c r="CJ1730" s="6"/>
      <c r="CK1730" s="6"/>
      <c r="CL1730" s="6"/>
      <c r="CM1730" s="6"/>
      <c r="CN1730" s="6"/>
      <c r="CO1730" s="6"/>
      <c r="CP1730" s="6"/>
      <c r="CQ1730" s="6"/>
      <c r="CR1730" s="6"/>
      <c r="CS1730" s="6"/>
      <c r="CT1730" s="6"/>
      <c r="CU1730" s="6"/>
      <c r="CV1730" s="6"/>
      <c r="CW1730" s="6"/>
      <c r="CX1730" s="6"/>
      <c r="CY1730" s="6"/>
      <c r="CZ1730" s="6"/>
      <c r="DA1730" s="6"/>
      <c r="DB1730" s="6"/>
      <c r="DC1730" s="6"/>
      <c r="DD1730" s="6"/>
      <c r="DE1730" s="6"/>
      <c r="DF1730" s="6"/>
      <c r="DG1730" s="6"/>
      <c r="DH1730" s="6"/>
      <c r="DI1730" s="6"/>
      <c r="DJ1730" s="6"/>
      <c r="DK1730" s="6"/>
      <c r="DL1730" s="6"/>
      <c r="DM1730" s="6"/>
      <c r="DN1730" s="6"/>
      <c r="DO1730" s="6"/>
      <c r="DP1730" s="6"/>
      <c r="DQ1730" s="6"/>
      <c r="DR1730" s="6"/>
      <c r="DS1730" s="6"/>
      <c r="DT1730" s="6"/>
      <c r="DU1730" s="6"/>
      <c r="DV1730" s="6"/>
      <c r="DW1730" s="6"/>
      <c r="DX1730" s="6"/>
      <c r="DY1730" s="6"/>
      <c r="DZ1730" s="6"/>
      <c r="EA1730" s="6"/>
      <c r="EB1730" s="6"/>
      <c r="EC1730" s="6"/>
      <c r="ED1730" s="6"/>
      <c r="EE1730" s="6"/>
      <c r="EF1730" s="6"/>
      <c r="EG1730" s="6"/>
      <c r="EH1730" s="6"/>
      <c r="EI1730" s="6"/>
      <c r="EJ1730" s="6"/>
      <c r="EK1730" s="6"/>
      <c r="EL1730" s="6"/>
      <c r="EM1730" s="6"/>
      <c r="EN1730" s="6"/>
      <c r="EO1730" s="6"/>
      <c r="EP1730" s="6"/>
      <c r="EQ1730" s="6"/>
      <c r="ER1730" s="6"/>
      <c r="ES1730" s="6"/>
      <c r="ET1730" s="6"/>
      <c r="EU1730" s="6"/>
      <c r="EV1730" s="6"/>
      <c r="EW1730" s="6"/>
      <c r="EX1730" s="6"/>
      <c r="EY1730" s="6"/>
      <c r="EZ1730" s="6"/>
      <c r="FA1730" s="6"/>
      <c r="FB1730" s="6"/>
      <c r="FC1730" s="6"/>
      <c r="FD1730" s="6"/>
      <c r="FE1730" s="6"/>
      <c r="FF1730" s="6"/>
      <c r="FG1730" s="6"/>
      <c r="FH1730" s="6"/>
      <c r="FI1730" s="6"/>
      <c r="FJ1730" s="6"/>
      <c r="FK1730" s="6"/>
      <c r="FL1730" s="6"/>
      <c r="FM1730" s="6"/>
      <c r="FN1730" s="6"/>
      <c r="FO1730" s="6"/>
      <c r="FP1730" s="6"/>
      <c r="FQ1730" s="6"/>
      <c r="FR1730" s="6"/>
      <c r="FS1730" s="6"/>
      <c r="FT1730" s="6"/>
      <c r="FU1730" s="6"/>
      <c r="FV1730" s="6"/>
      <c r="FW1730" s="6"/>
      <c r="FX1730" s="6"/>
      <c r="FY1730" s="6"/>
      <c r="FZ1730" s="6"/>
      <c r="GA1730" s="6"/>
      <c r="GB1730" s="6"/>
      <c r="GC1730" s="6"/>
      <c r="GD1730" s="6"/>
      <c r="GE1730" s="6"/>
      <c r="GF1730" s="6"/>
      <c r="GG1730" s="6"/>
      <c r="GH1730" s="6"/>
      <c r="GI1730" s="6"/>
      <c r="GJ1730" s="6"/>
      <c r="GK1730" s="6"/>
      <c r="GL1730" s="6"/>
      <c r="GM1730" s="6"/>
      <c r="GN1730" s="6"/>
      <c r="GO1730" s="6"/>
      <c r="GP1730" s="6"/>
      <c r="GQ1730" s="6"/>
      <c r="GR1730" s="6"/>
      <c r="GS1730" s="6"/>
      <c r="GT1730" s="6"/>
      <c r="GU1730" s="6"/>
      <c r="GV1730" s="6"/>
      <c r="GW1730" s="6"/>
      <c r="GX1730" s="6"/>
      <c r="GY1730" s="6"/>
      <c r="GZ1730" s="6"/>
      <c r="HA1730" s="6"/>
      <c r="HB1730" s="6"/>
      <c r="HC1730" s="6"/>
      <c r="HD1730" s="6"/>
      <c r="HE1730" s="6"/>
      <c r="HF1730" s="6"/>
      <c r="HG1730" s="6"/>
      <c r="HH1730" s="6"/>
    </row>
    <row r="1731" spans="1:216" x14ac:dyDescent="0.3">
      <c r="A1731" s="8"/>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6"/>
      <c r="AR1731" s="6"/>
      <c r="AS1731" s="6"/>
      <c r="AT1731" s="6"/>
      <c r="AU1731" s="6"/>
      <c r="AV1731" s="6"/>
      <c r="AW1731" s="6"/>
      <c r="AX1731" s="6"/>
      <c r="AY1731" s="6"/>
      <c r="AZ1731" s="6"/>
      <c r="BA1731" s="6"/>
      <c r="BB1731" s="6"/>
      <c r="BC1731" s="6"/>
      <c r="BD1731" s="6"/>
      <c r="BE1731" s="6"/>
      <c r="BF1731" s="6"/>
      <c r="BG1731" s="6"/>
      <c r="BH1731" s="6"/>
      <c r="BI1731" s="6"/>
      <c r="BJ1731" s="6"/>
      <c r="BK1731" s="6"/>
      <c r="BL1731" s="6"/>
      <c r="BM1731" s="6"/>
      <c r="BN1731" s="6"/>
      <c r="BO1731" s="6"/>
      <c r="BP1731" s="6"/>
      <c r="BQ1731" s="6"/>
      <c r="BR1731" s="6"/>
      <c r="BS1731" s="6"/>
      <c r="BT1731" s="6"/>
      <c r="BU1731" s="6"/>
      <c r="BV1731" s="6"/>
      <c r="BW1731" s="6"/>
      <c r="BX1731" s="6"/>
      <c r="BY1731" s="6"/>
      <c r="BZ1731" s="6"/>
      <c r="CA1731" s="6"/>
      <c r="CB1731" s="6"/>
      <c r="CC1731" s="6"/>
      <c r="CD1731" s="6"/>
      <c r="CE1731" s="6"/>
      <c r="CF1731" s="6"/>
      <c r="CG1731" s="6"/>
      <c r="CH1731" s="6"/>
      <c r="CI1731" s="6"/>
      <c r="CJ1731" s="6"/>
      <c r="CK1731" s="6"/>
      <c r="CL1731" s="6"/>
      <c r="CM1731" s="6"/>
      <c r="CN1731" s="6"/>
      <c r="CO1731" s="6"/>
      <c r="CP1731" s="6"/>
      <c r="CQ1731" s="6"/>
      <c r="CR1731" s="6"/>
      <c r="CS1731" s="6"/>
      <c r="CT1731" s="6"/>
      <c r="CU1731" s="6"/>
      <c r="CV1731" s="6"/>
      <c r="CW1731" s="6"/>
      <c r="CX1731" s="6"/>
      <c r="CY1731" s="6"/>
      <c r="CZ1731" s="6"/>
      <c r="DA1731" s="6"/>
      <c r="DB1731" s="6"/>
      <c r="DC1731" s="6"/>
      <c r="DD1731" s="6"/>
      <c r="DE1731" s="6"/>
      <c r="DF1731" s="6"/>
      <c r="DG1731" s="6"/>
      <c r="DH1731" s="6"/>
      <c r="DI1731" s="6"/>
      <c r="DJ1731" s="6"/>
      <c r="DK1731" s="6"/>
      <c r="DL1731" s="6"/>
      <c r="DM1731" s="6"/>
      <c r="DN1731" s="6"/>
      <c r="DO1731" s="6"/>
      <c r="DP1731" s="6"/>
      <c r="DQ1731" s="6"/>
      <c r="DR1731" s="6"/>
      <c r="DS1731" s="6"/>
      <c r="DT1731" s="6"/>
      <c r="DU1731" s="6"/>
      <c r="DV1731" s="6"/>
      <c r="DW1731" s="6"/>
      <c r="DX1731" s="6"/>
      <c r="DY1731" s="6"/>
      <c r="DZ1731" s="6"/>
      <c r="EA1731" s="6"/>
      <c r="EB1731" s="6"/>
      <c r="EC1731" s="6"/>
      <c r="ED1731" s="6"/>
      <c r="EE1731" s="6"/>
      <c r="EF1731" s="6"/>
      <c r="EG1731" s="6"/>
      <c r="EH1731" s="6"/>
      <c r="EI1731" s="6"/>
      <c r="EJ1731" s="6"/>
      <c r="EK1731" s="6"/>
      <c r="EL1731" s="6"/>
      <c r="EM1731" s="6"/>
      <c r="EN1731" s="6"/>
      <c r="EO1731" s="6"/>
      <c r="EP1731" s="6"/>
      <c r="EQ1731" s="6"/>
      <c r="ER1731" s="6"/>
      <c r="ES1731" s="6"/>
      <c r="ET1731" s="6"/>
      <c r="EU1731" s="6"/>
      <c r="EV1731" s="6"/>
      <c r="EW1731" s="6"/>
      <c r="EX1731" s="6"/>
      <c r="EY1731" s="6"/>
      <c r="EZ1731" s="6"/>
      <c r="FA1731" s="6"/>
      <c r="FB1731" s="6"/>
      <c r="FC1731" s="6"/>
      <c r="FD1731" s="6"/>
      <c r="FE1731" s="6"/>
      <c r="FF1731" s="6"/>
      <c r="FG1731" s="6"/>
      <c r="FH1731" s="6"/>
      <c r="FI1731" s="6"/>
      <c r="FJ1731" s="6"/>
      <c r="FK1731" s="6"/>
      <c r="FL1731" s="6"/>
      <c r="FM1731" s="6"/>
      <c r="FN1731" s="6"/>
      <c r="FO1731" s="6"/>
      <c r="FP1731" s="6"/>
      <c r="FQ1731" s="6"/>
      <c r="FR1731" s="6"/>
      <c r="FS1731" s="6"/>
      <c r="FT1731" s="6"/>
      <c r="FU1731" s="6"/>
      <c r="FV1731" s="6"/>
      <c r="FW1731" s="6"/>
      <c r="FX1731" s="6"/>
      <c r="FY1731" s="6"/>
      <c r="FZ1731" s="6"/>
      <c r="GA1731" s="6"/>
      <c r="GB1731" s="6"/>
      <c r="GC1731" s="6"/>
      <c r="GD1731" s="6"/>
      <c r="GE1731" s="6"/>
      <c r="GF1731" s="6"/>
      <c r="GG1731" s="6"/>
      <c r="GH1731" s="6"/>
      <c r="GI1731" s="6"/>
      <c r="GJ1731" s="6"/>
      <c r="GK1731" s="6"/>
      <c r="GL1731" s="6"/>
      <c r="GM1731" s="6"/>
      <c r="GN1731" s="6"/>
      <c r="GO1731" s="6"/>
      <c r="GP1731" s="6"/>
      <c r="GQ1731" s="6"/>
      <c r="GR1731" s="6"/>
      <c r="GS1731" s="6"/>
      <c r="GT1731" s="6"/>
      <c r="GU1731" s="6"/>
      <c r="GV1731" s="6"/>
      <c r="GW1731" s="6"/>
      <c r="GX1731" s="6"/>
      <c r="GY1731" s="6"/>
      <c r="GZ1731" s="6"/>
      <c r="HA1731" s="6"/>
      <c r="HB1731" s="6"/>
      <c r="HC1731" s="6"/>
      <c r="HD1731" s="6"/>
      <c r="HE1731" s="6"/>
      <c r="HF1731" s="6"/>
      <c r="HG1731" s="6"/>
      <c r="HH1731" s="6"/>
    </row>
    <row r="1732" spans="1:216" x14ac:dyDescent="0.3">
      <c r="A1732" s="8"/>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6"/>
      <c r="AR1732" s="6"/>
      <c r="AS1732" s="6"/>
      <c r="AT1732" s="6"/>
      <c r="AU1732" s="6"/>
      <c r="AV1732" s="6"/>
      <c r="AW1732" s="6"/>
      <c r="AX1732" s="6"/>
      <c r="AY1732" s="6"/>
      <c r="AZ1732" s="6"/>
      <c r="BA1732" s="6"/>
      <c r="BB1732" s="6"/>
      <c r="BC1732" s="6"/>
      <c r="BD1732" s="6"/>
      <c r="BE1732" s="6"/>
      <c r="BF1732" s="6"/>
      <c r="BG1732" s="6"/>
      <c r="BH1732" s="6"/>
      <c r="BI1732" s="6"/>
      <c r="BJ1732" s="6"/>
      <c r="BK1732" s="6"/>
      <c r="BL1732" s="6"/>
      <c r="BM1732" s="6"/>
      <c r="BN1732" s="6"/>
      <c r="BO1732" s="6"/>
      <c r="BP1732" s="6"/>
      <c r="BQ1732" s="6"/>
      <c r="BR1732" s="6"/>
      <c r="BS1732" s="6"/>
      <c r="BT1732" s="6"/>
      <c r="BU1732" s="6"/>
      <c r="BV1732" s="6"/>
      <c r="BW1732" s="6"/>
      <c r="BX1732" s="6"/>
      <c r="BY1732" s="6"/>
      <c r="BZ1732" s="6"/>
      <c r="CA1732" s="6"/>
      <c r="CB1732" s="6"/>
      <c r="CC1732" s="6"/>
      <c r="CD1732" s="6"/>
      <c r="CE1732" s="6"/>
      <c r="CF1732" s="6"/>
      <c r="CG1732" s="6"/>
      <c r="CH1732" s="6"/>
      <c r="CI1732" s="6"/>
      <c r="CJ1732" s="6"/>
      <c r="CK1732" s="6"/>
      <c r="CL1732" s="6"/>
      <c r="CM1732" s="6"/>
      <c r="CN1732" s="6"/>
      <c r="CO1732" s="6"/>
      <c r="CP1732" s="6"/>
      <c r="CQ1732" s="6"/>
      <c r="CR1732" s="6"/>
      <c r="CS1732" s="6"/>
      <c r="CT1732" s="6"/>
      <c r="CU1732" s="6"/>
      <c r="CV1732" s="6"/>
      <c r="CW1732" s="6"/>
      <c r="CX1732" s="6"/>
      <c r="CY1732" s="6"/>
      <c r="CZ1732" s="6"/>
      <c r="DA1732" s="6"/>
      <c r="DB1732" s="6"/>
      <c r="DC1732" s="6"/>
      <c r="DD1732" s="6"/>
      <c r="DE1732" s="6"/>
      <c r="DF1732" s="6"/>
      <c r="DG1732" s="6"/>
      <c r="DH1732" s="6"/>
      <c r="DI1732" s="6"/>
      <c r="DJ1732" s="6"/>
      <c r="DK1732" s="6"/>
      <c r="DL1732" s="6"/>
      <c r="DM1732" s="6"/>
      <c r="DN1732" s="6"/>
      <c r="DO1732" s="6"/>
      <c r="DP1732" s="6"/>
      <c r="DQ1732" s="6"/>
      <c r="DR1732" s="6"/>
      <c r="DS1732" s="6"/>
      <c r="DT1732" s="6"/>
      <c r="DU1732" s="6"/>
      <c r="DV1732" s="6"/>
      <c r="DW1732" s="6"/>
      <c r="DX1732" s="6"/>
      <c r="DY1732" s="6"/>
      <c r="DZ1732" s="6"/>
      <c r="EA1732" s="6"/>
      <c r="EB1732" s="6"/>
      <c r="EC1732" s="6"/>
      <c r="ED1732" s="6"/>
      <c r="EE1732" s="6"/>
      <c r="EF1732" s="6"/>
      <c r="EG1732" s="6"/>
      <c r="EH1732" s="6"/>
      <c r="EI1732" s="6"/>
      <c r="EJ1732" s="6"/>
      <c r="EK1732" s="6"/>
      <c r="EL1732" s="6"/>
      <c r="EM1732" s="6"/>
      <c r="EN1732" s="6"/>
      <c r="EO1732" s="6"/>
      <c r="EP1732" s="6"/>
      <c r="EQ1732" s="6"/>
      <c r="ER1732" s="6"/>
      <c r="ES1732" s="6"/>
      <c r="ET1732" s="6"/>
      <c r="EU1732" s="6"/>
      <c r="EV1732" s="6"/>
      <c r="EW1732" s="6"/>
      <c r="EX1732" s="6"/>
      <c r="EY1732" s="6"/>
      <c r="EZ1732" s="6"/>
      <c r="FA1732" s="6"/>
      <c r="FB1732" s="6"/>
      <c r="FC1732" s="6"/>
      <c r="FD1732" s="6"/>
      <c r="FE1732" s="6"/>
      <c r="FF1732" s="6"/>
      <c r="FG1732" s="6"/>
      <c r="FH1732" s="6"/>
      <c r="FI1732" s="6"/>
      <c r="FJ1732" s="6"/>
      <c r="FK1732" s="6"/>
      <c r="FL1732" s="6"/>
      <c r="FM1732" s="6"/>
      <c r="FN1732" s="6"/>
      <c r="FO1732" s="6"/>
      <c r="FP1732" s="6"/>
      <c r="FQ1732" s="6"/>
      <c r="FR1732" s="6"/>
      <c r="FS1732" s="6"/>
      <c r="FT1732" s="6"/>
      <c r="FU1732" s="6"/>
      <c r="FV1732" s="6"/>
      <c r="FW1732" s="6"/>
      <c r="FX1732" s="6"/>
      <c r="FY1732" s="6"/>
      <c r="FZ1732" s="6"/>
      <c r="GA1732" s="6"/>
      <c r="GB1732" s="6"/>
      <c r="GC1732" s="6"/>
      <c r="GD1732" s="6"/>
      <c r="GE1732" s="6"/>
      <c r="GF1732" s="6"/>
      <c r="GG1732" s="6"/>
      <c r="GH1732" s="6"/>
      <c r="GI1732" s="6"/>
      <c r="GJ1732" s="6"/>
      <c r="GK1732" s="6"/>
      <c r="GL1732" s="6"/>
      <c r="GM1732" s="6"/>
      <c r="GN1732" s="6"/>
      <c r="GO1732" s="6"/>
      <c r="GP1732" s="6"/>
      <c r="GQ1732" s="6"/>
      <c r="GR1732" s="6"/>
      <c r="GS1732" s="6"/>
      <c r="GT1732" s="6"/>
      <c r="GU1732" s="6"/>
      <c r="GV1732" s="6"/>
      <c r="GW1732" s="6"/>
      <c r="GX1732" s="6"/>
      <c r="GY1732" s="6"/>
      <c r="GZ1732" s="6"/>
      <c r="HA1732" s="6"/>
      <c r="HB1732" s="6"/>
      <c r="HC1732" s="6"/>
      <c r="HD1732" s="6"/>
      <c r="HE1732" s="6"/>
      <c r="HF1732" s="6"/>
      <c r="HG1732" s="6"/>
      <c r="HH1732" s="6"/>
    </row>
    <row r="1733" spans="1:216" x14ac:dyDescent="0.3">
      <c r="A1733" s="8"/>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6"/>
      <c r="AR1733" s="6"/>
      <c r="AS1733" s="6"/>
      <c r="AT1733" s="6"/>
      <c r="AU1733" s="6"/>
      <c r="AV1733" s="6"/>
      <c r="AW1733" s="6"/>
      <c r="AX1733" s="6"/>
      <c r="AY1733" s="6"/>
      <c r="AZ1733" s="6"/>
      <c r="BA1733" s="6"/>
      <c r="BB1733" s="6"/>
      <c r="BC1733" s="6"/>
      <c r="BD1733" s="6"/>
      <c r="BE1733" s="6"/>
      <c r="BF1733" s="6"/>
      <c r="BG1733" s="6"/>
      <c r="BH1733" s="6"/>
      <c r="BI1733" s="6"/>
      <c r="BJ1733" s="6"/>
      <c r="BK1733" s="6"/>
      <c r="BL1733" s="6"/>
      <c r="BM1733" s="6"/>
      <c r="BN1733" s="6"/>
      <c r="BO1733" s="6"/>
      <c r="BP1733" s="6"/>
      <c r="BQ1733" s="6"/>
      <c r="BR1733" s="6"/>
      <c r="BS1733" s="6"/>
      <c r="BT1733" s="6"/>
      <c r="BU1733" s="6"/>
      <c r="BV1733" s="6"/>
      <c r="BW1733" s="6"/>
      <c r="BX1733" s="6"/>
      <c r="BY1733" s="6"/>
      <c r="BZ1733" s="6"/>
      <c r="CA1733" s="6"/>
      <c r="CB1733" s="6"/>
      <c r="CC1733" s="6"/>
      <c r="CD1733" s="6"/>
      <c r="CE1733" s="6"/>
      <c r="CF1733" s="6"/>
      <c r="CG1733" s="6"/>
      <c r="CH1733" s="6"/>
      <c r="CI1733" s="6"/>
      <c r="CJ1733" s="6"/>
      <c r="CK1733" s="6"/>
      <c r="CL1733" s="6"/>
      <c r="CM1733" s="6"/>
      <c r="CN1733" s="6"/>
      <c r="CO1733" s="6"/>
      <c r="CP1733" s="6"/>
      <c r="CQ1733" s="6"/>
      <c r="CR1733" s="6"/>
      <c r="CS1733" s="6"/>
      <c r="CT1733" s="6"/>
      <c r="CU1733" s="6"/>
      <c r="CV1733" s="6"/>
      <c r="CW1733" s="6"/>
      <c r="CX1733" s="6"/>
      <c r="CY1733" s="6"/>
      <c r="CZ1733" s="6"/>
      <c r="DA1733" s="6"/>
      <c r="DB1733" s="6"/>
      <c r="DC1733" s="6"/>
      <c r="DD1733" s="6"/>
      <c r="DE1733" s="6"/>
      <c r="DF1733" s="6"/>
      <c r="DG1733" s="6"/>
      <c r="DH1733" s="6"/>
      <c r="DI1733" s="6"/>
      <c r="DJ1733" s="6"/>
      <c r="DK1733" s="6"/>
      <c r="DL1733" s="6"/>
      <c r="DM1733" s="6"/>
      <c r="DN1733" s="6"/>
      <c r="DO1733" s="6"/>
      <c r="DP1733" s="6"/>
      <c r="DQ1733" s="6"/>
      <c r="DR1733" s="6"/>
      <c r="DS1733" s="6"/>
      <c r="DT1733" s="6"/>
      <c r="DU1733" s="6"/>
      <c r="DV1733" s="6"/>
      <c r="DW1733" s="6"/>
      <c r="DX1733" s="6"/>
      <c r="DY1733" s="6"/>
      <c r="DZ1733" s="6"/>
      <c r="EA1733" s="6"/>
      <c r="EB1733" s="6"/>
      <c r="EC1733" s="6"/>
      <c r="ED1733" s="6"/>
      <c r="EE1733" s="6"/>
      <c r="EF1733" s="6"/>
      <c r="EG1733" s="6"/>
      <c r="EH1733" s="6"/>
      <c r="EI1733" s="6"/>
      <c r="EJ1733" s="6"/>
      <c r="EK1733" s="6"/>
      <c r="EL1733" s="6"/>
      <c r="EM1733" s="6"/>
      <c r="EN1733" s="6"/>
      <c r="EO1733" s="6"/>
      <c r="EP1733" s="6"/>
      <c r="EQ1733" s="6"/>
      <c r="ER1733" s="6"/>
      <c r="ES1733" s="6"/>
      <c r="ET1733" s="6"/>
      <c r="EU1733" s="6"/>
      <c r="EV1733" s="6"/>
      <c r="EW1733" s="6"/>
      <c r="EX1733" s="6"/>
      <c r="EY1733" s="6"/>
      <c r="EZ1733" s="6"/>
      <c r="FA1733" s="6"/>
      <c r="FB1733" s="6"/>
      <c r="FC1733" s="6"/>
      <c r="FD1733" s="6"/>
      <c r="FE1733" s="6"/>
      <c r="FF1733" s="6"/>
      <c r="FG1733" s="6"/>
      <c r="FH1733" s="6"/>
      <c r="FI1733" s="6"/>
      <c r="FJ1733" s="6"/>
      <c r="FK1733" s="6"/>
      <c r="FL1733" s="6"/>
      <c r="FM1733" s="6"/>
      <c r="FN1733" s="6"/>
      <c r="FO1733" s="6"/>
      <c r="FP1733" s="6"/>
      <c r="FQ1733" s="6"/>
      <c r="FR1733" s="6"/>
      <c r="FS1733" s="6"/>
      <c r="FT1733" s="6"/>
      <c r="FU1733" s="6"/>
      <c r="FV1733" s="6"/>
      <c r="FW1733" s="6"/>
      <c r="FX1733" s="6"/>
      <c r="FY1733" s="6"/>
      <c r="FZ1733" s="6"/>
      <c r="GA1733" s="6"/>
      <c r="GB1733" s="6"/>
      <c r="GC1733" s="6"/>
      <c r="GD1733" s="6"/>
      <c r="GE1733" s="6"/>
      <c r="GF1733" s="6"/>
      <c r="GG1733" s="6"/>
      <c r="GH1733" s="6"/>
      <c r="GI1733" s="6"/>
      <c r="GJ1733" s="6"/>
      <c r="GK1733" s="6"/>
      <c r="GL1733" s="6"/>
      <c r="GM1733" s="6"/>
      <c r="GN1733" s="6"/>
      <c r="GO1733" s="6"/>
      <c r="GP1733" s="6"/>
      <c r="GQ1733" s="6"/>
      <c r="GR1733" s="6"/>
      <c r="GS1733" s="6"/>
      <c r="GT1733" s="6"/>
      <c r="GU1733" s="6"/>
      <c r="GV1733" s="6"/>
      <c r="GW1733" s="6"/>
      <c r="GX1733" s="6"/>
      <c r="GY1733" s="6"/>
      <c r="GZ1733" s="6"/>
      <c r="HA1733" s="6"/>
      <c r="HB1733" s="6"/>
      <c r="HC1733" s="6"/>
      <c r="HD1733" s="6"/>
      <c r="HE1733" s="6"/>
      <c r="HF1733" s="6"/>
      <c r="HG1733" s="6"/>
      <c r="HH1733" s="6"/>
    </row>
    <row r="1734" spans="1:216" x14ac:dyDescent="0.3">
      <c r="A1734" s="8"/>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6"/>
      <c r="AR1734" s="6"/>
      <c r="AS1734" s="6"/>
      <c r="AT1734" s="6"/>
      <c r="AU1734" s="6"/>
      <c r="AV1734" s="6"/>
      <c r="AW1734" s="6"/>
      <c r="AX1734" s="6"/>
      <c r="AY1734" s="6"/>
      <c r="AZ1734" s="6"/>
      <c r="BA1734" s="6"/>
      <c r="BB1734" s="6"/>
      <c r="BC1734" s="6"/>
      <c r="BD1734" s="6"/>
      <c r="BE1734" s="6"/>
      <c r="BF1734" s="6"/>
      <c r="BG1734" s="6"/>
      <c r="BH1734" s="6"/>
      <c r="BI1734" s="6"/>
      <c r="BJ1734" s="6"/>
      <c r="BK1734" s="6"/>
      <c r="BL1734" s="6"/>
      <c r="BM1734" s="6"/>
      <c r="BN1734" s="6"/>
      <c r="BO1734" s="6"/>
      <c r="BP1734" s="6"/>
      <c r="BQ1734" s="6"/>
      <c r="BR1734" s="6"/>
      <c r="BS1734" s="6"/>
      <c r="BT1734" s="6"/>
      <c r="BU1734" s="6"/>
      <c r="BV1734" s="6"/>
      <c r="BW1734" s="6"/>
      <c r="BX1734" s="6"/>
      <c r="BY1734" s="6"/>
      <c r="BZ1734" s="6"/>
      <c r="CA1734" s="6"/>
      <c r="CB1734" s="6"/>
      <c r="CC1734" s="6"/>
      <c r="CD1734" s="6"/>
      <c r="CE1734" s="6"/>
      <c r="CF1734" s="6"/>
      <c r="CG1734" s="6"/>
      <c r="CH1734" s="6"/>
      <c r="CI1734" s="6"/>
      <c r="CJ1734" s="6"/>
      <c r="CK1734" s="6"/>
      <c r="CL1734" s="6"/>
      <c r="CM1734" s="6"/>
      <c r="CN1734" s="6"/>
      <c r="CO1734" s="6"/>
      <c r="CP1734" s="6"/>
      <c r="CQ1734" s="6"/>
      <c r="CR1734" s="6"/>
      <c r="CS1734" s="6"/>
      <c r="CT1734" s="6"/>
      <c r="CU1734" s="6"/>
      <c r="CV1734" s="6"/>
      <c r="CW1734" s="6"/>
      <c r="CX1734" s="6"/>
      <c r="CY1734" s="6"/>
      <c r="CZ1734" s="6"/>
      <c r="DA1734" s="6"/>
      <c r="DB1734" s="6"/>
      <c r="DC1734" s="6"/>
      <c r="DD1734" s="6"/>
      <c r="DE1734" s="6"/>
      <c r="DF1734" s="6"/>
      <c r="DG1734" s="6"/>
      <c r="DH1734" s="6"/>
      <c r="DI1734" s="6"/>
      <c r="DJ1734" s="6"/>
      <c r="DK1734" s="6"/>
      <c r="DL1734" s="6"/>
      <c r="DM1734" s="6"/>
      <c r="DN1734" s="6"/>
      <c r="DO1734" s="6"/>
      <c r="DP1734" s="6"/>
      <c r="DQ1734" s="6"/>
      <c r="DR1734" s="6"/>
      <c r="DS1734" s="6"/>
      <c r="DT1734" s="6"/>
      <c r="DU1734" s="6"/>
      <c r="DV1734" s="6"/>
      <c r="DW1734" s="6"/>
      <c r="DX1734" s="6"/>
      <c r="DY1734" s="6"/>
      <c r="DZ1734" s="6"/>
      <c r="EA1734" s="6"/>
      <c r="EB1734" s="6"/>
      <c r="EC1734" s="6"/>
      <c r="ED1734" s="6"/>
      <c r="EE1734" s="6"/>
      <c r="EF1734" s="6"/>
      <c r="EG1734" s="6"/>
      <c r="EH1734" s="6"/>
      <c r="EI1734" s="6"/>
      <c r="EJ1734" s="6"/>
      <c r="EK1734" s="6"/>
      <c r="EL1734" s="6"/>
      <c r="EM1734" s="6"/>
      <c r="EN1734" s="6"/>
      <c r="EO1734" s="6"/>
      <c r="EP1734" s="6"/>
      <c r="EQ1734" s="6"/>
      <c r="ER1734" s="6"/>
      <c r="ES1734" s="6"/>
      <c r="ET1734" s="6"/>
      <c r="EU1734" s="6"/>
      <c r="EV1734" s="6"/>
      <c r="EW1734" s="6"/>
      <c r="EX1734" s="6"/>
      <c r="EY1734" s="6"/>
      <c r="EZ1734" s="6"/>
      <c r="FA1734" s="6"/>
      <c r="FB1734" s="6"/>
      <c r="FC1734" s="6"/>
      <c r="FD1734" s="6"/>
      <c r="FE1734" s="6"/>
      <c r="FF1734" s="6"/>
      <c r="FG1734" s="6"/>
      <c r="FH1734" s="6"/>
      <c r="FI1734" s="6"/>
      <c r="FJ1734" s="6"/>
      <c r="FK1734" s="6"/>
      <c r="FL1734" s="6"/>
      <c r="FM1734" s="6"/>
      <c r="FN1734" s="6"/>
      <c r="FO1734" s="6"/>
      <c r="FP1734" s="6"/>
      <c r="FQ1734" s="6"/>
      <c r="FR1734" s="6"/>
      <c r="FS1734" s="6"/>
      <c r="FT1734" s="6"/>
      <c r="FU1734" s="6"/>
      <c r="FV1734" s="6"/>
      <c r="FW1734" s="6"/>
      <c r="FX1734" s="6"/>
      <c r="FY1734" s="6"/>
      <c r="FZ1734" s="6"/>
      <c r="GA1734" s="6"/>
      <c r="GB1734" s="6"/>
      <c r="GC1734" s="6"/>
      <c r="GD1734" s="6"/>
      <c r="GE1734" s="6"/>
      <c r="GF1734" s="6"/>
      <c r="GG1734" s="6"/>
      <c r="GH1734" s="6"/>
      <c r="GI1734" s="6"/>
      <c r="GJ1734" s="6"/>
      <c r="GK1734" s="6"/>
      <c r="GL1734" s="6"/>
      <c r="GM1734" s="6"/>
      <c r="GN1734" s="6"/>
      <c r="GO1734" s="6"/>
      <c r="GP1734" s="6"/>
      <c r="GQ1734" s="6"/>
      <c r="GR1734" s="6"/>
      <c r="GS1734" s="6"/>
      <c r="GT1734" s="6"/>
      <c r="GU1734" s="6"/>
      <c r="GV1734" s="6"/>
      <c r="GW1734" s="6"/>
      <c r="GX1734" s="6"/>
      <c r="GY1734" s="6"/>
      <c r="GZ1734" s="6"/>
      <c r="HA1734" s="6"/>
      <c r="HB1734" s="6"/>
      <c r="HC1734" s="6"/>
      <c r="HD1734" s="6"/>
      <c r="HE1734" s="6"/>
      <c r="HF1734" s="6"/>
      <c r="HG1734" s="6"/>
      <c r="HH1734" s="6"/>
    </row>
    <row r="1735" spans="1:216" x14ac:dyDescent="0.3">
      <c r="A1735" s="8"/>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6"/>
      <c r="AR1735" s="6"/>
      <c r="AS1735" s="6"/>
      <c r="AT1735" s="6"/>
      <c r="AU1735" s="6"/>
      <c r="AV1735" s="6"/>
      <c r="AW1735" s="6"/>
      <c r="AX1735" s="6"/>
      <c r="AY1735" s="6"/>
      <c r="AZ1735" s="6"/>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c r="DX1735" s="6"/>
      <c r="DY1735" s="6"/>
      <c r="DZ1735" s="6"/>
      <c r="EA1735" s="6"/>
      <c r="EB1735" s="6"/>
      <c r="EC1735" s="6"/>
      <c r="ED1735" s="6"/>
      <c r="EE1735" s="6"/>
      <c r="EF1735" s="6"/>
      <c r="EG1735" s="6"/>
      <c r="EH1735" s="6"/>
      <c r="EI1735" s="6"/>
      <c r="EJ1735" s="6"/>
      <c r="EK1735" s="6"/>
      <c r="EL1735" s="6"/>
      <c r="EM1735" s="6"/>
      <c r="EN1735" s="6"/>
      <c r="EO1735" s="6"/>
      <c r="EP1735" s="6"/>
      <c r="EQ1735" s="6"/>
      <c r="ER1735" s="6"/>
      <c r="ES1735" s="6"/>
      <c r="ET1735" s="6"/>
      <c r="EU1735" s="6"/>
      <c r="EV1735" s="6"/>
      <c r="EW1735" s="6"/>
      <c r="EX1735" s="6"/>
      <c r="EY1735" s="6"/>
      <c r="EZ1735" s="6"/>
      <c r="FA1735" s="6"/>
      <c r="FB1735" s="6"/>
      <c r="FC1735" s="6"/>
      <c r="FD1735" s="6"/>
      <c r="FE1735" s="6"/>
      <c r="FF1735" s="6"/>
      <c r="FG1735" s="6"/>
      <c r="FH1735" s="6"/>
      <c r="FI1735" s="6"/>
      <c r="FJ1735" s="6"/>
      <c r="FK1735" s="6"/>
      <c r="FL1735" s="6"/>
      <c r="FM1735" s="6"/>
      <c r="FN1735" s="6"/>
      <c r="FO1735" s="6"/>
      <c r="FP1735" s="6"/>
      <c r="FQ1735" s="6"/>
      <c r="FR1735" s="6"/>
      <c r="FS1735" s="6"/>
      <c r="FT1735" s="6"/>
      <c r="FU1735" s="6"/>
      <c r="FV1735" s="6"/>
      <c r="FW1735" s="6"/>
      <c r="FX1735" s="6"/>
      <c r="FY1735" s="6"/>
      <c r="FZ1735" s="6"/>
      <c r="GA1735" s="6"/>
      <c r="GB1735" s="6"/>
      <c r="GC1735" s="6"/>
      <c r="GD1735" s="6"/>
      <c r="GE1735" s="6"/>
      <c r="GF1735" s="6"/>
      <c r="GG1735" s="6"/>
      <c r="GH1735" s="6"/>
      <c r="GI1735" s="6"/>
      <c r="GJ1735" s="6"/>
      <c r="GK1735" s="6"/>
      <c r="GL1735" s="6"/>
      <c r="GM1735" s="6"/>
      <c r="GN1735" s="6"/>
      <c r="GO1735" s="6"/>
      <c r="GP1735" s="6"/>
      <c r="GQ1735" s="6"/>
      <c r="GR1735" s="6"/>
      <c r="GS1735" s="6"/>
      <c r="GT1735" s="6"/>
      <c r="GU1735" s="6"/>
      <c r="GV1735" s="6"/>
      <c r="GW1735" s="6"/>
      <c r="GX1735" s="6"/>
      <c r="GY1735" s="6"/>
      <c r="GZ1735" s="6"/>
      <c r="HA1735" s="6"/>
      <c r="HB1735" s="6"/>
      <c r="HC1735" s="6"/>
      <c r="HD1735" s="6"/>
      <c r="HE1735" s="6"/>
      <c r="HF1735" s="6"/>
      <c r="HG1735" s="6"/>
      <c r="HH1735" s="6"/>
    </row>
    <row r="1736" spans="1:216" x14ac:dyDescent="0.3">
      <c r="A1736" s="8"/>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row>
    <row r="1737" spans="1:216" x14ac:dyDescent="0.3">
      <c r="A1737" s="8"/>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row>
    <row r="1738" spans="1:216" x14ac:dyDescent="0.3">
      <c r="A1738" s="8"/>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row>
    <row r="1739" spans="1:216" x14ac:dyDescent="0.3">
      <c r="A1739" s="8"/>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row>
    <row r="1740" spans="1:216" x14ac:dyDescent="0.3">
      <c r="A1740" s="8"/>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row>
    <row r="1741" spans="1:216" x14ac:dyDescent="0.3">
      <c r="A1741" s="8"/>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row>
    <row r="1742" spans="1:216" x14ac:dyDescent="0.3">
      <c r="A1742" s="8"/>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row>
    <row r="1743" spans="1:216" x14ac:dyDescent="0.3">
      <c r="A1743" s="8"/>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row>
    <row r="1744" spans="1:216" x14ac:dyDescent="0.3">
      <c r="A1744" s="8"/>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6"/>
      <c r="AR1744" s="6"/>
      <c r="AS1744" s="6"/>
      <c r="AT1744" s="6"/>
      <c r="AU1744" s="6"/>
      <c r="AV1744" s="6"/>
      <c r="AW1744" s="6"/>
      <c r="AX1744" s="6"/>
      <c r="AY1744" s="6"/>
      <c r="AZ1744" s="6"/>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c r="DX1744" s="6"/>
      <c r="DY1744" s="6"/>
      <c r="DZ1744" s="6"/>
      <c r="EA1744" s="6"/>
      <c r="EB1744" s="6"/>
      <c r="EC1744" s="6"/>
      <c r="ED1744" s="6"/>
      <c r="EE1744" s="6"/>
      <c r="EF1744" s="6"/>
      <c r="EG1744" s="6"/>
      <c r="EH1744" s="6"/>
      <c r="EI1744" s="6"/>
      <c r="EJ1744" s="6"/>
      <c r="EK1744" s="6"/>
      <c r="EL1744" s="6"/>
      <c r="EM1744" s="6"/>
      <c r="EN1744" s="6"/>
      <c r="EO1744" s="6"/>
      <c r="EP1744" s="6"/>
      <c r="EQ1744" s="6"/>
      <c r="ER1744" s="6"/>
      <c r="ES1744" s="6"/>
      <c r="ET1744" s="6"/>
      <c r="EU1744" s="6"/>
      <c r="EV1744" s="6"/>
      <c r="EW1744" s="6"/>
      <c r="EX1744" s="6"/>
      <c r="EY1744" s="6"/>
      <c r="EZ1744" s="6"/>
      <c r="FA1744" s="6"/>
      <c r="FB1744" s="6"/>
      <c r="FC1744" s="6"/>
      <c r="FD1744" s="6"/>
      <c r="FE1744" s="6"/>
      <c r="FF1744" s="6"/>
      <c r="FG1744" s="6"/>
      <c r="FH1744" s="6"/>
      <c r="FI1744" s="6"/>
      <c r="FJ1744" s="6"/>
      <c r="FK1744" s="6"/>
      <c r="FL1744" s="6"/>
      <c r="FM1744" s="6"/>
      <c r="FN1744" s="6"/>
      <c r="FO1744" s="6"/>
      <c r="FP1744" s="6"/>
      <c r="FQ1744" s="6"/>
      <c r="FR1744" s="6"/>
      <c r="FS1744" s="6"/>
      <c r="FT1744" s="6"/>
      <c r="FU1744" s="6"/>
      <c r="FV1744" s="6"/>
      <c r="FW1744" s="6"/>
      <c r="FX1744" s="6"/>
      <c r="FY1744" s="6"/>
      <c r="FZ1744" s="6"/>
      <c r="GA1744" s="6"/>
      <c r="GB1744" s="6"/>
      <c r="GC1744" s="6"/>
      <c r="GD1744" s="6"/>
      <c r="GE1744" s="6"/>
      <c r="GF1744" s="6"/>
      <c r="GG1744" s="6"/>
      <c r="GH1744" s="6"/>
      <c r="GI1744" s="6"/>
      <c r="GJ1744" s="6"/>
      <c r="GK1744" s="6"/>
      <c r="GL1744" s="6"/>
      <c r="GM1744" s="6"/>
      <c r="GN1744" s="6"/>
      <c r="GO1744" s="6"/>
      <c r="GP1744" s="6"/>
      <c r="GQ1744" s="6"/>
      <c r="GR1744" s="6"/>
      <c r="GS1744" s="6"/>
      <c r="GT1744" s="6"/>
      <c r="GU1744" s="6"/>
      <c r="GV1744" s="6"/>
      <c r="GW1744" s="6"/>
      <c r="GX1744" s="6"/>
      <c r="GY1744" s="6"/>
      <c r="GZ1744" s="6"/>
      <c r="HA1744" s="6"/>
      <c r="HB1744" s="6"/>
      <c r="HC1744" s="6"/>
      <c r="HD1744" s="6"/>
      <c r="HE1744" s="6"/>
      <c r="HF1744" s="6"/>
      <c r="HG1744" s="6"/>
      <c r="HH1744" s="6"/>
    </row>
    <row r="1745" spans="1:216" x14ac:dyDescent="0.3">
      <c r="A1745" s="8"/>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6"/>
      <c r="AR1745" s="6"/>
      <c r="AS1745" s="6"/>
      <c r="AT1745" s="6"/>
      <c r="AU1745" s="6"/>
      <c r="AV1745" s="6"/>
      <c r="AW1745" s="6"/>
      <c r="AX1745" s="6"/>
      <c r="AY1745" s="6"/>
      <c r="AZ1745" s="6"/>
      <c r="BA1745" s="6"/>
      <c r="BB1745" s="6"/>
      <c r="BC1745" s="6"/>
      <c r="BD1745" s="6"/>
      <c r="BE1745" s="6"/>
      <c r="BF1745" s="6"/>
      <c r="BG1745" s="6"/>
      <c r="BH1745" s="6"/>
      <c r="BI1745" s="6"/>
      <c r="BJ1745" s="6"/>
      <c r="BK1745" s="6"/>
      <c r="BL1745" s="6"/>
      <c r="BM1745" s="6"/>
      <c r="BN1745" s="6"/>
      <c r="BO1745" s="6"/>
      <c r="BP1745" s="6"/>
      <c r="BQ1745" s="6"/>
      <c r="BR1745" s="6"/>
      <c r="BS1745" s="6"/>
      <c r="BT1745" s="6"/>
      <c r="BU1745" s="6"/>
      <c r="BV1745" s="6"/>
      <c r="BW1745" s="6"/>
      <c r="BX1745" s="6"/>
      <c r="BY1745" s="6"/>
      <c r="BZ1745" s="6"/>
      <c r="CA1745" s="6"/>
      <c r="CB1745" s="6"/>
      <c r="CC1745" s="6"/>
      <c r="CD1745" s="6"/>
      <c r="CE1745" s="6"/>
      <c r="CF1745" s="6"/>
      <c r="CG1745" s="6"/>
      <c r="CH1745" s="6"/>
      <c r="CI1745" s="6"/>
      <c r="CJ1745" s="6"/>
      <c r="CK1745" s="6"/>
      <c r="CL1745" s="6"/>
      <c r="CM1745" s="6"/>
      <c r="CN1745" s="6"/>
      <c r="CO1745" s="6"/>
      <c r="CP1745" s="6"/>
      <c r="CQ1745" s="6"/>
      <c r="CR1745" s="6"/>
      <c r="CS1745" s="6"/>
      <c r="CT1745" s="6"/>
      <c r="CU1745" s="6"/>
      <c r="CV1745" s="6"/>
      <c r="CW1745" s="6"/>
      <c r="CX1745" s="6"/>
      <c r="CY1745" s="6"/>
      <c r="CZ1745" s="6"/>
      <c r="DA1745" s="6"/>
      <c r="DB1745" s="6"/>
      <c r="DC1745" s="6"/>
      <c r="DD1745" s="6"/>
      <c r="DE1745" s="6"/>
      <c r="DF1745" s="6"/>
      <c r="DG1745" s="6"/>
      <c r="DH1745" s="6"/>
      <c r="DI1745" s="6"/>
      <c r="DJ1745" s="6"/>
      <c r="DK1745" s="6"/>
      <c r="DL1745" s="6"/>
      <c r="DM1745" s="6"/>
      <c r="DN1745" s="6"/>
      <c r="DO1745" s="6"/>
      <c r="DP1745" s="6"/>
      <c r="DQ1745" s="6"/>
      <c r="DR1745" s="6"/>
      <c r="DS1745" s="6"/>
      <c r="DT1745" s="6"/>
      <c r="DU1745" s="6"/>
      <c r="DV1745" s="6"/>
      <c r="DW1745" s="6"/>
      <c r="DX1745" s="6"/>
      <c r="DY1745" s="6"/>
      <c r="DZ1745" s="6"/>
      <c r="EA1745" s="6"/>
      <c r="EB1745" s="6"/>
      <c r="EC1745" s="6"/>
      <c r="ED1745" s="6"/>
      <c r="EE1745" s="6"/>
      <c r="EF1745" s="6"/>
      <c r="EG1745" s="6"/>
      <c r="EH1745" s="6"/>
      <c r="EI1745" s="6"/>
      <c r="EJ1745" s="6"/>
      <c r="EK1745" s="6"/>
      <c r="EL1745" s="6"/>
      <c r="EM1745" s="6"/>
      <c r="EN1745" s="6"/>
      <c r="EO1745" s="6"/>
      <c r="EP1745" s="6"/>
      <c r="EQ1745" s="6"/>
      <c r="ER1745" s="6"/>
      <c r="ES1745" s="6"/>
      <c r="ET1745" s="6"/>
      <c r="EU1745" s="6"/>
      <c r="EV1745" s="6"/>
      <c r="EW1745" s="6"/>
      <c r="EX1745" s="6"/>
      <c r="EY1745" s="6"/>
      <c r="EZ1745" s="6"/>
      <c r="FA1745" s="6"/>
      <c r="FB1745" s="6"/>
      <c r="FC1745" s="6"/>
      <c r="FD1745" s="6"/>
      <c r="FE1745" s="6"/>
      <c r="FF1745" s="6"/>
      <c r="FG1745" s="6"/>
      <c r="FH1745" s="6"/>
      <c r="FI1745" s="6"/>
      <c r="FJ1745" s="6"/>
      <c r="FK1745" s="6"/>
      <c r="FL1745" s="6"/>
      <c r="FM1745" s="6"/>
      <c r="FN1745" s="6"/>
      <c r="FO1745" s="6"/>
      <c r="FP1745" s="6"/>
      <c r="FQ1745" s="6"/>
      <c r="FR1745" s="6"/>
      <c r="FS1745" s="6"/>
      <c r="FT1745" s="6"/>
      <c r="FU1745" s="6"/>
      <c r="FV1745" s="6"/>
      <c r="FW1745" s="6"/>
      <c r="FX1745" s="6"/>
      <c r="FY1745" s="6"/>
      <c r="FZ1745" s="6"/>
      <c r="GA1745" s="6"/>
      <c r="GB1745" s="6"/>
      <c r="GC1745" s="6"/>
      <c r="GD1745" s="6"/>
      <c r="GE1745" s="6"/>
      <c r="GF1745" s="6"/>
      <c r="GG1745" s="6"/>
      <c r="GH1745" s="6"/>
      <c r="GI1745" s="6"/>
      <c r="GJ1745" s="6"/>
      <c r="GK1745" s="6"/>
      <c r="GL1745" s="6"/>
      <c r="GM1745" s="6"/>
      <c r="GN1745" s="6"/>
      <c r="GO1745" s="6"/>
      <c r="GP1745" s="6"/>
      <c r="GQ1745" s="6"/>
      <c r="GR1745" s="6"/>
      <c r="GS1745" s="6"/>
      <c r="GT1745" s="6"/>
      <c r="GU1745" s="6"/>
      <c r="GV1745" s="6"/>
      <c r="GW1745" s="6"/>
      <c r="GX1745" s="6"/>
      <c r="GY1745" s="6"/>
      <c r="GZ1745" s="6"/>
      <c r="HA1745" s="6"/>
      <c r="HB1745" s="6"/>
      <c r="HC1745" s="6"/>
      <c r="HD1745" s="6"/>
      <c r="HE1745" s="6"/>
      <c r="HF1745" s="6"/>
      <c r="HG1745" s="6"/>
      <c r="HH1745" s="6"/>
    </row>
    <row r="1746" spans="1:216" x14ac:dyDescent="0.3">
      <c r="A1746" s="8"/>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6"/>
      <c r="AR1746" s="6"/>
      <c r="AS1746" s="6"/>
      <c r="AT1746" s="6"/>
      <c r="AU1746" s="6"/>
      <c r="AV1746" s="6"/>
      <c r="AW1746" s="6"/>
      <c r="AX1746" s="6"/>
      <c r="AY1746" s="6"/>
      <c r="AZ1746" s="6"/>
      <c r="BA1746" s="6"/>
      <c r="BB1746" s="6"/>
      <c r="BC1746" s="6"/>
      <c r="BD1746" s="6"/>
      <c r="BE1746" s="6"/>
      <c r="BF1746" s="6"/>
      <c r="BG1746" s="6"/>
      <c r="BH1746" s="6"/>
      <c r="BI1746" s="6"/>
      <c r="BJ1746" s="6"/>
      <c r="BK1746" s="6"/>
      <c r="BL1746" s="6"/>
      <c r="BM1746" s="6"/>
      <c r="BN1746" s="6"/>
      <c r="BO1746" s="6"/>
      <c r="BP1746" s="6"/>
      <c r="BQ1746" s="6"/>
      <c r="BR1746" s="6"/>
      <c r="BS1746" s="6"/>
      <c r="BT1746" s="6"/>
      <c r="BU1746" s="6"/>
      <c r="BV1746" s="6"/>
      <c r="BW1746" s="6"/>
      <c r="BX1746" s="6"/>
      <c r="BY1746" s="6"/>
      <c r="BZ1746" s="6"/>
      <c r="CA1746" s="6"/>
      <c r="CB1746" s="6"/>
      <c r="CC1746" s="6"/>
      <c r="CD1746" s="6"/>
      <c r="CE1746" s="6"/>
      <c r="CF1746" s="6"/>
      <c r="CG1746" s="6"/>
      <c r="CH1746" s="6"/>
      <c r="CI1746" s="6"/>
      <c r="CJ1746" s="6"/>
      <c r="CK1746" s="6"/>
      <c r="CL1746" s="6"/>
      <c r="CM1746" s="6"/>
      <c r="CN1746" s="6"/>
      <c r="CO1746" s="6"/>
      <c r="CP1746" s="6"/>
      <c r="CQ1746" s="6"/>
      <c r="CR1746" s="6"/>
      <c r="CS1746" s="6"/>
      <c r="CT1746" s="6"/>
      <c r="CU1746" s="6"/>
      <c r="CV1746" s="6"/>
      <c r="CW1746" s="6"/>
      <c r="CX1746" s="6"/>
      <c r="CY1746" s="6"/>
      <c r="CZ1746" s="6"/>
      <c r="DA1746" s="6"/>
      <c r="DB1746" s="6"/>
      <c r="DC1746" s="6"/>
      <c r="DD1746" s="6"/>
      <c r="DE1746" s="6"/>
      <c r="DF1746" s="6"/>
      <c r="DG1746" s="6"/>
      <c r="DH1746" s="6"/>
      <c r="DI1746" s="6"/>
      <c r="DJ1746" s="6"/>
      <c r="DK1746" s="6"/>
      <c r="DL1746" s="6"/>
      <c r="DM1746" s="6"/>
      <c r="DN1746" s="6"/>
      <c r="DO1746" s="6"/>
      <c r="DP1746" s="6"/>
      <c r="DQ1746" s="6"/>
      <c r="DR1746" s="6"/>
      <c r="DS1746" s="6"/>
      <c r="DT1746" s="6"/>
      <c r="DU1746" s="6"/>
      <c r="DV1746" s="6"/>
      <c r="DW1746" s="6"/>
      <c r="DX1746" s="6"/>
      <c r="DY1746" s="6"/>
      <c r="DZ1746" s="6"/>
      <c r="EA1746" s="6"/>
      <c r="EB1746" s="6"/>
      <c r="EC1746" s="6"/>
      <c r="ED1746" s="6"/>
      <c r="EE1746" s="6"/>
      <c r="EF1746" s="6"/>
      <c r="EG1746" s="6"/>
      <c r="EH1746" s="6"/>
      <c r="EI1746" s="6"/>
      <c r="EJ1746" s="6"/>
      <c r="EK1746" s="6"/>
      <c r="EL1746" s="6"/>
      <c r="EM1746" s="6"/>
      <c r="EN1746" s="6"/>
      <c r="EO1746" s="6"/>
      <c r="EP1746" s="6"/>
      <c r="EQ1746" s="6"/>
      <c r="ER1746" s="6"/>
      <c r="ES1746" s="6"/>
      <c r="ET1746" s="6"/>
      <c r="EU1746" s="6"/>
      <c r="EV1746" s="6"/>
      <c r="EW1746" s="6"/>
      <c r="EX1746" s="6"/>
      <c r="EY1746" s="6"/>
      <c r="EZ1746" s="6"/>
      <c r="FA1746" s="6"/>
      <c r="FB1746" s="6"/>
      <c r="FC1746" s="6"/>
      <c r="FD1746" s="6"/>
      <c r="FE1746" s="6"/>
      <c r="FF1746" s="6"/>
      <c r="FG1746" s="6"/>
      <c r="FH1746" s="6"/>
      <c r="FI1746" s="6"/>
      <c r="FJ1746" s="6"/>
      <c r="FK1746" s="6"/>
      <c r="FL1746" s="6"/>
      <c r="FM1746" s="6"/>
      <c r="FN1746" s="6"/>
      <c r="FO1746" s="6"/>
      <c r="FP1746" s="6"/>
      <c r="FQ1746" s="6"/>
      <c r="FR1746" s="6"/>
      <c r="FS1746" s="6"/>
      <c r="FT1746" s="6"/>
      <c r="FU1746" s="6"/>
      <c r="FV1746" s="6"/>
      <c r="FW1746" s="6"/>
      <c r="FX1746" s="6"/>
      <c r="FY1746" s="6"/>
      <c r="FZ1746" s="6"/>
      <c r="GA1746" s="6"/>
      <c r="GB1746" s="6"/>
      <c r="GC1746" s="6"/>
      <c r="GD1746" s="6"/>
      <c r="GE1746" s="6"/>
      <c r="GF1746" s="6"/>
      <c r="GG1746" s="6"/>
      <c r="GH1746" s="6"/>
      <c r="GI1746" s="6"/>
      <c r="GJ1746" s="6"/>
      <c r="GK1746" s="6"/>
      <c r="GL1746" s="6"/>
      <c r="GM1746" s="6"/>
      <c r="GN1746" s="6"/>
      <c r="GO1746" s="6"/>
      <c r="GP1746" s="6"/>
      <c r="GQ1746" s="6"/>
      <c r="GR1746" s="6"/>
      <c r="GS1746" s="6"/>
      <c r="GT1746" s="6"/>
      <c r="GU1746" s="6"/>
      <c r="GV1746" s="6"/>
      <c r="GW1746" s="6"/>
      <c r="GX1746" s="6"/>
      <c r="GY1746" s="6"/>
      <c r="GZ1746" s="6"/>
      <c r="HA1746" s="6"/>
      <c r="HB1746" s="6"/>
      <c r="HC1746" s="6"/>
      <c r="HD1746" s="6"/>
      <c r="HE1746" s="6"/>
      <c r="HF1746" s="6"/>
      <c r="HG1746" s="6"/>
      <c r="HH1746" s="6"/>
    </row>
    <row r="1747" spans="1:216" x14ac:dyDescent="0.3">
      <c r="A1747" s="8"/>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6"/>
      <c r="AR1747" s="6"/>
      <c r="AS1747" s="6"/>
      <c r="AT1747" s="6"/>
      <c r="AU1747" s="6"/>
      <c r="AV1747" s="6"/>
      <c r="AW1747" s="6"/>
      <c r="AX1747" s="6"/>
      <c r="AY1747" s="6"/>
      <c r="AZ1747" s="6"/>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c r="DX1747" s="6"/>
      <c r="DY1747" s="6"/>
      <c r="DZ1747" s="6"/>
      <c r="EA1747" s="6"/>
      <c r="EB1747" s="6"/>
      <c r="EC1747" s="6"/>
      <c r="ED1747" s="6"/>
      <c r="EE1747" s="6"/>
      <c r="EF1747" s="6"/>
      <c r="EG1747" s="6"/>
      <c r="EH1747" s="6"/>
      <c r="EI1747" s="6"/>
      <c r="EJ1747" s="6"/>
      <c r="EK1747" s="6"/>
      <c r="EL1747" s="6"/>
      <c r="EM1747" s="6"/>
      <c r="EN1747" s="6"/>
      <c r="EO1747" s="6"/>
      <c r="EP1747" s="6"/>
      <c r="EQ1747" s="6"/>
      <c r="ER1747" s="6"/>
      <c r="ES1747" s="6"/>
      <c r="ET1747" s="6"/>
      <c r="EU1747" s="6"/>
      <c r="EV1747" s="6"/>
      <c r="EW1747" s="6"/>
      <c r="EX1747" s="6"/>
      <c r="EY1747" s="6"/>
      <c r="EZ1747" s="6"/>
      <c r="FA1747" s="6"/>
      <c r="FB1747" s="6"/>
      <c r="FC1747" s="6"/>
      <c r="FD1747" s="6"/>
      <c r="FE1747" s="6"/>
      <c r="FF1747" s="6"/>
      <c r="FG1747" s="6"/>
      <c r="FH1747" s="6"/>
      <c r="FI1747" s="6"/>
      <c r="FJ1747" s="6"/>
      <c r="FK1747" s="6"/>
      <c r="FL1747" s="6"/>
      <c r="FM1747" s="6"/>
      <c r="FN1747" s="6"/>
      <c r="FO1747" s="6"/>
      <c r="FP1747" s="6"/>
      <c r="FQ1747" s="6"/>
      <c r="FR1747" s="6"/>
      <c r="FS1747" s="6"/>
      <c r="FT1747" s="6"/>
      <c r="FU1747" s="6"/>
      <c r="FV1747" s="6"/>
      <c r="FW1747" s="6"/>
      <c r="FX1747" s="6"/>
      <c r="FY1747" s="6"/>
      <c r="FZ1747" s="6"/>
      <c r="GA1747" s="6"/>
      <c r="GB1747" s="6"/>
      <c r="GC1747" s="6"/>
      <c r="GD1747" s="6"/>
      <c r="GE1747" s="6"/>
      <c r="GF1747" s="6"/>
      <c r="GG1747" s="6"/>
      <c r="GH1747" s="6"/>
      <c r="GI1747" s="6"/>
      <c r="GJ1747" s="6"/>
      <c r="GK1747" s="6"/>
      <c r="GL1747" s="6"/>
      <c r="GM1747" s="6"/>
      <c r="GN1747" s="6"/>
      <c r="GO1747" s="6"/>
      <c r="GP1747" s="6"/>
      <c r="GQ1747" s="6"/>
      <c r="GR1747" s="6"/>
      <c r="GS1747" s="6"/>
      <c r="GT1747" s="6"/>
      <c r="GU1747" s="6"/>
      <c r="GV1747" s="6"/>
      <c r="GW1747" s="6"/>
      <c r="GX1747" s="6"/>
      <c r="GY1747" s="6"/>
      <c r="GZ1747" s="6"/>
      <c r="HA1747" s="6"/>
      <c r="HB1747" s="6"/>
      <c r="HC1747" s="6"/>
      <c r="HD1747" s="6"/>
      <c r="HE1747" s="6"/>
      <c r="HF1747" s="6"/>
      <c r="HG1747" s="6"/>
      <c r="HH1747" s="6"/>
    </row>
    <row r="1748" spans="1:216" x14ac:dyDescent="0.3">
      <c r="A1748" s="8"/>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6"/>
      <c r="AR1748" s="6"/>
      <c r="AS1748" s="6"/>
      <c r="AT1748" s="6"/>
      <c r="AU1748" s="6"/>
      <c r="AV1748" s="6"/>
      <c r="AW1748" s="6"/>
      <c r="AX1748" s="6"/>
      <c r="AY1748" s="6"/>
      <c r="AZ1748" s="6"/>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c r="DX1748" s="6"/>
      <c r="DY1748" s="6"/>
      <c r="DZ1748" s="6"/>
      <c r="EA1748" s="6"/>
      <c r="EB1748" s="6"/>
      <c r="EC1748" s="6"/>
      <c r="ED1748" s="6"/>
      <c r="EE1748" s="6"/>
      <c r="EF1748" s="6"/>
      <c r="EG1748" s="6"/>
      <c r="EH1748" s="6"/>
      <c r="EI1748" s="6"/>
      <c r="EJ1748" s="6"/>
      <c r="EK1748" s="6"/>
      <c r="EL1748" s="6"/>
      <c r="EM1748" s="6"/>
      <c r="EN1748" s="6"/>
      <c r="EO1748" s="6"/>
      <c r="EP1748" s="6"/>
      <c r="EQ1748" s="6"/>
      <c r="ER1748" s="6"/>
      <c r="ES1748" s="6"/>
      <c r="ET1748" s="6"/>
      <c r="EU1748" s="6"/>
      <c r="EV1748" s="6"/>
      <c r="EW1748" s="6"/>
      <c r="EX1748" s="6"/>
      <c r="EY1748" s="6"/>
      <c r="EZ1748" s="6"/>
      <c r="FA1748" s="6"/>
      <c r="FB1748" s="6"/>
      <c r="FC1748" s="6"/>
      <c r="FD1748" s="6"/>
      <c r="FE1748" s="6"/>
      <c r="FF1748" s="6"/>
      <c r="FG1748" s="6"/>
      <c r="FH1748" s="6"/>
      <c r="FI1748" s="6"/>
      <c r="FJ1748" s="6"/>
      <c r="FK1748" s="6"/>
      <c r="FL1748" s="6"/>
      <c r="FM1748" s="6"/>
      <c r="FN1748" s="6"/>
      <c r="FO1748" s="6"/>
      <c r="FP1748" s="6"/>
      <c r="FQ1748" s="6"/>
      <c r="FR1748" s="6"/>
      <c r="FS1748" s="6"/>
      <c r="FT1748" s="6"/>
      <c r="FU1748" s="6"/>
      <c r="FV1748" s="6"/>
      <c r="FW1748" s="6"/>
      <c r="FX1748" s="6"/>
      <c r="FY1748" s="6"/>
      <c r="FZ1748" s="6"/>
      <c r="GA1748" s="6"/>
      <c r="GB1748" s="6"/>
      <c r="GC1748" s="6"/>
      <c r="GD1748" s="6"/>
      <c r="GE1748" s="6"/>
      <c r="GF1748" s="6"/>
      <c r="GG1748" s="6"/>
      <c r="GH1748" s="6"/>
      <c r="GI1748" s="6"/>
      <c r="GJ1748" s="6"/>
      <c r="GK1748" s="6"/>
      <c r="GL1748" s="6"/>
      <c r="GM1748" s="6"/>
      <c r="GN1748" s="6"/>
      <c r="GO1748" s="6"/>
      <c r="GP1748" s="6"/>
      <c r="GQ1748" s="6"/>
      <c r="GR1748" s="6"/>
      <c r="GS1748" s="6"/>
      <c r="GT1748" s="6"/>
      <c r="GU1748" s="6"/>
      <c r="GV1748" s="6"/>
      <c r="GW1748" s="6"/>
      <c r="GX1748" s="6"/>
      <c r="GY1748" s="6"/>
      <c r="GZ1748" s="6"/>
      <c r="HA1748" s="6"/>
      <c r="HB1748" s="6"/>
      <c r="HC1748" s="6"/>
      <c r="HD1748" s="6"/>
      <c r="HE1748" s="6"/>
      <c r="HF1748" s="6"/>
      <c r="HG1748" s="6"/>
      <c r="HH1748" s="6"/>
    </row>
    <row r="1749" spans="1:216" x14ac:dyDescent="0.3">
      <c r="A1749" s="8"/>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6"/>
      <c r="AR1749" s="6"/>
      <c r="AS1749" s="6"/>
      <c r="AT1749" s="6"/>
      <c r="AU1749" s="6"/>
      <c r="AV1749" s="6"/>
      <c r="AW1749" s="6"/>
      <c r="AX1749" s="6"/>
      <c r="AY1749" s="6"/>
      <c r="AZ1749" s="6"/>
      <c r="BA1749" s="6"/>
      <c r="BB1749" s="6"/>
      <c r="BC1749" s="6"/>
      <c r="BD1749" s="6"/>
      <c r="BE1749" s="6"/>
      <c r="BF1749" s="6"/>
      <c r="BG1749" s="6"/>
      <c r="BH1749" s="6"/>
      <c r="BI1749" s="6"/>
      <c r="BJ1749" s="6"/>
      <c r="BK1749" s="6"/>
      <c r="BL1749" s="6"/>
      <c r="BM1749" s="6"/>
      <c r="BN1749" s="6"/>
      <c r="BO1749" s="6"/>
      <c r="BP1749" s="6"/>
      <c r="BQ1749" s="6"/>
      <c r="BR1749" s="6"/>
      <c r="BS1749" s="6"/>
      <c r="BT1749" s="6"/>
      <c r="BU1749" s="6"/>
      <c r="BV1749" s="6"/>
      <c r="BW1749" s="6"/>
      <c r="BX1749" s="6"/>
      <c r="BY1749" s="6"/>
      <c r="BZ1749" s="6"/>
      <c r="CA1749" s="6"/>
      <c r="CB1749" s="6"/>
      <c r="CC1749" s="6"/>
      <c r="CD1749" s="6"/>
      <c r="CE1749" s="6"/>
      <c r="CF1749" s="6"/>
      <c r="CG1749" s="6"/>
      <c r="CH1749" s="6"/>
      <c r="CI1749" s="6"/>
      <c r="CJ1749" s="6"/>
      <c r="CK1749" s="6"/>
      <c r="CL1749" s="6"/>
      <c r="CM1749" s="6"/>
      <c r="CN1749" s="6"/>
      <c r="CO1749" s="6"/>
      <c r="CP1749" s="6"/>
      <c r="CQ1749" s="6"/>
      <c r="CR1749" s="6"/>
      <c r="CS1749" s="6"/>
      <c r="CT1749" s="6"/>
      <c r="CU1749" s="6"/>
      <c r="CV1749" s="6"/>
      <c r="CW1749" s="6"/>
      <c r="CX1749" s="6"/>
      <c r="CY1749" s="6"/>
      <c r="CZ1749" s="6"/>
      <c r="DA1749" s="6"/>
      <c r="DB1749" s="6"/>
      <c r="DC1749" s="6"/>
      <c r="DD1749" s="6"/>
      <c r="DE1749" s="6"/>
      <c r="DF1749" s="6"/>
      <c r="DG1749" s="6"/>
      <c r="DH1749" s="6"/>
      <c r="DI1749" s="6"/>
      <c r="DJ1749" s="6"/>
      <c r="DK1749" s="6"/>
      <c r="DL1749" s="6"/>
      <c r="DM1749" s="6"/>
      <c r="DN1749" s="6"/>
      <c r="DO1749" s="6"/>
      <c r="DP1749" s="6"/>
      <c r="DQ1749" s="6"/>
      <c r="DR1749" s="6"/>
      <c r="DS1749" s="6"/>
      <c r="DT1749" s="6"/>
      <c r="DU1749" s="6"/>
      <c r="DV1749" s="6"/>
      <c r="DW1749" s="6"/>
      <c r="DX1749" s="6"/>
      <c r="DY1749" s="6"/>
      <c r="DZ1749" s="6"/>
      <c r="EA1749" s="6"/>
      <c r="EB1749" s="6"/>
      <c r="EC1749" s="6"/>
      <c r="ED1749" s="6"/>
      <c r="EE1749" s="6"/>
      <c r="EF1749" s="6"/>
      <c r="EG1749" s="6"/>
      <c r="EH1749" s="6"/>
      <c r="EI1749" s="6"/>
      <c r="EJ1749" s="6"/>
      <c r="EK1749" s="6"/>
      <c r="EL1749" s="6"/>
      <c r="EM1749" s="6"/>
      <c r="EN1749" s="6"/>
      <c r="EO1749" s="6"/>
      <c r="EP1749" s="6"/>
      <c r="EQ1749" s="6"/>
      <c r="ER1749" s="6"/>
      <c r="ES1749" s="6"/>
      <c r="ET1749" s="6"/>
      <c r="EU1749" s="6"/>
      <c r="EV1749" s="6"/>
      <c r="EW1749" s="6"/>
      <c r="EX1749" s="6"/>
      <c r="EY1749" s="6"/>
      <c r="EZ1749" s="6"/>
      <c r="FA1749" s="6"/>
      <c r="FB1749" s="6"/>
      <c r="FC1749" s="6"/>
      <c r="FD1749" s="6"/>
      <c r="FE1749" s="6"/>
      <c r="FF1749" s="6"/>
      <c r="FG1749" s="6"/>
      <c r="FH1749" s="6"/>
      <c r="FI1749" s="6"/>
      <c r="FJ1749" s="6"/>
      <c r="FK1749" s="6"/>
      <c r="FL1749" s="6"/>
      <c r="FM1749" s="6"/>
      <c r="FN1749" s="6"/>
      <c r="FO1749" s="6"/>
      <c r="FP1749" s="6"/>
      <c r="FQ1749" s="6"/>
      <c r="FR1749" s="6"/>
      <c r="FS1749" s="6"/>
      <c r="FT1749" s="6"/>
      <c r="FU1749" s="6"/>
      <c r="FV1749" s="6"/>
      <c r="FW1749" s="6"/>
      <c r="FX1749" s="6"/>
      <c r="FY1749" s="6"/>
      <c r="FZ1749" s="6"/>
      <c r="GA1749" s="6"/>
      <c r="GB1749" s="6"/>
      <c r="GC1749" s="6"/>
      <c r="GD1749" s="6"/>
      <c r="GE1749" s="6"/>
      <c r="GF1749" s="6"/>
      <c r="GG1749" s="6"/>
      <c r="GH1749" s="6"/>
      <c r="GI1749" s="6"/>
      <c r="GJ1749" s="6"/>
      <c r="GK1749" s="6"/>
      <c r="GL1749" s="6"/>
      <c r="GM1749" s="6"/>
      <c r="GN1749" s="6"/>
      <c r="GO1749" s="6"/>
      <c r="GP1749" s="6"/>
      <c r="GQ1749" s="6"/>
      <c r="GR1749" s="6"/>
      <c r="GS1749" s="6"/>
      <c r="GT1749" s="6"/>
      <c r="GU1749" s="6"/>
      <c r="GV1749" s="6"/>
      <c r="GW1749" s="6"/>
      <c r="GX1749" s="6"/>
      <c r="GY1749" s="6"/>
      <c r="GZ1749" s="6"/>
      <c r="HA1749" s="6"/>
      <c r="HB1749" s="6"/>
      <c r="HC1749" s="6"/>
      <c r="HD1749" s="6"/>
      <c r="HE1749" s="6"/>
      <c r="HF1749" s="6"/>
      <c r="HG1749" s="6"/>
      <c r="HH1749" s="6"/>
    </row>
    <row r="1750" spans="1:216" x14ac:dyDescent="0.3">
      <c r="A1750" s="8"/>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6"/>
      <c r="AR1750" s="6"/>
      <c r="AS1750" s="6"/>
      <c r="AT1750" s="6"/>
      <c r="AU1750" s="6"/>
      <c r="AV1750" s="6"/>
      <c r="AW1750" s="6"/>
      <c r="AX1750" s="6"/>
      <c r="AY1750" s="6"/>
      <c r="AZ1750" s="6"/>
      <c r="BA1750" s="6"/>
      <c r="BB1750" s="6"/>
      <c r="BC1750" s="6"/>
      <c r="BD1750" s="6"/>
      <c r="BE1750" s="6"/>
      <c r="BF1750" s="6"/>
      <c r="BG1750" s="6"/>
      <c r="BH1750" s="6"/>
      <c r="BI1750" s="6"/>
      <c r="BJ1750" s="6"/>
      <c r="BK1750" s="6"/>
      <c r="BL1750" s="6"/>
      <c r="BM1750" s="6"/>
      <c r="BN1750" s="6"/>
      <c r="BO1750" s="6"/>
      <c r="BP1750" s="6"/>
      <c r="BQ1750" s="6"/>
      <c r="BR1750" s="6"/>
      <c r="BS1750" s="6"/>
      <c r="BT1750" s="6"/>
      <c r="BU1750" s="6"/>
      <c r="BV1750" s="6"/>
      <c r="BW1750" s="6"/>
      <c r="BX1750" s="6"/>
      <c r="BY1750" s="6"/>
      <c r="BZ1750" s="6"/>
      <c r="CA1750" s="6"/>
      <c r="CB1750" s="6"/>
      <c r="CC1750" s="6"/>
      <c r="CD1750" s="6"/>
      <c r="CE1750" s="6"/>
      <c r="CF1750" s="6"/>
      <c r="CG1750" s="6"/>
      <c r="CH1750" s="6"/>
      <c r="CI1750" s="6"/>
      <c r="CJ1750" s="6"/>
      <c r="CK1750" s="6"/>
      <c r="CL1750" s="6"/>
      <c r="CM1750" s="6"/>
      <c r="CN1750" s="6"/>
      <c r="CO1750" s="6"/>
      <c r="CP1750" s="6"/>
      <c r="CQ1750" s="6"/>
      <c r="CR1750" s="6"/>
      <c r="CS1750" s="6"/>
      <c r="CT1750" s="6"/>
      <c r="CU1750" s="6"/>
      <c r="CV1750" s="6"/>
      <c r="CW1750" s="6"/>
      <c r="CX1750" s="6"/>
      <c r="CY1750" s="6"/>
      <c r="CZ1750" s="6"/>
      <c r="DA1750" s="6"/>
      <c r="DB1750" s="6"/>
      <c r="DC1750" s="6"/>
      <c r="DD1750" s="6"/>
      <c r="DE1750" s="6"/>
      <c r="DF1750" s="6"/>
      <c r="DG1750" s="6"/>
      <c r="DH1750" s="6"/>
      <c r="DI1750" s="6"/>
      <c r="DJ1750" s="6"/>
      <c r="DK1750" s="6"/>
      <c r="DL1750" s="6"/>
      <c r="DM1750" s="6"/>
      <c r="DN1750" s="6"/>
      <c r="DO1750" s="6"/>
      <c r="DP1750" s="6"/>
      <c r="DQ1750" s="6"/>
      <c r="DR1750" s="6"/>
      <c r="DS1750" s="6"/>
      <c r="DT1750" s="6"/>
      <c r="DU1750" s="6"/>
      <c r="DV1750" s="6"/>
      <c r="DW1750" s="6"/>
      <c r="DX1750" s="6"/>
      <c r="DY1750" s="6"/>
      <c r="DZ1750" s="6"/>
      <c r="EA1750" s="6"/>
      <c r="EB1750" s="6"/>
      <c r="EC1750" s="6"/>
      <c r="ED1750" s="6"/>
      <c r="EE1750" s="6"/>
      <c r="EF1750" s="6"/>
      <c r="EG1750" s="6"/>
      <c r="EH1750" s="6"/>
      <c r="EI1750" s="6"/>
      <c r="EJ1750" s="6"/>
      <c r="EK1750" s="6"/>
      <c r="EL1750" s="6"/>
      <c r="EM1750" s="6"/>
      <c r="EN1750" s="6"/>
      <c r="EO1750" s="6"/>
      <c r="EP1750" s="6"/>
      <c r="EQ1750" s="6"/>
      <c r="ER1750" s="6"/>
      <c r="ES1750" s="6"/>
      <c r="ET1750" s="6"/>
      <c r="EU1750" s="6"/>
      <c r="EV1750" s="6"/>
      <c r="EW1750" s="6"/>
      <c r="EX1750" s="6"/>
      <c r="EY1750" s="6"/>
      <c r="EZ1750" s="6"/>
      <c r="FA1750" s="6"/>
      <c r="FB1750" s="6"/>
      <c r="FC1750" s="6"/>
      <c r="FD1750" s="6"/>
      <c r="FE1750" s="6"/>
      <c r="FF1750" s="6"/>
      <c r="FG1750" s="6"/>
      <c r="FH1750" s="6"/>
      <c r="FI1750" s="6"/>
      <c r="FJ1750" s="6"/>
      <c r="FK1750" s="6"/>
      <c r="FL1750" s="6"/>
      <c r="FM1750" s="6"/>
      <c r="FN1750" s="6"/>
      <c r="FO1750" s="6"/>
      <c r="FP1750" s="6"/>
      <c r="FQ1750" s="6"/>
      <c r="FR1750" s="6"/>
      <c r="FS1750" s="6"/>
      <c r="FT1750" s="6"/>
      <c r="FU1750" s="6"/>
      <c r="FV1750" s="6"/>
      <c r="FW1750" s="6"/>
      <c r="FX1750" s="6"/>
      <c r="FY1750" s="6"/>
      <c r="FZ1750" s="6"/>
      <c r="GA1750" s="6"/>
      <c r="GB1750" s="6"/>
      <c r="GC1750" s="6"/>
      <c r="GD1750" s="6"/>
      <c r="GE1750" s="6"/>
      <c r="GF1750" s="6"/>
      <c r="GG1750" s="6"/>
      <c r="GH1750" s="6"/>
      <c r="GI1750" s="6"/>
      <c r="GJ1750" s="6"/>
      <c r="GK1750" s="6"/>
      <c r="GL1750" s="6"/>
      <c r="GM1750" s="6"/>
      <c r="GN1750" s="6"/>
      <c r="GO1750" s="6"/>
      <c r="GP1750" s="6"/>
      <c r="GQ1750" s="6"/>
      <c r="GR1750" s="6"/>
      <c r="GS1750" s="6"/>
      <c r="GT1750" s="6"/>
      <c r="GU1750" s="6"/>
      <c r="GV1750" s="6"/>
      <c r="GW1750" s="6"/>
      <c r="GX1750" s="6"/>
      <c r="GY1750" s="6"/>
      <c r="GZ1750" s="6"/>
      <c r="HA1750" s="6"/>
      <c r="HB1750" s="6"/>
      <c r="HC1750" s="6"/>
      <c r="HD1750" s="6"/>
      <c r="HE1750" s="6"/>
      <c r="HF1750" s="6"/>
      <c r="HG1750" s="6"/>
      <c r="HH1750" s="6"/>
    </row>
    <row r="1751" spans="1:216" x14ac:dyDescent="0.3">
      <c r="A1751" s="8"/>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6"/>
      <c r="AR1751" s="6"/>
      <c r="AS1751" s="6"/>
      <c r="AT1751" s="6"/>
      <c r="AU1751" s="6"/>
      <c r="AV1751" s="6"/>
      <c r="AW1751" s="6"/>
      <c r="AX1751" s="6"/>
      <c r="AY1751" s="6"/>
      <c r="AZ1751" s="6"/>
      <c r="BA1751" s="6"/>
      <c r="BB1751" s="6"/>
      <c r="BC1751" s="6"/>
      <c r="BD1751" s="6"/>
      <c r="BE1751" s="6"/>
      <c r="BF1751" s="6"/>
      <c r="BG1751" s="6"/>
      <c r="BH1751" s="6"/>
      <c r="BI1751" s="6"/>
      <c r="BJ1751" s="6"/>
      <c r="BK1751" s="6"/>
      <c r="BL1751" s="6"/>
      <c r="BM1751" s="6"/>
      <c r="BN1751" s="6"/>
      <c r="BO1751" s="6"/>
      <c r="BP1751" s="6"/>
      <c r="BQ1751" s="6"/>
      <c r="BR1751" s="6"/>
      <c r="BS1751" s="6"/>
      <c r="BT1751" s="6"/>
      <c r="BU1751" s="6"/>
      <c r="BV1751" s="6"/>
      <c r="BW1751" s="6"/>
      <c r="BX1751" s="6"/>
      <c r="BY1751" s="6"/>
      <c r="BZ1751" s="6"/>
      <c r="CA1751" s="6"/>
      <c r="CB1751" s="6"/>
      <c r="CC1751" s="6"/>
      <c r="CD1751" s="6"/>
      <c r="CE1751" s="6"/>
      <c r="CF1751" s="6"/>
      <c r="CG1751" s="6"/>
      <c r="CH1751" s="6"/>
      <c r="CI1751" s="6"/>
      <c r="CJ1751" s="6"/>
      <c r="CK1751" s="6"/>
      <c r="CL1751" s="6"/>
      <c r="CM1751" s="6"/>
      <c r="CN1751" s="6"/>
      <c r="CO1751" s="6"/>
      <c r="CP1751" s="6"/>
      <c r="CQ1751" s="6"/>
      <c r="CR1751" s="6"/>
      <c r="CS1751" s="6"/>
      <c r="CT1751" s="6"/>
      <c r="CU1751" s="6"/>
      <c r="CV1751" s="6"/>
      <c r="CW1751" s="6"/>
      <c r="CX1751" s="6"/>
      <c r="CY1751" s="6"/>
      <c r="CZ1751" s="6"/>
      <c r="DA1751" s="6"/>
      <c r="DB1751" s="6"/>
      <c r="DC1751" s="6"/>
      <c r="DD1751" s="6"/>
      <c r="DE1751" s="6"/>
      <c r="DF1751" s="6"/>
      <c r="DG1751" s="6"/>
      <c r="DH1751" s="6"/>
      <c r="DI1751" s="6"/>
      <c r="DJ1751" s="6"/>
      <c r="DK1751" s="6"/>
      <c r="DL1751" s="6"/>
      <c r="DM1751" s="6"/>
      <c r="DN1751" s="6"/>
      <c r="DO1751" s="6"/>
      <c r="DP1751" s="6"/>
      <c r="DQ1751" s="6"/>
      <c r="DR1751" s="6"/>
      <c r="DS1751" s="6"/>
      <c r="DT1751" s="6"/>
      <c r="DU1751" s="6"/>
      <c r="DV1751" s="6"/>
      <c r="DW1751" s="6"/>
      <c r="DX1751" s="6"/>
      <c r="DY1751" s="6"/>
      <c r="DZ1751" s="6"/>
      <c r="EA1751" s="6"/>
      <c r="EB1751" s="6"/>
      <c r="EC1751" s="6"/>
      <c r="ED1751" s="6"/>
      <c r="EE1751" s="6"/>
      <c r="EF1751" s="6"/>
      <c r="EG1751" s="6"/>
      <c r="EH1751" s="6"/>
      <c r="EI1751" s="6"/>
      <c r="EJ1751" s="6"/>
      <c r="EK1751" s="6"/>
      <c r="EL1751" s="6"/>
      <c r="EM1751" s="6"/>
      <c r="EN1751" s="6"/>
      <c r="EO1751" s="6"/>
      <c r="EP1751" s="6"/>
      <c r="EQ1751" s="6"/>
      <c r="ER1751" s="6"/>
      <c r="ES1751" s="6"/>
      <c r="ET1751" s="6"/>
      <c r="EU1751" s="6"/>
      <c r="EV1751" s="6"/>
      <c r="EW1751" s="6"/>
      <c r="EX1751" s="6"/>
      <c r="EY1751" s="6"/>
      <c r="EZ1751" s="6"/>
      <c r="FA1751" s="6"/>
      <c r="FB1751" s="6"/>
      <c r="FC1751" s="6"/>
      <c r="FD1751" s="6"/>
      <c r="FE1751" s="6"/>
      <c r="FF1751" s="6"/>
      <c r="FG1751" s="6"/>
      <c r="FH1751" s="6"/>
      <c r="FI1751" s="6"/>
      <c r="FJ1751" s="6"/>
      <c r="FK1751" s="6"/>
      <c r="FL1751" s="6"/>
      <c r="FM1751" s="6"/>
      <c r="FN1751" s="6"/>
      <c r="FO1751" s="6"/>
      <c r="FP1751" s="6"/>
      <c r="FQ1751" s="6"/>
      <c r="FR1751" s="6"/>
      <c r="FS1751" s="6"/>
      <c r="FT1751" s="6"/>
      <c r="FU1751" s="6"/>
      <c r="FV1751" s="6"/>
      <c r="FW1751" s="6"/>
      <c r="FX1751" s="6"/>
      <c r="FY1751" s="6"/>
      <c r="FZ1751" s="6"/>
      <c r="GA1751" s="6"/>
      <c r="GB1751" s="6"/>
      <c r="GC1751" s="6"/>
      <c r="GD1751" s="6"/>
      <c r="GE1751" s="6"/>
      <c r="GF1751" s="6"/>
      <c r="GG1751" s="6"/>
      <c r="GH1751" s="6"/>
      <c r="GI1751" s="6"/>
      <c r="GJ1751" s="6"/>
      <c r="GK1751" s="6"/>
      <c r="GL1751" s="6"/>
      <c r="GM1751" s="6"/>
      <c r="GN1751" s="6"/>
      <c r="GO1751" s="6"/>
      <c r="GP1751" s="6"/>
      <c r="GQ1751" s="6"/>
      <c r="GR1751" s="6"/>
      <c r="GS1751" s="6"/>
      <c r="GT1751" s="6"/>
      <c r="GU1751" s="6"/>
      <c r="GV1751" s="6"/>
      <c r="GW1751" s="6"/>
      <c r="GX1751" s="6"/>
      <c r="GY1751" s="6"/>
      <c r="GZ1751" s="6"/>
      <c r="HA1751" s="6"/>
      <c r="HB1751" s="6"/>
      <c r="HC1751" s="6"/>
      <c r="HD1751" s="6"/>
      <c r="HE1751" s="6"/>
      <c r="HF1751" s="6"/>
      <c r="HG1751" s="6"/>
      <c r="HH1751" s="6"/>
    </row>
    <row r="1752" spans="1:216" x14ac:dyDescent="0.3">
      <c r="A1752" s="8"/>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6"/>
      <c r="AR1752" s="6"/>
      <c r="AS1752" s="6"/>
      <c r="AT1752" s="6"/>
      <c r="AU1752" s="6"/>
      <c r="AV1752" s="6"/>
      <c r="AW1752" s="6"/>
      <c r="AX1752" s="6"/>
      <c r="AY1752" s="6"/>
      <c r="AZ1752" s="6"/>
      <c r="BA1752" s="6"/>
      <c r="BB1752" s="6"/>
      <c r="BC1752" s="6"/>
      <c r="BD1752" s="6"/>
      <c r="BE1752" s="6"/>
      <c r="BF1752" s="6"/>
      <c r="BG1752" s="6"/>
      <c r="BH1752" s="6"/>
      <c r="BI1752" s="6"/>
      <c r="BJ1752" s="6"/>
      <c r="BK1752" s="6"/>
      <c r="BL1752" s="6"/>
      <c r="BM1752" s="6"/>
      <c r="BN1752" s="6"/>
      <c r="BO1752" s="6"/>
      <c r="BP1752" s="6"/>
      <c r="BQ1752" s="6"/>
      <c r="BR1752" s="6"/>
      <c r="BS1752" s="6"/>
      <c r="BT1752" s="6"/>
      <c r="BU1752" s="6"/>
      <c r="BV1752" s="6"/>
      <c r="BW1752" s="6"/>
      <c r="BX1752" s="6"/>
      <c r="BY1752" s="6"/>
      <c r="BZ1752" s="6"/>
      <c r="CA1752" s="6"/>
      <c r="CB1752" s="6"/>
      <c r="CC1752" s="6"/>
      <c r="CD1752" s="6"/>
      <c r="CE1752" s="6"/>
      <c r="CF1752" s="6"/>
      <c r="CG1752" s="6"/>
      <c r="CH1752" s="6"/>
      <c r="CI1752" s="6"/>
      <c r="CJ1752" s="6"/>
      <c r="CK1752" s="6"/>
      <c r="CL1752" s="6"/>
      <c r="CM1752" s="6"/>
      <c r="CN1752" s="6"/>
      <c r="CO1752" s="6"/>
      <c r="CP1752" s="6"/>
      <c r="CQ1752" s="6"/>
      <c r="CR1752" s="6"/>
      <c r="CS1752" s="6"/>
      <c r="CT1752" s="6"/>
      <c r="CU1752" s="6"/>
      <c r="CV1752" s="6"/>
      <c r="CW1752" s="6"/>
      <c r="CX1752" s="6"/>
      <c r="CY1752" s="6"/>
      <c r="CZ1752" s="6"/>
      <c r="DA1752" s="6"/>
      <c r="DB1752" s="6"/>
      <c r="DC1752" s="6"/>
      <c r="DD1752" s="6"/>
      <c r="DE1752" s="6"/>
      <c r="DF1752" s="6"/>
      <c r="DG1752" s="6"/>
      <c r="DH1752" s="6"/>
      <c r="DI1752" s="6"/>
      <c r="DJ1752" s="6"/>
      <c r="DK1752" s="6"/>
      <c r="DL1752" s="6"/>
      <c r="DM1752" s="6"/>
      <c r="DN1752" s="6"/>
      <c r="DO1752" s="6"/>
      <c r="DP1752" s="6"/>
      <c r="DQ1752" s="6"/>
      <c r="DR1752" s="6"/>
      <c r="DS1752" s="6"/>
      <c r="DT1752" s="6"/>
      <c r="DU1752" s="6"/>
      <c r="DV1752" s="6"/>
      <c r="DW1752" s="6"/>
      <c r="DX1752" s="6"/>
      <c r="DY1752" s="6"/>
      <c r="DZ1752" s="6"/>
      <c r="EA1752" s="6"/>
      <c r="EB1752" s="6"/>
      <c r="EC1752" s="6"/>
      <c r="ED1752" s="6"/>
      <c r="EE1752" s="6"/>
      <c r="EF1752" s="6"/>
      <c r="EG1752" s="6"/>
      <c r="EH1752" s="6"/>
      <c r="EI1752" s="6"/>
      <c r="EJ1752" s="6"/>
      <c r="EK1752" s="6"/>
      <c r="EL1752" s="6"/>
      <c r="EM1752" s="6"/>
      <c r="EN1752" s="6"/>
      <c r="EO1752" s="6"/>
      <c r="EP1752" s="6"/>
      <c r="EQ1752" s="6"/>
      <c r="ER1752" s="6"/>
      <c r="ES1752" s="6"/>
      <c r="ET1752" s="6"/>
      <c r="EU1752" s="6"/>
      <c r="EV1752" s="6"/>
      <c r="EW1752" s="6"/>
      <c r="EX1752" s="6"/>
      <c r="EY1752" s="6"/>
      <c r="EZ1752" s="6"/>
      <c r="FA1752" s="6"/>
      <c r="FB1752" s="6"/>
      <c r="FC1752" s="6"/>
      <c r="FD1752" s="6"/>
      <c r="FE1752" s="6"/>
      <c r="FF1752" s="6"/>
      <c r="FG1752" s="6"/>
      <c r="FH1752" s="6"/>
      <c r="FI1752" s="6"/>
      <c r="FJ1752" s="6"/>
      <c r="FK1752" s="6"/>
      <c r="FL1752" s="6"/>
      <c r="FM1752" s="6"/>
      <c r="FN1752" s="6"/>
      <c r="FO1752" s="6"/>
      <c r="FP1752" s="6"/>
      <c r="FQ1752" s="6"/>
      <c r="FR1752" s="6"/>
      <c r="FS1752" s="6"/>
      <c r="FT1752" s="6"/>
      <c r="FU1752" s="6"/>
      <c r="FV1752" s="6"/>
      <c r="FW1752" s="6"/>
      <c r="FX1752" s="6"/>
      <c r="FY1752" s="6"/>
      <c r="FZ1752" s="6"/>
      <c r="GA1752" s="6"/>
      <c r="GB1752" s="6"/>
      <c r="GC1752" s="6"/>
      <c r="GD1752" s="6"/>
      <c r="GE1752" s="6"/>
      <c r="GF1752" s="6"/>
      <c r="GG1752" s="6"/>
      <c r="GH1752" s="6"/>
      <c r="GI1752" s="6"/>
      <c r="GJ1752" s="6"/>
      <c r="GK1752" s="6"/>
      <c r="GL1752" s="6"/>
      <c r="GM1752" s="6"/>
      <c r="GN1752" s="6"/>
      <c r="GO1752" s="6"/>
      <c r="GP1752" s="6"/>
      <c r="GQ1752" s="6"/>
      <c r="GR1752" s="6"/>
      <c r="GS1752" s="6"/>
      <c r="GT1752" s="6"/>
      <c r="GU1752" s="6"/>
      <c r="GV1752" s="6"/>
      <c r="GW1752" s="6"/>
      <c r="GX1752" s="6"/>
      <c r="GY1752" s="6"/>
      <c r="GZ1752" s="6"/>
      <c r="HA1752" s="6"/>
      <c r="HB1752" s="6"/>
      <c r="HC1752" s="6"/>
      <c r="HD1752" s="6"/>
      <c r="HE1752" s="6"/>
      <c r="HF1752" s="6"/>
      <c r="HG1752" s="6"/>
      <c r="HH1752" s="6"/>
    </row>
    <row r="1753" spans="1:216" x14ac:dyDescent="0.3">
      <c r="A1753" s="8"/>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6"/>
      <c r="AR1753" s="6"/>
      <c r="AS1753" s="6"/>
      <c r="AT1753" s="6"/>
      <c r="AU1753" s="6"/>
      <c r="AV1753" s="6"/>
      <c r="AW1753" s="6"/>
      <c r="AX1753" s="6"/>
      <c r="AY1753" s="6"/>
      <c r="AZ1753" s="6"/>
      <c r="BA1753" s="6"/>
      <c r="BB1753" s="6"/>
      <c r="BC1753" s="6"/>
      <c r="BD1753" s="6"/>
      <c r="BE1753" s="6"/>
      <c r="BF1753" s="6"/>
      <c r="BG1753" s="6"/>
      <c r="BH1753" s="6"/>
      <c r="BI1753" s="6"/>
      <c r="BJ1753" s="6"/>
      <c r="BK1753" s="6"/>
      <c r="BL1753" s="6"/>
      <c r="BM1753" s="6"/>
      <c r="BN1753" s="6"/>
      <c r="BO1753" s="6"/>
      <c r="BP1753" s="6"/>
      <c r="BQ1753" s="6"/>
      <c r="BR1753" s="6"/>
      <c r="BS1753" s="6"/>
      <c r="BT1753" s="6"/>
      <c r="BU1753" s="6"/>
      <c r="BV1753" s="6"/>
      <c r="BW1753" s="6"/>
      <c r="BX1753" s="6"/>
      <c r="BY1753" s="6"/>
      <c r="BZ1753" s="6"/>
      <c r="CA1753" s="6"/>
      <c r="CB1753" s="6"/>
      <c r="CC1753" s="6"/>
      <c r="CD1753" s="6"/>
      <c r="CE1753" s="6"/>
      <c r="CF1753" s="6"/>
      <c r="CG1753" s="6"/>
      <c r="CH1753" s="6"/>
      <c r="CI1753" s="6"/>
      <c r="CJ1753" s="6"/>
      <c r="CK1753" s="6"/>
      <c r="CL1753" s="6"/>
      <c r="CM1753" s="6"/>
      <c r="CN1753" s="6"/>
      <c r="CO1753" s="6"/>
      <c r="CP1753" s="6"/>
      <c r="CQ1753" s="6"/>
      <c r="CR1753" s="6"/>
      <c r="CS1753" s="6"/>
      <c r="CT1753" s="6"/>
      <c r="CU1753" s="6"/>
      <c r="CV1753" s="6"/>
      <c r="CW1753" s="6"/>
      <c r="CX1753" s="6"/>
      <c r="CY1753" s="6"/>
      <c r="CZ1753" s="6"/>
      <c r="DA1753" s="6"/>
      <c r="DB1753" s="6"/>
      <c r="DC1753" s="6"/>
      <c r="DD1753" s="6"/>
      <c r="DE1753" s="6"/>
      <c r="DF1753" s="6"/>
      <c r="DG1753" s="6"/>
      <c r="DH1753" s="6"/>
      <c r="DI1753" s="6"/>
      <c r="DJ1753" s="6"/>
      <c r="DK1753" s="6"/>
      <c r="DL1753" s="6"/>
      <c r="DM1753" s="6"/>
      <c r="DN1753" s="6"/>
      <c r="DO1753" s="6"/>
      <c r="DP1753" s="6"/>
      <c r="DQ1753" s="6"/>
      <c r="DR1753" s="6"/>
      <c r="DS1753" s="6"/>
      <c r="DT1753" s="6"/>
      <c r="DU1753" s="6"/>
      <c r="DV1753" s="6"/>
      <c r="DW1753" s="6"/>
      <c r="DX1753" s="6"/>
      <c r="DY1753" s="6"/>
      <c r="DZ1753" s="6"/>
      <c r="EA1753" s="6"/>
      <c r="EB1753" s="6"/>
      <c r="EC1753" s="6"/>
      <c r="ED1753" s="6"/>
      <c r="EE1753" s="6"/>
      <c r="EF1753" s="6"/>
      <c r="EG1753" s="6"/>
      <c r="EH1753" s="6"/>
      <c r="EI1753" s="6"/>
      <c r="EJ1753" s="6"/>
      <c r="EK1753" s="6"/>
      <c r="EL1753" s="6"/>
      <c r="EM1753" s="6"/>
      <c r="EN1753" s="6"/>
      <c r="EO1753" s="6"/>
      <c r="EP1753" s="6"/>
      <c r="EQ1753" s="6"/>
      <c r="ER1753" s="6"/>
      <c r="ES1753" s="6"/>
      <c r="ET1753" s="6"/>
      <c r="EU1753" s="6"/>
      <c r="EV1753" s="6"/>
      <c r="EW1753" s="6"/>
      <c r="EX1753" s="6"/>
      <c r="EY1753" s="6"/>
      <c r="EZ1753" s="6"/>
      <c r="FA1753" s="6"/>
      <c r="FB1753" s="6"/>
      <c r="FC1753" s="6"/>
      <c r="FD1753" s="6"/>
      <c r="FE1753" s="6"/>
      <c r="FF1753" s="6"/>
      <c r="FG1753" s="6"/>
      <c r="FH1753" s="6"/>
      <c r="FI1753" s="6"/>
      <c r="FJ1753" s="6"/>
      <c r="FK1753" s="6"/>
      <c r="FL1753" s="6"/>
      <c r="FM1753" s="6"/>
      <c r="FN1753" s="6"/>
      <c r="FO1753" s="6"/>
      <c r="FP1753" s="6"/>
      <c r="FQ1753" s="6"/>
      <c r="FR1753" s="6"/>
      <c r="FS1753" s="6"/>
      <c r="FT1753" s="6"/>
      <c r="FU1753" s="6"/>
      <c r="FV1753" s="6"/>
      <c r="FW1753" s="6"/>
      <c r="FX1753" s="6"/>
      <c r="FY1753" s="6"/>
      <c r="FZ1753" s="6"/>
      <c r="GA1753" s="6"/>
      <c r="GB1753" s="6"/>
      <c r="GC1753" s="6"/>
      <c r="GD1753" s="6"/>
      <c r="GE1753" s="6"/>
      <c r="GF1753" s="6"/>
      <c r="GG1753" s="6"/>
      <c r="GH1753" s="6"/>
      <c r="GI1753" s="6"/>
      <c r="GJ1753" s="6"/>
      <c r="GK1753" s="6"/>
      <c r="GL1753" s="6"/>
      <c r="GM1753" s="6"/>
      <c r="GN1753" s="6"/>
      <c r="GO1753" s="6"/>
      <c r="GP1753" s="6"/>
      <c r="GQ1753" s="6"/>
      <c r="GR1753" s="6"/>
      <c r="GS1753" s="6"/>
      <c r="GT1753" s="6"/>
      <c r="GU1753" s="6"/>
      <c r="GV1753" s="6"/>
      <c r="GW1753" s="6"/>
      <c r="GX1753" s="6"/>
      <c r="GY1753" s="6"/>
      <c r="GZ1753" s="6"/>
      <c r="HA1753" s="6"/>
      <c r="HB1753" s="6"/>
      <c r="HC1753" s="6"/>
      <c r="HD1753" s="6"/>
      <c r="HE1753" s="6"/>
      <c r="HF1753" s="6"/>
      <c r="HG1753" s="6"/>
      <c r="HH1753" s="6"/>
    </row>
    <row r="1754" spans="1:216" x14ac:dyDescent="0.3">
      <c r="A1754" s="8"/>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6"/>
      <c r="AR1754" s="6"/>
      <c r="AS1754" s="6"/>
      <c r="AT1754" s="6"/>
      <c r="AU1754" s="6"/>
      <c r="AV1754" s="6"/>
      <c r="AW1754" s="6"/>
      <c r="AX1754" s="6"/>
      <c r="AY1754" s="6"/>
      <c r="AZ1754" s="6"/>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c r="DX1754" s="6"/>
      <c r="DY1754" s="6"/>
      <c r="DZ1754" s="6"/>
      <c r="EA1754" s="6"/>
      <c r="EB1754" s="6"/>
      <c r="EC1754" s="6"/>
      <c r="ED1754" s="6"/>
      <c r="EE1754" s="6"/>
      <c r="EF1754" s="6"/>
      <c r="EG1754" s="6"/>
      <c r="EH1754" s="6"/>
      <c r="EI1754" s="6"/>
      <c r="EJ1754" s="6"/>
      <c r="EK1754" s="6"/>
      <c r="EL1754" s="6"/>
      <c r="EM1754" s="6"/>
      <c r="EN1754" s="6"/>
      <c r="EO1754" s="6"/>
      <c r="EP1754" s="6"/>
      <c r="EQ1754" s="6"/>
      <c r="ER1754" s="6"/>
      <c r="ES1754" s="6"/>
      <c r="ET1754" s="6"/>
      <c r="EU1754" s="6"/>
      <c r="EV1754" s="6"/>
      <c r="EW1754" s="6"/>
      <c r="EX1754" s="6"/>
      <c r="EY1754" s="6"/>
      <c r="EZ1754" s="6"/>
      <c r="FA1754" s="6"/>
      <c r="FB1754" s="6"/>
      <c r="FC1754" s="6"/>
      <c r="FD1754" s="6"/>
      <c r="FE1754" s="6"/>
      <c r="FF1754" s="6"/>
      <c r="FG1754" s="6"/>
      <c r="FH1754" s="6"/>
      <c r="FI1754" s="6"/>
      <c r="FJ1754" s="6"/>
      <c r="FK1754" s="6"/>
      <c r="FL1754" s="6"/>
      <c r="FM1754" s="6"/>
      <c r="FN1754" s="6"/>
      <c r="FO1754" s="6"/>
      <c r="FP1754" s="6"/>
      <c r="FQ1754" s="6"/>
      <c r="FR1754" s="6"/>
      <c r="FS1754" s="6"/>
      <c r="FT1754" s="6"/>
      <c r="FU1754" s="6"/>
      <c r="FV1754" s="6"/>
      <c r="FW1754" s="6"/>
      <c r="FX1754" s="6"/>
      <c r="FY1754" s="6"/>
      <c r="FZ1754" s="6"/>
      <c r="GA1754" s="6"/>
      <c r="GB1754" s="6"/>
      <c r="GC1754" s="6"/>
      <c r="GD1754" s="6"/>
      <c r="GE1754" s="6"/>
      <c r="GF1754" s="6"/>
      <c r="GG1754" s="6"/>
      <c r="GH1754" s="6"/>
      <c r="GI1754" s="6"/>
      <c r="GJ1754" s="6"/>
      <c r="GK1754" s="6"/>
      <c r="GL1754" s="6"/>
      <c r="GM1754" s="6"/>
      <c r="GN1754" s="6"/>
      <c r="GO1754" s="6"/>
      <c r="GP1754" s="6"/>
      <c r="GQ1754" s="6"/>
      <c r="GR1754" s="6"/>
      <c r="GS1754" s="6"/>
      <c r="GT1754" s="6"/>
      <c r="GU1754" s="6"/>
      <c r="GV1754" s="6"/>
      <c r="GW1754" s="6"/>
      <c r="GX1754" s="6"/>
      <c r="GY1754" s="6"/>
      <c r="GZ1754" s="6"/>
      <c r="HA1754" s="6"/>
      <c r="HB1754" s="6"/>
      <c r="HC1754" s="6"/>
      <c r="HD1754" s="6"/>
      <c r="HE1754" s="6"/>
      <c r="HF1754" s="6"/>
      <c r="HG1754" s="6"/>
      <c r="HH1754" s="6"/>
    </row>
    <row r="1755" spans="1:216" x14ac:dyDescent="0.3">
      <c r="A1755" s="8"/>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6"/>
      <c r="AR1755" s="6"/>
      <c r="AS1755" s="6"/>
      <c r="AT1755" s="6"/>
      <c r="AU1755" s="6"/>
      <c r="AV1755" s="6"/>
      <c r="AW1755" s="6"/>
      <c r="AX1755" s="6"/>
      <c r="AY1755" s="6"/>
      <c r="AZ1755" s="6"/>
      <c r="BA1755" s="6"/>
      <c r="BB1755" s="6"/>
      <c r="BC1755" s="6"/>
      <c r="BD1755" s="6"/>
      <c r="BE1755" s="6"/>
      <c r="BF1755" s="6"/>
      <c r="BG1755" s="6"/>
      <c r="BH1755" s="6"/>
      <c r="BI1755" s="6"/>
      <c r="BJ1755" s="6"/>
      <c r="BK1755" s="6"/>
      <c r="BL1755" s="6"/>
      <c r="BM1755" s="6"/>
      <c r="BN1755" s="6"/>
      <c r="BO1755" s="6"/>
      <c r="BP1755" s="6"/>
      <c r="BQ1755" s="6"/>
      <c r="BR1755" s="6"/>
      <c r="BS1755" s="6"/>
      <c r="BT1755" s="6"/>
      <c r="BU1755" s="6"/>
      <c r="BV1755" s="6"/>
      <c r="BW1755" s="6"/>
      <c r="BX1755" s="6"/>
      <c r="BY1755" s="6"/>
      <c r="BZ1755" s="6"/>
      <c r="CA1755" s="6"/>
      <c r="CB1755" s="6"/>
      <c r="CC1755" s="6"/>
      <c r="CD1755" s="6"/>
      <c r="CE1755" s="6"/>
      <c r="CF1755" s="6"/>
      <c r="CG1755" s="6"/>
      <c r="CH1755" s="6"/>
      <c r="CI1755" s="6"/>
      <c r="CJ1755" s="6"/>
      <c r="CK1755" s="6"/>
      <c r="CL1755" s="6"/>
      <c r="CM1755" s="6"/>
      <c r="CN1755" s="6"/>
      <c r="CO1755" s="6"/>
      <c r="CP1755" s="6"/>
      <c r="CQ1755" s="6"/>
      <c r="CR1755" s="6"/>
      <c r="CS1755" s="6"/>
      <c r="CT1755" s="6"/>
      <c r="CU1755" s="6"/>
      <c r="CV1755" s="6"/>
      <c r="CW1755" s="6"/>
      <c r="CX1755" s="6"/>
      <c r="CY1755" s="6"/>
      <c r="CZ1755" s="6"/>
      <c r="DA1755" s="6"/>
      <c r="DB1755" s="6"/>
      <c r="DC1755" s="6"/>
      <c r="DD1755" s="6"/>
      <c r="DE1755" s="6"/>
      <c r="DF1755" s="6"/>
      <c r="DG1755" s="6"/>
      <c r="DH1755" s="6"/>
      <c r="DI1755" s="6"/>
      <c r="DJ1755" s="6"/>
      <c r="DK1755" s="6"/>
      <c r="DL1755" s="6"/>
      <c r="DM1755" s="6"/>
      <c r="DN1755" s="6"/>
      <c r="DO1755" s="6"/>
      <c r="DP1755" s="6"/>
      <c r="DQ1755" s="6"/>
      <c r="DR1755" s="6"/>
      <c r="DS1755" s="6"/>
      <c r="DT1755" s="6"/>
      <c r="DU1755" s="6"/>
      <c r="DV1755" s="6"/>
      <c r="DW1755" s="6"/>
      <c r="DX1755" s="6"/>
      <c r="DY1755" s="6"/>
      <c r="DZ1755" s="6"/>
      <c r="EA1755" s="6"/>
      <c r="EB1755" s="6"/>
      <c r="EC1755" s="6"/>
      <c r="ED1755" s="6"/>
      <c r="EE1755" s="6"/>
      <c r="EF1755" s="6"/>
      <c r="EG1755" s="6"/>
      <c r="EH1755" s="6"/>
      <c r="EI1755" s="6"/>
      <c r="EJ1755" s="6"/>
      <c r="EK1755" s="6"/>
      <c r="EL1755" s="6"/>
      <c r="EM1755" s="6"/>
      <c r="EN1755" s="6"/>
      <c r="EO1755" s="6"/>
      <c r="EP1755" s="6"/>
      <c r="EQ1755" s="6"/>
      <c r="ER1755" s="6"/>
      <c r="ES1755" s="6"/>
      <c r="ET1755" s="6"/>
      <c r="EU1755" s="6"/>
      <c r="EV1755" s="6"/>
      <c r="EW1755" s="6"/>
      <c r="EX1755" s="6"/>
      <c r="EY1755" s="6"/>
      <c r="EZ1755" s="6"/>
      <c r="FA1755" s="6"/>
      <c r="FB1755" s="6"/>
      <c r="FC1755" s="6"/>
      <c r="FD1755" s="6"/>
      <c r="FE1755" s="6"/>
      <c r="FF1755" s="6"/>
      <c r="FG1755" s="6"/>
      <c r="FH1755" s="6"/>
      <c r="FI1755" s="6"/>
      <c r="FJ1755" s="6"/>
      <c r="FK1755" s="6"/>
      <c r="FL1755" s="6"/>
      <c r="FM1755" s="6"/>
      <c r="FN1755" s="6"/>
      <c r="FO1755" s="6"/>
      <c r="FP1755" s="6"/>
      <c r="FQ1755" s="6"/>
      <c r="FR1755" s="6"/>
      <c r="FS1755" s="6"/>
      <c r="FT1755" s="6"/>
      <c r="FU1755" s="6"/>
      <c r="FV1755" s="6"/>
      <c r="FW1755" s="6"/>
      <c r="FX1755" s="6"/>
      <c r="FY1755" s="6"/>
      <c r="FZ1755" s="6"/>
      <c r="GA1755" s="6"/>
      <c r="GB1755" s="6"/>
      <c r="GC1755" s="6"/>
      <c r="GD1755" s="6"/>
      <c r="GE1755" s="6"/>
      <c r="GF1755" s="6"/>
      <c r="GG1755" s="6"/>
      <c r="GH1755" s="6"/>
      <c r="GI1755" s="6"/>
      <c r="GJ1755" s="6"/>
      <c r="GK1755" s="6"/>
      <c r="GL1755" s="6"/>
      <c r="GM1755" s="6"/>
      <c r="GN1755" s="6"/>
      <c r="GO1755" s="6"/>
      <c r="GP1755" s="6"/>
      <c r="GQ1755" s="6"/>
      <c r="GR1755" s="6"/>
      <c r="GS1755" s="6"/>
      <c r="GT1755" s="6"/>
      <c r="GU1755" s="6"/>
      <c r="GV1755" s="6"/>
      <c r="GW1755" s="6"/>
      <c r="GX1755" s="6"/>
      <c r="GY1755" s="6"/>
      <c r="GZ1755" s="6"/>
      <c r="HA1755" s="6"/>
      <c r="HB1755" s="6"/>
      <c r="HC1755" s="6"/>
      <c r="HD1755" s="6"/>
      <c r="HE1755" s="6"/>
      <c r="HF1755" s="6"/>
      <c r="HG1755" s="6"/>
      <c r="HH1755" s="6"/>
    </row>
    <row r="1756" spans="1:216" x14ac:dyDescent="0.3">
      <c r="A1756" s="8"/>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6"/>
      <c r="AR1756" s="6"/>
      <c r="AS1756" s="6"/>
      <c r="AT1756" s="6"/>
      <c r="AU1756" s="6"/>
      <c r="AV1756" s="6"/>
      <c r="AW1756" s="6"/>
      <c r="AX1756" s="6"/>
      <c r="AY1756" s="6"/>
      <c r="AZ1756" s="6"/>
      <c r="BA1756" s="6"/>
      <c r="BB1756" s="6"/>
      <c r="BC1756" s="6"/>
      <c r="BD1756" s="6"/>
      <c r="BE1756" s="6"/>
      <c r="BF1756" s="6"/>
      <c r="BG1756" s="6"/>
      <c r="BH1756" s="6"/>
      <c r="BI1756" s="6"/>
      <c r="BJ1756" s="6"/>
      <c r="BK1756" s="6"/>
      <c r="BL1756" s="6"/>
      <c r="BM1756" s="6"/>
      <c r="BN1756" s="6"/>
      <c r="BO1756" s="6"/>
      <c r="BP1756" s="6"/>
      <c r="BQ1756" s="6"/>
      <c r="BR1756" s="6"/>
      <c r="BS1756" s="6"/>
      <c r="BT1756" s="6"/>
      <c r="BU1756" s="6"/>
      <c r="BV1756" s="6"/>
      <c r="BW1756" s="6"/>
      <c r="BX1756" s="6"/>
      <c r="BY1756" s="6"/>
      <c r="BZ1756" s="6"/>
      <c r="CA1756" s="6"/>
      <c r="CB1756" s="6"/>
      <c r="CC1756" s="6"/>
      <c r="CD1756" s="6"/>
      <c r="CE1756" s="6"/>
      <c r="CF1756" s="6"/>
      <c r="CG1756" s="6"/>
      <c r="CH1756" s="6"/>
      <c r="CI1756" s="6"/>
      <c r="CJ1756" s="6"/>
      <c r="CK1756" s="6"/>
      <c r="CL1756" s="6"/>
      <c r="CM1756" s="6"/>
      <c r="CN1756" s="6"/>
      <c r="CO1756" s="6"/>
      <c r="CP1756" s="6"/>
      <c r="CQ1756" s="6"/>
      <c r="CR1756" s="6"/>
      <c r="CS1756" s="6"/>
      <c r="CT1756" s="6"/>
      <c r="CU1756" s="6"/>
      <c r="CV1756" s="6"/>
      <c r="CW1756" s="6"/>
      <c r="CX1756" s="6"/>
      <c r="CY1756" s="6"/>
      <c r="CZ1756" s="6"/>
      <c r="DA1756" s="6"/>
      <c r="DB1756" s="6"/>
      <c r="DC1756" s="6"/>
      <c r="DD1756" s="6"/>
      <c r="DE1756" s="6"/>
      <c r="DF1756" s="6"/>
      <c r="DG1756" s="6"/>
      <c r="DH1756" s="6"/>
      <c r="DI1756" s="6"/>
      <c r="DJ1756" s="6"/>
      <c r="DK1756" s="6"/>
      <c r="DL1756" s="6"/>
      <c r="DM1756" s="6"/>
      <c r="DN1756" s="6"/>
      <c r="DO1756" s="6"/>
      <c r="DP1756" s="6"/>
      <c r="DQ1756" s="6"/>
      <c r="DR1756" s="6"/>
      <c r="DS1756" s="6"/>
      <c r="DT1756" s="6"/>
      <c r="DU1756" s="6"/>
      <c r="DV1756" s="6"/>
      <c r="DW1756" s="6"/>
      <c r="DX1756" s="6"/>
      <c r="DY1756" s="6"/>
      <c r="DZ1756" s="6"/>
      <c r="EA1756" s="6"/>
      <c r="EB1756" s="6"/>
      <c r="EC1756" s="6"/>
      <c r="ED1756" s="6"/>
      <c r="EE1756" s="6"/>
      <c r="EF1756" s="6"/>
      <c r="EG1756" s="6"/>
      <c r="EH1756" s="6"/>
      <c r="EI1756" s="6"/>
      <c r="EJ1756" s="6"/>
      <c r="EK1756" s="6"/>
      <c r="EL1756" s="6"/>
      <c r="EM1756" s="6"/>
      <c r="EN1756" s="6"/>
      <c r="EO1756" s="6"/>
      <c r="EP1756" s="6"/>
      <c r="EQ1756" s="6"/>
      <c r="ER1756" s="6"/>
      <c r="ES1756" s="6"/>
      <c r="ET1756" s="6"/>
      <c r="EU1756" s="6"/>
      <c r="EV1756" s="6"/>
      <c r="EW1756" s="6"/>
      <c r="EX1756" s="6"/>
      <c r="EY1756" s="6"/>
      <c r="EZ1756" s="6"/>
      <c r="FA1756" s="6"/>
      <c r="FB1756" s="6"/>
      <c r="FC1756" s="6"/>
      <c r="FD1756" s="6"/>
      <c r="FE1756" s="6"/>
      <c r="FF1756" s="6"/>
      <c r="FG1756" s="6"/>
      <c r="FH1756" s="6"/>
      <c r="FI1756" s="6"/>
      <c r="FJ1756" s="6"/>
      <c r="FK1756" s="6"/>
      <c r="FL1756" s="6"/>
      <c r="FM1756" s="6"/>
      <c r="FN1756" s="6"/>
      <c r="FO1756" s="6"/>
      <c r="FP1756" s="6"/>
      <c r="FQ1756" s="6"/>
      <c r="FR1756" s="6"/>
      <c r="FS1756" s="6"/>
      <c r="FT1756" s="6"/>
      <c r="FU1756" s="6"/>
      <c r="FV1756" s="6"/>
      <c r="FW1756" s="6"/>
      <c r="FX1756" s="6"/>
      <c r="FY1756" s="6"/>
      <c r="FZ1756" s="6"/>
      <c r="GA1756" s="6"/>
      <c r="GB1756" s="6"/>
      <c r="GC1756" s="6"/>
      <c r="GD1756" s="6"/>
      <c r="GE1756" s="6"/>
      <c r="GF1756" s="6"/>
      <c r="GG1756" s="6"/>
      <c r="GH1756" s="6"/>
      <c r="GI1756" s="6"/>
      <c r="GJ1756" s="6"/>
      <c r="GK1756" s="6"/>
      <c r="GL1756" s="6"/>
      <c r="GM1756" s="6"/>
      <c r="GN1756" s="6"/>
      <c r="GO1756" s="6"/>
      <c r="GP1756" s="6"/>
      <c r="GQ1756" s="6"/>
      <c r="GR1756" s="6"/>
      <c r="GS1756" s="6"/>
      <c r="GT1756" s="6"/>
      <c r="GU1756" s="6"/>
      <c r="GV1756" s="6"/>
      <c r="GW1756" s="6"/>
      <c r="GX1756" s="6"/>
      <c r="GY1756" s="6"/>
      <c r="GZ1756" s="6"/>
      <c r="HA1756" s="6"/>
      <c r="HB1756" s="6"/>
      <c r="HC1756" s="6"/>
      <c r="HD1756" s="6"/>
      <c r="HE1756" s="6"/>
      <c r="HF1756" s="6"/>
      <c r="HG1756" s="6"/>
      <c r="HH1756" s="6"/>
    </row>
    <row r="1757" spans="1:216" x14ac:dyDescent="0.3">
      <c r="A1757" s="8"/>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6"/>
      <c r="AR1757" s="6"/>
      <c r="AS1757" s="6"/>
      <c r="AT1757" s="6"/>
      <c r="AU1757" s="6"/>
      <c r="AV1757" s="6"/>
      <c r="AW1757" s="6"/>
      <c r="AX1757" s="6"/>
      <c r="AY1757" s="6"/>
      <c r="AZ1757" s="6"/>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c r="DX1757" s="6"/>
      <c r="DY1757" s="6"/>
      <c r="DZ1757" s="6"/>
      <c r="EA1757" s="6"/>
      <c r="EB1757" s="6"/>
      <c r="EC1757" s="6"/>
      <c r="ED1757" s="6"/>
      <c r="EE1757" s="6"/>
      <c r="EF1757" s="6"/>
      <c r="EG1757" s="6"/>
      <c r="EH1757" s="6"/>
      <c r="EI1757" s="6"/>
      <c r="EJ1757" s="6"/>
      <c r="EK1757" s="6"/>
      <c r="EL1757" s="6"/>
      <c r="EM1757" s="6"/>
      <c r="EN1757" s="6"/>
      <c r="EO1757" s="6"/>
      <c r="EP1757" s="6"/>
      <c r="EQ1757" s="6"/>
      <c r="ER1757" s="6"/>
      <c r="ES1757" s="6"/>
      <c r="ET1757" s="6"/>
      <c r="EU1757" s="6"/>
      <c r="EV1757" s="6"/>
      <c r="EW1757" s="6"/>
      <c r="EX1757" s="6"/>
      <c r="EY1757" s="6"/>
      <c r="EZ1757" s="6"/>
      <c r="FA1757" s="6"/>
      <c r="FB1757" s="6"/>
      <c r="FC1757" s="6"/>
      <c r="FD1757" s="6"/>
      <c r="FE1757" s="6"/>
      <c r="FF1757" s="6"/>
      <c r="FG1757" s="6"/>
      <c r="FH1757" s="6"/>
      <c r="FI1757" s="6"/>
      <c r="FJ1757" s="6"/>
      <c r="FK1757" s="6"/>
      <c r="FL1757" s="6"/>
      <c r="FM1757" s="6"/>
      <c r="FN1757" s="6"/>
      <c r="FO1757" s="6"/>
      <c r="FP1757" s="6"/>
      <c r="FQ1757" s="6"/>
      <c r="FR1757" s="6"/>
      <c r="FS1757" s="6"/>
      <c r="FT1757" s="6"/>
      <c r="FU1757" s="6"/>
      <c r="FV1757" s="6"/>
      <c r="FW1757" s="6"/>
      <c r="FX1757" s="6"/>
      <c r="FY1757" s="6"/>
      <c r="FZ1757" s="6"/>
      <c r="GA1757" s="6"/>
      <c r="GB1757" s="6"/>
      <c r="GC1757" s="6"/>
      <c r="GD1757" s="6"/>
      <c r="GE1757" s="6"/>
      <c r="GF1757" s="6"/>
      <c r="GG1757" s="6"/>
      <c r="GH1757" s="6"/>
      <c r="GI1757" s="6"/>
      <c r="GJ1757" s="6"/>
      <c r="GK1757" s="6"/>
      <c r="GL1757" s="6"/>
      <c r="GM1757" s="6"/>
      <c r="GN1757" s="6"/>
      <c r="GO1757" s="6"/>
      <c r="GP1757" s="6"/>
      <c r="GQ1757" s="6"/>
      <c r="GR1757" s="6"/>
      <c r="GS1757" s="6"/>
      <c r="GT1757" s="6"/>
      <c r="GU1757" s="6"/>
      <c r="GV1757" s="6"/>
      <c r="GW1757" s="6"/>
      <c r="GX1757" s="6"/>
      <c r="GY1757" s="6"/>
      <c r="GZ1757" s="6"/>
      <c r="HA1757" s="6"/>
      <c r="HB1757" s="6"/>
      <c r="HC1757" s="6"/>
      <c r="HD1757" s="6"/>
      <c r="HE1757" s="6"/>
      <c r="HF1757" s="6"/>
      <c r="HG1757" s="6"/>
      <c r="HH1757" s="6"/>
    </row>
    <row r="1758" spans="1:216" x14ac:dyDescent="0.3">
      <c r="A1758" s="8"/>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6"/>
      <c r="AR1758" s="6"/>
      <c r="AS1758" s="6"/>
      <c r="AT1758" s="6"/>
      <c r="AU1758" s="6"/>
      <c r="AV1758" s="6"/>
      <c r="AW1758" s="6"/>
      <c r="AX1758" s="6"/>
      <c r="AY1758" s="6"/>
      <c r="AZ1758" s="6"/>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c r="DX1758" s="6"/>
      <c r="DY1758" s="6"/>
      <c r="DZ1758" s="6"/>
      <c r="EA1758" s="6"/>
      <c r="EB1758" s="6"/>
      <c r="EC1758" s="6"/>
      <c r="ED1758" s="6"/>
      <c r="EE1758" s="6"/>
      <c r="EF1758" s="6"/>
      <c r="EG1758" s="6"/>
      <c r="EH1758" s="6"/>
      <c r="EI1758" s="6"/>
      <c r="EJ1758" s="6"/>
      <c r="EK1758" s="6"/>
      <c r="EL1758" s="6"/>
      <c r="EM1758" s="6"/>
      <c r="EN1758" s="6"/>
      <c r="EO1758" s="6"/>
      <c r="EP1758" s="6"/>
      <c r="EQ1758" s="6"/>
      <c r="ER1758" s="6"/>
      <c r="ES1758" s="6"/>
      <c r="ET1758" s="6"/>
      <c r="EU1758" s="6"/>
      <c r="EV1758" s="6"/>
      <c r="EW1758" s="6"/>
      <c r="EX1758" s="6"/>
      <c r="EY1758" s="6"/>
      <c r="EZ1758" s="6"/>
      <c r="FA1758" s="6"/>
      <c r="FB1758" s="6"/>
      <c r="FC1758" s="6"/>
      <c r="FD1758" s="6"/>
      <c r="FE1758" s="6"/>
      <c r="FF1758" s="6"/>
      <c r="FG1758" s="6"/>
      <c r="FH1758" s="6"/>
      <c r="FI1758" s="6"/>
      <c r="FJ1758" s="6"/>
      <c r="FK1758" s="6"/>
      <c r="FL1758" s="6"/>
      <c r="FM1758" s="6"/>
      <c r="FN1758" s="6"/>
      <c r="FO1758" s="6"/>
      <c r="FP1758" s="6"/>
      <c r="FQ1758" s="6"/>
      <c r="FR1758" s="6"/>
      <c r="FS1758" s="6"/>
      <c r="FT1758" s="6"/>
      <c r="FU1758" s="6"/>
      <c r="FV1758" s="6"/>
      <c r="FW1758" s="6"/>
      <c r="FX1758" s="6"/>
      <c r="FY1758" s="6"/>
      <c r="FZ1758" s="6"/>
      <c r="GA1758" s="6"/>
      <c r="GB1758" s="6"/>
      <c r="GC1758" s="6"/>
      <c r="GD1758" s="6"/>
      <c r="GE1758" s="6"/>
      <c r="GF1758" s="6"/>
      <c r="GG1758" s="6"/>
      <c r="GH1758" s="6"/>
      <c r="GI1758" s="6"/>
      <c r="GJ1758" s="6"/>
      <c r="GK1758" s="6"/>
      <c r="GL1758" s="6"/>
      <c r="GM1758" s="6"/>
      <c r="GN1758" s="6"/>
      <c r="GO1758" s="6"/>
      <c r="GP1758" s="6"/>
      <c r="GQ1758" s="6"/>
      <c r="GR1758" s="6"/>
      <c r="GS1758" s="6"/>
      <c r="GT1758" s="6"/>
      <c r="GU1758" s="6"/>
      <c r="GV1758" s="6"/>
      <c r="GW1758" s="6"/>
      <c r="GX1758" s="6"/>
      <c r="GY1758" s="6"/>
      <c r="GZ1758" s="6"/>
      <c r="HA1758" s="6"/>
      <c r="HB1758" s="6"/>
      <c r="HC1758" s="6"/>
      <c r="HD1758" s="6"/>
      <c r="HE1758" s="6"/>
      <c r="HF1758" s="6"/>
      <c r="HG1758" s="6"/>
      <c r="HH1758" s="6"/>
    </row>
    <row r="1759" spans="1:216" x14ac:dyDescent="0.3">
      <c r="A1759" s="8"/>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6"/>
      <c r="AR1759" s="6"/>
      <c r="AS1759" s="6"/>
      <c r="AT1759" s="6"/>
      <c r="AU1759" s="6"/>
      <c r="AV1759" s="6"/>
      <c r="AW1759" s="6"/>
      <c r="AX1759" s="6"/>
      <c r="AY1759" s="6"/>
      <c r="AZ1759" s="6"/>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c r="DX1759" s="6"/>
      <c r="DY1759" s="6"/>
      <c r="DZ1759" s="6"/>
      <c r="EA1759" s="6"/>
      <c r="EB1759" s="6"/>
      <c r="EC1759" s="6"/>
      <c r="ED1759" s="6"/>
      <c r="EE1759" s="6"/>
      <c r="EF1759" s="6"/>
      <c r="EG1759" s="6"/>
      <c r="EH1759" s="6"/>
      <c r="EI1759" s="6"/>
      <c r="EJ1759" s="6"/>
      <c r="EK1759" s="6"/>
      <c r="EL1759" s="6"/>
      <c r="EM1759" s="6"/>
      <c r="EN1759" s="6"/>
      <c r="EO1759" s="6"/>
      <c r="EP1759" s="6"/>
      <c r="EQ1759" s="6"/>
      <c r="ER1759" s="6"/>
      <c r="ES1759" s="6"/>
      <c r="ET1759" s="6"/>
      <c r="EU1759" s="6"/>
      <c r="EV1759" s="6"/>
      <c r="EW1759" s="6"/>
      <c r="EX1759" s="6"/>
      <c r="EY1759" s="6"/>
      <c r="EZ1759" s="6"/>
      <c r="FA1759" s="6"/>
      <c r="FB1759" s="6"/>
      <c r="FC1759" s="6"/>
      <c r="FD1759" s="6"/>
      <c r="FE1759" s="6"/>
      <c r="FF1759" s="6"/>
      <c r="FG1759" s="6"/>
      <c r="FH1759" s="6"/>
      <c r="FI1759" s="6"/>
      <c r="FJ1759" s="6"/>
      <c r="FK1759" s="6"/>
      <c r="FL1759" s="6"/>
      <c r="FM1759" s="6"/>
      <c r="FN1759" s="6"/>
      <c r="FO1759" s="6"/>
      <c r="FP1759" s="6"/>
      <c r="FQ1759" s="6"/>
      <c r="FR1759" s="6"/>
      <c r="FS1759" s="6"/>
      <c r="FT1759" s="6"/>
      <c r="FU1759" s="6"/>
      <c r="FV1759" s="6"/>
      <c r="FW1759" s="6"/>
      <c r="FX1759" s="6"/>
      <c r="FY1759" s="6"/>
      <c r="FZ1759" s="6"/>
      <c r="GA1759" s="6"/>
      <c r="GB1759" s="6"/>
      <c r="GC1759" s="6"/>
      <c r="GD1759" s="6"/>
      <c r="GE1759" s="6"/>
      <c r="GF1759" s="6"/>
      <c r="GG1759" s="6"/>
      <c r="GH1759" s="6"/>
      <c r="GI1759" s="6"/>
      <c r="GJ1759" s="6"/>
      <c r="GK1759" s="6"/>
      <c r="GL1759" s="6"/>
      <c r="GM1759" s="6"/>
      <c r="GN1759" s="6"/>
      <c r="GO1759" s="6"/>
      <c r="GP1759" s="6"/>
      <c r="GQ1759" s="6"/>
      <c r="GR1759" s="6"/>
      <c r="GS1759" s="6"/>
      <c r="GT1759" s="6"/>
      <c r="GU1759" s="6"/>
      <c r="GV1759" s="6"/>
      <c r="GW1759" s="6"/>
      <c r="GX1759" s="6"/>
      <c r="GY1759" s="6"/>
      <c r="GZ1759" s="6"/>
      <c r="HA1759" s="6"/>
      <c r="HB1759" s="6"/>
      <c r="HC1759" s="6"/>
      <c r="HD1759" s="6"/>
      <c r="HE1759" s="6"/>
      <c r="HF1759" s="6"/>
      <c r="HG1759" s="6"/>
      <c r="HH1759" s="6"/>
    </row>
    <row r="1760" spans="1:216" x14ac:dyDescent="0.3">
      <c r="A1760" s="8"/>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6"/>
      <c r="AR1760" s="6"/>
      <c r="AS1760" s="6"/>
      <c r="AT1760" s="6"/>
      <c r="AU1760" s="6"/>
      <c r="AV1760" s="6"/>
      <c r="AW1760" s="6"/>
      <c r="AX1760" s="6"/>
      <c r="AY1760" s="6"/>
      <c r="AZ1760" s="6"/>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c r="DX1760" s="6"/>
      <c r="DY1760" s="6"/>
      <c r="DZ1760" s="6"/>
      <c r="EA1760" s="6"/>
      <c r="EB1760" s="6"/>
      <c r="EC1760" s="6"/>
      <c r="ED1760" s="6"/>
      <c r="EE1760" s="6"/>
      <c r="EF1760" s="6"/>
      <c r="EG1760" s="6"/>
      <c r="EH1760" s="6"/>
      <c r="EI1760" s="6"/>
      <c r="EJ1760" s="6"/>
      <c r="EK1760" s="6"/>
      <c r="EL1760" s="6"/>
      <c r="EM1760" s="6"/>
      <c r="EN1760" s="6"/>
      <c r="EO1760" s="6"/>
      <c r="EP1760" s="6"/>
      <c r="EQ1760" s="6"/>
      <c r="ER1760" s="6"/>
      <c r="ES1760" s="6"/>
      <c r="ET1760" s="6"/>
      <c r="EU1760" s="6"/>
      <c r="EV1760" s="6"/>
      <c r="EW1760" s="6"/>
      <c r="EX1760" s="6"/>
      <c r="EY1760" s="6"/>
      <c r="EZ1760" s="6"/>
      <c r="FA1760" s="6"/>
      <c r="FB1760" s="6"/>
      <c r="FC1760" s="6"/>
      <c r="FD1760" s="6"/>
      <c r="FE1760" s="6"/>
      <c r="FF1760" s="6"/>
      <c r="FG1760" s="6"/>
      <c r="FH1760" s="6"/>
      <c r="FI1760" s="6"/>
      <c r="FJ1760" s="6"/>
      <c r="FK1760" s="6"/>
      <c r="FL1760" s="6"/>
      <c r="FM1760" s="6"/>
      <c r="FN1760" s="6"/>
      <c r="FO1760" s="6"/>
      <c r="FP1760" s="6"/>
      <c r="FQ1760" s="6"/>
      <c r="FR1760" s="6"/>
      <c r="FS1760" s="6"/>
      <c r="FT1760" s="6"/>
      <c r="FU1760" s="6"/>
      <c r="FV1760" s="6"/>
      <c r="FW1760" s="6"/>
      <c r="FX1760" s="6"/>
      <c r="FY1760" s="6"/>
      <c r="FZ1760" s="6"/>
      <c r="GA1760" s="6"/>
      <c r="GB1760" s="6"/>
      <c r="GC1760" s="6"/>
      <c r="GD1760" s="6"/>
      <c r="GE1760" s="6"/>
      <c r="GF1760" s="6"/>
      <c r="GG1760" s="6"/>
      <c r="GH1760" s="6"/>
      <c r="GI1760" s="6"/>
      <c r="GJ1760" s="6"/>
      <c r="GK1760" s="6"/>
      <c r="GL1760" s="6"/>
      <c r="GM1760" s="6"/>
      <c r="GN1760" s="6"/>
      <c r="GO1760" s="6"/>
      <c r="GP1760" s="6"/>
      <c r="GQ1760" s="6"/>
      <c r="GR1760" s="6"/>
      <c r="GS1760" s="6"/>
      <c r="GT1760" s="6"/>
      <c r="GU1760" s="6"/>
      <c r="GV1760" s="6"/>
      <c r="GW1760" s="6"/>
      <c r="GX1760" s="6"/>
      <c r="GY1760" s="6"/>
      <c r="GZ1760" s="6"/>
      <c r="HA1760" s="6"/>
      <c r="HB1760" s="6"/>
      <c r="HC1760" s="6"/>
      <c r="HD1760" s="6"/>
      <c r="HE1760" s="6"/>
      <c r="HF1760" s="6"/>
      <c r="HG1760" s="6"/>
      <c r="HH1760" s="6"/>
    </row>
    <row r="1761" spans="1:216" x14ac:dyDescent="0.3">
      <c r="A1761" s="8"/>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6"/>
      <c r="AR1761" s="6"/>
      <c r="AS1761" s="6"/>
      <c r="AT1761" s="6"/>
      <c r="AU1761" s="6"/>
      <c r="AV1761" s="6"/>
      <c r="AW1761" s="6"/>
      <c r="AX1761" s="6"/>
      <c r="AY1761" s="6"/>
      <c r="AZ1761" s="6"/>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c r="DX1761" s="6"/>
      <c r="DY1761" s="6"/>
      <c r="DZ1761" s="6"/>
      <c r="EA1761" s="6"/>
      <c r="EB1761" s="6"/>
      <c r="EC1761" s="6"/>
      <c r="ED1761" s="6"/>
      <c r="EE1761" s="6"/>
      <c r="EF1761" s="6"/>
      <c r="EG1761" s="6"/>
      <c r="EH1761" s="6"/>
      <c r="EI1761" s="6"/>
      <c r="EJ1761" s="6"/>
      <c r="EK1761" s="6"/>
      <c r="EL1761" s="6"/>
      <c r="EM1761" s="6"/>
      <c r="EN1761" s="6"/>
      <c r="EO1761" s="6"/>
      <c r="EP1761" s="6"/>
      <c r="EQ1761" s="6"/>
      <c r="ER1761" s="6"/>
      <c r="ES1761" s="6"/>
      <c r="ET1761" s="6"/>
      <c r="EU1761" s="6"/>
      <c r="EV1761" s="6"/>
      <c r="EW1761" s="6"/>
      <c r="EX1761" s="6"/>
      <c r="EY1761" s="6"/>
      <c r="EZ1761" s="6"/>
      <c r="FA1761" s="6"/>
      <c r="FB1761" s="6"/>
      <c r="FC1761" s="6"/>
      <c r="FD1761" s="6"/>
      <c r="FE1761" s="6"/>
      <c r="FF1761" s="6"/>
      <c r="FG1761" s="6"/>
      <c r="FH1761" s="6"/>
      <c r="FI1761" s="6"/>
      <c r="FJ1761" s="6"/>
      <c r="FK1761" s="6"/>
      <c r="FL1761" s="6"/>
      <c r="FM1761" s="6"/>
      <c r="FN1761" s="6"/>
      <c r="FO1761" s="6"/>
      <c r="FP1761" s="6"/>
      <c r="FQ1761" s="6"/>
      <c r="FR1761" s="6"/>
      <c r="FS1761" s="6"/>
      <c r="FT1761" s="6"/>
      <c r="FU1761" s="6"/>
      <c r="FV1761" s="6"/>
      <c r="FW1761" s="6"/>
      <c r="FX1761" s="6"/>
      <c r="FY1761" s="6"/>
      <c r="FZ1761" s="6"/>
      <c r="GA1761" s="6"/>
      <c r="GB1761" s="6"/>
      <c r="GC1761" s="6"/>
      <c r="GD1761" s="6"/>
      <c r="GE1761" s="6"/>
      <c r="GF1761" s="6"/>
      <c r="GG1761" s="6"/>
      <c r="GH1761" s="6"/>
      <c r="GI1761" s="6"/>
      <c r="GJ1761" s="6"/>
      <c r="GK1761" s="6"/>
      <c r="GL1761" s="6"/>
      <c r="GM1761" s="6"/>
      <c r="GN1761" s="6"/>
      <c r="GO1761" s="6"/>
      <c r="GP1761" s="6"/>
      <c r="GQ1761" s="6"/>
      <c r="GR1761" s="6"/>
      <c r="GS1761" s="6"/>
      <c r="GT1761" s="6"/>
      <c r="GU1761" s="6"/>
      <c r="GV1761" s="6"/>
      <c r="GW1761" s="6"/>
      <c r="GX1761" s="6"/>
      <c r="GY1761" s="6"/>
      <c r="GZ1761" s="6"/>
      <c r="HA1761" s="6"/>
      <c r="HB1761" s="6"/>
      <c r="HC1761" s="6"/>
      <c r="HD1761" s="6"/>
      <c r="HE1761" s="6"/>
      <c r="HF1761" s="6"/>
      <c r="HG1761" s="6"/>
      <c r="HH1761" s="6"/>
    </row>
    <row r="1762" spans="1:216" x14ac:dyDescent="0.3">
      <c r="A1762" s="8"/>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6"/>
      <c r="AR1762" s="6"/>
      <c r="AS1762" s="6"/>
      <c r="AT1762" s="6"/>
      <c r="AU1762" s="6"/>
      <c r="AV1762" s="6"/>
      <c r="AW1762" s="6"/>
      <c r="AX1762" s="6"/>
      <c r="AY1762" s="6"/>
      <c r="AZ1762" s="6"/>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c r="DX1762" s="6"/>
      <c r="DY1762" s="6"/>
      <c r="DZ1762" s="6"/>
      <c r="EA1762" s="6"/>
      <c r="EB1762" s="6"/>
      <c r="EC1762" s="6"/>
      <c r="ED1762" s="6"/>
      <c r="EE1762" s="6"/>
      <c r="EF1762" s="6"/>
      <c r="EG1762" s="6"/>
      <c r="EH1762" s="6"/>
      <c r="EI1762" s="6"/>
      <c r="EJ1762" s="6"/>
      <c r="EK1762" s="6"/>
      <c r="EL1762" s="6"/>
      <c r="EM1762" s="6"/>
      <c r="EN1762" s="6"/>
      <c r="EO1762" s="6"/>
      <c r="EP1762" s="6"/>
      <c r="EQ1762" s="6"/>
      <c r="ER1762" s="6"/>
      <c r="ES1762" s="6"/>
      <c r="ET1762" s="6"/>
      <c r="EU1762" s="6"/>
      <c r="EV1762" s="6"/>
      <c r="EW1762" s="6"/>
      <c r="EX1762" s="6"/>
      <c r="EY1762" s="6"/>
      <c r="EZ1762" s="6"/>
      <c r="FA1762" s="6"/>
      <c r="FB1762" s="6"/>
      <c r="FC1762" s="6"/>
      <c r="FD1762" s="6"/>
      <c r="FE1762" s="6"/>
      <c r="FF1762" s="6"/>
      <c r="FG1762" s="6"/>
      <c r="FH1762" s="6"/>
      <c r="FI1762" s="6"/>
      <c r="FJ1762" s="6"/>
      <c r="FK1762" s="6"/>
      <c r="FL1762" s="6"/>
      <c r="FM1762" s="6"/>
      <c r="FN1762" s="6"/>
      <c r="FO1762" s="6"/>
      <c r="FP1762" s="6"/>
      <c r="FQ1762" s="6"/>
      <c r="FR1762" s="6"/>
      <c r="FS1762" s="6"/>
      <c r="FT1762" s="6"/>
      <c r="FU1762" s="6"/>
      <c r="FV1762" s="6"/>
      <c r="FW1762" s="6"/>
      <c r="FX1762" s="6"/>
      <c r="FY1762" s="6"/>
      <c r="FZ1762" s="6"/>
      <c r="GA1762" s="6"/>
      <c r="GB1762" s="6"/>
      <c r="GC1762" s="6"/>
      <c r="GD1762" s="6"/>
      <c r="GE1762" s="6"/>
      <c r="GF1762" s="6"/>
      <c r="GG1762" s="6"/>
      <c r="GH1762" s="6"/>
      <c r="GI1762" s="6"/>
      <c r="GJ1762" s="6"/>
      <c r="GK1762" s="6"/>
      <c r="GL1762" s="6"/>
      <c r="GM1762" s="6"/>
      <c r="GN1762" s="6"/>
      <c r="GO1762" s="6"/>
      <c r="GP1762" s="6"/>
      <c r="GQ1762" s="6"/>
      <c r="GR1762" s="6"/>
      <c r="GS1762" s="6"/>
      <c r="GT1762" s="6"/>
      <c r="GU1762" s="6"/>
      <c r="GV1762" s="6"/>
      <c r="GW1762" s="6"/>
      <c r="GX1762" s="6"/>
      <c r="GY1762" s="6"/>
      <c r="GZ1762" s="6"/>
      <c r="HA1762" s="6"/>
      <c r="HB1762" s="6"/>
      <c r="HC1762" s="6"/>
      <c r="HD1762" s="6"/>
      <c r="HE1762" s="6"/>
      <c r="HF1762" s="6"/>
      <c r="HG1762" s="6"/>
      <c r="HH1762" s="6"/>
    </row>
    <row r="1763" spans="1:216" x14ac:dyDescent="0.3">
      <c r="A1763" s="8"/>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6"/>
      <c r="AR1763" s="6"/>
      <c r="AS1763" s="6"/>
      <c r="AT1763" s="6"/>
      <c r="AU1763" s="6"/>
      <c r="AV1763" s="6"/>
      <c r="AW1763" s="6"/>
      <c r="AX1763" s="6"/>
      <c r="AY1763" s="6"/>
      <c r="AZ1763" s="6"/>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c r="DX1763" s="6"/>
      <c r="DY1763" s="6"/>
      <c r="DZ1763" s="6"/>
      <c r="EA1763" s="6"/>
      <c r="EB1763" s="6"/>
      <c r="EC1763" s="6"/>
      <c r="ED1763" s="6"/>
      <c r="EE1763" s="6"/>
      <c r="EF1763" s="6"/>
      <c r="EG1763" s="6"/>
      <c r="EH1763" s="6"/>
      <c r="EI1763" s="6"/>
      <c r="EJ1763" s="6"/>
      <c r="EK1763" s="6"/>
      <c r="EL1763" s="6"/>
      <c r="EM1763" s="6"/>
      <c r="EN1763" s="6"/>
      <c r="EO1763" s="6"/>
      <c r="EP1763" s="6"/>
      <c r="EQ1763" s="6"/>
      <c r="ER1763" s="6"/>
      <c r="ES1763" s="6"/>
      <c r="ET1763" s="6"/>
      <c r="EU1763" s="6"/>
      <c r="EV1763" s="6"/>
      <c r="EW1763" s="6"/>
      <c r="EX1763" s="6"/>
      <c r="EY1763" s="6"/>
      <c r="EZ1763" s="6"/>
      <c r="FA1763" s="6"/>
      <c r="FB1763" s="6"/>
      <c r="FC1763" s="6"/>
      <c r="FD1763" s="6"/>
      <c r="FE1763" s="6"/>
      <c r="FF1763" s="6"/>
      <c r="FG1763" s="6"/>
      <c r="FH1763" s="6"/>
      <c r="FI1763" s="6"/>
      <c r="FJ1763" s="6"/>
      <c r="FK1763" s="6"/>
      <c r="FL1763" s="6"/>
      <c r="FM1763" s="6"/>
      <c r="FN1763" s="6"/>
      <c r="FO1763" s="6"/>
      <c r="FP1763" s="6"/>
      <c r="FQ1763" s="6"/>
      <c r="FR1763" s="6"/>
      <c r="FS1763" s="6"/>
      <c r="FT1763" s="6"/>
      <c r="FU1763" s="6"/>
      <c r="FV1763" s="6"/>
      <c r="FW1763" s="6"/>
      <c r="FX1763" s="6"/>
      <c r="FY1763" s="6"/>
      <c r="FZ1763" s="6"/>
      <c r="GA1763" s="6"/>
      <c r="GB1763" s="6"/>
      <c r="GC1763" s="6"/>
      <c r="GD1763" s="6"/>
      <c r="GE1763" s="6"/>
      <c r="GF1763" s="6"/>
      <c r="GG1763" s="6"/>
      <c r="GH1763" s="6"/>
      <c r="GI1763" s="6"/>
      <c r="GJ1763" s="6"/>
      <c r="GK1763" s="6"/>
      <c r="GL1763" s="6"/>
      <c r="GM1763" s="6"/>
      <c r="GN1763" s="6"/>
      <c r="GO1763" s="6"/>
      <c r="GP1763" s="6"/>
      <c r="GQ1763" s="6"/>
      <c r="GR1763" s="6"/>
      <c r="GS1763" s="6"/>
      <c r="GT1763" s="6"/>
      <c r="GU1763" s="6"/>
      <c r="GV1763" s="6"/>
      <c r="GW1763" s="6"/>
      <c r="GX1763" s="6"/>
      <c r="GY1763" s="6"/>
      <c r="GZ1763" s="6"/>
      <c r="HA1763" s="6"/>
      <c r="HB1763" s="6"/>
      <c r="HC1763" s="6"/>
      <c r="HD1763" s="6"/>
      <c r="HE1763" s="6"/>
      <c r="HF1763" s="6"/>
      <c r="HG1763" s="6"/>
      <c r="HH1763" s="6"/>
    </row>
    <row r="1764" spans="1:216" x14ac:dyDescent="0.3">
      <c r="A1764" s="8"/>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6"/>
      <c r="AR1764" s="6"/>
      <c r="AS1764" s="6"/>
      <c r="AT1764" s="6"/>
      <c r="AU1764" s="6"/>
      <c r="AV1764" s="6"/>
      <c r="AW1764" s="6"/>
      <c r="AX1764" s="6"/>
      <c r="AY1764" s="6"/>
      <c r="AZ1764" s="6"/>
      <c r="BA1764" s="6"/>
      <c r="BB1764" s="6"/>
      <c r="BC1764" s="6"/>
      <c r="BD1764" s="6"/>
      <c r="BE1764" s="6"/>
      <c r="BF1764" s="6"/>
      <c r="BG1764" s="6"/>
      <c r="BH1764" s="6"/>
      <c r="BI1764" s="6"/>
      <c r="BJ1764" s="6"/>
      <c r="BK1764" s="6"/>
      <c r="BL1764" s="6"/>
      <c r="BM1764" s="6"/>
      <c r="BN1764" s="6"/>
      <c r="BO1764" s="6"/>
      <c r="BP1764" s="6"/>
      <c r="BQ1764" s="6"/>
      <c r="BR1764" s="6"/>
      <c r="BS1764" s="6"/>
      <c r="BT1764" s="6"/>
      <c r="BU1764" s="6"/>
      <c r="BV1764" s="6"/>
      <c r="BW1764" s="6"/>
      <c r="BX1764" s="6"/>
      <c r="BY1764" s="6"/>
      <c r="BZ1764" s="6"/>
      <c r="CA1764" s="6"/>
      <c r="CB1764" s="6"/>
      <c r="CC1764" s="6"/>
      <c r="CD1764" s="6"/>
      <c r="CE1764" s="6"/>
      <c r="CF1764" s="6"/>
      <c r="CG1764" s="6"/>
      <c r="CH1764" s="6"/>
      <c r="CI1764" s="6"/>
      <c r="CJ1764" s="6"/>
      <c r="CK1764" s="6"/>
      <c r="CL1764" s="6"/>
      <c r="CM1764" s="6"/>
      <c r="CN1764" s="6"/>
      <c r="CO1764" s="6"/>
      <c r="CP1764" s="6"/>
      <c r="CQ1764" s="6"/>
      <c r="CR1764" s="6"/>
      <c r="CS1764" s="6"/>
      <c r="CT1764" s="6"/>
      <c r="CU1764" s="6"/>
      <c r="CV1764" s="6"/>
      <c r="CW1764" s="6"/>
      <c r="CX1764" s="6"/>
      <c r="CY1764" s="6"/>
      <c r="CZ1764" s="6"/>
      <c r="DA1764" s="6"/>
      <c r="DB1764" s="6"/>
      <c r="DC1764" s="6"/>
      <c r="DD1764" s="6"/>
      <c r="DE1764" s="6"/>
      <c r="DF1764" s="6"/>
      <c r="DG1764" s="6"/>
      <c r="DH1764" s="6"/>
      <c r="DI1764" s="6"/>
      <c r="DJ1764" s="6"/>
      <c r="DK1764" s="6"/>
      <c r="DL1764" s="6"/>
      <c r="DM1764" s="6"/>
      <c r="DN1764" s="6"/>
      <c r="DO1764" s="6"/>
      <c r="DP1764" s="6"/>
      <c r="DQ1764" s="6"/>
      <c r="DR1764" s="6"/>
      <c r="DS1764" s="6"/>
      <c r="DT1764" s="6"/>
      <c r="DU1764" s="6"/>
      <c r="DV1764" s="6"/>
      <c r="DW1764" s="6"/>
      <c r="DX1764" s="6"/>
      <c r="DY1764" s="6"/>
      <c r="DZ1764" s="6"/>
      <c r="EA1764" s="6"/>
      <c r="EB1764" s="6"/>
      <c r="EC1764" s="6"/>
      <c r="ED1764" s="6"/>
      <c r="EE1764" s="6"/>
      <c r="EF1764" s="6"/>
      <c r="EG1764" s="6"/>
      <c r="EH1764" s="6"/>
      <c r="EI1764" s="6"/>
      <c r="EJ1764" s="6"/>
      <c r="EK1764" s="6"/>
      <c r="EL1764" s="6"/>
      <c r="EM1764" s="6"/>
      <c r="EN1764" s="6"/>
      <c r="EO1764" s="6"/>
      <c r="EP1764" s="6"/>
      <c r="EQ1764" s="6"/>
      <c r="ER1764" s="6"/>
      <c r="ES1764" s="6"/>
      <c r="ET1764" s="6"/>
      <c r="EU1764" s="6"/>
      <c r="EV1764" s="6"/>
      <c r="EW1764" s="6"/>
      <c r="EX1764" s="6"/>
      <c r="EY1764" s="6"/>
      <c r="EZ1764" s="6"/>
      <c r="FA1764" s="6"/>
      <c r="FB1764" s="6"/>
      <c r="FC1764" s="6"/>
      <c r="FD1764" s="6"/>
      <c r="FE1764" s="6"/>
      <c r="FF1764" s="6"/>
      <c r="FG1764" s="6"/>
      <c r="FH1764" s="6"/>
      <c r="FI1764" s="6"/>
      <c r="FJ1764" s="6"/>
      <c r="FK1764" s="6"/>
      <c r="FL1764" s="6"/>
      <c r="FM1764" s="6"/>
      <c r="FN1764" s="6"/>
      <c r="FO1764" s="6"/>
      <c r="FP1764" s="6"/>
      <c r="FQ1764" s="6"/>
      <c r="FR1764" s="6"/>
      <c r="FS1764" s="6"/>
      <c r="FT1764" s="6"/>
      <c r="FU1764" s="6"/>
      <c r="FV1764" s="6"/>
      <c r="FW1764" s="6"/>
      <c r="FX1764" s="6"/>
      <c r="FY1764" s="6"/>
      <c r="FZ1764" s="6"/>
      <c r="GA1764" s="6"/>
      <c r="GB1764" s="6"/>
      <c r="GC1764" s="6"/>
      <c r="GD1764" s="6"/>
      <c r="GE1764" s="6"/>
      <c r="GF1764" s="6"/>
      <c r="GG1764" s="6"/>
      <c r="GH1764" s="6"/>
      <c r="GI1764" s="6"/>
      <c r="GJ1764" s="6"/>
      <c r="GK1764" s="6"/>
      <c r="GL1764" s="6"/>
      <c r="GM1764" s="6"/>
      <c r="GN1764" s="6"/>
      <c r="GO1764" s="6"/>
      <c r="GP1764" s="6"/>
      <c r="GQ1764" s="6"/>
      <c r="GR1764" s="6"/>
      <c r="GS1764" s="6"/>
      <c r="GT1764" s="6"/>
      <c r="GU1764" s="6"/>
      <c r="GV1764" s="6"/>
      <c r="GW1764" s="6"/>
      <c r="GX1764" s="6"/>
      <c r="GY1764" s="6"/>
      <c r="GZ1764" s="6"/>
      <c r="HA1764" s="6"/>
      <c r="HB1764" s="6"/>
      <c r="HC1764" s="6"/>
      <c r="HD1764" s="6"/>
      <c r="HE1764" s="6"/>
      <c r="HF1764" s="6"/>
      <c r="HG1764" s="6"/>
      <c r="HH1764" s="6"/>
    </row>
    <row r="1765" spans="1:216" x14ac:dyDescent="0.3">
      <c r="A1765" s="8"/>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6"/>
      <c r="AR1765" s="6"/>
      <c r="AS1765" s="6"/>
      <c r="AT1765" s="6"/>
      <c r="AU1765" s="6"/>
      <c r="AV1765" s="6"/>
      <c r="AW1765" s="6"/>
      <c r="AX1765" s="6"/>
      <c r="AY1765" s="6"/>
      <c r="AZ1765" s="6"/>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c r="DX1765" s="6"/>
      <c r="DY1765" s="6"/>
      <c r="DZ1765" s="6"/>
      <c r="EA1765" s="6"/>
      <c r="EB1765" s="6"/>
      <c r="EC1765" s="6"/>
      <c r="ED1765" s="6"/>
      <c r="EE1765" s="6"/>
      <c r="EF1765" s="6"/>
      <c r="EG1765" s="6"/>
      <c r="EH1765" s="6"/>
      <c r="EI1765" s="6"/>
      <c r="EJ1765" s="6"/>
      <c r="EK1765" s="6"/>
      <c r="EL1765" s="6"/>
      <c r="EM1765" s="6"/>
      <c r="EN1765" s="6"/>
      <c r="EO1765" s="6"/>
      <c r="EP1765" s="6"/>
      <c r="EQ1765" s="6"/>
      <c r="ER1765" s="6"/>
      <c r="ES1765" s="6"/>
      <c r="ET1765" s="6"/>
      <c r="EU1765" s="6"/>
      <c r="EV1765" s="6"/>
      <c r="EW1765" s="6"/>
      <c r="EX1765" s="6"/>
      <c r="EY1765" s="6"/>
      <c r="EZ1765" s="6"/>
      <c r="FA1765" s="6"/>
      <c r="FB1765" s="6"/>
      <c r="FC1765" s="6"/>
      <c r="FD1765" s="6"/>
      <c r="FE1765" s="6"/>
      <c r="FF1765" s="6"/>
      <c r="FG1765" s="6"/>
      <c r="FH1765" s="6"/>
      <c r="FI1765" s="6"/>
      <c r="FJ1765" s="6"/>
      <c r="FK1765" s="6"/>
      <c r="FL1765" s="6"/>
      <c r="FM1765" s="6"/>
      <c r="FN1765" s="6"/>
      <c r="FO1765" s="6"/>
      <c r="FP1765" s="6"/>
      <c r="FQ1765" s="6"/>
      <c r="FR1765" s="6"/>
      <c r="FS1765" s="6"/>
      <c r="FT1765" s="6"/>
      <c r="FU1765" s="6"/>
      <c r="FV1765" s="6"/>
      <c r="FW1765" s="6"/>
      <c r="FX1765" s="6"/>
      <c r="FY1765" s="6"/>
      <c r="FZ1765" s="6"/>
      <c r="GA1765" s="6"/>
      <c r="GB1765" s="6"/>
      <c r="GC1765" s="6"/>
      <c r="GD1765" s="6"/>
      <c r="GE1765" s="6"/>
      <c r="GF1765" s="6"/>
      <c r="GG1765" s="6"/>
      <c r="GH1765" s="6"/>
      <c r="GI1765" s="6"/>
      <c r="GJ1765" s="6"/>
      <c r="GK1765" s="6"/>
      <c r="GL1765" s="6"/>
      <c r="GM1765" s="6"/>
      <c r="GN1765" s="6"/>
      <c r="GO1765" s="6"/>
      <c r="GP1765" s="6"/>
      <c r="GQ1765" s="6"/>
      <c r="GR1765" s="6"/>
      <c r="GS1765" s="6"/>
      <c r="GT1765" s="6"/>
      <c r="GU1765" s="6"/>
      <c r="GV1765" s="6"/>
      <c r="GW1765" s="6"/>
      <c r="GX1765" s="6"/>
      <c r="GY1765" s="6"/>
      <c r="GZ1765" s="6"/>
      <c r="HA1765" s="6"/>
      <c r="HB1765" s="6"/>
      <c r="HC1765" s="6"/>
      <c r="HD1765" s="6"/>
      <c r="HE1765" s="6"/>
      <c r="HF1765" s="6"/>
      <c r="HG1765" s="6"/>
      <c r="HH1765" s="6"/>
    </row>
    <row r="1766" spans="1:216" x14ac:dyDescent="0.3">
      <c r="A1766" s="8"/>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6"/>
      <c r="AR1766" s="6"/>
      <c r="AS1766" s="6"/>
      <c r="AT1766" s="6"/>
      <c r="AU1766" s="6"/>
      <c r="AV1766" s="6"/>
      <c r="AW1766" s="6"/>
      <c r="AX1766" s="6"/>
      <c r="AY1766" s="6"/>
      <c r="AZ1766" s="6"/>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c r="DX1766" s="6"/>
      <c r="DY1766" s="6"/>
      <c r="DZ1766" s="6"/>
      <c r="EA1766" s="6"/>
      <c r="EB1766" s="6"/>
      <c r="EC1766" s="6"/>
      <c r="ED1766" s="6"/>
      <c r="EE1766" s="6"/>
      <c r="EF1766" s="6"/>
      <c r="EG1766" s="6"/>
      <c r="EH1766" s="6"/>
      <c r="EI1766" s="6"/>
      <c r="EJ1766" s="6"/>
      <c r="EK1766" s="6"/>
      <c r="EL1766" s="6"/>
      <c r="EM1766" s="6"/>
      <c r="EN1766" s="6"/>
      <c r="EO1766" s="6"/>
      <c r="EP1766" s="6"/>
      <c r="EQ1766" s="6"/>
      <c r="ER1766" s="6"/>
      <c r="ES1766" s="6"/>
      <c r="ET1766" s="6"/>
      <c r="EU1766" s="6"/>
      <c r="EV1766" s="6"/>
      <c r="EW1766" s="6"/>
      <c r="EX1766" s="6"/>
      <c r="EY1766" s="6"/>
      <c r="EZ1766" s="6"/>
      <c r="FA1766" s="6"/>
      <c r="FB1766" s="6"/>
      <c r="FC1766" s="6"/>
      <c r="FD1766" s="6"/>
      <c r="FE1766" s="6"/>
      <c r="FF1766" s="6"/>
      <c r="FG1766" s="6"/>
      <c r="FH1766" s="6"/>
      <c r="FI1766" s="6"/>
      <c r="FJ1766" s="6"/>
      <c r="FK1766" s="6"/>
      <c r="FL1766" s="6"/>
      <c r="FM1766" s="6"/>
      <c r="FN1766" s="6"/>
      <c r="FO1766" s="6"/>
      <c r="FP1766" s="6"/>
      <c r="FQ1766" s="6"/>
      <c r="FR1766" s="6"/>
      <c r="FS1766" s="6"/>
      <c r="FT1766" s="6"/>
      <c r="FU1766" s="6"/>
      <c r="FV1766" s="6"/>
      <c r="FW1766" s="6"/>
      <c r="FX1766" s="6"/>
      <c r="FY1766" s="6"/>
      <c r="FZ1766" s="6"/>
      <c r="GA1766" s="6"/>
      <c r="GB1766" s="6"/>
      <c r="GC1766" s="6"/>
      <c r="GD1766" s="6"/>
      <c r="GE1766" s="6"/>
      <c r="GF1766" s="6"/>
      <c r="GG1766" s="6"/>
      <c r="GH1766" s="6"/>
      <c r="GI1766" s="6"/>
      <c r="GJ1766" s="6"/>
      <c r="GK1766" s="6"/>
      <c r="GL1766" s="6"/>
      <c r="GM1766" s="6"/>
      <c r="GN1766" s="6"/>
      <c r="GO1766" s="6"/>
      <c r="GP1766" s="6"/>
      <c r="GQ1766" s="6"/>
      <c r="GR1766" s="6"/>
      <c r="GS1766" s="6"/>
      <c r="GT1766" s="6"/>
      <c r="GU1766" s="6"/>
      <c r="GV1766" s="6"/>
      <c r="GW1766" s="6"/>
      <c r="GX1766" s="6"/>
      <c r="GY1766" s="6"/>
      <c r="GZ1766" s="6"/>
      <c r="HA1766" s="6"/>
      <c r="HB1766" s="6"/>
      <c r="HC1766" s="6"/>
      <c r="HD1766" s="6"/>
      <c r="HE1766" s="6"/>
      <c r="HF1766" s="6"/>
      <c r="HG1766" s="6"/>
      <c r="HH1766" s="6"/>
    </row>
    <row r="1767" spans="1:216" x14ac:dyDescent="0.3">
      <c r="A1767" s="8"/>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6"/>
      <c r="AR1767" s="6"/>
      <c r="AS1767" s="6"/>
      <c r="AT1767" s="6"/>
      <c r="AU1767" s="6"/>
      <c r="AV1767" s="6"/>
      <c r="AW1767" s="6"/>
      <c r="AX1767" s="6"/>
      <c r="AY1767" s="6"/>
      <c r="AZ1767" s="6"/>
      <c r="BA1767" s="6"/>
      <c r="BB1767" s="6"/>
      <c r="BC1767" s="6"/>
      <c r="BD1767" s="6"/>
      <c r="BE1767" s="6"/>
      <c r="BF1767" s="6"/>
      <c r="BG1767" s="6"/>
      <c r="BH1767" s="6"/>
      <c r="BI1767" s="6"/>
      <c r="BJ1767" s="6"/>
      <c r="BK1767" s="6"/>
      <c r="BL1767" s="6"/>
      <c r="BM1767" s="6"/>
      <c r="BN1767" s="6"/>
      <c r="BO1767" s="6"/>
      <c r="BP1767" s="6"/>
      <c r="BQ1767" s="6"/>
      <c r="BR1767" s="6"/>
      <c r="BS1767" s="6"/>
      <c r="BT1767" s="6"/>
      <c r="BU1767" s="6"/>
      <c r="BV1767" s="6"/>
      <c r="BW1767" s="6"/>
      <c r="BX1767" s="6"/>
      <c r="BY1767" s="6"/>
      <c r="BZ1767" s="6"/>
      <c r="CA1767" s="6"/>
      <c r="CB1767" s="6"/>
      <c r="CC1767" s="6"/>
      <c r="CD1767" s="6"/>
      <c r="CE1767" s="6"/>
      <c r="CF1767" s="6"/>
      <c r="CG1767" s="6"/>
      <c r="CH1767" s="6"/>
      <c r="CI1767" s="6"/>
      <c r="CJ1767" s="6"/>
      <c r="CK1767" s="6"/>
      <c r="CL1767" s="6"/>
      <c r="CM1767" s="6"/>
      <c r="CN1767" s="6"/>
      <c r="CO1767" s="6"/>
      <c r="CP1767" s="6"/>
      <c r="CQ1767" s="6"/>
      <c r="CR1767" s="6"/>
      <c r="CS1767" s="6"/>
      <c r="CT1767" s="6"/>
      <c r="CU1767" s="6"/>
      <c r="CV1767" s="6"/>
      <c r="CW1767" s="6"/>
      <c r="CX1767" s="6"/>
      <c r="CY1767" s="6"/>
      <c r="CZ1767" s="6"/>
      <c r="DA1767" s="6"/>
      <c r="DB1767" s="6"/>
      <c r="DC1767" s="6"/>
      <c r="DD1767" s="6"/>
      <c r="DE1767" s="6"/>
      <c r="DF1767" s="6"/>
      <c r="DG1767" s="6"/>
      <c r="DH1767" s="6"/>
      <c r="DI1767" s="6"/>
      <c r="DJ1767" s="6"/>
      <c r="DK1767" s="6"/>
      <c r="DL1767" s="6"/>
      <c r="DM1767" s="6"/>
      <c r="DN1767" s="6"/>
      <c r="DO1767" s="6"/>
      <c r="DP1767" s="6"/>
      <c r="DQ1767" s="6"/>
      <c r="DR1767" s="6"/>
      <c r="DS1767" s="6"/>
      <c r="DT1767" s="6"/>
      <c r="DU1767" s="6"/>
      <c r="DV1767" s="6"/>
      <c r="DW1767" s="6"/>
      <c r="DX1767" s="6"/>
      <c r="DY1767" s="6"/>
      <c r="DZ1767" s="6"/>
      <c r="EA1767" s="6"/>
      <c r="EB1767" s="6"/>
      <c r="EC1767" s="6"/>
      <c r="ED1767" s="6"/>
      <c r="EE1767" s="6"/>
      <c r="EF1767" s="6"/>
      <c r="EG1767" s="6"/>
      <c r="EH1767" s="6"/>
      <c r="EI1767" s="6"/>
      <c r="EJ1767" s="6"/>
      <c r="EK1767" s="6"/>
      <c r="EL1767" s="6"/>
      <c r="EM1767" s="6"/>
      <c r="EN1767" s="6"/>
      <c r="EO1767" s="6"/>
      <c r="EP1767" s="6"/>
      <c r="EQ1767" s="6"/>
      <c r="ER1767" s="6"/>
      <c r="ES1767" s="6"/>
      <c r="ET1767" s="6"/>
      <c r="EU1767" s="6"/>
      <c r="EV1767" s="6"/>
      <c r="EW1767" s="6"/>
      <c r="EX1767" s="6"/>
      <c r="EY1767" s="6"/>
      <c r="EZ1767" s="6"/>
      <c r="FA1767" s="6"/>
      <c r="FB1767" s="6"/>
      <c r="FC1767" s="6"/>
      <c r="FD1767" s="6"/>
      <c r="FE1767" s="6"/>
      <c r="FF1767" s="6"/>
      <c r="FG1767" s="6"/>
      <c r="FH1767" s="6"/>
      <c r="FI1767" s="6"/>
      <c r="FJ1767" s="6"/>
      <c r="FK1767" s="6"/>
      <c r="FL1767" s="6"/>
      <c r="FM1767" s="6"/>
      <c r="FN1767" s="6"/>
      <c r="FO1767" s="6"/>
      <c r="FP1767" s="6"/>
      <c r="FQ1767" s="6"/>
      <c r="FR1767" s="6"/>
      <c r="FS1767" s="6"/>
      <c r="FT1767" s="6"/>
      <c r="FU1767" s="6"/>
      <c r="FV1767" s="6"/>
      <c r="FW1767" s="6"/>
      <c r="FX1767" s="6"/>
      <c r="FY1767" s="6"/>
      <c r="FZ1767" s="6"/>
      <c r="GA1767" s="6"/>
      <c r="GB1767" s="6"/>
      <c r="GC1767" s="6"/>
      <c r="GD1767" s="6"/>
      <c r="GE1767" s="6"/>
      <c r="GF1767" s="6"/>
      <c r="GG1767" s="6"/>
      <c r="GH1767" s="6"/>
      <c r="GI1767" s="6"/>
      <c r="GJ1767" s="6"/>
      <c r="GK1767" s="6"/>
      <c r="GL1767" s="6"/>
      <c r="GM1767" s="6"/>
      <c r="GN1767" s="6"/>
      <c r="GO1767" s="6"/>
      <c r="GP1767" s="6"/>
      <c r="GQ1767" s="6"/>
      <c r="GR1767" s="6"/>
      <c r="GS1767" s="6"/>
      <c r="GT1767" s="6"/>
      <c r="GU1767" s="6"/>
      <c r="GV1767" s="6"/>
      <c r="GW1767" s="6"/>
      <c r="GX1767" s="6"/>
      <c r="GY1767" s="6"/>
      <c r="GZ1767" s="6"/>
      <c r="HA1767" s="6"/>
      <c r="HB1767" s="6"/>
      <c r="HC1767" s="6"/>
      <c r="HD1767" s="6"/>
      <c r="HE1767" s="6"/>
      <c r="HF1767" s="6"/>
      <c r="HG1767" s="6"/>
      <c r="HH1767" s="6"/>
    </row>
    <row r="1768" spans="1:216" x14ac:dyDescent="0.3">
      <c r="A1768" s="8"/>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6"/>
      <c r="BE1768" s="6"/>
      <c r="BF1768" s="6"/>
      <c r="BG1768" s="6"/>
      <c r="BH1768" s="6"/>
      <c r="BI1768" s="6"/>
      <c r="BJ1768" s="6"/>
      <c r="BK1768" s="6"/>
      <c r="BL1768" s="6"/>
      <c r="BM1768" s="6"/>
      <c r="BN1768" s="6"/>
      <c r="BO1768" s="6"/>
      <c r="BP1768" s="6"/>
      <c r="BQ1768" s="6"/>
      <c r="BR1768" s="6"/>
      <c r="BS1768" s="6"/>
      <c r="BT1768" s="6"/>
      <c r="BU1768" s="6"/>
      <c r="BV1768" s="6"/>
      <c r="BW1768" s="6"/>
      <c r="BX1768" s="6"/>
      <c r="BY1768" s="6"/>
      <c r="BZ1768" s="6"/>
      <c r="CA1768" s="6"/>
      <c r="CB1768" s="6"/>
      <c r="CC1768" s="6"/>
      <c r="CD1768" s="6"/>
      <c r="CE1768" s="6"/>
      <c r="CF1768" s="6"/>
      <c r="CG1768" s="6"/>
      <c r="CH1768" s="6"/>
      <c r="CI1768" s="6"/>
      <c r="CJ1768" s="6"/>
      <c r="CK1768" s="6"/>
      <c r="CL1768" s="6"/>
      <c r="CM1768" s="6"/>
      <c r="CN1768" s="6"/>
      <c r="CO1768" s="6"/>
      <c r="CP1768" s="6"/>
      <c r="CQ1768" s="6"/>
      <c r="CR1768" s="6"/>
      <c r="CS1768" s="6"/>
      <c r="CT1768" s="6"/>
      <c r="CU1768" s="6"/>
      <c r="CV1768" s="6"/>
      <c r="CW1768" s="6"/>
      <c r="CX1768" s="6"/>
      <c r="CY1768" s="6"/>
      <c r="CZ1768" s="6"/>
      <c r="DA1768" s="6"/>
      <c r="DB1768" s="6"/>
      <c r="DC1768" s="6"/>
      <c r="DD1768" s="6"/>
      <c r="DE1768" s="6"/>
      <c r="DF1768" s="6"/>
      <c r="DG1768" s="6"/>
      <c r="DH1768" s="6"/>
      <c r="DI1768" s="6"/>
      <c r="DJ1768" s="6"/>
      <c r="DK1768" s="6"/>
      <c r="DL1768" s="6"/>
      <c r="DM1768" s="6"/>
      <c r="DN1768" s="6"/>
      <c r="DO1768" s="6"/>
      <c r="DP1768" s="6"/>
      <c r="DQ1768" s="6"/>
      <c r="DR1768" s="6"/>
      <c r="DS1768" s="6"/>
      <c r="DT1768" s="6"/>
      <c r="DU1768" s="6"/>
      <c r="DV1768" s="6"/>
      <c r="DW1768" s="6"/>
      <c r="DX1768" s="6"/>
      <c r="DY1768" s="6"/>
      <c r="DZ1768" s="6"/>
      <c r="EA1768" s="6"/>
      <c r="EB1768" s="6"/>
      <c r="EC1768" s="6"/>
      <c r="ED1768" s="6"/>
      <c r="EE1768" s="6"/>
      <c r="EF1768" s="6"/>
      <c r="EG1768" s="6"/>
      <c r="EH1768" s="6"/>
      <c r="EI1768" s="6"/>
      <c r="EJ1768" s="6"/>
      <c r="EK1768" s="6"/>
      <c r="EL1768" s="6"/>
      <c r="EM1768" s="6"/>
      <c r="EN1768" s="6"/>
      <c r="EO1768" s="6"/>
      <c r="EP1768" s="6"/>
      <c r="EQ1768" s="6"/>
      <c r="ER1768" s="6"/>
      <c r="ES1768" s="6"/>
      <c r="ET1768" s="6"/>
      <c r="EU1768" s="6"/>
      <c r="EV1768" s="6"/>
      <c r="EW1768" s="6"/>
      <c r="EX1768" s="6"/>
      <c r="EY1768" s="6"/>
      <c r="EZ1768" s="6"/>
      <c r="FA1768" s="6"/>
      <c r="FB1768" s="6"/>
      <c r="FC1768" s="6"/>
      <c r="FD1768" s="6"/>
      <c r="FE1768" s="6"/>
      <c r="FF1768" s="6"/>
      <c r="FG1768" s="6"/>
      <c r="FH1768" s="6"/>
      <c r="FI1768" s="6"/>
      <c r="FJ1768" s="6"/>
      <c r="FK1768" s="6"/>
      <c r="FL1768" s="6"/>
      <c r="FM1768" s="6"/>
      <c r="FN1768" s="6"/>
      <c r="FO1768" s="6"/>
      <c r="FP1768" s="6"/>
      <c r="FQ1768" s="6"/>
      <c r="FR1768" s="6"/>
      <c r="FS1768" s="6"/>
      <c r="FT1768" s="6"/>
      <c r="FU1768" s="6"/>
      <c r="FV1768" s="6"/>
      <c r="FW1768" s="6"/>
      <c r="FX1768" s="6"/>
      <c r="FY1768" s="6"/>
      <c r="FZ1768" s="6"/>
      <c r="GA1768" s="6"/>
      <c r="GB1768" s="6"/>
      <c r="GC1768" s="6"/>
      <c r="GD1768" s="6"/>
      <c r="GE1768" s="6"/>
      <c r="GF1768" s="6"/>
      <c r="GG1768" s="6"/>
      <c r="GH1768" s="6"/>
      <c r="GI1768" s="6"/>
      <c r="GJ1768" s="6"/>
      <c r="GK1768" s="6"/>
      <c r="GL1768" s="6"/>
      <c r="GM1768" s="6"/>
      <c r="GN1768" s="6"/>
      <c r="GO1768" s="6"/>
      <c r="GP1768" s="6"/>
      <c r="GQ1768" s="6"/>
      <c r="GR1768" s="6"/>
      <c r="GS1768" s="6"/>
      <c r="GT1768" s="6"/>
      <c r="GU1768" s="6"/>
      <c r="GV1768" s="6"/>
      <c r="GW1768" s="6"/>
      <c r="GX1768" s="6"/>
      <c r="GY1768" s="6"/>
      <c r="GZ1768" s="6"/>
      <c r="HA1768" s="6"/>
      <c r="HB1768" s="6"/>
      <c r="HC1768" s="6"/>
      <c r="HD1768" s="6"/>
      <c r="HE1768" s="6"/>
      <c r="HF1768" s="6"/>
      <c r="HG1768" s="6"/>
      <c r="HH1768" s="6"/>
    </row>
    <row r="1769" spans="1:216" x14ac:dyDescent="0.3">
      <c r="A1769" s="8"/>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6"/>
      <c r="AR1769" s="6"/>
      <c r="AS1769" s="6"/>
      <c r="AT1769" s="6"/>
      <c r="AU1769" s="6"/>
      <c r="AV1769" s="6"/>
      <c r="AW1769" s="6"/>
      <c r="AX1769" s="6"/>
      <c r="AY1769" s="6"/>
      <c r="AZ1769" s="6"/>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c r="DX1769" s="6"/>
      <c r="DY1769" s="6"/>
      <c r="DZ1769" s="6"/>
      <c r="EA1769" s="6"/>
      <c r="EB1769" s="6"/>
      <c r="EC1769" s="6"/>
      <c r="ED1769" s="6"/>
      <c r="EE1769" s="6"/>
      <c r="EF1769" s="6"/>
      <c r="EG1769" s="6"/>
      <c r="EH1769" s="6"/>
      <c r="EI1769" s="6"/>
      <c r="EJ1769" s="6"/>
      <c r="EK1769" s="6"/>
      <c r="EL1769" s="6"/>
      <c r="EM1769" s="6"/>
      <c r="EN1769" s="6"/>
      <c r="EO1769" s="6"/>
      <c r="EP1769" s="6"/>
      <c r="EQ1769" s="6"/>
      <c r="ER1769" s="6"/>
      <c r="ES1769" s="6"/>
      <c r="ET1769" s="6"/>
      <c r="EU1769" s="6"/>
      <c r="EV1769" s="6"/>
      <c r="EW1769" s="6"/>
      <c r="EX1769" s="6"/>
      <c r="EY1769" s="6"/>
      <c r="EZ1769" s="6"/>
      <c r="FA1769" s="6"/>
      <c r="FB1769" s="6"/>
      <c r="FC1769" s="6"/>
      <c r="FD1769" s="6"/>
      <c r="FE1769" s="6"/>
      <c r="FF1769" s="6"/>
      <c r="FG1769" s="6"/>
      <c r="FH1769" s="6"/>
      <c r="FI1769" s="6"/>
      <c r="FJ1769" s="6"/>
      <c r="FK1769" s="6"/>
      <c r="FL1769" s="6"/>
      <c r="FM1769" s="6"/>
      <c r="FN1769" s="6"/>
      <c r="FO1769" s="6"/>
      <c r="FP1769" s="6"/>
      <c r="FQ1769" s="6"/>
      <c r="FR1769" s="6"/>
      <c r="FS1769" s="6"/>
      <c r="FT1769" s="6"/>
      <c r="FU1769" s="6"/>
      <c r="FV1769" s="6"/>
      <c r="FW1769" s="6"/>
      <c r="FX1769" s="6"/>
      <c r="FY1769" s="6"/>
      <c r="FZ1769" s="6"/>
      <c r="GA1769" s="6"/>
      <c r="GB1769" s="6"/>
      <c r="GC1769" s="6"/>
      <c r="GD1769" s="6"/>
      <c r="GE1769" s="6"/>
      <c r="GF1769" s="6"/>
      <c r="GG1769" s="6"/>
      <c r="GH1769" s="6"/>
      <c r="GI1769" s="6"/>
      <c r="GJ1769" s="6"/>
      <c r="GK1769" s="6"/>
      <c r="GL1769" s="6"/>
      <c r="GM1769" s="6"/>
      <c r="GN1769" s="6"/>
      <c r="GO1769" s="6"/>
      <c r="GP1769" s="6"/>
      <c r="GQ1769" s="6"/>
      <c r="GR1769" s="6"/>
      <c r="GS1769" s="6"/>
      <c r="GT1769" s="6"/>
      <c r="GU1769" s="6"/>
      <c r="GV1769" s="6"/>
      <c r="GW1769" s="6"/>
      <c r="GX1769" s="6"/>
      <c r="GY1769" s="6"/>
      <c r="GZ1769" s="6"/>
      <c r="HA1769" s="6"/>
      <c r="HB1769" s="6"/>
      <c r="HC1769" s="6"/>
      <c r="HD1769" s="6"/>
      <c r="HE1769" s="6"/>
      <c r="HF1769" s="6"/>
      <c r="HG1769" s="6"/>
      <c r="HH1769" s="6"/>
    </row>
    <row r="1770" spans="1:216" x14ac:dyDescent="0.3">
      <c r="A1770" s="8"/>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6"/>
      <c r="AR1770" s="6"/>
      <c r="AS1770" s="6"/>
      <c r="AT1770" s="6"/>
      <c r="AU1770" s="6"/>
      <c r="AV1770" s="6"/>
      <c r="AW1770" s="6"/>
      <c r="AX1770" s="6"/>
      <c r="AY1770" s="6"/>
      <c r="AZ1770" s="6"/>
      <c r="BA1770" s="6"/>
      <c r="BB1770" s="6"/>
      <c r="BC1770" s="6"/>
      <c r="BD1770" s="6"/>
      <c r="BE1770" s="6"/>
      <c r="BF1770" s="6"/>
      <c r="BG1770" s="6"/>
      <c r="BH1770" s="6"/>
      <c r="BI1770" s="6"/>
      <c r="BJ1770" s="6"/>
      <c r="BK1770" s="6"/>
      <c r="BL1770" s="6"/>
      <c r="BM1770" s="6"/>
      <c r="BN1770" s="6"/>
      <c r="BO1770" s="6"/>
      <c r="BP1770" s="6"/>
      <c r="BQ1770" s="6"/>
      <c r="BR1770" s="6"/>
      <c r="BS1770" s="6"/>
      <c r="BT1770" s="6"/>
      <c r="BU1770" s="6"/>
      <c r="BV1770" s="6"/>
      <c r="BW1770" s="6"/>
      <c r="BX1770" s="6"/>
      <c r="BY1770" s="6"/>
      <c r="BZ1770" s="6"/>
      <c r="CA1770" s="6"/>
      <c r="CB1770" s="6"/>
      <c r="CC1770" s="6"/>
      <c r="CD1770" s="6"/>
      <c r="CE1770" s="6"/>
      <c r="CF1770" s="6"/>
      <c r="CG1770" s="6"/>
      <c r="CH1770" s="6"/>
      <c r="CI1770" s="6"/>
      <c r="CJ1770" s="6"/>
      <c r="CK1770" s="6"/>
      <c r="CL1770" s="6"/>
      <c r="CM1770" s="6"/>
      <c r="CN1770" s="6"/>
      <c r="CO1770" s="6"/>
      <c r="CP1770" s="6"/>
      <c r="CQ1770" s="6"/>
      <c r="CR1770" s="6"/>
      <c r="CS1770" s="6"/>
      <c r="CT1770" s="6"/>
      <c r="CU1770" s="6"/>
      <c r="CV1770" s="6"/>
      <c r="CW1770" s="6"/>
      <c r="CX1770" s="6"/>
      <c r="CY1770" s="6"/>
      <c r="CZ1770" s="6"/>
      <c r="DA1770" s="6"/>
      <c r="DB1770" s="6"/>
      <c r="DC1770" s="6"/>
      <c r="DD1770" s="6"/>
      <c r="DE1770" s="6"/>
      <c r="DF1770" s="6"/>
      <c r="DG1770" s="6"/>
      <c r="DH1770" s="6"/>
      <c r="DI1770" s="6"/>
      <c r="DJ1770" s="6"/>
      <c r="DK1770" s="6"/>
      <c r="DL1770" s="6"/>
      <c r="DM1770" s="6"/>
      <c r="DN1770" s="6"/>
      <c r="DO1770" s="6"/>
      <c r="DP1770" s="6"/>
      <c r="DQ1770" s="6"/>
      <c r="DR1770" s="6"/>
      <c r="DS1770" s="6"/>
      <c r="DT1770" s="6"/>
      <c r="DU1770" s="6"/>
      <c r="DV1770" s="6"/>
      <c r="DW1770" s="6"/>
      <c r="DX1770" s="6"/>
      <c r="DY1770" s="6"/>
      <c r="DZ1770" s="6"/>
      <c r="EA1770" s="6"/>
      <c r="EB1770" s="6"/>
      <c r="EC1770" s="6"/>
      <c r="ED1770" s="6"/>
      <c r="EE1770" s="6"/>
      <c r="EF1770" s="6"/>
      <c r="EG1770" s="6"/>
      <c r="EH1770" s="6"/>
      <c r="EI1770" s="6"/>
      <c r="EJ1770" s="6"/>
      <c r="EK1770" s="6"/>
      <c r="EL1770" s="6"/>
      <c r="EM1770" s="6"/>
      <c r="EN1770" s="6"/>
      <c r="EO1770" s="6"/>
      <c r="EP1770" s="6"/>
      <c r="EQ1770" s="6"/>
      <c r="ER1770" s="6"/>
      <c r="ES1770" s="6"/>
      <c r="ET1770" s="6"/>
      <c r="EU1770" s="6"/>
      <c r="EV1770" s="6"/>
      <c r="EW1770" s="6"/>
      <c r="EX1770" s="6"/>
      <c r="EY1770" s="6"/>
      <c r="EZ1770" s="6"/>
      <c r="FA1770" s="6"/>
      <c r="FB1770" s="6"/>
      <c r="FC1770" s="6"/>
      <c r="FD1770" s="6"/>
      <c r="FE1770" s="6"/>
      <c r="FF1770" s="6"/>
      <c r="FG1770" s="6"/>
      <c r="FH1770" s="6"/>
      <c r="FI1770" s="6"/>
      <c r="FJ1770" s="6"/>
      <c r="FK1770" s="6"/>
      <c r="FL1770" s="6"/>
      <c r="FM1770" s="6"/>
      <c r="FN1770" s="6"/>
      <c r="FO1770" s="6"/>
      <c r="FP1770" s="6"/>
      <c r="FQ1770" s="6"/>
      <c r="FR1770" s="6"/>
      <c r="FS1770" s="6"/>
      <c r="FT1770" s="6"/>
      <c r="FU1770" s="6"/>
      <c r="FV1770" s="6"/>
      <c r="FW1770" s="6"/>
      <c r="FX1770" s="6"/>
      <c r="FY1770" s="6"/>
      <c r="FZ1770" s="6"/>
      <c r="GA1770" s="6"/>
      <c r="GB1770" s="6"/>
      <c r="GC1770" s="6"/>
      <c r="GD1770" s="6"/>
      <c r="GE1770" s="6"/>
      <c r="GF1770" s="6"/>
      <c r="GG1770" s="6"/>
      <c r="GH1770" s="6"/>
      <c r="GI1770" s="6"/>
      <c r="GJ1770" s="6"/>
      <c r="GK1770" s="6"/>
      <c r="GL1770" s="6"/>
      <c r="GM1770" s="6"/>
      <c r="GN1770" s="6"/>
      <c r="GO1770" s="6"/>
      <c r="GP1770" s="6"/>
      <c r="GQ1770" s="6"/>
      <c r="GR1770" s="6"/>
      <c r="GS1770" s="6"/>
      <c r="GT1770" s="6"/>
      <c r="GU1770" s="6"/>
      <c r="GV1770" s="6"/>
      <c r="GW1770" s="6"/>
      <c r="GX1770" s="6"/>
      <c r="GY1770" s="6"/>
      <c r="GZ1770" s="6"/>
      <c r="HA1770" s="6"/>
      <c r="HB1770" s="6"/>
      <c r="HC1770" s="6"/>
      <c r="HD1770" s="6"/>
      <c r="HE1770" s="6"/>
      <c r="HF1770" s="6"/>
      <c r="HG1770" s="6"/>
      <c r="HH1770" s="6"/>
    </row>
    <row r="1771" spans="1:216" x14ac:dyDescent="0.3">
      <c r="A1771" s="8"/>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6"/>
      <c r="AR1771" s="6"/>
      <c r="AS1771" s="6"/>
      <c r="AT1771" s="6"/>
      <c r="AU1771" s="6"/>
      <c r="AV1771" s="6"/>
      <c r="AW1771" s="6"/>
      <c r="AX1771" s="6"/>
      <c r="AY1771" s="6"/>
      <c r="AZ1771" s="6"/>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c r="DX1771" s="6"/>
      <c r="DY1771" s="6"/>
      <c r="DZ1771" s="6"/>
      <c r="EA1771" s="6"/>
      <c r="EB1771" s="6"/>
      <c r="EC1771" s="6"/>
      <c r="ED1771" s="6"/>
      <c r="EE1771" s="6"/>
      <c r="EF1771" s="6"/>
      <c r="EG1771" s="6"/>
      <c r="EH1771" s="6"/>
      <c r="EI1771" s="6"/>
      <c r="EJ1771" s="6"/>
      <c r="EK1771" s="6"/>
      <c r="EL1771" s="6"/>
      <c r="EM1771" s="6"/>
      <c r="EN1771" s="6"/>
      <c r="EO1771" s="6"/>
      <c r="EP1771" s="6"/>
      <c r="EQ1771" s="6"/>
      <c r="ER1771" s="6"/>
      <c r="ES1771" s="6"/>
      <c r="ET1771" s="6"/>
      <c r="EU1771" s="6"/>
      <c r="EV1771" s="6"/>
      <c r="EW1771" s="6"/>
      <c r="EX1771" s="6"/>
      <c r="EY1771" s="6"/>
      <c r="EZ1771" s="6"/>
      <c r="FA1771" s="6"/>
      <c r="FB1771" s="6"/>
      <c r="FC1771" s="6"/>
      <c r="FD1771" s="6"/>
      <c r="FE1771" s="6"/>
      <c r="FF1771" s="6"/>
      <c r="FG1771" s="6"/>
      <c r="FH1771" s="6"/>
      <c r="FI1771" s="6"/>
      <c r="FJ1771" s="6"/>
      <c r="FK1771" s="6"/>
      <c r="FL1771" s="6"/>
      <c r="FM1771" s="6"/>
      <c r="FN1771" s="6"/>
      <c r="FO1771" s="6"/>
      <c r="FP1771" s="6"/>
      <c r="FQ1771" s="6"/>
      <c r="FR1771" s="6"/>
      <c r="FS1771" s="6"/>
      <c r="FT1771" s="6"/>
      <c r="FU1771" s="6"/>
      <c r="FV1771" s="6"/>
      <c r="FW1771" s="6"/>
      <c r="FX1771" s="6"/>
      <c r="FY1771" s="6"/>
      <c r="FZ1771" s="6"/>
      <c r="GA1771" s="6"/>
      <c r="GB1771" s="6"/>
      <c r="GC1771" s="6"/>
      <c r="GD1771" s="6"/>
      <c r="GE1771" s="6"/>
      <c r="GF1771" s="6"/>
      <c r="GG1771" s="6"/>
      <c r="GH1771" s="6"/>
      <c r="GI1771" s="6"/>
      <c r="GJ1771" s="6"/>
      <c r="GK1771" s="6"/>
      <c r="GL1771" s="6"/>
      <c r="GM1771" s="6"/>
      <c r="GN1771" s="6"/>
      <c r="GO1771" s="6"/>
      <c r="GP1771" s="6"/>
      <c r="GQ1771" s="6"/>
      <c r="GR1771" s="6"/>
      <c r="GS1771" s="6"/>
      <c r="GT1771" s="6"/>
      <c r="GU1771" s="6"/>
      <c r="GV1771" s="6"/>
      <c r="GW1771" s="6"/>
      <c r="GX1771" s="6"/>
      <c r="GY1771" s="6"/>
      <c r="GZ1771" s="6"/>
      <c r="HA1771" s="6"/>
      <c r="HB1771" s="6"/>
      <c r="HC1771" s="6"/>
      <c r="HD1771" s="6"/>
      <c r="HE1771" s="6"/>
      <c r="HF1771" s="6"/>
      <c r="HG1771" s="6"/>
      <c r="HH1771" s="6"/>
    </row>
    <row r="1772" spans="1:216" x14ac:dyDescent="0.3">
      <c r="A1772" s="8"/>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6"/>
      <c r="AR1772" s="6"/>
      <c r="AS1772" s="6"/>
      <c r="AT1772" s="6"/>
      <c r="AU1772" s="6"/>
      <c r="AV1772" s="6"/>
      <c r="AW1772" s="6"/>
      <c r="AX1772" s="6"/>
      <c r="AY1772" s="6"/>
      <c r="AZ1772" s="6"/>
      <c r="BA1772" s="6"/>
      <c r="BB1772" s="6"/>
      <c r="BC1772" s="6"/>
      <c r="BD1772" s="6"/>
      <c r="BE1772" s="6"/>
      <c r="BF1772" s="6"/>
      <c r="BG1772" s="6"/>
      <c r="BH1772" s="6"/>
      <c r="BI1772" s="6"/>
      <c r="BJ1772" s="6"/>
      <c r="BK1772" s="6"/>
      <c r="BL1772" s="6"/>
      <c r="BM1772" s="6"/>
      <c r="BN1772" s="6"/>
      <c r="BO1772" s="6"/>
      <c r="BP1772" s="6"/>
      <c r="BQ1772" s="6"/>
      <c r="BR1772" s="6"/>
      <c r="BS1772" s="6"/>
      <c r="BT1772" s="6"/>
      <c r="BU1772" s="6"/>
      <c r="BV1772" s="6"/>
      <c r="BW1772" s="6"/>
      <c r="BX1772" s="6"/>
      <c r="BY1772" s="6"/>
      <c r="BZ1772" s="6"/>
      <c r="CA1772" s="6"/>
      <c r="CB1772" s="6"/>
      <c r="CC1772" s="6"/>
      <c r="CD1772" s="6"/>
      <c r="CE1772" s="6"/>
      <c r="CF1772" s="6"/>
      <c r="CG1772" s="6"/>
      <c r="CH1772" s="6"/>
      <c r="CI1772" s="6"/>
      <c r="CJ1772" s="6"/>
      <c r="CK1772" s="6"/>
      <c r="CL1772" s="6"/>
      <c r="CM1772" s="6"/>
      <c r="CN1772" s="6"/>
      <c r="CO1772" s="6"/>
      <c r="CP1772" s="6"/>
      <c r="CQ1772" s="6"/>
      <c r="CR1772" s="6"/>
      <c r="CS1772" s="6"/>
      <c r="CT1772" s="6"/>
      <c r="CU1772" s="6"/>
      <c r="CV1772" s="6"/>
      <c r="CW1772" s="6"/>
      <c r="CX1772" s="6"/>
      <c r="CY1772" s="6"/>
      <c r="CZ1772" s="6"/>
      <c r="DA1772" s="6"/>
      <c r="DB1772" s="6"/>
      <c r="DC1772" s="6"/>
      <c r="DD1772" s="6"/>
      <c r="DE1772" s="6"/>
      <c r="DF1772" s="6"/>
      <c r="DG1772" s="6"/>
      <c r="DH1772" s="6"/>
      <c r="DI1772" s="6"/>
      <c r="DJ1772" s="6"/>
      <c r="DK1772" s="6"/>
      <c r="DL1772" s="6"/>
      <c r="DM1772" s="6"/>
      <c r="DN1772" s="6"/>
      <c r="DO1772" s="6"/>
      <c r="DP1772" s="6"/>
      <c r="DQ1772" s="6"/>
      <c r="DR1772" s="6"/>
      <c r="DS1772" s="6"/>
      <c r="DT1772" s="6"/>
      <c r="DU1772" s="6"/>
      <c r="DV1772" s="6"/>
      <c r="DW1772" s="6"/>
      <c r="DX1772" s="6"/>
      <c r="DY1772" s="6"/>
      <c r="DZ1772" s="6"/>
      <c r="EA1772" s="6"/>
      <c r="EB1772" s="6"/>
      <c r="EC1772" s="6"/>
      <c r="ED1772" s="6"/>
      <c r="EE1772" s="6"/>
      <c r="EF1772" s="6"/>
      <c r="EG1772" s="6"/>
      <c r="EH1772" s="6"/>
      <c r="EI1772" s="6"/>
      <c r="EJ1772" s="6"/>
      <c r="EK1772" s="6"/>
      <c r="EL1772" s="6"/>
      <c r="EM1772" s="6"/>
      <c r="EN1772" s="6"/>
      <c r="EO1772" s="6"/>
      <c r="EP1772" s="6"/>
      <c r="EQ1772" s="6"/>
      <c r="ER1772" s="6"/>
      <c r="ES1772" s="6"/>
      <c r="ET1772" s="6"/>
      <c r="EU1772" s="6"/>
      <c r="EV1772" s="6"/>
      <c r="EW1772" s="6"/>
      <c r="EX1772" s="6"/>
      <c r="EY1772" s="6"/>
      <c r="EZ1772" s="6"/>
      <c r="FA1772" s="6"/>
      <c r="FB1772" s="6"/>
      <c r="FC1772" s="6"/>
      <c r="FD1772" s="6"/>
      <c r="FE1772" s="6"/>
      <c r="FF1772" s="6"/>
      <c r="FG1772" s="6"/>
      <c r="FH1772" s="6"/>
      <c r="FI1772" s="6"/>
      <c r="FJ1772" s="6"/>
      <c r="FK1772" s="6"/>
      <c r="FL1772" s="6"/>
      <c r="FM1772" s="6"/>
      <c r="FN1772" s="6"/>
      <c r="FO1772" s="6"/>
      <c r="FP1772" s="6"/>
      <c r="FQ1772" s="6"/>
      <c r="FR1772" s="6"/>
      <c r="FS1772" s="6"/>
      <c r="FT1772" s="6"/>
      <c r="FU1772" s="6"/>
      <c r="FV1772" s="6"/>
      <c r="FW1772" s="6"/>
      <c r="FX1772" s="6"/>
      <c r="FY1772" s="6"/>
      <c r="FZ1772" s="6"/>
      <c r="GA1772" s="6"/>
      <c r="GB1772" s="6"/>
      <c r="GC1772" s="6"/>
      <c r="GD1772" s="6"/>
      <c r="GE1772" s="6"/>
      <c r="GF1772" s="6"/>
      <c r="GG1772" s="6"/>
      <c r="GH1772" s="6"/>
      <c r="GI1772" s="6"/>
      <c r="GJ1772" s="6"/>
      <c r="GK1772" s="6"/>
      <c r="GL1772" s="6"/>
      <c r="GM1772" s="6"/>
      <c r="GN1772" s="6"/>
      <c r="GO1772" s="6"/>
      <c r="GP1772" s="6"/>
      <c r="GQ1772" s="6"/>
      <c r="GR1772" s="6"/>
      <c r="GS1772" s="6"/>
      <c r="GT1772" s="6"/>
      <c r="GU1772" s="6"/>
      <c r="GV1772" s="6"/>
      <c r="GW1772" s="6"/>
      <c r="GX1772" s="6"/>
      <c r="GY1772" s="6"/>
      <c r="GZ1772" s="6"/>
      <c r="HA1772" s="6"/>
      <c r="HB1772" s="6"/>
      <c r="HC1772" s="6"/>
      <c r="HD1772" s="6"/>
      <c r="HE1772" s="6"/>
      <c r="HF1772" s="6"/>
      <c r="HG1772" s="6"/>
      <c r="HH1772" s="6"/>
    </row>
    <row r="1773" spans="1:216" x14ac:dyDescent="0.3">
      <c r="A1773" s="8"/>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6"/>
      <c r="AR1773" s="6"/>
      <c r="AS1773" s="6"/>
      <c r="AT1773" s="6"/>
      <c r="AU1773" s="6"/>
      <c r="AV1773" s="6"/>
      <c r="AW1773" s="6"/>
      <c r="AX1773" s="6"/>
      <c r="AY1773" s="6"/>
      <c r="AZ1773" s="6"/>
      <c r="BA1773" s="6"/>
      <c r="BB1773" s="6"/>
      <c r="BC1773" s="6"/>
      <c r="BD1773" s="6"/>
      <c r="BE1773" s="6"/>
      <c r="BF1773" s="6"/>
      <c r="BG1773" s="6"/>
      <c r="BH1773" s="6"/>
      <c r="BI1773" s="6"/>
      <c r="BJ1773" s="6"/>
      <c r="BK1773" s="6"/>
      <c r="BL1773" s="6"/>
      <c r="BM1773" s="6"/>
      <c r="BN1773" s="6"/>
      <c r="BO1773" s="6"/>
      <c r="BP1773" s="6"/>
      <c r="BQ1773" s="6"/>
      <c r="BR1773" s="6"/>
      <c r="BS1773" s="6"/>
      <c r="BT1773" s="6"/>
      <c r="BU1773" s="6"/>
      <c r="BV1773" s="6"/>
      <c r="BW1773" s="6"/>
      <c r="BX1773" s="6"/>
      <c r="BY1773" s="6"/>
      <c r="BZ1773" s="6"/>
      <c r="CA1773" s="6"/>
      <c r="CB1773" s="6"/>
      <c r="CC1773" s="6"/>
      <c r="CD1773" s="6"/>
      <c r="CE1773" s="6"/>
      <c r="CF1773" s="6"/>
      <c r="CG1773" s="6"/>
      <c r="CH1773" s="6"/>
      <c r="CI1773" s="6"/>
      <c r="CJ1773" s="6"/>
      <c r="CK1773" s="6"/>
      <c r="CL1773" s="6"/>
      <c r="CM1773" s="6"/>
      <c r="CN1773" s="6"/>
      <c r="CO1773" s="6"/>
      <c r="CP1773" s="6"/>
      <c r="CQ1773" s="6"/>
      <c r="CR1773" s="6"/>
      <c r="CS1773" s="6"/>
      <c r="CT1773" s="6"/>
      <c r="CU1773" s="6"/>
      <c r="CV1773" s="6"/>
      <c r="CW1773" s="6"/>
      <c r="CX1773" s="6"/>
      <c r="CY1773" s="6"/>
      <c r="CZ1773" s="6"/>
      <c r="DA1773" s="6"/>
      <c r="DB1773" s="6"/>
      <c r="DC1773" s="6"/>
      <c r="DD1773" s="6"/>
      <c r="DE1773" s="6"/>
      <c r="DF1773" s="6"/>
      <c r="DG1773" s="6"/>
      <c r="DH1773" s="6"/>
      <c r="DI1773" s="6"/>
      <c r="DJ1773" s="6"/>
      <c r="DK1773" s="6"/>
      <c r="DL1773" s="6"/>
      <c r="DM1773" s="6"/>
      <c r="DN1773" s="6"/>
      <c r="DO1773" s="6"/>
      <c r="DP1773" s="6"/>
      <c r="DQ1773" s="6"/>
      <c r="DR1773" s="6"/>
      <c r="DS1773" s="6"/>
      <c r="DT1773" s="6"/>
      <c r="DU1773" s="6"/>
      <c r="DV1773" s="6"/>
      <c r="DW1773" s="6"/>
      <c r="DX1773" s="6"/>
      <c r="DY1773" s="6"/>
      <c r="DZ1773" s="6"/>
      <c r="EA1773" s="6"/>
      <c r="EB1773" s="6"/>
      <c r="EC1773" s="6"/>
      <c r="ED1773" s="6"/>
      <c r="EE1773" s="6"/>
      <c r="EF1773" s="6"/>
      <c r="EG1773" s="6"/>
      <c r="EH1773" s="6"/>
      <c r="EI1773" s="6"/>
      <c r="EJ1773" s="6"/>
      <c r="EK1773" s="6"/>
      <c r="EL1773" s="6"/>
      <c r="EM1773" s="6"/>
      <c r="EN1773" s="6"/>
      <c r="EO1773" s="6"/>
      <c r="EP1773" s="6"/>
      <c r="EQ1773" s="6"/>
      <c r="ER1773" s="6"/>
      <c r="ES1773" s="6"/>
      <c r="ET1773" s="6"/>
      <c r="EU1773" s="6"/>
      <c r="EV1773" s="6"/>
      <c r="EW1773" s="6"/>
      <c r="EX1773" s="6"/>
      <c r="EY1773" s="6"/>
      <c r="EZ1773" s="6"/>
      <c r="FA1773" s="6"/>
      <c r="FB1773" s="6"/>
      <c r="FC1773" s="6"/>
      <c r="FD1773" s="6"/>
      <c r="FE1773" s="6"/>
      <c r="FF1773" s="6"/>
      <c r="FG1773" s="6"/>
      <c r="FH1773" s="6"/>
      <c r="FI1773" s="6"/>
      <c r="FJ1773" s="6"/>
      <c r="FK1773" s="6"/>
      <c r="FL1773" s="6"/>
      <c r="FM1773" s="6"/>
      <c r="FN1773" s="6"/>
      <c r="FO1773" s="6"/>
      <c r="FP1773" s="6"/>
      <c r="FQ1773" s="6"/>
      <c r="FR1773" s="6"/>
      <c r="FS1773" s="6"/>
      <c r="FT1773" s="6"/>
      <c r="FU1773" s="6"/>
      <c r="FV1773" s="6"/>
      <c r="FW1773" s="6"/>
      <c r="FX1773" s="6"/>
      <c r="FY1773" s="6"/>
      <c r="FZ1773" s="6"/>
      <c r="GA1773" s="6"/>
      <c r="GB1773" s="6"/>
      <c r="GC1773" s="6"/>
      <c r="GD1773" s="6"/>
      <c r="GE1773" s="6"/>
      <c r="GF1773" s="6"/>
      <c r="GG1773" s="6"/>
      <c r="GH1773" s="6"/>
      <c r="GI1773" s="6"/>
      <c r="GJ1773" s="6"/>
      <c r="GK1773" s="6"/>
      <c r="GL1773" s="6"/>
      <c r="GM1773" s="6"/>
      <c r="GN1773" s="6"/>
      <c r="GO1773" s="6"/>
      <c r="GP1773" s="6"/>
      <c r="GQ1773" s="6"/>
      <c r="GR1773" s="6"/>
      <c r="GS1773" s="6"/>
      <c r="GT1773" s="6"/>
      <c r="GU1773" s="6"/>
      <c r="GV1773" s="6"/>
      <c r="GW1773" s="6"/>
      <c r="GX1773" s="6"/>
      <c r="GY1773" s="6"/>
      <c r="GZ1773" s="6"/>
      <c r="HA1773" s="6"/>
      <c r="HB1773" s="6"/>
      <c r="HC1773" s="6"/>
      <c r="HD1773" s="6"/>
      <c r="HE1773" s="6"/>
      <c r="HF1773" s="6"/>
      <c r="HG1773" s="6"/>
      <c r="HH1773" s="6"/>
    </row>
    <row r="1774" spans="1:216" x14ac:dyDescent="0.3">
      <c r="A1774" s="8"/>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6"/>
      <c r="AR1774" s="6"/>
      <c r="AS1774" s="6"/>
      <c r="AT1774" s="6"/>
      <c r="AU1774" s="6"/>
      <c r="AV1774" s="6"/>
      <c r="AW1774" s="6"/>
      <c r="AX1774" s="6"/>
      <c r="AY1774" s="6"/>
      <c r="AZ1774" s="6"/>
      <c r="BA1774" s="6"/>
      <c r="BB1774" s="6"/>
      <c r="BC1774" s="6"/>
      <c r="BD1774" s="6"/>
      <c r="BE1774" s="6"/>
      <c r="BF1774" s="6"/>
      <c r="BG1774" s="6"/>
      <c r="BH1774" s="6"/>
      <c r="BI1774" s="6"/>
      <c r="BJ1774" s="6"/>
      <c r="BK1774" s="6"/>
      <c r="BL1774" s="6"/>
      <c r="BM1774" s="6"/>
      <c r="BN1774" s="6"/>
      <c r="BO1774" s="6"/>
      <c r="BP1774" s="6"/>
      <c r="BQ1774" s="6"/>
      <c r="BR1774" s="6"/>
      <c r="BS1774" s="6"/>
      <c r="BT1774" s="6"/>
      <c r="BU1774" s="6"/>
      <c r="BV1774" s="6"/>
      <c r="BW1774" s="6"/>
      <c r="BX1774" s="6"/>
      <c r="BY1774" s="6"/>
      <c r="BZ1774" s="6"/>
      <c r="CA1774" s="6"/>
      <c r="CB1774" s="6"/>
      <c r="CC1774" s="6"/>
      <c r="CD1774" s="6"/>
      <c r="CE1774" s="6"/>
      <c r="CF1774" s="6"/>
      <c r="CG1774" s="6"/>
      <c r="CH1774" s="6"/>
      <c r="CI1774" s="6"/>
      <c r="CJ1774" s="6"/>
      <c r="CK1774" s="6"/>
      <c r="CL1774" s="6"/>
      <c r="CM1774" s="6"/>
      <c r="CN1774" s="6"/>
      <c r="CO1774" s="6"/>
      <c r="CP1774" s="6"/>
      <c r="CQ1774" s="6"/>
      <c r="CR1774" s="6"/>
      <c r="CS1774" s="6"/>
      <c r="CT1774" s="6"/>
      <c r="CU1774" s="6"/>
      <c r="CV1774" s="6"/>
      <c r="CW1774" s="6"/>
      <c r="CX1774" s="6"/>
      <c r="CY1774" s="6"/>
      <c r="CZ1774" s="6"/>
      <c r="DA1774" s="6"/>
      <c r="DB1774" s="6"/>
      <c r="DC1774" s="6"/>
      <c r="DD1774" s="6"/>
      <c r="DE1774" s="6"/>
      <c r="DF1774" s="6"/>
      <c r="DG1774" s="6"/>
      <c r="DH1774" s="6"/>
      <c r="DI1774" s="6"/>
      <c r="DJ1774" s="6"/>
      <c r="DK1774" s="6"/>
      <c r="DL1774" s="6"/>
      <c r="DM1774" s="6"/>
      <c r="DN1774" s="6"/>
      <c r="DO1774" s="6"/>
      <c r="DP1774" s="6"/>
      <c r="DQ1774" s="6"/>
      <c r="DR1774" s="6"/>
      <c r="DS1774" s="6"/>
      <c r="DT1774" s="6"/>
      <c r="DU1774" s="6"/>
      <c r="DV1774" s="6"/>
      <c r="DW1774" s="6"/>
      <c r="DX1774" s="6"/>
      <c r="DY1774" s="6"/>
      <c r="DZ1774" s="6"/>
      <c r="EA1774" s="6"/>
      <c r="EB1774" s="6"/>
      <c r="EC1774" s="6"/>
      <c r="ED1774" s="6"/>
      <c r="EE1774" s="6"/>
      <c r="EF1774" s="6"/>
      <c r="EG1774" s="6"/>
      <c r="EH1774" s="6"/>
      <c r="EI1774" s="6"/>
      <c r="EJ1774" s="6"/>
      <c r="EK1774" s="6"/>
      <c r="EL1774" s="6"/>
      <c r="EM1774" s="6"/>
      <c r="EN1774" s="6"/>
      <c r="EO1774" s="6"/>
      <c r="EP1774" s="6"/>
      <c r="EQ1774" s="6"/>
      <c r="ER1774" s="6"/>
      <c r="ES1774" s="6"/>
      <c r="ET1774" s="6"/>
      <c r="EU1774" s="6"/>
      <c r="EV1774" s="6"/>
      <c r="EW1774" s="6"/>
      <c r="EX1774" s="6"/>
      <c r="EY1774" s="6"/>
      <c r="EZ1774" s="6"/>
      <c r="FA1774" s="6"/>
      <c r="FB1774" s="6"/>
      <c r="FC1774" s="6"/>
      <c r="FD1774" s="6"/>
      <c r="FE1774" s="6"/>
      <c r="FF1774" s="6"/>
      <c r="FG1774" s="6"/>
      <c r="FH1774" s="6"/>
      <c r="FI1774" s="6"/>
      <c r="FJ1774" s="6"/>
      <c r="FK1774" s="6"/>
      <c r="FL1774" s="6"/>
      <c r="FM1774" s="6"/>
      <c r="FN1774" s="6"/>
      <c r="FO1774" s="6"/>
      <c r="FP1774" s="6"/>
      <c r="FQ1774" s="6"/>
      <c r="FR1774" s="6"/>
      <c r="FS1774" s="6"/>
      <c r="FT1774" s="6"/>
      <c r="FU1774" s="6"/>
      <c r="FV1774" s="6"/>
      <c r="FW1774" s="6"/>
      <c r="FX1774" s="6"/>
      <c r="FY1774" s="6"/>
      <c r="FZ1774" s="6"/>
      <c r="GA1774" s="6"/>
      <c r="GB1774" s="6"/>
      <c r="GC1774" s="6"/>
      <c r="GD1774" s="6"/>
      <c r="GE1774" s="6"/>
      <c r="GF1774" s="6"/>
      <c r="GG1774" s="6"/>
      <c r="GH1774" s="6"/>
      <c r="GI1774" s="6"/>
      <c r="GJ1774" s="6"/>
      <c r="GK1774" s="6"/>
      <c r="GL1774" s="6"/>
      <c r="GM1774" s="6"/>
      <c r="GN1774" s="6"/>
      <c r="GO1774" s="6"/>
      <c r="GP1774" s="6"/>
      <c r="GQ1774" s="6"/>
      <c r="GR1774" s="6"/>
      <c r="GS1774" s="6"/>
      <c r="GT1774" s="6"/>
      <c r="GU1774" s="6"/>
      <c r="GV1774" s="6"/>
      <c r="GW1774" s="6"/>
      <c r="GX1774" s="6"/>
      <c r="GY1774" s="6"/>
      <c r="GZ1774" s="6"/>
      <c r="HA1774" s="6"/>
      <c r="HB1774" s="6"/>
      <c r="HC1774" s="6"/>
      <c r="HD1774" s="6"/>
      <c r="HE1774" s="6"/>
      <c r="HF1774" s="6"/>
      <c r="HG1774" s="6"/>
      <c r="HH1774" s="6"/>
    </row>
    <row r="1775" spans="1:216" x14ac:dyDescent="0.3">
      <c r="A1775" s="8"/>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6"/>
      <c r="AR1775" s="6"/>
      <c r="AS1775" s="6"/>
      <c r="AT1775" s="6"/>
      <c r="AU1775" s="6"/>
      <c r="AV1775" s="6"/>
      <c r="AW1775" s="6"/>
      <c r="AX1775" s="6"/>
      <c r="AY1775" s="6"/>
      <c r="AZ1775" s="6"/>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c r="DX1775" s="6"/>
      <c r="DY1775" s="6"/>
      <c r="DZ1775" s="6"/>
      <c r="EA1775" s="6"/>
      <c r="EB1775" s="6"/>
      <c r="EC1775" s="6"/>
      <c r="ED1775" s="6"/>
      <c r="EE1775" s="6"/>
      <c r="EF1775" s="6"/>
      <c r="EG1775" s="6"/>
      <c r="EH1775" s="6"/>
      <c r="EI1775" s="6"/>
      <c r="EJ1775" s="6"/>
      <c r="EK1775" s="6"/>
      <c r="EL1775" s="6"/>
      <c r="EM1775" s="6"/>
      <c r="EN1775" s="6"/>
      <c r="EO1775" s="6"/>
      <c r="EP1775" s="6"/>
      <c r="EQ1775" s="6"/>
      <c r="ER1775" s="6"/>
      <c r="ES1775" s="6"/>
      <c r="ET1775" s="6"/>
      <c r="EU1775" s="6"/>
      <c r="EV1775" s="6"/>
      <c r="EW1775" s="6"/>
      <c r="EX1775" s="6"/>
      <c r="EY1775" s="6"/>
      <c r="EZ1775" s="6"/>
      <c r="FA1775" s="6"/>
      <c r="FB1775" s="6"/>
      <c r="FC1775" s="6"/>
      <c r="FD1775" s="6"/>
      <c r="FE1775" s="6"/>
      <c r="FF1775" s="6"/>
      <c r="FG1775" s="6"/>
      <c r="FH1775" s="6"/>
      <c r="FI1775" s="6"/>
      <c r="FJ1775" s="6"/>
      <c r="FK1775" s="6"/>
      <c r="FL1775" s="6"/>
      <c r="FM1775" s="6"/>
      <c r="FN1775" s="6"/>
      <c r="FO1775" s="6"/>
      <c r="FP1775" s="6"/>
      <c r="FQ1775" s="6"/>
      <c r="FR1775" s="6"/>
      <c r="FS1775" s="6"/>
      <c r="FT1775" s="6"/>
      <c r="FU1775" s="6"/>
      <c r="FV1775" s="6"/>
      <c r="FW1775" s="6"/>
      <c r="FX1775" s="6"/>
      <c r="FY1775" s="6"/>
      <c r="FZ1775" s="6"/>
      <c r="GA1775" s="6"/>
      <c r="GB1775" s="6"/>
      <c r="GC1775" s="6"/>
      <c r="GD1775" s="6"/>
      <c r="GE1775" s="6"/>
      <c r="GF1775" s="6"/>
      <c r="GG1775" s="6"/>
      <c r="GH1775" s="6"/>
      <c r="GI1775" s="6"/>
      <c r="GJ1775" s="6"/>
      <c r="GK1775" s="6"/>
      <c r="GL1775" s="6"/>
      <c r="GM1775" s="6"/>
      <c r="GN1775" s="6"/>
      <c r="GO1775" s="6"/>
      <c r="GP1775" s="6"/>
      <c r="GQ1775" s="6"/>
      <c r="GR1775" s="6"/>
      <c r="GS1775" s="6"/>
      <c r="GT1775" s="6"/>
      <c r="GU1775" s="6"/>
      <c r="GV1775" s="6"/>
      <c r="GW1775" s="6"/>
      <c r="GX1775" s="6"/>
      <c r="GY1775" s="6"/>
      <c r="GZ1775" s="6"/>
      <c r="HA1775" s="6"/>
      <c r="HB1775" s="6"/>
      <c r="HC1775" s="6"/>
      <c r="HD1775" s="6"/>
      <c r="HE1775" s="6"/>
      <c r="HF1775" s="6"/>
      <c r="HG1775" s="6"/>
      <c r="HH1775" s="6"/>
    </row>
    <row r="1776" spans="1:216" x14ac:dyDescent="0.3">
      <c r="A1776" s="8"/>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6"/>
      <c r="AR1776" s="6"/>
      <c r="AS1776" s="6"/>
      <c r="AT1776" s="6"/>
      <c r="AU1776" s="6"/>
      <c r="AV1776" s="6"/>
      <c r="AW1776" s="6"/>
      <c r="AX1776" s="6"/>
      <c r="AY1776" s="6"/>
      <c r="AZ1776" s="6"/>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c r="DX1776" s="6"/>
      <c r="DY1776" s="6"/>
      <c r="DZ1776" s="6"/>
      <c r="EA1776" s="6"/>
      <c r="EB1776" s="6"/>
      <c r="EC1776" s="6"/>
      <c r="ED1776" s="6"/>
      <c r="EE1776" s="6"/>
      <c r="EF1776" s="6"/>
      <c r="EG1776" s="6"/>
      <c r="EH1776" s="6"/>
      <c r="EI1776" s="6"/>
      <c r="EJ1776" s="6"/>
      <c r="EK1776" s="6"/>
      <c r="EL1776" s="6"/>
      <c r="EM1776" s="6"/>
      <c r="EN1776" s="6"/>
      <c r="EO1776" s="6"/>
      <c r="EP1776" s="6"/>
      <c r="EQ1776" s="6"/>
      <c r="ER1776" s="6"/>
      <c r="ES1776" s="6"/>
      <c r="ET1776" s="6"/>
      <c r="EU1776" s="6"/>
      <c r="EV1776" s="6"/>
      <c r="EW1776" s="6"/>
      <c r="EX1776" s="6"/>
      <c r="EY1776" s="6"/>
      <c r="EZ1776" s="6"/>
      <c r="FA1776" s="6"/>
      <c r="FB1776" s="6"/>
      <c r="FC1776" s="6"/>
      <c r="FD1776" s="6"/>
      <c r="FE1776" s="6"/>
      <c r="FF1776" s="6"/>
      <c r="FG1776" s="6"/>
      <c r="FH1776" s="6"/>
      <c r="FI1776" s="6"/>
      <c r="FJ1776" s="6"/>
      <c r="FK1776" s="6"/>
      <c r="FL1776" s="6"/>
      <c r="FM1776" s="6"/>
      <c r="FN1776" s="6"/>
      <c r="FO1776" s="6"/>
      <c r="FP1776" s="6"/>
      <c r="FQ1776" s="6"/>
      <c r="FR1776" s="6"/>
      <c r="FS1776" s="6"/>
      <c r="FT1776" s="6"/>
      <c r="FU1776" s="6"/>
      <c r="FV1776" s="6"/>
      <c r="FW1776" s="6"/>
      <c r="FX1776" s="6"/>
      <c r="FY1776" s="6"/>
      <c r="FZ1776" s="6"/>
      <c r="GA1776" s="6"/>
      <c r="GB1776" s="6"/>
      <c r="GC1776" s="6"/>
      <c r="GD1776" s="6"/>
      <c r="GE1776" s="6"/>
      <c r="GF1776" s="6"/>
      <c r="GG1776" s="6"/>
      <c r="GH1776" s="6"/>
      <c r="GI1776" s="6"/>
      <c r="GJ1776" s="6"/>
      <c r="GK1776" s="6"/>
      <c r="GL1776" s="6"/>
      <c r="GM1776" s="6"/>
      <c r="GN1776" s="6"/>
      <c r="GO1776" s="6"/>
      <c r="GP1776" s="6"/>
      <c r="GQ1776" s="6"/>
      <c r="GR1776" s="6"/>
      <c r="GS1776" s="6"/>
      <c r="GT1776" s="6"/>
      <c r="GU1776" s="6"/>
      <c r="GV1776" s="6"/>
      <c r="GW1776" s="6"/>
      <c r="GX1776" s="6"/>
      <c r="GY1776" s="6"/>
      <c r="GZ1776" s="6"/>
      <c r="HA1776" s="6"/>
      <c r="HB1776" s="6"/>
      <c r="HC1776" s="6"/>
      <c r="HD1776" s="6"/>
      <c r="HE1776" s="6"/>
      <c r="HF1776" s="6"/>
      <c r="HG1776" s="6"/>
      <c r="HH1776" s="6"/>
    </row>
    <row r="1777" spans="1:216" x14ac:dyDescent="0.3">
      <c r="A1777" s="8"/>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6"/>
      <c r="AR1777" s="6"/>
      <c r="AS1777" s="6"/>
      <c r="AT1777" s="6"/>
      <c r="AU1777" s="6"/>
      <c r="AV1777" s="6"/>
      <c r="AW1777" s="6"/>
      <c r="AX1777" s="6"/>
      <c r="AY1777" s="6"/>
      <c r="AZ1777" s="6"/>
      <c r="BA1777" s="6"/>
      <c r="BB1777" s="6"/>
      <c r="BC1777" s="6"/>
      <c r="BD1777" s="6"/>
      <c r="BE1777" s="6"/>
      <c r="BF1777" s="6"/>
      <c r="BG1777" s="6"/>
      <c r="BH1777" s="6"/>
      <c r="BI1777" s="6"/>
      <c r="BJ1777" s="6"/>
      <c r="BK1777" s="6"/>
      <c r="BL1777" s="6"/>
      <c r="BM1777" s="6"/>
      <c r="BN1777" s="6"/>
      <c r="BO1777" s="6"/>
      <c r="BP1777" s="6"/>
      <c r="BQ1777" s="6"/>
      <c r="BR1777" s="6"/>
      <c r="BS1777" s="6"/>
      <c r="BT1777" s="6"/>
      <c r="BU1777" s="6"/>
      <c r="BV1777" s="6"/>
      <c r="BW1777" s="6"/>
      <c r="BX1777" s="6"/>
      <c r="BY1777" s="6"/>
      <c r="BZ1777" s="6"/>
      <c r="CA1777" s="6"/>
      <c r="CB1777" s="6"/>
      <c r="CC1777" s="6"/>
      <c r="CD1777" s="6"/>
      <c r="CE1777" s="6"/>
      <c r="CF1777" s="6"/>
      <c r="CG1777" s="6"/>
      <c r="CH1777" s="6"/>
      <c r="CI1777" s="6"/>
      <c r="CJ1777" s="6"/>
      <c r="CK1777" s="6"/>
      <c r="CL1777" s="6"/>
      <c r="CM1777" s="6"/>
      <c r="CN1777" s="6"/>
      <c r="CO1777" s="6"/>
      <c r="CP1777" s="6"/>
      <c r="CQ1777" s="6"/>
      <c r="CR1777" s="6"/>
      <c r="CS1777" s="6"/>
      <c r="CT1777" s="6"/>
      <c r="CU1777" s="6"/>
      <c r="CV1777" s="6"/>
      <c r="CW1777" s="6"/>
      <c r="CX1777" s="6"/>
      <c r="CY1777" s="6"/>
      <c r="CZ1777" s="6"/>
      <c r="DA1777" s="6"/>
      <c r="DB1777" s="6"/>
      <c r="DC1777" s="6"/>
      <c r="DD1777" s="6"/>
      <c r="DE1777" s="6"/>
      <c r="DF1777" s="6"/>
      <c r="DG1777" s="6"/>
      <c r="DH1777" s="6"/>
      <c r="DI1777" s="6"/>
      <c r="DJ1777" s="6"/>
      <c r="DK1777" s="6"/>
      <c r="DL1777" s="6"/>
      <c r="DM1777" s="6"/>
      <c r="DN1777" s="6"/>
      <c r="DO1777" s="6"/>
      <c r="DP1777" s="6"/>
      <c r="DQ1777" s="6"/>
      <c r="DR1777" s="6"/>
      <c r="DS1777" s="6"/>
      <c r="DT1777" s="6"/>
      <c r="DU1777" s="6"/>
      <c r="DV1777" s="6"/>
      <c r="DW1777" s="6"/>
      <c r="DX1777" s="6"/>
      <c r="DY1777" s="6"/>
      <c r="DZ1777" s="6"/>
      <c r="EA1777" s="6"/>
      <c r="EB1777" s="6"/>
      <c r="EC1777" s="6"/>
      <c r="ED1777" s="6"/>
      <c r="EE1777" s="6"/>
      <c r="EF1777" s="6"/>
      <c r="EG1777" s="6"/>
      <c r="EH1777" s="6"/>
      <c r="EI1777" s="6"/>
      <c r="EJ1777" s="6"/>
      <c r="EK1777" s="6"/>
      <c r="EL1777" s="6"/>
      <c r="EM1777" s="6"/>
      <c r="EN1777" s="6"/>
      <c r="EO1777" s="6"/>
      <c r="EP1777" s="6"/>
      <c r="EQ1777" s="6"/>
      <c r="ER1777" s="6"/>
      <c r="ES1777" s="6"/>
      <c r="ET1777" s="6"/>
      <c r="EU1777" s="6"/>
      <c r="EV1777" s="6"/>
      <c r="EW1777" s="6"/>
      <c r="EX1777" s="6"/>
      <c r="EY1777" s="6"/>
      <c r="EZ1777" s="6"/>
      <c r="FA1777" s="6"/>
      <c r="FB1777" s="6"/>
      <c r="FC1777" s="6"/>
      <c r="FD1777" s="6"/>
      <c r="FE1777" s="6"/>
      <c r="FF1777" s="6"/>
      <c r="FG1777" s="6"/>
      <c r="FH1777" s="6"/>
      <c r="FI1777" s="6"/>
      <c r="FJ1777" s="6"/>
      <c r="FK1777" s="6"/>
      <c r="FL1777" s="6"/>
      <c r="FM1777" s="6"/>
      <c r="FN1777" s="6"/>
      <c r="FO1777" s="6"/>
      <c r="FP1777" s="6"/>
      <c r="FQ1777" s="6"/>
      <c r="FR1777" s="6"/>
      <c r="FS1777" s="6"/>
      <c r="FT1777" s="6"/>
      <c r="FU1777" s="6"/>
      <c r="FV1777" s="6"/>
      <c r="FW1777" s="6"/>
      <c r="FX1777" s="6"/>
      <c r="FY1777" s="6"/>
      <c r="FZ1777" s="6"/>
      <c r="GA1777" s="6"/>
      <c r="GB1777" s="6"/>
      <c r="GC1777" s="6"/>
      <c r="GD1777" s="6"/>
      <c r="GE1777" s="6"/>
      <c r="GF1777" s="6"/>
      <c r="GG1777" s="6"/>
      <c r="GH1777" s="6"/>
      <c r="GI1777" s="6"/>
      <c r="GJ1777" s="6"/>
      <c r="GK1777" s="6"/>
      <c r="GL1777" s="6"/>
      <c r="GM1777" s="6"/>
      <c r="GN1777" s="6"/>
      <c r="GO1777" s="6"/>
      <c r="GP1777" s="6"/>
      <c r="GQ1777" s="6"/>
      <c r="GR1777" s="6"/>
      <c r="GS1777" s="6"/>
      <c r="GT1777" s="6"/>
      <c r="GU1777" s="6"/>
      <c r="GV1777" s="6"/>
      <c r="GW1777" s="6"/>
      <c r="GX1777" s="6"/>
      <c r="GY1777" s="6"/>
      <c r="GZ1777" s="6"/>
      <c r="HA1777" s="6"/>
      <c r="HB1777" s="6"/>
      <c r="HC1777" s="6"/>
      <c r="HD1777" s="6"/>
      <c r="HE1777" s="6"/>
      <c r="HF1777" s="6"/>
      <c r="HG1777" s="6"/>
      <c r="HH1777" s="6"/>
    </row>
    <row r="1778" spans="1:216" x14ac:dyDescent="0.3">
      <c r="A1778" s="8"/>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row>
    <row r="1779" spans="1:216" x14ac:dyDescent="0.3">
      <c r="A1779" s="8"/>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row>
    <row r="1780" spans="1:216" x14ac:dyDescent="0.3">
      <c r="A1780" s="8"/>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6"/>
      <c r="AR1780" s="6"/>
      <c r="AS1780" s="6"/>
      <c r="AT1780" s="6"/>
      <c r="AU1780" s="6"/>
      <c r="AV1780" s="6"/>
      <c r="AW1780" s="6"/>
      <c r="AX1780" s="6"/>
      <c r="AY1780" s="6"/>
      <c r="AZ1780" s="6"/>
      <c r="BA1780" s="6"/>
      <c r="BB1780" s="6"/>
      <c r="BC1780" s="6"/>
      <c r="BD1780" s="6"/>
      <c r="BE1780" s="6"/>
      <c r="BF1780" s="6"/>
      <c r="BG1780" s="6"/>
      <c r="BH1780" s="6"/>
      <c r="BI1780" s="6"/>
      <c r="BJ1780" s="6"/>
      <c r="BK1780" s="6"/>
      <c r="BL1780" s="6"/>
      <c r="BM1780" s="6"/>
      <c r="BN1780" s="6"/>
      <c r="BO1780" s="6"/>
      <c r="BP1780" s="6"/>
      <c r="BQ1780" s="6"/>
      <c r="BR1780" s="6"/>
      <c r="BS1780" s="6"/>
      <c r="BT1780" s="6"/>
      <c r="BU1780" s="6"/>
      <c r="BV1780" s="6"/>
      <c r="BW1780" s="6"/>
      <c r="BX1780" s="6"/>
      <c r="BY1780" s="6"/>
      <c r="BZ1780" s="6"/>
      <c r="CA1780" s="6"/>
      <c r="CB1780" s="6"/>
      <c r="CC1780" s="6"/>
      <c r="CD1780" s="6"/>
      <c r="CE1780" s="6"/>
      <c r="CF1780" s="6"/>
      <c r="CG1780" s="6"/>
      <c r="CH1780" s="6"/>
      <c r="CI1780" s="6"/>
      <c r="CJ1780" s="6"/>
      <c r="CK1780" s="6"/>
      <c r="CL1780" s="6"/>
      <c r="CM1780" s="6"/>
      <c r="CN1780" s="6"/>
      <c r="CO1780" s="6"/>
      <c r="CP1780" s="6"/>
      <c r="CQ1780" s="6"/>
      <c r="CR1780" s="6"/>
      <c r="CS1780" s="6"/>
      <c r="CT1780" s="6"/>
      <c r="CU1780" s="6"/>
      <c r="CV1780" s="6"/>
      <c r="CW1780" s="6"/>
      <c r="CX1780" s="6"/>
      <c r="CY1780" s="6"/>
      <c r="CZ1780" s="6"/>
      <c r="DA1780" s="6"/>
      <c r="DB1780" s="6"/>
      <c r="DC1780" s="6"/>
      <c r="DD1780" s="6"/>
      <c r="DE1780" s="6"/>
      <c r="DF1780" s="6"/>
      <c r="DG1780" s="6"/>
      <c r="DH1780" s="6"/>
      <c r="DI1780" s="6"/>
      <c r="DJ1780" s="6"/>
      <c r="DK1780" s="6"/>
      <c r="DL1780" s="6"/>
      <c r="DM1780" s="6"/>
      <c r="DN1780" s="6"/>
      <c r="DO1780" s="6"/>
      <c r="DP1780" s="6"/>
      <c r="DQ1780" s="6"/>
      <c r="DR1780" s="6"/>
      <c r="DS1780" s="6"/>
      <c r="DT1780" s="6"/>
      <c r="DU1780" s="6"/>
      <c r="DV1780" s="6"/>
      <c r="DW1780" s="6"/>
      <c r="DX1780" s="6"/>
      <c r="DY1780" s="6"/>
      <c r="DZ1780" s="6"/>
      <c r="EA1780" s="6"/>
      <c r="EB1780" s="6"/>
      <c r="EC1780" s="6"/>
      <c r="ED1780" s="6"/>
      <c r="EE1780" s="6"/>
      <c r="EF1780" s="6"/>
      <c r="EG1780" s="6"/>
      <c r="EH1780" s="6"/>
      <c r="EI1780" s="6"/>
      <c r="EJ1780" s="6"/>
      <c r="EK1780" s="6"/>
      <c r="EL1780" s="6"/>
      <c r="EM1780" s="6"/>
      <c r="EN1780" s="6"/>
      <c r="EO1780" s="6"/>
      <c r="EP1780" s="6"/>
      <c r="EQ1780" s="6"/>
      <c r="ER1780" s="6"/>
      <c r="ES1780" s="6"/>
      <c r="ET1780" s="6"/>
      <c r="EU1780" s="6"/>
      <c r="EV1780" s="6"/>
      <c r="EW1780" s="6"/>
      <c r="EX1780" s="6"/>
      <c r="EY1780" s="6"/>
      <c r="EZ1780" s="6"/>
      <c r="FA1780" s="6"/>
      <c r="FB1780" s="6"/>
      <c r="FC1780" s="6"/>
      <c r="FD1780" s="6"/>
      <c r="FE1780" s="6"/>
      <c r="FF1780" s="6"/>
      <c r="FG1780" s="6"/>
      <c r="FH1780" s="6"/>
      <c r="FI1780" s="6"/>
      <c r="FJ1780" s="6"/>
      <c r="FK1780" s="6"/>
      <c r="FL1780" s="6"/>
      <c r="FM1780" s="6"/>
      <c r="FN1780" s="6"/>
      <c r="FO1780" s="6"/>
      <c r="FP1780" s="6"/>
      <c r="FQ1780" s="6"/>
      <c r="FR1780" s="6"/>
      <c r="FS1780" s="6"/>
      <c r="FT1780" s="6"/>
      <c r="FU1780" s="6"/>
      <c r="FV1780" s="6"/>
      <c r="FW1780" s="6"/>
      <c r="FX1780" s="6"/>
      <c r="FY1780" s="6"/>
      <c r="FZ1780" s="6"/>
      <c r="GA1780" s="6"/>
      <c r="GB1780" s="6"/>
      <c r="GC1780" s="6"/>
      <c r="GD1780" s="6"/>
      <c r="GE1780" s="6"/>
      <c r="GF1780" s="6"/>
      <c r="GG1780" s="6"/>
      <c r="GH1780" s="6"/>
      <c r="GI1780" s="6"/>
      <c r="GJ1780" s="6"/>
      <c r="GK1780" s="6"/>
      <c r="GL1780" s="6"/>
      <c r="GM1780" s="6"/>
      <c r="GN1780" s="6"/>
      <c r="GO1780" s="6"/>
      <c r="GP1780" s="6"/>
      <c r="GQ1780" s="6"/>
      <c r="GR1780" s="6"/>
      <c r="GS1780" s="6"/>
      <c r="GT1780" s="6"/>
      <c r="GU1780" s="6"/>
      <c r="GV1780" s="6"/>
      <c r="GW1780" s="6"/>
      <c r="GX1780" s="6"/>
      <c r="GY1780" s="6"/>
      <c r="GZ1780" s="6"/>
      <c r="HA1780" s="6"/>
      <c r="HB1780" s="6"/>
      <c r="HC1780" s="6"/>
      <c r="HD1780" s="6"/>
      <c r="HE1780" s="6"/>
      <c r="HF1780" s="6"/>
      <c r="HG1780" s="6"/>
      <c r="HH1780" s="6"/>
    </row>
    <row r="1781" spans="1:216" x14ac:dyDescent="0.3">
      <c r="A1781" s="8"/>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6"/>
      <c r="AR1781" s="6"/>
      <c r="AS1781" s="6"/>
      <c r="AT1781" s="6"/>
      <c r="AU1781" s="6"/>
      <c r="AV1781" s="6"/>
      <c r="AW1781" s="6"/>
      <c r="AX1781" s="6"/>
      <c r="AY1781" s="6"/>
      <c r="AZ1781" s="6"/>
      <c r="BA1781" s="6"/>
      <c r="BB1781" s="6"/>
      <c r="BC1781" s="6"/>
      <c r="BD1781" s="6"/>
      <c r="BE1781" s="6"/>
      <c r="BF1781" s="6"/>
      <c r="BG1781" s="6"/>
      <c r="BH1781" s="6"/>
      <c r="BI1781" s="6"/>
      <c r="BJ1781" s="6"/>
      <c r="BK1781" s="6"/>
      <c r="BL1781" s="6"/>
      <c r="BM1781" s="6"/>
      <c r="BN1781" s="6"/>
      <c r="BO1781" s="6"/>
      <c r="BP1781" s="6"/>
      <c r="BQ1781" s="6"/>
      <c r="BR1781" s="6"/>
      <c r="BS1781" s="6"/>
      <c r="BT1781" s="6"/>
      <c r="BU1781" s="6"/>
      <c r="BV1781" s="6"/>
      <c r="BW1781" s="6"/>
      <c r="BX1781" s="6"/>
      <c r="BY1781" s="6"/>
      <c r="BZ1781" s="6"/>
      <c r="CA1781" s="6"/>
      <c r="CB1781" s="6"/>
      <c r="CC1781" s="6"/>
      <c r="CD1781" s="6"/>
      <c r="CE1781" s="6"/>
      <c r="CF1781" s="6"/>
      <c r="CG1781" s="6"/>
      <c r="CH1781" s="6"/>
      <c r="CI1781" s="6"/>
      <c r="CJ1781" s="6"/>
      <c r="CK1781" s="6"/>
      <c r="CL1781" s="6"/>
      <c r="CM1781" s="6"/>
      <c r="CN1781" s="6"/>
      <c r="CO1781" s="6"/>
      <c r="CP1781" s="6"/>
      <c r="CQ1781" s="6"/>
      <c r="CR1781" s="6"/>
      <c r="CS1781" s="6"/>
      <c r="CT1781" s="6"/>
      <c r="CU1781" s="6"/>
      <c r="CV1781" s="6"/>
      <c r="CW1781" s="6"/>
      <c r="CX1781" s="6"/>
      <c r="CY1781" s="6"/>
      <c r="CZ1781" s="6"/>
      <c r="DA1781" s="6"/>
      <c r="DB1781" s="6"/>
      <c r="DC1781" s="6"/>
      <c r="DD1781" s="6"/>
      <c r="DE1781" s="6"/>
      <c r="DF1781" s="6"/>
      <c r="DG1781" s="6"/>
      <c r="DH1781" s="6"/>
      <c r="DI1781" s="6"/>
      <c r="DJ1781" s="6"/>
      <c r="DK1781" s="6"/>
      <c r="DL1781" s="6"/>
      <c r="DM1781" s="6"/>
      <c r="DN1781" s="6"/>
      <c r="DO1781" s="6"/>
      <c r="DP1781" s="6"/>
      <c r="DQ1781" s="6"/>
      <c r="DR1781" s="6"/>
      <c r="DS1781" s="6"/>
      <c r="DT1781" s="6"/>
      <c r="DU1781" s="6"/>
      <c r="DV1781" s="6"/>
      <c r="DW1781" s="6"/>
      <c r="DX1781" s="6"/>
      <c r="DY1781" s="6"/>
      <c r="DZ1781" s="6"/>
      <c r="EA1781" s="6"/>
      <c r="EB1781" s="6"/>
      <c r="EC1781" s="6"/>
      <c r="ED1781" s="6"/>
      <c r="EE1781" s="6"/>
      <c r="EF1781" s="6"/>
      <c r="EG1781" s="6"/>
      <c r="EH1781" s="6"/>
      <c r="EI1781" s="6"/>
      <c r="EJ1781" s="6"/>
      <c r="EK1781" s="6"/>
      <c r="EL1781" s="6"/>
      <c r="EM1781" s="6"/>
      <c r="EN1781" s="6"/>
      <c r="EO1781" s="6"/>
      <c r="EP1781" s="6"/>
      <c r="EQ1781" s="6"/>
      <c r="ER1781" s="6"/>
      <c r="ES1781" s="6"/>
      <c r="ET1781" s="6"/>
      <c r="EU1781" s="6"/>
      <c r="EV1781" s="6"/>
      <c r="EW1781" s="6"/>
      <c r="EX1781" s="6"/>
      <c r="EY1781" s="6"/>
      <c r="EZ1781" s="6"/>
      <c r="FA1781" s="6"/>
      <c r="FB1781" s="6"/>
      <c r="FC1781" s="6"/>
      <c r="FD1781" s="6"/>
      <c r="FE1781" s="6"/>
      <c r="FF1781" s="6"/>
      <c r="FG1781" s="6"/>
      <c r="FH1781" s="6"/>
      <c r="FI1781" s="6"/>
      <c r="FJ1781" s="6"/>
      <c r="FK1781" s="6"/>
      <c r="FL1781" s="6"/>
      <c r="FM1781" s="6"/>
      <c r="FN1781" s="6"/>
      <c r="FO1781" s="6"/>
      <c r="FP1781" s="6"/>
      <c r="FQ1781" s="6"/>
      <c r="FR1781" s="6"/>
      <c r="FS1781" s="6"/>
      <c r="FT1781" s="6"/>
      <c r="FU1781" s="6"/>
      <c r="FV1781" s="6"/>
      <c r="FW1781" s="6"/>
      <c r="FX1781" s="6"/>
      <c r="FY1781" s="6"/>
      <c r="FZ1781" s="6"/>
      <c r="GA1781" s="6"/>
      <c r="GB1781" s="6"/>
      <c r="GC1781" s="6"/>
      <c r="GD1781" s="6"/>
      <c r="GE1781" s="6"/>
      <c r="GF1781" s="6"/>
      <c r="GG1781" s="6"/>
      <c r="GH1781" s="6"/>
      <c r="GI1781" s="6"/>
      <c r="GJ1781" s="6"/>
      <c r="GK1781" s="6"/>
      <c r="GL1781" s="6"/>
      <c r="GM1781" s="6"/>
      <c r="GN1781" s="6"/>
      <c r="GO1781" s="6"/>
      <c r="GP1781" s="6"/>
      <c r="GQ1781" s="6"/>
      <c r="GR1781" s="6"/>
      <c r="GS1781" s="6"/>
      <c r="GT1781" s="6"/>
      <c r="GU1781" s="6"/>
      <c r="GV1781" s="6"/>
      <c r="GW1781" s="6"/>
      <c r="GX1781" s="6"/>
      <c r="GY1781" s="6"/>
      <c r="GZ1781" s="6"/>
      <c r="HA1781" s="6"/>
      <c r="HB1781" s="6"/>
      <c r="HC1781" s="6"/>
      <c r="HD1781" s="6"/>
      <c r="HE1781" s="6"/>
      <c r="HF1781" s="6"/>
      <c r="HG1781" s="6"/>
      <c r="HH1781" s="6"/>
    </row>
    <row r="1782" spans="1:216" x14ac:dyDescent="0.3">
      <c r="A1782" s="8"/>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6"/>
      <c r="AR1782" s="6"/>
      <c r="AS1782" s="6"/>
      <c r="AT1782" s="6"/>
      <c r="AU1782" s="6"/>
      <c r="AV1782" s="6"/>
      <c r="AW1782" s="6"/>
      <c r="AX1782" s="6"/>
      <c r="AY1782" s="6"/>
      <c r="AZ1782" s="6"/>
      <c r="BA1782" s="6"/>
      <c r="BB1782" s="6"/>
      <c r="BC1782" s="6"/>
      <c r="BD1782" s="6"/>
      <c r="BE1782" s="6"/>
      <c r="BF1782" s="6"/>
      <c r="BG1782" s="6"/>
      <c r="BH1782" s="6"/>
      <c r="BI1782" s="6"/>
      <c r="BJ1782" s="6"/>
      <c r="BK1782" s="6"/>
      <c r="BL1782" s="6"/>
      <c r="BM1782" s="6"/>
      <c r="BN1782" s="6"/>
      <c r="BO1782" s="6"/>
      <c r="BP1782" s="6"/>
      <c r="BQ1782" s="6"/>
      <c r="BR1782" s="6"/>
      <c r="BS1782" s="6"/>
      <c r="BT1782" s="6"/>
      <c r="BU1782" s="6"/>
      <c r="BV1782" s="6"/>
      <c r="BW1782" s="6"/>
      <c r="BX1782" s="6"/>
      <c r="BY1782" s="6"/>
      <c r="BZ1782" s="6"/>
      <c r="CA1782" s="6"/>
      <c r="CB1782" s="6"/>
      <c r="CC1782" s="6"/>
      <c r="CD1782" s="6"/>
      <c r="CE1782" s="6"/>
      <c r="CF1782" s="6"/>
      <c r="CG1782" s="6"/>
      <c r="CH1782" s="6"/>
      <c r="CI1782" s="6"/>
      <c r="CJ1782" s="6"/>
      <c r="CK1782" s="6"/>
      <c r="CL1782" s="6"/>
      <c r="CM1782" s="6"/>
      <c r="CN1782" s="6"/>
      <c r="CO1782" s="6"/>
      <c r="CP1782" s="6"/>
      <c r="CQ1782" s="6"/>
      <c r="CR1782" s="6"/>
      <c r="CS1782" s="6"/>
      <c r="CT1782" s="6"/>
      <c r="CU1782" s="6"/>
      <c r="CV1782" s="6"/>
      <c r="CW1782" s="6"/>
      <c r="CX1782" s="6"/>
      <c r="CY1782" s="6"/>
      <c r="CZ1782" s="6"/>
      <c r="DA1782" s="6"/>
      <c r="DB1782" s="6"/>
      <c r="DC1782" s="6"/>
      <c r="DD1782" s="6"/>
      <c r="DE1782" s="6"/>
      <c r="DF1782" s="6"/>
      <c r="DG1782" s="6"/>
      <c r="DH1782" s="6"/>
      <c r="DI1782" s="6"/>
      <c r="DJ1782" s="6"/>
      <c r="DK1782" s="6"/>
      <c r="DL1782" s="6"/>
      <c r="DM1782" s="6"/>
      <c r="DN1782" s="6"/>
      <c r="DO1782" s="6"/>
      <c r="DP1782" s="6"/>
      <c r="DQ1782" s="6"/>
      <c r="DR1782" s="6"/>
      <c r="DS1782" s="6"/>
      <c r="DT1782" s="6"/>
      <c r="DU1782" s="6"/>
      <c r="DV1782" s="6"/>
      <c r="DW1782" s="6"/>
      <c r="DX1782" s="6"/>
      <c r="DY1782" s="6"/>
      <c r="DZ1782" s="6"/>
      <c r="EA1782" s="6"/>
      <c r="EB1782" s="6"/>
      <c r="EC1782" s="6"/>
      <c r="ED1782" s="6"/>
      <c r="EE1782" s="6"/>
      <c r="EF1782" s="6"/>
      <c r="EG1782" s="6"/>
      <c r="EH1782" s="6"/>
      <c r="EI1782" s="6"/>
      <c r="EJ1782" s="6"/>
      <c r="EK1782" s="6"/>
      <c r="EL1782" s="6"/>
      <c r="EM1782" s="6"/>
      <c r="EN1782" s="6"/>
      <c r="EO1782" s="6"/>
      <c r="EP1782" s="6"/>
      <c r="EQ1782" s="6"/>
      <c r="ER1782" s="6"/>
      <c r="ES1782" s="6"/>
      <c r="ET1782" s="6"/>
      <c r="EU1782" s="6"/>
      <c r="EV1782" s="6"/>
      <c r="EW1782" s="6"/>
      <c r="EX1782" s="6"/>
      <c r="EY1782" s="6"/>
      <c r="EZ1782" s="6"/>
      <c r="FA1782" s="6"/>
      <c r="FB1782" s="6"/>
      <c r="FC1782" s="6"/>
      <c r="FD1782" s="6"/>
      <c r="FE1782" s="6"/>
      <c r="FF1782" s="6"/>
      <c r="FG1782" s="6"/>
      <c r="FH1782" s="6"/>
      <c r="FI1782" s="6"/>
      <c r="FJ1782" s="6"/>
      <c r="FK1782" s="6"/>
      <c r="FL1782" s="6"/>
      <c r="FM1782" s="6"/>
      <c r="FN1782" s="6"/>
      <c r="FO1782" s="6"/>
      <c r="FP1782" s="6"/>
      <c r="FQ1782" s="6"/>
      <c r="FR1782" s="6"/>
      <c r="FS1782" s="6"/>
      <c r="FT1782" s="6"/>
      <c r="FU1782" s="6"/>
      <c r="FV1782" s="6"/>
      <c r="FW1782" s="6"/>
      <c r="FX1782" s="6"/>
      <c r="FY1782" s="6"/>
      <c r="FZ1782" s="6"/>
      <c r="GA1782" s="6"/>
      <c r="GB1782" s="6"/>
      <c r="GC1782" s="6"/>
      <c r="GD1782" s="6"/>
      <c r="GE1782" s="6"/>
      <c r="GF1782" s="6"/>
      <c r="GG1782" s="6"/>
      <c r="GH1782" s="6"/>
      <c r="GI1782" s="6"/>
      <c r="GJ1782" s="6"/>
      <c r="GK1782" s="6"/>
      <c r="GL1782" s="6"/>
      <c r="GM1782" s="6"/>
      <c r="GN1782" s="6"/>
      <c r="GO1782" s="6"/>
      <c r="GP1782" s="6"/>
      <c r="GQ1782" s="6"/>
      <c r="GR1782" s="6"/>
      <c r="GS1782" s="6"/>
      <c r="GT1782" s="6"/>
      <c r="GU1782" s="6"/>
      <c r="GV1782" s="6"/>
      <c r="GW1782" s="6"/>
      <c r="GX1782" s="6"/>
      <c r="GY1782" s="6"/>
      <c r="GZ1782" s="6"/>
      <c r="HA1782" s="6"/>
      <c r="HB1782" s="6"/>
      <c r="HC1782" s="6"/>
      <c r="HD1782" s="6"/>
      <c r="HE1782" s="6"/>
      <c r="HF1782" s="6"/>
      <c r="HG1782" s="6"/>
      <c r="HH1782" s="6"/>
    </row>
    <row r="1783" spans="1:216" x14ac:dyDescent="0.3">
      <c r="A1783" s="8"/>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6"/>
      <c r="AR1783" s="6"/>
      <c r="AS1783" s="6"/>
      <c r="AT1783" s="6"/>
      <c r="AU1783" s="6"/>
      <c r="AV1783" s="6"/>
      <c r="AW1783" s="6"/>
      <c r="AX1783" s="6"/>
      <c r="AY1783" s="6"/>
      <c r="AZ1783" s="6"/>
      <c r="BA1783" s="6"/>
      <c r="BB1783" s="6"/>
      <c r="BC1783" s="6"/>
      <c r="BD1783" s="6"/>
      <c r="BE1783" s="6"/>
      <c r="BF1783" s="6"/>
      <c r="BG1783" s="6"/>
      <c r="BH1783" s="6"/>
      <c r="BI1783" s="6"/>
      <c r="BJ1783" s="6"/>
      <c r="BK1783" s="6"/>
      <c r="BL1783" s="6"/>
      <c r="BM1783" s="6"/>
      <c r="BN1783" s="6"/>
      <c r="BO1783" s="6"/>
      <c r="BP1783" s="6"/>
      <c r="BQ1783" s="6"/>
      <c r="BR1783" s="6"/>
      <c r="BS1783" s="6"/>
      <c r="BT1783" s="6"/>
      <c r="BU1783" s="6"/>
      <c r="BV1783" s="6"/>
      <c r="BW1783" s="6"/>
      <c r="BX1783" s="6"/>
      <c r="BY1783" s="6"/>
      <c r="BZ1783" s="6"/>
      <c r="CA1783" s="6"/>
      <c r="CB1783" s="6"/>
      <c r="CC1783" s="6"/>
      <c r="CD1783" s="6"/>
      <c r="CE1783" s="6"/>
      <c r="CF1783" s="6"/>
      <c r="CG1783" s="6"/>
      <c r="CH1783" s="6"/>
      <c r="CI1783" s="6"/>
      <c r="CJ1783" s="6"/>
      <c r="CK1783" s="6"/>
      <c r="CL1783" s="6"/>
      <c r="CM1783" s="6"/>
      <c r="CN1783" s="6"/>
      <c r="CO1783" s="6"/>
      <c r="CP1783" s="6"/>
      <c r="CQ1783" s="6"/>
      <c r="CR1783" s="6"/>
      <c r="CS1783" s="6"/>
      <c r="CT1783" s="6"/>
      <c r="CU1783" s="6"/>
      <c r="CV1783" s="6"/>
      <c r="CW1783" s="6"/>
      <c r="CX1783" s="6"/>
      <c r="CY1783" s="6"/>
      <c r="CZ1783" s="6"/>
      <c r="DA1783" s="6"/>
      <c r="DB1783" s="6"/>
      <c r="DC1783" s="6"/>
      <c r="DD1783" s="6"/>
      <c r="DE1783" s="6"/>
      <c r="DF1783" s="6"/>
      <c r="DG1783" s="6"/>
      <c r="DH1783" s="6"/>
      <c r="DI1783" s="6"/>
      <c r="DJ1783" s="6"/>
      <c r="DK1783" s="6"/>
      <c r="DL1783" s="6"/>
      <c r="DM1783" s="6"/>
      <c r="DN1783" s="6"/>
      <c r="DO1783" s="6"/>
      <c r="DP1783" s="6"/>
      <c r="DQ1783" s="6"/>
      <c r="DR1783" s="6"/>
      <c r="DS1783" s="6"/>
      <c r="DT1783" s="6"/>
      <c r="DU1783" s="6"/>
      <c r="DV1783" s="6"/>
      <c r="DW1783" s="6"/>
      <c r="DX1783" s="6"/>
      <c r="DY1783" s="6"/>
      <c r="DZ1783" s="6"/>
      <c r="EA1783" s="6"/>
      <c r="EB1783" s="6"/>
      <c r="EC1783" s="6"/>
      <c r="ED1783" s="6"/>
      <c r="EE1783" s="6"/>
      <c r="EF1783" s="6"/>
      <c r="EG1783" s="6"/>
      <c r="EH1783" s="6"/>
      <c r="EI1783" s="6"/>
      <c r="EJ1783" s="6"/>
      <c r="EK1783" s="6"/>
      <c r="EL1783" s="6"/>
      <c r="EM1783" s="6"/>
      <c r="EN1783" s="6"/>
      <c r="EO1783" s="6"/>
      <c r="EP1783" s="6"/>
      <c r="EQ1783" s="6"/>
      <c r="ER1783" s="6"/>
      <c r="ES1783" s="6"/>
      <c r="ET1783" s="6"/>
      <c r="EU1783" s="6"/>
      <c r="EV1783" s="6"/>
      <c r="EW1783" s="6"/>
      <c r="EX1783" s="6"/>
      <c r="EY1783" s="6"/>
      <c r="EZ1783" s="6"/>
      <c r="FA1783" s="6"/>
      <c r="FB1783" s="6"/>
      <c r="FC1783" s="6"/>
      <c r="FD1783" s="6"/>
      <c r="FE1783" s="6"/>
      <c r="FF1783" s="6"/>
      <c r="FG1783" s="6"/>
      <c r="FH1783" s="6"/>
      <c r="FI1783" s="6"/>
      <c r="FJ1783" s="6"/>
      <c r="FK1783" s="6"/>
      <c r="FL1783" s="6"/>
      <c r="FM1783" s="6"/>
      <c r="FN1783" s="6"/>
      <c r="FO1783" s="6"/>
      <c r="FP1783" s="6"/>
      <c r="FQ1783" s="6"/>
      <c r="FR1783" s="6"/>
      <c r="FS1783" s="6"/>
      <c r="FT1783" s="6"/>
      <c r="FU1783" s="6"/>
      <c r="FV1783" s="6"/>
      <c r="FW1783" s="6"/>
      <c r="FX1783" s="6"/>
      <c r="FY1783" s="6"/>
      <c r="FZ1783" s="6"/>
      <c r="GA1783" s="6"/>
      <c r="GB1783" s="6"/>
      <c r="GC1783" s="6"/>
      <c r="GD1783" s="6"/>
      <c r="GE1783" s="6"/>
      <c r="GF1783" s="6"/>
      <c r="GG1783" s="6"/>
      <c r="GH1783" s="6"/>
      <c r="GI1783" s="6"/>
      <c r="GJ1783" s="6"/>
      <c r="GK1783" s="6"/>
      <c r="GL1783" s="6"/>
      <c r="GM1783" s="6"/>
      <c r="GN1783" s="6"/>
      <c r="GO1783" s="6"/>
      <c r="GP1783" s="6"/>
      <c r="GQ1783" s="6"/>
      <c r="GR1783" s="6"/>
      <c r="GS1783" s="6"/>
      <c r="GT1783" s="6"/>
      <c r="GU1783" s="6"/>
      <c r="GV1783" s="6"/>
      <c r="GW1783" s="6"/>
      <c r="GX1783" s="6"/>
      <c r="GY1783" s="6"/>
      <c r="GZ1783" s="6"/>
      <c r="HA1783" s="6"/>
      <c r="HB1783" s="6"/>
      <c r="HC1783" s="6"/>
      <c r="HD1783" s="6"/>
      <c r="HE1783" s="6"/>
      <c r="HF1783" s="6"/>
      <c r="HG1783" s="6"/>
      <c r="HH1783" s="6"/>
    </row>
    <row r="1784" spans="1:216" x14ac:dyDescent="0.3">
      <c r="A1784" s="8"/>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6"/>
      <c r="AR1784" s="6"/>
      <c r="AS1784" s="6"/>
      <c r="AT1784" s="6"/>
      <c r="AU1784" s="6"/>
      <c r="AV1784" s="6"/>
      <c r="AW1784" s="6"/>
      <c r="AX1784" s="6"/>
      <c r="AY1784" s="6"/>
      <c r="AZ1784" s="6"/>
      <c r="BA1784" s="6"/>
      <c r="BB1784" s="6"/>
      <c r="BC1784" s="6"/>
      <c r="BD1784" s="6"/>
      <c r="BE1784" s="6"/>
      <c r="BF1784" s="6"/>
      <c r="BG1784" s="6"/>
      <c r="BH1784" s="6"/>
      <c r="BI1784" s="6"/>
      <c r="BJ1784" s="6"/>
      <c r="BK1784" s="6"/>
      <c r="BL1784" s="6"/>
      <c r="BM1784" s="6"/>
      <c r="BN1784" s="6"/>
      <c r="BO1784" s="6"/>
      <c r="BP1784" s="6"/>
      <c r="BQ1784" s="6"/>
      <c r="BR1784" s="6"/>
      <c r="BS1784" s="6"/>
      <c r="BT1784" s="6"/>
      <c r="BU1784" s="6"/>
      <c r="BV1784" s="6"/>
      <c r="BW1784" s="6"/>
      <c r="BX1784" s="6"/>
      <c r="BY1784" s="6"/>
      <c r="BZ1784" s="6"/>
      <c r="CA1784" s="6"/>
      <c r="CB1784" s="6"/>
      <c r="CC1784" s="6"/>
      <c r="CD1784" s="6"/>
      <c r="CE1784" s="6"/>
      <c r="CF1784" s="6"/>
      <c r="CG1784" s="6"/>
      <c r="CH1784" s="6"/>
      <c r="CI1784" s="6"/>
      <c r="CJ1784" s="6"/>
      <c r="CK1784" s="6"/>
      <c r="CL1784" s="6"/>
      <c r="CM1784" s="6"/>
      <c r="CN1784" s="6"/>
      <c r="CO1784" s="6"/>
      <c r="CP1784" s="6"/>
      <c r="CQ1784" s="6"/>
      <c r="CR1784" s="6"/>
      <c r="CS1784" s="6"/>
      <c r="CT1784" s="6"/>
      <c r="CU1784" s="6"/>
      <c r="CV1784" s="6"/>
      <c r="CW1784" s="6"/>
      <c r="CX1784" s="6"/>
      <c r="CY1784" s="6"/>
      <c r="CZ1784" s="6"/>
      <c r="DA1784" s="6"/>
      <c r="DB1784" s="6"/>
      <c r="DC1784" s="6"/>
      <c r="DD1784" s="6"/>
      <c r="DE1784" s="6"/>
      <c r="DF1784" s="6"/>
      <c r="DG1784" s="6"/>
      <c r="DH1784" s="6"/>
      <c r="DI1784" s="6"/>
      <c r="DJ1784" s="6"/>
      <c r="DK1784" s="6"/>
      <c r="DL1784" s="6"/>
      <c r="DM1784" s="6"/>
      <c r="DN1784" s="6"/>
      <c r="DO1784" s="6"/>
      <c r="DP1784" s="6"/>
      <c r="DQ1784" s="6"/>
      <c r="DR1784" s="6"/>
      <c r="DS1784" s="6"/>
      <c r="DT1784" s="6"/>
      <c r="DU1784" s="6"/>
      <c r="DV1784" s="6"/>
      <c r="DW1784" s="6"/>
      <c r="DX1784" s="6"/>
      <c r="DY1784" s="6"/>
      <c r="DZ1784" s="6"/>
      <c r="EA1784" s="6"/>
      <c r="EB1784" s="6"/>
      <c r="EC1784" s="6"/>
      <c r="ED1784" s="6"/>
      <c r="EE1784" s="6"/>
      <c r="EF1784" s="6"/>
      <c r="EG1784" s="6"/>
      <c r="EH1784" s="6"/>
      <c r="EI1784" s="6"/>
      <c r="EJ1784" s="6"/>
      <c r="EK1784" s="6"/>
      <c r="EL1784" s="6"/>
      <c r="EM1784" s="6"/>
      <c r="EN1784" s="6"/>
      <c r="EO1784" s="6"/>
      <c r="EP1784" s="6"/>
      <c r="EQ1784" s="6"/>
      <c r="ER1784" s="6"/>
      <c r="ES1784" s="6"/>
      <c r="ET1784" s="6"/>
      <c r="EU1784" s="6"/>
      <c r="EV1784" s="6"/>
      <c r="EW1784" s="6"/>
      <c r="EX1784" s="6"/>
      <c r="EY1784" s="6"/>
      <c r="EZ1784" s="6"/>
      <c r="FA1784" s="6"/>
      <c r="FB1784" s="6"/>
      <c r="FC1784" s="6"/>
      <c r="FD1784" s="6"/>
      <c r="FE1784" s="6"/>
      <c r="FF1784" s="6"/>
      <c r="FG1784" s="6"/>
      <c r="FH1784" s="6"/>
      <c r="FI1784" s="6"/>
      <c r="FJ1784" s="6"/>
      <c r="FK1784" s="6"/>
      <c r="FL1784" s="6"/>
      <c r="FM1784" s="6"/>
      <c r="FN1784" s="6"/>
      <c r="FO1784" s="6"/>
      <c r="FP1784" s="6"/>
      <c r="FQ1784" s="6"/>
      <c r="FR1784" s="6"/>
      <c r="FS1784" s="6"/>
      <c r="FT1784" s="6"/>
      <c r="FU1784" s="6"/>
      <c r="FV1784" s="6"/>
      <c r="FW1784" s="6"/>
      <c r="FX1784" s="6"/>
      <c r="FY1784" s="6"/>
      <c r="FZ1784" s="6"/>
      <c r="GA1784" s="6"/>
      <c r="GB1784" s="6"/>
      <c r="GC1784" s="6"/>
      <c r="GD1784" s="6"/>
      <c r="GE1784" s="6"/>
      <c r="GF1784" s="6"/>
      <c r="GG1784" s="6"/>
      <c r="GH1784" s="6"/>
      <c r="GI1784" s="6"/>
      <c r="GJ1784" s="6"/>
      <c r="GK1784" s="6"/>
      <c r="GL1784" s="6"/>
      <c r="GM1784" s="6"/>
      <c r="GN1784" s="6"/>
      <c r="GO1784" s="6"/>
      <c r="GP1784" s="6"/>
      <c r="GQ1784" s="6"/>
      <c r="GR1784" s="6"/>
      <c r="GS1784" s="6"/>
      <c r="GT1784" s="6"/>
      <c r="GU1784" s="6"/>
      <c r="GV1784" s="6"/>
      <c r="GW1784" s="6"/>
      <c r="GX1784" s="6"/>
      <c r="GY1784" s="6"/>
      <c r="GZ1784" s="6"/>
      <c r="HA1784" s="6"/>
      <c r="HB1784" s="6"/>
      <c r="HC1784" s="6"/>
      <c r="HD1784" s="6"/>
      <c r="HE1784" s="6"/>
      <c r="HF1784" s="6"/>
      <c r="HG1784" s="6"/>
      <c r="HH1784" s="6"/>
    </row>
    <row r="1785" spans="1:216" x14ac:dyDescent="0.3">
      <c r="A1785" s="8"/>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6"/>
      <c r="AR1785" s="6"/>
      <c r="AS1785" s="6"/>
      <c r="AT1785" s="6"/>
      <c r="AU1785" s="6"/>
      <c r="AV1785" s="6"/>
      <c r="AW1785" s="6"/>
      <c r="AX1785" s="6"/>
      <c r="AY1785" s="6"/>
      <c r="AZ1785" s="6"/>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c r="DX1785" s="6"/>
      <c r="DY1785" s="6"/>
      <c r="DZ1785" s="6"/>
      <c r="EA1785" s="6"/>
      <c r="EB1785" s="6"/>
      <c r="EC1785" s="6"/>
      <c r="ED1785" s="6"/>
      <c r="EE1785" s="6"/>
      <c r="EF1785" s="6"/>
      <c r="EG1785" s="6"/>
      <c r="EH1785" s="6"/>
      <c r="EI1785" s="6"/>
      <c r="EJ1785" s="6"/>
      <c r="EK1785" s="6"/>
      <c r="EL1785" s="6"/>
      <c r="EM1785" s="6"/>
      <c r="EN1785" s="6"/>
      <c r="EO1785" s="6"/>
      <c r="EP1785" s="6"/>
      <c r="EQ1785" s="6"/>
      <c r="ER1785" s="6"/>
      <c r="ES1785" s="6"/>
      <c r="ET1785" s="6"/>
      <c r="EU1785" s="6"/>
      <c r="EV1785" s="6"/>
      <c r="EW1785" s="6"/>
      <c r="EX1785" s="6"/>
      <c r="EY1785" s="6"/>
      <c r="EZ1785" s="6"/>
      <c r="FA1785" s="6"/>
      <c r="FB1785" s="6"/>
      <c r="FC1785" s="6"/>
      <c r="FD1785" s="6"/>
      <c r="FE1785" s="6"/>
      <c r="FF1785" s="6"/>
      <c r="FG1785" s="6"/>
      <c r="FH1785" s="6"/>
      <c r="FI1785" s="6"/>
      <c r="FJ1785" s="6"/>
      <c r="FK1785" s="6"/>
      <c r="FL1785" s="6"/>
      <c r="FM1785" s="6"/>
      <c r="FN1785" s="6"/>
      <c r="FO1785" s="6"/>
      <c r="FP1785" s="6"/>
      <c r="FQ1785" s="6"/>
      <c r="FR1785" s="6"/>
      <c r="FS1785" s="6"/>
      <c r="FT1785" s="6"/>
      <c r="FU1785" s="6"/>
      <c r="FV1785" s="6"/>
      <c r="FW1785" s="6"/>
      <c r="FX1785" s="6"/>
      <c r="FY1785" s="6"/>
      <c r="FZ1785" s="6"/>
      <c r="GA1785" s="6"/>
      <c r="GB1785" s="6"/>
      <c r="GC1785" s="6"/>
      <c r="GD1785" s="6"/>
      <c r="GE1785" s="6"/>
      <c r="GF1785" s="6"/>
      <c r="GG1785" s="6"/>
      <c r="GH1785" s="6"/>
      <c r="GI1785" s="6"/>
      <c r="GJ1785" s="6"/>
      <c r="GK1785" s="6"/>
      <c r="GL1785" s="6"/>
      <c r="GM1785" s="6"/>
      <c r="GN1785" s="6"/>
      <c r="GO1785" s="6"/>
      <c r="GP1785" s="6"/>
      <c r="GQ1785" s="6"/>
      <c r="GR1785" s="6"/>
      <c r="GS1785" s="6"/>
      <c r="GT1785" s="6"/>
      <c r="GU1785" s="6"/>
      <c r="GV1785" s="6"/>
      <c r="GW1785" s="6"/>
      <c r="GX1785" s="6"/>
      <c r="GY1785" s="6"/>
      <c r="GZ1785" s="6"/>
      <c r="HA1785" s="6"/>
      <c r="HB1785" s="6"/>
      <c r="HC1785" s="6"/>
      <c r="HD1785" s="6"/>
      <c r="HE1785" s="6"/>
      <c r="HF1785" s="6"/>
      <c r="HG1785" s="6"/>
      <c r="HH1785" s="6"/>
    </row>
    <row r="1786" spans="1:216" x14ac:dyDescent="0.3">
      <c r="A1786" s="8"/>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6"/>
      <c r="AR1786" s="6"/>
      <c r="AS1786" s="6"/>
      <c r="AT1786" s="6"/>
      <c r="AU1786" s="6"/>
      <c r="AV1786" s="6"/>
      <c r="AW1786" s="6"/>
      <c r="AX1786" s="6"/>
      <c r="AY1786" s="6"/>
      <c r="AZ1786" s="6"/>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c r="DX1786" s="6"/>
      <c r="DY1786" s="6"/>
      <c r="DZ1786" s="6"/>
      <c r="EA1786" s="6"/>
      <c r="EB1786" s="6"/>
      <c r="EC1786" s="6"/>
      <c r="ED1786" s="6"/>
      <c r="EE1786" s="6"/>
      <c r="EF1786" s="6"/>
      <c r="EG1786" s="6"/>
      <c r="EH1786" s="6"/>
      <c r="EI1786" s="6"/>
      <c r="EJ1786" s="6"/>
      <c r="EK1786" s="6"/>
      <c r="EL1786" s="6"/>
      <c r="EM1786" s="6"/>
      <c r="EN1786" s="6"/>
      <c r="EO1786" s="6"/>
      <c r="EP1786" s="6"/>
      <c r="EQ1786" s="6"/>
      <c r="ER1786" s="6"/>
      <c r="ES1786" s="6"/>
      <c r="ET1786" s="6"/>
      <c r="EU1786" s="6"/>
      <c r="EV1786" s="6"/>
      <c r="EW1786" s="6"/>
      <c r="EX1786" s="6"/>
      <c r="EY1786" s="6"/>
      <c r="EZ1786" s="6"/>
      <c r="FA1786" s="6"/>
      <c r="FB1786" s="6"/>
      <c r="FC1786" s="6"/>
      <c r="FD1786" s="6"/>
      <c r="FE1786" s="6"/>
      <c r="FF1786" s="6"/>
      <c r="FG1786" s="6"/>
      <c r="FH1786" s="6"/>
      <c r="FI1786" s="6"/>
      <c r="FJ1786" s="6"/>
      <c r="FK1786" s="6"/>
      <c r="FL1786" s="6"/>
      <c r="FM1786" s="6"/>
      <c r="FN1786" s="6"/>
      <c r="FO1786" s="6"/>
      <c r="FP1786" s="6"/>
      <c r="FQ1786" s="6"/>
      <c r="FR1786" s="6"/>
      <c r="FS1786" s="6"/>
      <c r="FT1786" s="6"/>
      <c r="FU1786" s="6"/>
      <c r="FV1786" s="6"/>
      <c r="FW1786" s="6"/>
      <c r="FX1786" s="6"/>
      <c r="FY1786" s="6"/>
      <c r="FZ1786" s="6"/>
      <c r="GA1786" s="6"/>
      <c r="GB1786" s="6"/>
      <c r="GC1786" s="6"/>
      <c r="GD1786" s="6"/>
      <c r="GE1786" s="6"/>
      <c r="GF1786" s="6"/>
      <c r="GG1786" s="6"/>
      <c r="GH1786" s="6"/>
      <c r="GI1786" s="6"/>
      <c r="GJ1786" s="6"/>
      <c r="GK1786" s="6"/>
      <c r="GL1786" s="6"/>
      <c r="GM1786" s="6"/>
      <c r="GN1786" s="6"/>
      <c r="GO1786" s="6"/>
      <c r="GP1786" s="6"/>
      <c r="GQ1786" s="6"/>
      <c r="GR1786" s="6"/>
      <c r="GS1786" s="6"/>
      <c r="GT1786" s="6"/>
      <c r="GU1786" s="6"/>
      <c r="GV1786" s="6"/>
      <c r="GW1786" s="6"/>
      <c r="GX1786" s="6"/>
      <c r="GY1786" s="6"/>
      <c r="GZ1786" s="6"/>
      <c r="HA1786" s="6"/>
      <c r="HB1786" s="6"/>
      <c r="HC1786" s="6"/>
      <c r="HD1786" s="6"/>
      <c r="HE1786" s="6"/>
      <c r="HF1786" s="6"/>
      <c r="HG1786" s="6"/>
      <c r="HH1786" s="6"/>
    </row>
    <row r="1787" spans="1:216" x14ac:dyDescent="0.3">
      <c r="A1787" s="8"/>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6"/>
      <c r="AR1787" s="6"/>
      <c r="AS1787" s="6"/>
      <c r="AT1787" s="6"/>
      <c r="AU1787" s="6"/>
      <c r="AV1787" s="6"/>
      <c r="AW1787" s="6"/>
      <c r="AX1787" s="6"/>
      <c r="AY1787" s="6"/>
      <c r="AZ1787" s="6"/>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c r="DX1787" s="6"/>
      <c r="DY1787" s="6"/>
      <c r="DZ1787" s="6"/>
      <c r="EA1787" s="6"/>
      <c r="EB1787" s="6"/>
      <c r="EC1787" s="6"/>
      <c r="ED1787" s="6"/>
      <c r="EE1787" s="6"/>
      <c r="EF1787" s="6"/>
      <c r="EG1787" s="6"/>
      <c r="EH1787" s="6"/>
      <c r="EI1787" s="6"/>
      <c r="EJ1787" s="6"/>
      <c r="EK1787" s="6"/>
      <c r="EL1787" s="6"/>
      <c r="EM1787" s="6"/>
      <c r="EN1787" s="6"/>
      <c r="EO1787" s="6"/>
      <c r="EP1787" s="6"/>
      <c r="EQ1787" s="6"/>
      <c r="ER1787" s="6"/>
      <c r="ES1787" s="6"/>
      <c r="ET1787" s="6"/>
      <c r="EU1787" s="6"/>
      <c r="EV1787" s="6"/>
      <c r="EW1787" s="6"/>
      <c r="EX1787" s="6"/>
      <c r="EY1787" s="6"/>
      <c r="EZ1787" s="6"/>
      <c r="FA1787" s="6"/>
      <c r="FB1787" s="6"/>
      <c r="FC1787" s="6"/>
      <c r="FD1787" s="6"/>
      <c r="FE1787" s="6"/>
      <c r="FF1787" s="6"/>
      <c r="FG1787" s="6"/>
      <c r="FH1787" s="6"/>
      <c r="FI1787" s="6"/>
      <c r="FJ1787" s="6"/>
      <c r="FK1787" s="6"/>
      <c r="FL1787" s="6"/>
      <c r="FM1787" s="6"/>
      <c r="FN1787" s="6"/>
      <c r="FO1787" s="6"/>
      <c r="FP1787" s="6"/>
      <c r="FQ1787" s="6"/>
      <c r="FR1787" s="6"/>
      <c r="FS1787" s="6"/>
      <c r="FT1787" s="6"/>
      <c r="FU1787" s="6"/>
      <c r="FV1787" s="6"/>
      <c r="FW1787" s="6"/>
      <c r="FX1787" s="6"/>
      <c r="FY1787" s="6"/>
      <c r="FZ1787" s="6"/>
      <c r="GA1787" s="6"/>
      <c r="GB1787" s="6"/>
      <c r="GC1787" s="6"/>
      <c r="GD1787" s="6"/>
      <c r="GE1787" s="6"/>
      <c r="GF1787" s="6"/>
      <c r="GG1787" s="6"/>
      <c r="GH1787" s="6"/>
      <c r="GI1787" s="6"/>
      <c r="GJ1787" s="6"/>
      <c r="GK1787" s="6"/>
      <c r="GL1787" s="6"/>
      <c r="GM1787" s="6"/>
      <c r="GN1787" s="6"/>
      <c r="GO1787" s="6"/>
      <c r="GP1787" s="6"/>
      <c r="GQ1787" s="6"/>
      <c r="GR1787" s="6"/>
      <c r="GS1787" s="6"/>
      <c r="GT1787" s="6"/>
      <c r="GU1787" s="6"/>
      <c r="GV1787" s="6"/>
      <c r="GW1787" s="6"/>
      <c r="GX1787" s="6"/>
      <c r="GY1787" s="6"/>
      <c r="GZ1787" s="6"/>
      <c r="HA1787" s="6"/>
      <c r="HB1787" s="6"/>
      <c r="HC1787" s="6"/>
      <c r="HD1787" s="6"/>
      <c r="HE1787" s="6"/>
      <c r="HF1787" s="6"/>
      <c r="HG1787" s="6"/>
      <c r="HH1787" s="6"/>
    </row>
    <row r="1788" spans="1:216" x14ac:dyDescent="0.3">
      <c r="A1788" s="8"/>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6"/>
      <c r="AR1788" s="6"/>
      <c r="AS1788" s="6"/>
      <c r="AT1788" s="6"/>
      <c r="AU1788" s="6"/>
      <c r="AV1788" s="6"/>
      <c r="AW1788" s="6"/>
      <c r="AX1788" s="6"/>
      <c r="AY1788" s="6"/>
      <c r="AZ1788" s="6"/>
      <c r="BA1788" s="6"/>
      <c r="BB1788" s="6"/>
      <c r="BC1788" s="6"/>
      <c r="BD1788" s="6"/>
      <c r="BE1788" s="6"/>
      <c r="BF1788" s="6"/>
      <c r="BG1788" s="6"/>
      <c r="BH1788" s="6"/>
      <c r="BI1788" s="6"/>
      <c r="BJ1788" s="6"/>
      <c r="BK1788" s="6"/>
      <c r="BL1788" s="6"/>
      <c r="BM1788" s="6"/>
      <c r="BN1788" s="6"/>
      <c r="BO1788" s="6"/>
      <c r="BP1788" s="6"/>
      <c r="BQ1788" s="6"/>
      <c r="BR1788" s="6"/>
      <c r="BS1788" s="6"/>
      <c r="BT1788" s="6"/>
      <c r="BU1788" s="6"/>
      <c r="BV1788" s="6"/>
      <c r="BW1788" s="6"/>
      <c r="BX1788" s="6"/>
      <c r="BY1788" s="6"/>
      <c r="BZ1788" s="6"/>
      <c r="CA1788" s="6"/>
      <c r="CB1788" s="6"/>
      <c r="CC1788" s="6"/>
      <c r="CD1788" s="6"/>
      <c r="CE1788" s="6"/>
      <c r="CF1788" s="6"/>
      <c r="CG1788" s="6"/>
      <c r="CH1788" s="6"/>
      <c r="CI1788" s="6"/>
      <c r="CJ1788" s="6"/>
      <c r="CK1788" s="6"/>
      <c r="CL1788" s="6"/>
      <c r="CM1788" s="6"/>
      <c r="CN1788" s="6"/>
      <c r="CO1788" s="6"/>
      <c r="CP1788" s="6"/>
      <c r="CQ1788" s="6"/>
      <c r="CR1788" s="6"/>
      <c r="CS1788" s="6"/>
      <c r="CT1788" s="6"/>
      <c r="CU1788" s="6"/>
      <c r="CV1788" s="6"/>
      <c r="CW1788" s="6"/>
      <c r="CX1788" s="6"/>
      <c r="CY1788" s="6"/>
      <c r="CZ1788" s="6"/>
      <c r="DA1788" s="6"/>
      <c r="DB1788" s="6"/>
      <c r="DC1788" s="6"/>
      <c r="DD1788" s="6"/>
      <c r="DE1788" s="6"/>
      <c r="DF1788" s="6"/>
      <c r="DG1788" s="6"/>
      <c r="DH1788" s="6"/>
      <c r="DI1788" s="6"/>
      <c r="DJ1788" s="6"/>
      <c r="DK1788" s="6"/>
      <c r="DL1788" s="6"/>
      <c r="DM1788" s="6"/>
      <c r="DN1788" s="6"/>
      <c r="DO1788" s="6"/>
      <c r="DP1788" s="6"/>
      <c r="DQ1788" s="6"/>
      <c r="DR1788" s="6"/>
      <c r="DS1788" s="6"/>
      <c r="DT1788" s="6"/>
      <c r="DU1788" s="6"/>
      <c r="DV1788" s="6"/>
      <c r="DW1788" s="6"/>
      <c r="DX1788" s="6"/>
      <c r="DY1788" s="6"/>
      <c r="DZ1788" s="6"/>
      <c r="EA1788" s="6"/>
      <c r="EB1788" s="6"/>
      <c r="EC1788" s="6"/>
      <c r="ED1788" s="6"/>
      <c r="EE1788" s="6"/>
      <c r="EF1788" s="6"/>
      <c r="EG1788" s="6"/>
      <c r="EH1788" s="6"/>
      <c r="EI1788" s="6"/>
      <c r="EJ1788" s="6"/>
      <c r="EK1788" s="6"/>
      <c r="EL1788" s="6"/>
      <c r="EM1788" s="6"/>
      <c r="EN1788" s="6"/>
      <c r="EO1788" s="6"/>
      <c r="EP1788" s="6"/>
      <c r="EQ1788" s="6"/>
      <c r="ER1788" s="6"/>
      <c r="ES1788" s="6"/>
      <c r="ET1788" s="6"/>
      <c r="EU1788" s="6"/>
      <c r="EV1788" s="6"/>
      <c r="EW1788" s="6"/>
      <c r="EX1788" s="6"/>
      <c r="EY1788" s="6"/>
      <c r="EZ1788" s="6"/>
      <c r="FA1788" s="6"/>
      <c r="FB1788" s="6"/>
      <c r="FC1788" s="6"/>
      <c r="FD1788" s="6"/>
      <c r="FE1788" s="6"/>
      <c r="FF1788" s="6"/>
      <c r="FG1788" s="6"/>
      <c r="FH1788" s="6"/>
      <c r="FI1788" s="6"/>
      <c r="FJ1788" s="6"/>
      <c r="FK1788" s="6"/>
      <c r="FL1788" s="6"/>
      <c r="FM1788" s="6"/>
      <c r="FN1788" s="6"/>
      <c r="FO1788" s="6"/>
      <c r="FP1788" s="6"/>
      <c r="FQ1788" s="6"/>
      <c r="FR1788" s="6"/>
      <c r="FS1788" s="6"/>
      <c r="FT1788" s="6"/>
      <c r="FU1788" s="6"/>
      <c r="FV1788" s="6"/>
      <c r="FW1788" s="6"/>
      <c r="FX1788" s="6"/>
      <c r="FY1788" s="6"/>
      <c r="FZ1788" s="6"/>
      <c r="GA1788" s="6"/>
      <c r="GB1788" s="6"/>
      <c r="GC1788" s="6"/>
      <c r="GD1788" s="6"/>
      <c r="GE1788" s="6"/>
      <c r="GF1788" s="6"/>
      <c r="GG1788" s="6"/>
      <c r="GH1788" s="6"/>
      <c r="GI1788" s="6"/>
      <c r="GJ1788" s="6"/>
      <c r="GK1788" s="6"/>
      <c r="GL1788" s="6"/>
      <c r="GM1788" s="6"/>
      <c r="GN1788" s="6"/>
      <c r="GO1788" s="6"/>
      <c r="GP1788" s="6"/>
      <c r="GQ1788" s="6"/>
      <c r="GR1788" s="6"/>
      <c r="GS1788" s="6"/>
      <c r="GT1788" s="6"/>
      <c r="GU1788" s="6"/>
      <c r="GV1788" s="6"/>
      <c r="GW1788" s="6"/>
      <c r="GX1788" s="6"/>
      <c r="GY1788" s="6"/>
      <c r="GZ1788" s="6"/>
      <c r="HA1788" s="6"/>
      <c r="HB1788" s="6"/>
      <c r="HC1788" s="6"/>
      <c r="HD1788" s="6"/>
      <c r="HE1788" s="6"/>
      <c r="HF1788" s="6"/>
      <c r="HG1788" s="6"/>
      <c r="HH1788" s="6"/>
    </row>
    <row r="1789" spans="1:216" x14ac:dyDescent="0.3">
      <c r="A1789" s="8"/>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6"/>
      <c r="AR1789" s="6"/>
      <c r="AS1789" s="6"/>
      <c r="AT1789" s="6"/>
      <c r="AU1789" s="6"/>
      <c r="AV1789" s="6"/>
      <c r="AW1789" s="6"/>
      <c r="AX1789" s="6"/>
      <c r="AY1789" s="6"/>
      <c r="AZ1789" s="6"/>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c r="DX1789" s="6"/>
      <c r="DY1789" s="6"/>
      <c r="DZ1789" s="6"/>
      <c r="EA1789" s="6"/>
      <c r="EB1789" s="6"/>
      <c r="EC1789" s="6"/>
      <c r="ED1789" s="6"/>
      <c r="EE1789" s="6"/>
      <c r="EF1789" s="6"/>
      <c r="EG1789" s="6"/>
      <c r="EH1789" s="6"/>
      <c r="EI1789" s="6"/>
      <c r="EJ1789" s="6"/>
      <c r="EK1789" s="6"/>
      <c r="EL1789" s="6"/>
      <c r="EM1789" s="6"/>
      <c r="EN1789" s="6"/>
      <c r="EO1789" s="6"/>
      <c r="EP1789" s="6"/>
      <c r="EQ1789" s="6"/>
      <c r="ER1789" s="6"/>
      <c r="ES1789" s="6"/>
      <c r="ET1789" s="6"/>
      <c r="EU1789" s="6"/>
      <c r="EV1789" s="6"/>
      <c r="EW1789" s="6"/>
      <c r="EX1789" s="6"/>
      <c r="EY1789" s="6"/>
      <c r="EZ1789" s="6"/>
      <c r="FA1789" s="6"/>
      <c r="FB1789" s="6"/>
      <c r="FC1789" s="6"/>
      <c r="FD1789" s="6"/>
      <c r="FE1789" s="6"/>
      <c r="FF1789" s="6"/>
      <c r="FG1789" s="6"/>
      <c r="FH1789" s="6"/>
      <c r="FI1789" s="6"/>
      <c r="FJ1789" s="6"/>
      <c r="FK1789" s="6"/>
      <c r="FL1789" s="6"/>
      <c r="FM1789" s="6"/>
      <c r="FN1789" s="6"/>
      <c r="FO1789" s="6"/>
      <c r="FP1789" s="6"/>
      <c r="FQ1789" s="6"/>
      <c r="FR1789" s="6"/>
      <c r="FS1789" s="6"/>
      <c r="FT1789" s="6"/>
      <c r="FU1789" s="6"/>
      <c r="FV1789" s="6"/>
      <c r="FW1789" s="6"/>
      <c r="FX1789" s="6"/>
      <c r="FY1789" s="6"/>
      <c r="FZ1789" s="6"/>
      <c r="GA1789" s="6"/>
      <c r="GB1789" s="6"/>
      <c r="GC1789" s="6"/>
      <c r="GD1789" s="6"/>
      <c r="GE1789" s="6"/>
      <c r="GF1789" s="6"/>
      <c r="GG1789" s="6"/>
      <c r="GH1789" s="6"/>
      <c r="GI1789" s="6"/>
      <c r="GJ1789" s="6"/>
      <c r="GK1789" s="6"/>
      <c r="GL1789" s="6"/>
      <c r="GM1789" s="6"/>
      <c r="GN1789" s="6"/>
      <c r="GO1789" s="6"/>
      <c r="GP1789" s="6"/>
      <c r="GQ1789" s="6"/>
      <c r="GR1789" s="6"/>
      <c r="GS1789" s="6"/>
      <c r="GT1789" s="6"/>
      <c r="GU1789" s="6"/>
      <c r="GV1789" s="6"/>
      <c r="GW1789" s="6"/>
      <c r="GX1789" s="6"/>
      <c r="GY1789" s="6"/>
      <c r="GZ1789" s="6"/>
      <c r="HA1789" s="6"/>
      <c r="HB1789" s="6"/>
      <c r="HC1789" s="6"/>
      <c r="HD1789" s="6"/>
      <c r="HE1789" s="6"/>
      <c r="HF1789" s="6"/>
      <c r="HG1789" s="6"/>
      <c r="HH1789" s="6"/>
    </row>
    <row r="1790" spans="1:216" x14ac:dyDescent="0.3">
      <c r="A1790" s="8"/>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6"/>
      <c r="AR1790" s="6"/>
      <c r="AS1790" s="6"/>
      <c r="AT1790" s="6"/>
      <c r="AU1790" s="6"/>
      <c r="AV1790" s="6"/>
      <c r="AW1790" s="6"/>
      <c r="AX1790" s="6"/>
      <c r="AY1790" s="6"/>
      <c r="AZ1790" s="6"/>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c r="DX1790" s="6"/>
      <c r="DY1790" s="6"/>
      <c r="DZ1790" s="6"/>
      <c r="EA1790" s="6"/>
      <c r="EB1790" s="6"/>
      <c r="EC1790" s="6"/>
      <c r="ED1790" s="6"/>
      <c r="EE1790" s="6"/>
      <c r="EF1790" s="6"/>
      <c r="EG1790" s="6"/>
      <c r="EH1790" s="6"/>
      <c r="EI1790" s="6"/>
      <c r="EJ1790" s="6"/>
      <c r="EK1790" s="6"/>
      <c r="EL1790" s="6"/>
      <c r="EM1790" s="6"/>
      <c r="EN1790" s="6"/>
      <c r="EO1790" s="6"/>
      <c r="EP1790" s="6"/>
      <c r="EQ1790" s="6"/>
      <c r="ER1790" s="6"/>
      <c r="ES1790" s="6"/>
      <c r="ET1790" s="6"/>
      <c r="EU1790" s="6"/>
      <c r="EV1790" s="6"/>
      <c r="EW1790" s="6"/>
      <c r="EX1790" s="6"/>
      <c r="EY1790" s="6"/>
      <c r="EZ1790" s="6"/>
      <c r="FA1790" s="6"/>
      <c r="FB1790" s="6"/>
      <c r="FC1790" s="6"/>
      <c r="FD1790" s="6"/>
      <c r="FE1790" s="6"/>
      <c r="FF1790" s="6"/>
      <c r="FG1790" s="6"/>
      <c r="FH1790" s="6"/>
      <c r="FI1790" s="6"/>
      <c r="FJ1790" s="6"/>
      <c r="FK1790" s="6"/>
      <c r="FL1790" s="6"/>
      <c r="FM1790" s="6"/>
      <c r="FN1790" s="6"/>
      <c r="FO1790" s="6"/>
      <c r="FP1790" s="6"/>
      <c r="FQ1790" s="6"/>
      <c r="FR1790" s="6"/>
      <c r="FS1790" s="6"/>
      <c r="FT1790" s="6"/>
      <c r="FU1790" s="6"/>
      <c r="FV1790" s="6"/>
      <c r="FW1790" s="6"/>
      <c r="FX1790" s="6"/>
      <c r="FY1790" s="6"/>
      <c r="FZ1790" s="6"/>
      <c r="GA1790" s="6"/>
      <c r="GB1790" s="6"/>
      <c r="GC1790" s="6"/>
      <c r="GD1790" s="6"/>
      <c r="GE1790" s="6"/>
      <c r="GF1790" s="6"/>
      <c r="GG1790" s="6"/>
      <c r="GH1790" s="6"/>
      <c r="GI1790" s="6"/>
      <c r="GJ1790" s="6"/>
      <c r="GK1790" s="6"/>
      <c r="GL1790" s="6"/>
      <c r="GM1790" s="6"/>
      <c r="GN1790" s="6"/>
      <c r="GO1790" s="6"/>
      <c r="GP1790" s="6"/>
      <c r="GQ1790" s="6"/>
      <c r="GR1790" s="6"/>
      <c r="GS1790" s="6"/>
      <c r="GT1790" s="6"/>
      <c r="GU1790" s="6"/>
      <c r="GV1790" s="6"/>
      <c r="GW1790" s="6"/>
      <c r="GX1790" s="6"/>
      <c r="GY1790" s="6"/>
      <c r="GZ1790" s="6"/>
      <c r="HA1790" s="6"/>
      <c r="HB1790" s="6"/>
      <c r="HC1790" s="6"/>
      <c r="HD1790" s="6"/>
      <c r="HE1790" s="6"/>
      <c r="HF1790" s="6"/>
      <c r="HG1790" s="6"/>
      <c r="HH1790" s="6"/>
    </row>
    <row r="1791" spans="1:216" x14ac:dyDescent="0.3">
      <c r="A1791" s="8"/>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6"/>
      <c r="AR1791" s="6"/>
      <c r="AS1791" s="6"/>
      <c r="AT1791" s="6"/>
      <c r="AU1791" s="6"/>
      <c r="AV1791" s="6"/>
      <c r="AW1791" s="6"/>
      <c r="AX1791" s="6"/>
      <c r="AY1791" s="6"/>
      <c r="AZ1791" s="6"/>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c r="DX1791" s="6"/>
      <c r="DY1791" s="6"/>
      <c r="DZ1791" s="6"/>
      <c r="EA1791" s="6"/>
      <c r="EB1791" s="6"/>
      <c r="EC1791" s="6"/>
      <c r="ED1791" s="6"/>
      <c r="EE1791" s="6"/>
      <c r="EF1791" s="6"/>
      <c r="EG1791" s="6"/>
      <c r="EH1791" s="6"/>
      <c r="EI1791" s="6"/>
      <c r="EJ1791" s="6"/>
      <c r="EK1791" s="6"/>
      <c r="EL1791" s="6"/>
      <c r="EM1791" s="6"/>
      <c r="EN1791" s="6"/>
      <c r="EO1791" s="6"/>
      <c r="EP1791" s="6"/>
      <c r="EQ1791" s="6"/>
      <c r="ER1791" s="6"/>
      <c r="ES1791" s="6"/>
      <c r="ET1791" s="6"/>
      <c r="EU1791" s="6"/>
      <c r="EV1791" s="6"/>
      <c r="EW1791" s="6"/>
      <c r="EX1791" s="6"/>
      <c r="EY1791" s="6"/>
      <c r="EZ1791" s="6"/>
      <c r="FA1791" s="6"/>
      <c r="FB1791" s="6"/>
      <c r="FC1791" s="6"/>
      <c r="FD1791" s="6"/>
      <c r="FE1791" s="6"/>
      <c r="FF1791" s="6"/>
      <c r="FG1791" s="6"/>
      <c r="FH1791" s="6"/>
      <c r="FI1791" s="6"/>
      <c r="FJ1791" s="6"/>
      <c r="FK1791" s="6"/>
      <c r="FL1791" s="6"/>
      <c r="FM1791" s="6"/>
      <c r="FN1791" s="6"/>
      <c r="FO1791" s="6"/>
      <c r="FP1791" s="6"/>
      <c r="FQ1791" s="6"/>
      <c r="FR1791" s="6"/>
      <c r="FS1791" s="6"/>
      <c r="FT1791" s="6"/>
      <c r="FU1791" s="6"/>
      <c r="FV1791" s="6"/>
      <c r="FW1791" s="6"/>
      <c r="FX1791" s="6"/>
      <c r="FY1791" s="6"/>
      <c r="FZ1791" s="6"/>
      <c r="GA1791" s="6"/>
      <c r="GB1791" s="6"/>
      <c r="GC1791" s="6"/>
      <c r="GD1791" s="6"/>
      <c r="GE1791" s="6"/>
      <c r="GF1791" s="6"/>
      <c r="GG1791" s="6"/>
      <c r="GH1791" s="6"/>
      <c r="GI1791" s="6"/>
      <c r="GJ1791" s="6"/>
      <c r="GK1791" s="6"/>
      <c r="GL1791" s="6"/>
      <c r="GM1791" s="6"/>
      <c r="GN1791" s="6"/>
      <c r="GO1791" s="6"/>
      <c r="GP1791" s="6"/>
      <c r="GQ1791" s="6"/>
      <c r="GR1791" s="6"/>
      <c r="GS1791" s="6"/>
      <c r="GT1791" s="6"/>
      <c r="GU1791" s="6"/>
      <c r="GV1791" s="6"/>
      <c r="GW1791" s="6"/>
      <c r="GX1791" s="6"/>
      <c r="GY1791" s="6"/>
      <c r="GZ1791" s="6"/>
      <c r="HA1791" s="6"/>
      <c r="HB1791" s="6"/>
      <c r="HC1791" s="6"/>
      <c r="HD1791" s="6"/>
      <c r="HE1791" s="6"/>
      <c r="HF1791" s="6"/>
      <c r="HG1791" s="6"/>
      <c r="HH1791" s="6"/>
    </row>
    <row r="1792" spans="1:216" x14ac:dyDescent="0.3">
      <c r="A1792" s="8"/>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6"/>
      <c r="AR1792" s="6"/>
      <c r="AS1792" s="6"/>
      <c r="AT1792" s="6"/>
      <c r="AU1792" s="6"/>
      <c r="AV1792" s="6"/>
      <c r="AW1792" s="6"/>
      <c r="AX1792" s="6"/>
      <c r="AY1792" s="6"/>
      <c r="AZ1792" s="6"/>
      <c r="BA1792" s="6"/>
      <c r="BB1792" s="6"/>
      <c r="BC1792" s="6"/>
      <c r="BD1792" s="6"/>
      <c r="BE1792" s="6"/>
      <c r="BF1792" s="6"/>
      <c r="BG1792" s="6"/>
      <c r="BH1792" s="6"/>
      <c r="BI1792" s="6"/>
      <c r="BJ1792" s="6"/>
      <c r="BK1792" s="6"/>
      <c r="BL1792" s="6"/>
      <c r="BM1792" s="6"/>
      <c r="BN1792" s="6"/>
      <c r="BO1792" s="6"/>
      <c r="BP1792" s="6"/>
      <c r="BQ1792" s="6"/>
      <c r="BR1792" s="6"/>
      <c r="BS1792" s="6"/>
      <c r="BT1792" s="6"/>
      <c r="BU1792" s="6"/>
      <c r="BV1792" s="6"/>
      <c r="BW1792" s="6"/>
      <c r="BX1792" s="6"/>
      <c r="BY1792" s="6"/>
      <c r="BZ1792" s="6"/>
      <c r="CA1792" s="6"/>
      <c r="CB1792" s="6"/>
      <c r="CC1792" s="6"/>
      <c r="CD1792" s="6"/>
      <c r="CE1792" s="6"/>
      <c r="CF1792" s="6"/>
      <c r="CG1792" s="6"/>
      <c r="CH1792" s="6"/>
      <c r="CI1792" s="6"/>
      <c r="CJ1792" s="6"/>
      <c r="CK1792" s="6"/>
      <c r="CL1792" s="6"/>
      <c r="CM1792" s="6"/>
      <c r="CN1792" s="6"/>
      <c r="CO1792" s="6"/>
      <c r="CP1792" s="6"/>
      <c r="CQ1792" s="6"/>
      <c r="CR1792" s="6"/>
      <c r="CS1792" s="6"/>
      <c r="CT1792" s="6"/>
      <c r="CU1792" s="6"/>
      <c r="CV1792" s="6"/>
      <c r="CW1792" s="6"/>
      <c r="CX1792" s="6"/>
      <c r="CY1792" s="6"/>
      <c r="CZ1792" s="6"/>
      <c r="DA1792" s="6"/>
      <c r="DB1792" s="6"/>
      <c r="DC1792" s="6"/>
      <c r="DD1792" s="6"/>
      <c r="DE1792" s="6"/>
      <c r="DF1792" s="6"/>
      <c r="DG1792" s="6"/>
      <c r="DH1792" s="6"/>
      <c r="DI1792" s="6"/>
      <c r="DJ1792" s="6"/>
      <c r="DK1792" s="6"/>
      <c r="DL1792" s="6"/>
      <c r="DM1792" s="6"/>
      <c r="DN1792" s="6"/>
      <c r="DO1792" s="6"/>
      <c r="DP1792" s="6"/>
      <c r="DQ1792" s="6"/>
      <c r="DR1792" s="6"/>
      <c r="DS1792" s="6"/>
      <c r="DT1792" s="6"/>
      <c r="DU1792" s="6"/>
      <c r="DV1792" s="6"/>
      <c r="DW1792" s="6"/>
      <c r="DX1792" s="6"/>
      <c r="DY1792" s="6"/>
      <c r="DZ1792" s="6"/>
      <c r="EA1792" s="6"/>
      <c r="EB1792" s="6"/>
      <c r="EC1792" s="6"/>
      <c r="ED1792" s="6"/>
      <c r="EE1792" s="6"/>
      <c r="EF1792" s="6"/>
      <c r="EG1792" s="6"/>
      <c r="EH1792" s="6"/>
      <c r="EI1792" s="6"/>
      <c r="EJ1792" s="6"/>
      <c r="EK1792" s="6"/>
      <c r="EL1792" s="6"/>
      <c r="EM1792" s="6"/>
      <c r="EN1792" s="6"/>
      <c r="EO1792" s="6"/>
      <c r="EP1792" s="6"/>
      <c r="EQ1792" s="6"/>
      <c r="ER1792" s="6"/>
      <c r="ES1792" s="6"/>
      <c r="ET1792" s="6"/>
      <c r="EU1792" s="6"/>
      <c r="EV1792" s="6"/>
      <c r="EW1792" s="6"/>
      <c r="EX1792" s="6"/>
      <c r="EY1792" s="6"/>
      <c r="EZ1792" s="6"/>
      <c r="FA1792" s="6"/>
      <c r="FB1792" s="6"/>
      <c r="FC1792" s="6"/>
      <c r="FD1792" s="6"/>
      <c r="FE1792" s="6"/>
      <c r="FF1792" s="6"/>
      <c r="FG1792" s="6"/>
      <c r="FH1792" s="6"/>
      <c r="FI1792" s="6"/>
      <c r="FJ1792" s="6"/>
      <c r="FK1792" s="6"/>
      <c r="FL1792" s="6"/>
      <c r="FM1792" s="6"/>
      <c r="FN1792" s="6"/>
      <c r="FO1792" s="6"/>
      <c r="FP1792" s="6"/>
      <c r="FQ1792" s="6"/>
      <c r="FR1792" s="6"/>
      <c r="FS1792" s="6"/>
      <c r="FT1792" s="6"/>
      <c r="FU1792" s="6"/>
      <c r="FV1792" s="6"/>
      <c r="FW1792" s="6"/>
      <c r="FX1792" s="6"/>
      <c r="FY1792" s="6"/>
      <c r="FZ1792" s="6"/>
      <c r="GA1792" s="6"/>
      <c r="GB1792" s="6"/>
      <c r="GC1792" s="6"/>
      <c r="GD1792" s="6"/>
      <c r="GE1792" s="6"/>
      <c r="GF1792" s="6"/>
      <c r="GG1792" s="6"/>
      <c r="GH1792" s="6"/>
      <c r="GI1792" s="6"/>
      <c r="GJ1792" s="6"/>
      <c r="GK1792" s="6"/>
      <c r="GL1792" s="6"/>
      <c r="GM1792" s="6"/>
      <c r="GN1792" s="6"/>
      <c r="GO1792" s="6"/>
      <c r="GP1792" s="6"/>
      <c r="GQ1792" s="6"/>
      <c r="GR1792" s="6"/>
      <c r="GS1792" s="6"/>
      <c r="GT1792" s="6"/>
      <c r="GU1792" s="6"/>
      <c r="GV1792" s="6"/>
      <c r="GW1792" s="6"/>
      <c r="GX1792" s="6"/>
      <c r="GY1792" s="6"/>
      <c r="GZ1792" s="6"/>
      <c r="HA1792" s="6"/>
      <c r="HB1792" s="6"/>
      <c r="HC1792" s="6"/>
      <c r="HD1792" s="6"/>
      <c r="HE1792" s="6"/>
      <c r="HF1792" s="6"/>
      <c r="HG1792" s="6"/>
      <c r="HH1792" s="6"/>
    </row>
    <row r="1793" spans="1:216" x14ac:dyDescent="0.3">
      <c r="A1793" s="8"/>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6"/>
      <c r="AR1793" s="6"/>
      <c r="AS1793" s="6"/>
      <c r="AT1793" s="6"/>
      <c r="AU1793" s="6"/>
      <c r="AV1793" s="6"/>
      <c r="AW1793" s="6"/>
      <c r="AX1793" s="6"/>
      <c r="AY1793" s="6"/>
      <c r="AZ1793" s="6"/>
      <c r="BA1793" s="6"/>
      <c r="BB1793" s="6"/>
      <c r="BC1793" s="6"/>
      <c r="BD1793" s="6"/>
      <c r="BE1793" s="6"/>
      <c r="BF1793" s="6"/>
      <c r="BG1793" s="6"/>
      <c r="BH1793" s="6"/>
      <c r="BI1793" s="6"/>
      <c r="BJ1793" s="6"/>
      <c r="BK1793" s="6"/>
      <c r="BL1793" s="6"/>
      <c r="BM1793" s="6"/>
      <c r="BN1793" s="6"/>
      <c r="BO1793" s="6"/>
      <c r="BP1793" s="6"/>
      <c r="BQ1793" s="6"/>
      <c r="BR1793" s="6"/>
      <c r="BS1793" s="6"/>
      <c r="BT1793" s="6"/>
      <c r="BU1793" s="6"/>
      <c r="BV1793" s="6"/>
      <c r="BW1793" s="6"/>
      <c r="BX1793" s="6"/>
      <c r="BY1793" s="6"/>
      <c r="BZ1793" s="6"/>
      <c r="CA1793" s="6"/>
      <c r="CB1793" s="6"/>
      <c r="CC1793" s="6"/>
      <c r="CD1793" s="6"/>
      <c r="CE1793" s="6"/>
      <c r="CF1793" s="6"/>
      <c r="CG1793" s="6"/>
      <c r="CH1793" s="6"/>
      <c r="CI1793" s="6"/>
      <c r="CJ1793" s="6"/>
      <c r="CK1793" s="6"/>
      <c r="CL1793" s="6"/>
      <c r="CM1793" s="6"/>
      <c r="CN1793" s="6"/>
      <c r="CO1793" s="6"/>
      <c r="CP1793" s="6"/>
      <c r="CQ1793" s="6"/>
      <c r="CR1793" s="6"/>
      <c r="CS1793" s="6"/>
      <c r="CT1793" s="6"/>
      <c r="CU1793" s="6"/>
      <c r="CV1793" s="6"/>
      <c r="CW1793" s="6"/>
      <c r="CX1793" s="6"/>
      <c r="CY1793" s="6"/>
      <c r="CZ1793" s="6"/>
      <c r="DA1793" s="6"/>
      <c r="DB1793" s="6"/>
      <c r="DC1793" s="6"/>
      <c r="DD1793" s="6"/>
      <c r="DE1793" s="6"/>
      <c r="DF1793" s="6"/>
      <c r="DG1793" s="6"/>
      <c r="DH1793" s="6"/>
      <c r="DI1793" s="6"/>
      <c r="DJ1793" s="6"/>
      <c r="DK1793" s="6"/>
      <c r="DL1793" s="6"/>
      <c r="DM1793" s="6"/>
      <c r="DN1793" s="6"/>
      <c r="DO1793" s="6"/>
      <c r="DP1793" s="6"/>
      <c r="DQ1793" s="6"/>
      <c r="DR1793" s="6"/>
      <c r="DS1793" s="6"/>
      <c r="DT1793" s="6"/>
      <c r="DU1793" s="6"/>
      <c r="DV1793" s="6"/>
      <c r="DW1793" s="6"/>
      <c r="DX1793" s="6"/>
      <c r="DY1793" s="6"/>
      <c r="DZ1793" s="6"/>
      <c r="EA1793" s="6"/>
      <c r="EB1793" s="6"/>
      <c r="EC1793" s="6"/>
      <c r="ED1793" s="6"/>
      <c r="EE1793" s="6"/>
      <c r="EF1793" s="6"/>
      <c r="EG1793" s="6"/>
      <c r="EH1793" s="6"/>
      <c r="EI1793" s="6"/>
      <c r="EJ1793" s="6"/>
      <c r="EK1793" s="6"/>
      <c r="EL1793" s="6"/>
      <c r="EM1793" s="6"/>
      <c r="EN1793" s="6"/>
      <c r="EO1793" s="6"/>
      <c r="EP1793" s="6"/>
      <c r="EQ1793" s="6"/>
      <c r="ER1793" s="6"/>
      <c r="ES1793" s="6"/>
      <c r="ET1793" s="6"/>
      <c r="EU1793" s="6"/>
      <c r="EV1793" s="6"/>
      <c r="EW1793" s="6"/>
      <c r="EX1793" s="6"/>
      <c r="EY1793" s="6"/>
      <c r="EZ1793" s="6"/>
      <c r="FA1793" s="6"/>
      <c r="FB1793" s="6"/>
      <c r="FC1793" s="6"/>
      <c r="FD1793" s="6"/>
      <c r="FE1793" s="6"/>
      <c r="FF1793" s="6"/>
      <c r="FG1793" s="6"/>
      <c r="FH1793" s="6"/>
      <c r="FI1793" s="6"/>
      <c r="FJ1793" s="6"/>
      <c r="FK1793" s="6"/>
      <c r="FL1793" s="6"/>
      <c r="FM1793" s="6"/>
      <c r="FN1793" s="6"/>
      <c r="FO1793" s="6"/>
      <c r="FP1793" s="6"/>
      <c r="FQ1793" s="6"/>
      <c r="FR1793" s="6"/>
      <c r="FS1793" s="6"/>
      <c r="FT1793" s="6"/>
      <c r="FU1793" s="6"/>
      <c r="FV1793" s="6"/>
      <c r="FW1793" s="6"/>
      <c r="FX1793" s="6"/>
      <c r="FY1793" s="6"/>
      <c r="FZ1793" s="6"/>
      <c r="GA1793" s="6"/>
      <c r="GB1793" s="6"/>
      <c r="GC1793" s="6"/>
      <c r="GD1793" s="6"/>
      <c r="GE1793" s="6"/>
      <c r="GF1793" s="6"/>
      <c r="GG1793" s="6"/>
      <c r="GH1793" s="6"/>
      <c r="GI1793" s="6"/>
      <c r="GJ1793" s="6"/>
      <c r="GK1793" s="6"/>
      <c r="GL1793" s="6"/>
      <c r="GM1793" s="6"/>
      <c r="GN1793" s="6"/>
      <c r="GO1793" s="6"/>
      <c r="GP1793" s="6"/>
      <c r="GQ1793" s="6"/>
      <c r="GR1793" s="6"/>
      <c r="GS1793" s="6"/>
      <c r="GT1793" s="6"/>
      <c r="GU1793" s="6"/>
      <c r="GV1793" s="6"/>
      <c r="GW1793" s="6"/>
      <c r="GX1793" s="6"/>
      <c r="GY1793" s="6"/>
      <c r="GZ1793" s="6"/>
      <c r="HA1793" s="6"/>
      <c r="HB1793" s="6"/>
      <c r="HC1793" s="6"/>
      <c r="HD1793" s="6"/>
      <c r="HE1793" s="6"/>
      <c r="HF1793" s="6"/>
      <c r="HG1793" s="6"/>
      <c r="HH1793" s="6"/>
    </row>
    <row r="1794" spans="1:216" x14ac:dyDescent="0.3">
      <c r="A1794" s="8"/>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6"/>
      <c r="AR1794" s="6"/>
      <c r="AS1794" s="6"/>
      <c r="AT1794" s="6"/>
      <c r="AU1794" s="6"/>
      <c r="AV1794" s="6"/>
      <c r="AW1794" s="6"/>
      <c r="AX1794" s="6"/>
      <c r="AY1794" s="6"/>
      <c r="AZ1794" s="6"/>
      <c r="BA1794" s="6"/>
      <c r="BB1794" s="6"/>
      <c r="BC1794" s="6"/>
      <c r="BD1794" s="6"/>
      <c r="BE1794" s="6"/>
      <c r="BF1794" s="6"/>
      <c r="BG1794" s="6"/>
      <c r="BH1794" s="6"/>
      <c r="BI1794" s="6"/>
      <c r="BJ1794" s="6"/>
      <c r="BK1794" s="6"/>
      <c r="BL1794" s="6"/>
      <c r="BM1794" s="6"/>
      <c r="BN1794" s="6"/>
      <c r="BO1794" s="6"/>
      <c r="BP1794" s="6"/>
      <c r="BQ1794" s="6"/>
      <c r="BR1794" s="6"/>
      <c r="BS1794" s="6"/>
      <c r="BT1794" s="6"/>
      <c r="BU1794" s="6"/>
      <c r="BV1794" s="6"/>
      <c r="BW1794" s="6"/>
      <c r="BX1794" s="6"/>
      <c r="BY1794" s="6"/>
      <c r="BZ1794" s="6"/>
      <c r="CA1794" s="6"/>
      <c r="CB1794" s="6"/>
      <c r="CC1794" s="6"/>
      <c r="CD1794" s="6"/>
      <c r="CE1794" s="6"/>
      <c r="CF1794" s="6"/>
      <c r="CG1794" s="6"/>
      <c r="CH1794" s="6"/>
      <c r="CI1794" s="6"/>
      <c r="CJ1794" s="6"/>
      <c r="CK1794" s="6"/>
      <c r="CL1794" s="6"/>
      <c r="CM1794" s="6"/>
      <c r="CN1794" s="6"/>
      <c r="CO1794" s="6"/>
      <c r="CP1794" s="6"/>
      <c r="CQ1794" s="6"/>
      <c r="CR1794" s="6"/>
      <c r="CS1794" s="6"/>
      <c r="CT1794" s="6"/>
      <c r="CU1794" s="6"/>
      <c r="CV1794" s="6"/>
      <c r="CW1794" s="6"/>
      <c r="CX1794" s="6"/>
      <c r="CY1794" s="6"/>
      <c r="CZ1794" s="6"/>
      <c r="DA1794" s="6"/>
      <c r="DB1794" s="6"/>
      <c r="DC1794" s="6"/>
      <c r="DD1794" s="6"/>
      <c r="DE1794" s="6"/>
      <c r="DF1794" s="6"/>
      <c r="DG1794" s="6"/>
      <c r="DH1794" s="6"/>
      <c r="DI1794" s="6"/>
      <c r="DJ1794" s="6"/>
      <c r="DK1794" s="6"/>
      <c r="DL1794" s="6"/>
      <c r="DM1794" s="6"/>
      <c r="DN1794" s="6"/>
      <c r="DO1794" s="6"/>
      <c r="DP1794" s="6"/>
      <c r="DQ1794" s="6"/>
      <c r="DR1794" s="6"/>
      <c r="DS1794" s="6"/>
      <c r="DT1794" s="6"/>
      <c r="DU1794" s="6"/>
      <c r="DV1794" s="6"/>
      <c r="DW1794" s="6"/>
      <c r="DX1794" s="6"/>
      <c r="DY1794" s="6"/>
      <c r="DZ1794" s="6"/>
      <c r="EA1794" s="6"/>
      <c r="EB1794" s="6"/>
      <c r="EC1794" s="6"/>
      <c r="ED1794" s="6"/>
      <c r="EE1794" s="6"/>
      <c r="EF1794" s="6"/>
      <c r="EG1794" s="6"/>
      <c r="EH1794" s="6"/>
      <c r="EI1794" s="6"/>
      <c r="EJ1794" s="6"/>
      <c r="EK1794" s="6"/>
      <c r="EL1794" s="6"/>
      <c r="EM1794" s="6"/>
      <c r="EN1794" s="6"/>
      <c r="EO1794" s="6"/>
      <c r="EP1794" s="6"/>
      <c r="EQ1794" s="6"/>
      <c r="ER1794" s="6"/>
      <c r="ES1794" s="6"/>
      <c r="ET1794" s="6"/>
      <c r="EU1794" s="6"/>
      <c r="EV1794" s="6"/>
      <c r="EW1794" s="6"/>
      <c r="EX1794" s="6"/>
      <c r="EY1794" s="6"/>
      <c r="EZ1794" s="6"/>
      <c r="FA1794" s="6"/>
      <c r="FB1794" s="6"/>
      <c r="FC1794" s="6"/>
      <c r="FD1794" s="6"/>
      <c r="FE1794" s="6"/>
      <c r="FF1794" s="6"/>
      <c r="FG1794" s="6"/>
      <c r="FH1794" s="6"/>
      <c r="FI1794" s="6"/>
      <c r="FJ1794" s="6"/>
      <c r="FK1794" s="6"/>
      <c r="FL1794" s="6"/>
      <c r="FM1794" s="6"/>
      <c r="FN1794" s="6"/>
      <c r="FO1794" s="6"/>
      <c r="FP1794" s="6"/>
      <c r="FQ1794" s="6"/>
      <c r="FR1794" s="6"/>
      <c r="FS1794" s="6"/>
      <c r="FT1794" s="6"/>
      <c r="FU1794" s="6"/>
      <c r="FV1794" s="6"/>
      <c r="FW1794" s="6"/>
      <c r="FX1794" s="6"/>
      <c r="FY1794" s="6"/>
      <c r="FZ1794" s="6"/>
      <c r="GA1794" s="6"/>
      <c r="GB1794" s="6"/>
      <c r="GC1794" s="6"/>
      <c r="GD1794" s="6"/>
      <c r="GE1794" s="6"/>
      <c r="GF1794" s="6"/>
      <c r="GG1794" s="6"/>
      <c r="GH1794" s="6"/>
      <c r="GI1794" s="6"/>
      <c r="GJ1794" s="6"/>
      <c r="GK1794" s="6"/>
      <c r="GL1794" s="6"/>
      <c r="GM1794" s="6"/>
      <c r="GN1794" s="6"/>
      <c r="GO1794" s="6"/>
      <c r="GP1794" s="6"/>
      <c r="GQ1794" s="6"/>
      <c r="GR1794" s="6"/>
      <c r="GS1794" s="6"/>
      <c r="GT1794" s="6"/>
      <c r="GU1794" s="6"/>
      <c r="GV1794" s="6"/>
      <c r="GW1794" s="6"/>
      <c r="GX1794" s="6"/>
      <c r="GY1794" s="6"/>
      <c r="GZ1794" s="6"/>
      <c r="HA1794" s="6"/>
      <c r="HB1794" s="6"/>
      <c r="HC1794" s="6"/>
      <c r="HD1794" s="6"/>
      <c r="HE1794" s="6"/>
      <c r="HF1794" s="6"/>
      <c r="HG1794" s="6"/>
      <c r="HH1794" s="6"/>
    </row>
    <row r="1795" spans="1:216" x14ac:dyDescent="0.3">
      <c r="A1795" s="8"/>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6"/>
      <c r="AR1795" s="6"/>
      <c r="AS1795" s="6"/>
      <c r="AT1795" s="6"/>
      <c r="AU1795" s="6"/>
      <c r="AV1795" s="6"/>
      <c r="AW1795" s="6"/>
      <c r="AX1795" s="6"/>
      <c r="AY1795" s="6"/>
      <c r="AZ1795" s="6"/>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c r="DX1795" s="6"/>
      <c r="DY1795" s="6"/>
      <c r="DZ1795" s="6"/>
      <c r="EA1795" s="6"/>
      <c r="EB1795" s="6"/>
      <c r="EC1795" s="6"/>
      <c r="ED1795" s="6"/>
      <c r="EE1795" s="6"/>
      <c r="EF1795" s="6"/>
      <c r="EG1795" s="6"/>
      <c r="EH1795" s="6"/>
      <c r="EI1795" s="6"/>
      <c r="EJ1795" s="6"/>
      <c r="EK1795" s="6"/>
      <c r="EL1795" s="6"/>
      <c r="EM1795" s="6"/>
      <c r="EN1795" s="6"/>
      <c r="EO1795" s="6"/>
      <c r="EP1795" s="6"/>
      <c r="EQ1795" s="6"/>
      <c r="ER1795" s="6"/>
      <c r="ES1795" s="6"/>
      <c r="ET1795" s="6"/>
      <c r="EU1795" s="6"/>
      <c r="EV1795" s="6"/>
      <c r="EW1795" s="6"/>
      <c r="EX1795" s="6"/>
      <c r="EY1795" s="6"/>
      <c r="EZ1795" s="6"/>
      <c r="FA1795" s="6"/>
      <c r="FB1795" s="6"/>
      <c r="FC1795" s="6"/>
      <c r="FD1795" s="6"/>
      <c r="FE1795" s="6"/>
      <c r="FF1795" s="6"/>
      <c r="FG1795" s="6"/>
      <c r="FH1795" s="6"/>
      <c r="FI1795" s="6"/>
      <c r="FJ1795" s="6"/>
      <c r="FK1795" s="6"/>
      <c r="FL1795" s="6"/>
      <c r="FM1795" s="6"/>
      <c r="FN1795" s="6"/>
      <c r="FO1795" s="6"/>
      <c r="FP1795" s="6"/>
      <c r="FQ1795" s="6"/>
      <c r="FR1795" s="6"/>
      <c r="FS1795" s="6"/>
      <c r="FT1795" s="6"/>
      <c r="FU1795" s="6"/>
      <c r="FV1795" s="6"/>
      <c r="FW1795" s="6"/>
      <c r="FX1795" s="6"/>
      <c r="FY1795" s="6"/>
      <c r="FZ1795" s="6"/>
      <c r="GA1795" s="6"/>
      <c r="GB1795" s="6"/>
      <c r="GC1795" s="6"/>
      <c r="GD1795" s="6"/>
      <c r="GE1795" s="6"/>
      <c r="GF1795" s="6"/>
      <c r="GG1795" s="6"/>
      <c r="GH1795" s="6"/>
      <c r="GI1795" s="6"/>
      <c r="GJ1795" s="6"/>
      <c r="GK1795" s="6"/>
      <c r="GL1795" s="6"/>
      <c r="GM1795" s="6"/>
      <c r="GN1795" s="6"/>
      <c r="GO1795" s="6"/>
      <c r="GP1795" s="6"/>
      <c r="GQ1795" s="6"/>
      <c r="GR1795" s="6"/>
      <c r="GS1795" s="6"/>
      <c r="GT1795" s="6"/>
      <c r="GU1795" s="6"/>
      <c r="GV1795" s="6"/>
      <c r="GW1795" s="6"/>
      <c r="GX1795" s="6"/>
      <c r="GY1795" s="6"/>
      <c r="GZ1795" s="6"/>
      <c r="HA1795" s="6"/>
      <c r="HB1795" s="6"/>
      <c r="HC1795" s="6"/>
      <c r="HD1795" s="6"/>
      <c r="HE1795" s="6"/>
      <c r="HF1795" s="6"/>
      <c r="HG1795" s="6"/>
      <c r="HH1795" s="6"/>
    </row>
    <row r="1796" spans="1:216" x14ac:dyDescent="0.3">
      <c r="A1796" s="8"/>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6"/>
      <c r="AR1796" s="6"/>
      <c r="AS1796" s="6"/>
      <c r="AT1796" s="6"/>
      <c r="AU1796" s="6"/>
      <c r="AV1796" s="6"/>
      <c r="AW1796" s="6"/>
      <c r="AX1796" s="6"/>
      <c r="AY1796" s="6"/>
      <c r="AZ1796" s="6"/>
      <c r="BA1796" s="6"/>
      <c r="BB1796" s="6"/>
      <c r="BC1796" s="6"/>
      <c r="BD1796" s="6"/>
      <c r="BE1796" s="6"/>
      <c r="BF1796" s="6"/>
      <c r="BG1796" s="6"/>
      <c r="BH1796" s="6"/>
      <c r="BI1796" s="6"/>
      <c r="BJ1796" s="6"/>
      <c r="BK1796" s="6"/>
      <c r="BL1796" s="6"/>
      <c r="BM1796" s="6"/>
      <c r="BN1796" s="6"/>
      <c r="BO1796" s="6"/>
      <c r="BP1796" s="6"/>
      <c r="BQ1796" s="6"/>
      <c r="BR1796" s="6"/>
      <c r="BS1796" s="6"/>
      <c r="BT1796" s="6"/>
      <c r="BU1796" s="6"/>
      <c r="BV1796" s="6"/>
      <c r="BW1796" s="6"/>
      <c r="BX1796" s="6"/>
      <c r="BY1796" s="6"/>
      <c r="BZ1796" s="6"/>
      <c r="CA1796" s="6"/>
      <c r="CB1796" s="6"/>
      <c r="CC1796" s="6"/>
      <c r="CD1796" s="6"/>
      <c r="CE1796" s="6"/>
      <c r="CF1796" s="6"/>
      <c r="CG1796" s="6"/>
      <c r="CH1796" s="6"/>
      <c r="CI1796" s="6"/>
      <c r="CJ1796" s="6"/>
      <c r="CK1796" s="6"/>
      <c r="CL1796" s="6"/>
      <c r="CM1796" s="6"/>
      <c r="CN1796" s="6"/>
      <c r="CO1796" s="6"/>
      <c r="CP1796" s="6"/>
      <c r="CQ1796" s="6"/>
      <c r="CR1796" s="6"/>
      <c r="CS1796" s="6"/>
      <c r="CT1796" s="6"/>
      <c r="CU1796" s="6"/>
      <c r="CV1796" s="6"/>
      <c r="CW1796" s="6"/>
      <c r="CX1796" s="6"/>
      <c r="CY1796" s="6"/>
      <c r="CZ1796" s="6"/>
      <c r="DA1796" s="6"/>
      <c r="DB1796" s="6"/>
      <c r="DC1796" s="6"/>
      <c r="DD1796" s="6"/>
      <c r="DE1796" s="6"/>
      <c r="DF1796" s="6"/>
      <c r="DG1796" s="6"/>
      <c r="DH1796" s="6"/>
      <c r="DI1796" s="6"/>
      <c r="DJ1796" s="6"/>
      <c r="DK1796" s="6"/>
      <c r="DL1796" s="6"/>
      <c r="DM1796" s="6"/>
      <c r="DN1796" s="6"/>
      <c r="DO1796" s="6"/>
      <c r="DP1796" s="6"/>
      <c r="DQ1796" s="6"/>
      <c r="DR1796" s="6"/>
      <c r="DS1796" s="6"/>
      <c r="DT1796" s="6"/>
      <c r="DU1796" s="6"/>
      <c r="DV1796" s="6"/>
      <c r="DW1796" s="6"/>
      <c r="DX1796" s="6"/>
      <c r="DY1796" s="6"/>
      <c r="DZ1796" s="6"/>
      <c r="EA1796" s="6"/>
      <c r="EB1796" s="6"/>
      <c r="EC1796" s="6"/>
      <c r="ED1796" s="6"/>
      <c r="EE1796" s="6"/>
      <c r="EF1796" s="6"/>
      <c r="EG1796" s="6"/>
      <c r="EH1796" s="6"/>
      <c r="EI1796" s="6"/>
      <c r="EJ1796" s="6"/>
      <c r="EK1796" s="6"/>
      <c r="EL1796" s="6"/>
      <c r="EM1796" s="6"/>
      <c r="EN1796" s="6"/>
      <c r="EO1796" s="6"/>
      <c r="EP1796" s="6"/>
      <c r="EQ1796" s="6"/>
      <c r="ER1796" s="6"/>
      <c r="ES1796" s="6"/>
      <c r="ET1796" s="6"/>
      <c r="EU1796" s="6"/>
      <c r="EV1796" s="6"/>
      <c r="EW1796" s="6"/>
      <c r="EX1796" s="6"/>
      <c r="EY1796" s="6"/>
      <c r="EZ1796" s="6"/>
      <c r="FA1796" s="6"/>
      <c r="FB1796" s="6"/>
      <c r="FC1796" s="6"/>
      <c r="FD1796" s="6"/>
      <c r="FE1796" s="6"/>
      <c r="FF1796" s="6"/>
      <c r="FG1796" s="6"/>
      <c r="FH1796" s="6"/>
      <c r="FI1796" s="6"/>
      <c r="FJ1796" s="6"/>
      <c r="FK1796" s="6"/>
      <c r="FL1796" s="6"/>
      <c r="FM1796" s="6"/>
      <c r="FN1796" s="6"/>
      <c r="FO1796" s="6"/>
      <c r="FP1796" s="6"/>
      <c r="FQ1796" s="6"/>
      <c r="FR1796" s="6"/>
      <c r="FS1796" s="6"/>
      <c r="FT1796" s="6"/>
      <c r="FU1796" s="6"/>
      <c r="FV1796" s="6"/>
      <c r="FW1796" s="6"/>
      <c r="FX1796" s="6"/>
      <c r="FY1796" s="6"/>
      <c r="FZ1796" s="6"/>
      <c r="GA1796" s="6"/>
      <c r="GB1796" s="6"/>
      <c r="GC1796" s="6"/>
      <c r="GD1796" s="6"/>
      <c r="GE1796" s="6"/>
      <c r="GF1796" s="6"/>
      <c r="GG1796" s="6"/>
      <c r="GH1796" s="6"/>
      <c r="GI1796" s="6"/>
      <c r="GJ1796" s="6"/>
      <c r="GK1796" s="6"/>
      <c r="GL1796" s="6"/>
      <c r="GM1796" s="6"/>
      <c r="GN1796" s="6"/>
      <c r="GO1796" s="6"/>
      <c r="GP1796" s="6"/>
      <c r="GQ1796" s="6"/>
      <c r="GR1796" s="6"/>
      <c r="GS1796" s="6"/>
      <c r="GT1796" s="6"/>
      <c r="GU1796" s="6"/>
      <c r="GV1796" s="6"/>
      <c r="GW1796" s="6"/>
      <c r="GX1796" s="6"/>
      <c r="GY1796" s="6"/>
      <c r="GZ1796" s="6"/>
      <c r="HA1796" s="6"/>
      <c r="HB1796" s="6"/>
      <c r="HC1796" s="6"/>
      <c r="HD1796" s="6"/>
      <c r="HE1796" s="6"/>
      <c r="HF1796" s="6"/>
      <c r="HG1796" s="6"/>
      <c r="HH1796" s="6"/>
    </row>
    <row r="1797" spans="1:216" x14ac:dyDescent="0.3">
      <c r="A1797" s="8"/>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6"/>
      <c r="AR1797" s="6"/>
      <c r="AS1797" s="6"/>
      <c r="AT1797" s="6"/>
      <c r="AU1797" s="6"/>
      <c r="AV1797" s="6"/>
      <c r="AW1797" s="6"/>
      <c r="AX1797" s="6"/>
      <c r="AY1797" s="6"/>
      <c r="AZ1797" s="6"/>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c r="DX1797" s="6"/>
      <c r="DY1797" s="6"/>
      <c r="DZ1797" s="6"/>
      <c r="EA1797" s="6"/>
      <c r="EB1797" s="6"/>
      <c r="EC1797" s="6"/>
      <c r="ED1797" s="6"/>
      <c r="EE1797" s="6"/>
      <c r="EF1797" s="6"/>
      <c r="EG1797" s="6"/>
      <c r="EH1797" s="6"/>
      <c r="EI1797" s="6"/>
      <c r="EJ1797" s="6"/>
      <c r="EK1797" s="6"/>
      <c r="EL1797" s="6"/>
      <c r="EM1797" s="6"/>
      <c r="EN1797" s="6"/>
      <c r="EO1797" s="6"/>
      <c r="EP1797" s="6"/>
      <c r="EQ1797" s="6"/>
      <c r="ER1797" s="6"/>
      <c r="ES1797" s="6"/>
      <c r="ET1797" s="6"/>
      <c r="EU1797" s="6"/>
      <c r="EV1797" s="6"/>
      <c r="EW1797" s="6"/>
      <c r="EX1797" s="6"/>
      <c r="EY1797" s="6"/>
      <c r="EZ1797" s="6"/>
      <c r="FA1797" s="6"/>
      <c r="FB1797" s="6"/>
      <c r="FC1797" s="6"/>
      <c r="FD1797" s="6"/>
      <c r="FE1797" s="6"/>
      <c r="FF1797" s="6"/>
      <c r="FG1797" s="6"/>
      <c r="FH1797" s="6"/>
      <c r="FI1797" s="6"/>
      <c r="FJ1797" s="6"/>
      <c r="FK1797" s="6"/>
      <c r="FL1797" s="6"/>
      <c r="FM1797" s="6"/>
      <c r="FN1797" s="6"/>
      <c r="FO1797" s="6"/>
      <c r="FP1797" s="6"/>
      <c r="FQ1797" s="6"/>
      <c r="FR1797" s="6"/>
      <c r="FS1797" s="6"/>
      <c r="FT1797" s="6"/>
      <c r="FU1797" s="6"/>
      <c r="FV1797" s="6"/>
      <c r="FW1797" s="6"/>
      <c r="FX1797" s="6"/>
      <c r="FY1797" s="6"/>
      <c r="FZ1797" s="6"/>
      <c r="GA1797" s="6"/>
      <c r="GB1797" s="6"/>
      <c r="GC1797" s="6"/>
      <c r="GD1797" s="6"/>
      <c r="GE1797" s="6"/>
      <c r="GF1797" s="6"/>
      <c r="GG1797" s="6"/>
      <c r="GH1797" s="6"/>
      <c r="GI1797" s="6"/>
      <c r="GJ1797" s="6"/>
      <c r="GK1797" s="6"/>
      <c r="GL1797" s="6"/>
      <c r="GM1797" s="6"/>
      <c r="GN1797" s="6"/>
      <c r="GO1797" s="6"/>
      <c r="GP1797" s="6"/>
      <c r="GQ1797" s="6"/>
      <c r="GR1797" s="6"/>
      <c r="GS1797" s="6"/>
      <c r="GT1797" s="6"/>
      <c r="GU1797" s="6"/>
      <c r="GV1797" s="6"/>
      <c r="GW1797" s="6"/>
      <c r="GX1797" s="6"/>
      <c r="GY1797" s="6"/>
      <c r="GZ1797" s="6"/>
      <c r="HA1797" s="6"/>
      <c r="HB1797" s="6"/>
      <c r="HC1797" s="6"/>
      <c r="HD1797" s="6"/>
      <c r="HE1797" s="6"/>
      <c r="HF1797" s="6"/>
      <c r="HG1797" s="6"/>
      <c r="HH1797" s="6"/>
    </row>
    <row r="1798" spans="1:216" x14ac:dyDescent="0.3">
      <c r="A1798" s="8"/>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6"/>
      <c r="AR1798" s="6"/>
      <c r="AS1798" s="6"/>
      <c r="AT1798" s="6"/>
      <c r="AU1798" s="6"/>
      <c r="AV1798" s="6"/>
      <c r="AW1798" s="6"/>
      <c r="AX1798" s="6"/>
      <c r="AY1798" s="6"/>
      <c r="AZ1798" s="6"/>
      <c r="BA1798" s="6"/>
      <c r="BB1798" s="6"/>
      <c r="BC1798" s="6"/>
      <c r="BD1798" s="6"/>
      <c r="BE1798" s="6"/>
      <c r="BF1798" s="6"/>
      <c r="BG1798" s="6"/>
      <c r="BH1798" s="6"/>
      <c r="BI1798" s="6"/>
      <c r="BJ1798" s="6"/>
      <c r="BK1798" s="6"/>
      <c r="BL1798" s="6"/>
      <c r="BM1798" s="6"/>
      <c r="BN1798" s="6"/>
      <c r="BO1798" s="6"/>
      <c r="BP1798" s="6"/>
      <c r="BQ1798" s="6"/>
      <c r="BR1798" s="6"/>
      <c r="BS1798" s="6"/>
      <c r="BT1798" s="6"/>
      <c r="BU1798" s="6"/>
      <c r="BV1798" s="6"/>
      <c r="BW1798" s="6"/>
      <c r="BX1798" s="6"/>
      <c r="BY1798" s="6"/>
      <c r="BZ1798" s="6"/>
      <c r="CA1798" s="6"/>
      <c r="CB1798" s="6"/>
      <c r="CC1798" s="6"/>
      <c r="CD1798" s="6"/>
      <c r="CE1798" s="6"/>
      <c r="CF1798" s="6"/>
      <c r="CG1798" s="6"/>
      <c r="CH1798" s="6"/>
      <c r="CI1798" s="6"/>
      <c r="CJ1798" s="6"/>
      <c r="CK1798" s="6"/>
      <c r="CL1798" s="6"/>
      <c r="CM1798" s="6"/>
      <c r="CN1798" s="6"/>
      <c r="CO1798" s="6"/>
      <c r="CP1798" s="6"/>
      <c r="CQ1798" s="6"/>
      <c r="CR1798" s="6"/>
      <c r="CS1798" s="6"/>
      <c r="CT1798" s="6"/>
      <c r="CU1798" s="6"/>
      <c r="CV1798" s="6"/>
      <c r="CW1798" s="6"/>
      <c r="CX1798" s="6"/>
      <c r="CY1798" s="6"/>
      <c r="CZ1798" s="6"/>
      <c r="DA1798" s="6"/>
      <c r="DB1798" s="6"/>
      <c r="DC1798" s="6"/>
      <c r="DD1798" s="6"/>
      <c r="DE1798" s="6"/>
      <c r="DF1798" s="6"/>
      <c r="DG1798" s="6"/>
      <c r="DH1798" s="6"/>
      <c r="DI1798" s="6"/>
      <c r="DJ1798" s="6"/>
      <c r="DK1798" s="6"/>
      <c r="DL1798" s="6"/>
      <c r="DM1798" s="6"/>
      <c r="DN1798" s="6"/>
      <c r="DO1798" s="6"/>
      <c r="DP1798" s="6"/>
      <c r="DQ1798" s="6"/>
      <c r="DR1798" s="6"/>
      <c r="DS1798" s="6"/>
      <c r="DT1798" s="6"/>
      <c r="DU1798" s="6"/>
      <c r="DV1798" s="6"/>
      <c r="DW1798" s="6"/>
      <c r="DX1798" s="6"/>
      <c r="DY1798" s="6"/>
      <c r="DZ1798" s="6"/>
      <c r="EA1798" s="6"/>
      <c r="EB1798" s="6"/>
      <c r="EC1798" s="6"/>
      <c r="ED1798" s="6"/>
      <c r="EE1798" s="6"/>
      <c r="EF1798" s="6"/>
      <c r="EG1798" s="6"/>
      <c r="EH1798" s="6"/>
      <c r="EI1798" s="6"/>
      <c r="EJ1798" s="6"/>
      <c r="EK1798" s="6"/>
      <c r="EL1798" s="6"/>
      <c r="EM1798" s="6"/>
      <c r="EN1798" s="6"/>
      <c r="EO1798" s="6"/>
      <c r="EP1798" s="6"/>
      <c r="EQ1798" s="6"/>
      <c r="ER1798" s="6"/>
      <c r="ES1798" s="6"/>
      <c r="ET1798" s="6"/>
      <c r="EU1798" s="6"/>
      <c r="EV1798" s="6"/>
      <c r="EW1798" s="6"/>
      <c r="EX1798" s="6"/>
      <c r="EY1798" s="6"/>
      <c r="EZ1798" s="6"/>
      <c r="FA1798" s="6"/>
      <c r="FB1798" s="6"/>
      <c r="FC1798" s="6"/>
      <c r="FD1798" s="6"/>
      <c r="FE1798" s="6"/>
      <c r="FF1798" s="6"/>
      <c r="FG1798" s="6"/>
      <c r="FH1798" s="6"/>
      <c r="FI1798" s="6"/>
      <c r="FJ1798" s="6"/>
      <c r="FK1798" s="6"/>
      <c r="FL1798" s="6"/>
      <c r="FM1798" s="6"/>
      <c r="FN1798" s="6"/>
      <c r="FO1798" s="6"/>
      <c r="FP1798" s="6"/>
      <c r="FQ1798" s="6"/>
      <c r="FR1798" s="6"/>
      <c r="FS1798" s="6"/>
      <c r="FT1798" s="6"/>
      <c r="FU1798" s="6"/>
      <c r="FV1798" s="6"/>
      <c r="FW1798" s="6"/>
      <c r="FX1798" s="6"/>
      <c r="FY1798" s="6"/>
      <c r="FZ1798" s="6"/>
      <c r="GA1798" s="6"/>
      <c r="GB1798" s="6"/>
      <c r="GC1798" s="6"/>
      <c r="GD1798" s="6"/>
      <c r="GE1798" s="6"/>
      <c r="GF1798" s="6"/>
      <c r="GG1798" s="6"/>
      <c r="GH1798" s="6"/>
      <c r="GI1798" s="6"/>
      <c r="GJ1798" s="6"/>
      <c r="GK1798" s="6"/>
      <c r="GL1798" s="6"/>
      <c r="GM1798" s="6"/>
      <c r="GN1798" s="6"/>
      <c r="GO1798" s="6"/>
      <c r="GP1798" s="6"/>
      <c r="GQ1798" s="6"/>
      <c r="GR1798" s="6"/>
      <c r="GS1798" s="6"/>
      <c r="GT1798" s="6"/>
      <c r="GU1798" s="6"/>
      <c r="GV1798" s="6"/>
      <c r="GW1798" s="6"/>
      <c r="GX1798" s="6"/>
      <c r="GY1798" s="6"/>
      <c r="GZ1798" s="6"/>
      <c r="HA1798" s="6"/>
      <c r="HB1798" s="6"/>
      <c r="HC1798" s="6"/>
      <c r="HD1798" s="6"/>
      <c r="HE1798" s="6"/>
      <c r="HF1798" s="6"/>
      <c r="HG1798" s="6"/>
      <c r="HH1798" s="6"/>
    </row>
    <row r="1799" spans="1:216" x14ac:dyDescent="0.3">
      <c r="A1799" s="8"/>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6"/>
      <c r="AR1799" s="6"/>
      <c r="AS1799" s="6"/>
      <c r="AT1799" s="6"/>
      <c r="AU1799" s="6"/>
      <c r="AV1799" s="6"/>
      <c r="AW1799" s="6"/>
      <c r="AX1799" s="6"/>
      <c r="AY1799" s="6"/>
      <c r="AZ1799" s="6"/>
      <c r="BA1799" s="6"/>
      <c r="BB1799" s="6"/>
      <c r="BC1799" s="6"/>
      <c r="BD1799" s="6"/>
      <c r="BE1799" s="6"/>
      <c r="BF1799" s="6"/>
      <c r="BG1799" s="6"/>
      <c r="BH1799" s="6"/>
      <c r="BI1799" s="6"/>
      <c r="BJ1799" s="6"/>
      <c r="BK1799" s="6"/>
      <c r="BL1799" s="6"/>
      <c r="BM1799" s="6"/>
      <c r="BN1799" s="6"/>
      <c r="BO1799" s="6"/>
      <c r="BP1799" s="6"/>
      <c r="BQ1799" s="6"/>
      <c r="BR1799" s="6"/>
      <c r="BS1799" s="6"/>
      <c r="BT1799" s="6"/>
      <c r="BU1799" s="6"/>
      <c r="BV1799" s="6"/>
      <c r="BW1799" s="6"/>
      <c r="BX1799" s="6"/>
      <c r="BY1799" s="6"/>
      <c r="BZ1799" s="6"/>
      <c r="CA1799" s="6"/>
      <c r="CB1799" s="6"/>
      <c r="CC1799" s="6"/>
      <c r="CD1799" s="6"/>
      <c r="CE1799" s="6"/>
      <c r="CF1799" s="6"/>
      <c r="CG1799" s="6"/>
      <c r="CH1799" s="6"/>
      <c r="CI1799" s="6"/>
      <c r="CJ1799" s="6"/>
      <c r="CK1799" s="6"/>
      <c r="CL1799" s="6"/>
      <c r="CM1799" s="6"/>
      <c r="CN1799" s="6"/>
      <c r="CO1799" s="6"/>
      <c r="CP1799" s="6"/>
      <c r="CQ1799" s="6"/>
      <c r="CR1799" s="6"/>
      <c r="CS1799" s="6"/>
      <c r="CT1799" s="6"/>
      <c r="CU1799" s="6"/>
      <c r="CV1799" s="6"/>
      <c r="CW1799" s="6"/>
      <c r="CX1799" s="6"/>
      <c r="CY1799" s="6"/>
      <c r="CZ1799" s="6"/>
      <c r="DA1799" s="6"/>
      <c r="DB1799" s="6"/>
      <c r="DC1799" s="6"/>
      <c r="DD1799" s="6"/>
      <c r="DE1799" s="6"/>
      <c r="DF1799" s="6"/>
      <c r="DG1799" s="6"/>
      <c r="DH1799" s="6"/>
      <c r="DI1799" s="6"/>
      <c r="DJ1799" s="6"/>
      <c r="DK1799" s="6"/>
      <c r="DL1799" s="6"/>
      <c r="DM1799" s="6"/>
      <c r="DN1799" s="6"/>
      <c r="DO1799" s="6"/>
      <c r="DP1799" s="6"/>
      <c r="DQ1799" s="6"/>
      <c r="DR1799" s="6"/>
      <c r="DS1799" s="6"/>
      <c r="DT1799" s="6"/>
      <c r="DU1799" s="6"/>
      <c r="DV1799" s="6"/>
      <c r="DW1799" s="6"/>
      <c r="DX1799" s="6"/>
      <c r="DY1799" s="6"/>
      <c r="DZ1799" s="6"/>
      <c r="EA1799" s="6"/>
      <c r="EB1799" s="6"/>
      <c r="EC1799" s="6"/>
      <c r="ED1799" s="6"/>
      <c r="EE1799" s="6"/>
      <c r="EF1799" s="6"/>
      <c r="EG1799" s="6"/>
      <c r="EH1799" s="6"/>
      <c r="EI1799" s="6"/>
      <c r="EJ1799" s="6"/>
      <c r="EK1799" s="6"/>
      <c r="EL1799" s="6"/>
      <c r="EM1799" s="6"/>
      <c r="EN1799" s="6"/>
      <c r="EO1799" s="6"/>
      <c r="EP1799" s="6"/>
      <c r="EQ1799" s="6"/>
      <c r="ER1799" s="6"/>
      <c r="ES1799" s="6"/>
      <c r="ET1799" s="6"/>
      <c r="EU1799" s="6"/>
      <c r="EV1799" s="6"/>
      <c r="EW1799" s="6"/>
      <c r="EX1799" s="6"/>
      <c r="EY1799" s="6"/>
      <c r="EZ1799" s="6"/>
      <c r="FA1799" s="6"/>
      <c r="FB1799" s="6"/>
      <c r="FC1799" s="6"/>
      <c r="FD1799" s="6"/>
      <c r="FE1799" s="6"/>
      <c r="FF1799" s="6"/>
      <c r="FG1799" s="6"/>
      <c r="FH1799" s="6"/>
      <c r="FI1799" s="6"/>
      <c r="FJ1799" s="6"/>
      <c r="FK1799" s="6"/>
      <c r="FL1799" s="6"/>
      <c r="FM1799" s="6"/>
      <c r="FN1799" s="6"/>
      <c r="FO1799" s="6"/>
      <c r="FP1799" s="6"/>
      <c r="FQ1799" s="6"/>
      <c r="FR1799" s="6"/>
      <c r="FS1799" s="6"/>
      <c r="FT1799" s="6"/>
      <c r="FU1799" s="6"/>
      <c r="FV1799" s="6"/>
      <c r="FW1799" s="6"/>
      <c r="FX1799" s="6"/>
      <c r="FY1799" s="6"/>
      <c r="FZ1799" s="6"/>
      <c r="GA1799" s="6"/>
      <c r="GB1799" s="6"/>
      <c r="GC1799" s="6"/>
      <c r="GD1799" s="6"/>
      <c r="GE1799" s="6"/>
      <c r="GF1799" s="6"/>
      <c r="GG1799" s="6"/>
      <c r="GH1799" s="6"/>
      <c r="GI1799" s="6"/>
      <c r="GJ1799" s="6"/>
      <c r="GK1799" s="6"/>
      <c r="GL1799" s="6"/>
      <c r="GM1799" s="6"/>
      <c r="GN1799" s="6"/>
      <c r="GO1799" s="6"/>
      <c r="GP1799" s="6"/>
      <c r="GQ1799" s="6"/>
      <c r="GR1799" s="6"/>
      <c r="GS1799" s="6"/>
      <c r="GT1799" s="6"/>
      <c r="GU1799" s="6"/>
      <c r="GV1799" s="6"/>
      <c r="GW1799" s="6"/>
      <c r="GX1799" s="6"/>
      <c r="GY1799" s="6"/>
      <c r="GZ1799" s="6"/>
      <c r="HA1799" s="6"/>
      <c r="HB1799" s="6"/>
      <c r="HC1799" s="6"/>
      <c r="HD1799" s="6"/>
      <c r="HE1799" s="6"/>
      <c r="HF1799" s="6"/>
      <c r="HG1799" s="6"/>
      <c r="HH1799" s="6"/>
    </row>
    <row r="1800" spans="1:216" x14ac:dyDescent="0.3">
      <c r="A1800" s="8"/>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6"/>
      <c r="AR1800" s="6"/>
      <c r="AS1800" s="6"/>
      <c r="AT1800" s="6"/>
      <c r="AU1800" s="6"/>
      <c r="AV1800" s="6"/>
      <c r="AW1800" s="6"/>
      <c r="AX1800" s="6"/>
      <c r="AY1800" s="6"/>
      <c r="AZ1800" s="6"/>
      <c r="BA1800" s="6"/>
      <c r="BB1800" s="6"/>
      <c r="BC1800" s="6"/>
      <c r="BD1800" s="6"/>
      <c r="BE1800" s="6"/>
      <c r="BF1800" s="6"/>
      <c r="BG1800" s="6"/>
      <c r="BH1800" s="6"/>
      <c r="BI1800" s="6"/>
      <c r="BJ1800" s="6"/>
      <c r="BK1800" s="6"/>
      <c r="BL1800" s="6"/>
      <c r="BM1800" s="6"/>
      <c r="BN1800" s="6"/>
      <c r="BO1800" s="6"/>
      <c r="BP1800" s="6"/>
      <c r="BQ1800" s="6"/>
      <c r="BR1800" s="6"/>
      <c r="BS1800" s="6"/>
      <c r="BT1800" s="6"/>
      <c r="BU1800" s="6"/>
      <c r="BV1800" s="6"/>
      <c r="BW1800" s="6"/>
      <c r="BX1800" s="6"/>
      <c r="BY1800" s="6"/>
      <c r="BZ1800" s="6"/>
      <c r="CA1800" s="6"/>
      <c r="CB1800" s="6"/>
      <c r="CC1800" s="6"/>
      <c r="CD1800" s="6"/>
      <c r="CE1800" s="6"/>
      <c r="CF1800" s="6"/>
      <c r="CG1800" s="6"/>
      <c r="CH1800" s="6"/>
      <c r="CI1800" s="6"/>
      <c r="CJ1800" s="6"/>
      <c r="CK1800" s="6"/>
      <c r="CL1800" s="6"/>
      <c r="CM1800" s="6"/>
      <c r="CN1800" s="6"/>
      <c r="CO1800" s="6"/>
      <c r="CP1800" s="6"/>
      <c r="CQ1800" s="6"/>
      <c r="CR1800" s="6"/>
      <c r="CS1800" s="6"/>
      <c r="CT1800" s="6"/>
      <c r="CU1800" s="6"/>
      <c r="CV1800" s="6"/>
      <c r="CW1800" s="6"/>
      <c r="CX1800" s="6"/>
      <c r="CY1800" s="6"/>
      <c r="CZ1800" s="6"/>
      <c r="DA1800" s="6"/>
      <c r="DB1800" s="6"/>
      <c r="DC1800" s="6"/>
      <c r="DD1800" s="6"/>
      <c r="DE1800" s="6"/>
      <c r="DF1800" s="6"/>
      <c r="DG1800" s="6"/>
      <c r="DH1800" s="6"/>
      <c r="DI1800" s="6"/>
      <c r="DJ1800" s="6"/>
      <c r="DK1800" s="6"/>
      <c r="DL1800" s="6"/>
      <c r="DM1800" s="6"/>
      <c r="DN1800" s="6"/>
      <c r="DO1800" s="6"/>
      <c r="DP1800" s="6"/>
      <c r="DQ1800" s="6"/>
      <c r="DR1800" s="6"/>
      <c r="DS1800" s="6"/>
      <c r="DT1800" s="6"/>
      <c r="DU1800" s="6"/>
      <c r="DV1800" s="6"/>
      <c r="DW1800" s="6"/>
      <c r="DX1800" s="6"/>
      <c r="DY1800" s="6"/>
      <c r="DZ1800" s="6"/>
      <c r="EA1800" s="6"/>
      <c r="EB1800" s="6"/>
      <c r="EC1800" s="6"/>
      <c r="ED1800" s="6"/>
      <c r="EE1800" s="6"/>
      <c r="EF1800" s="6"/>
      <c r="EG1800" s="6"/>
      <c r="EH1800" s="6"/>
      <c r="EI1800" s="6"/>
      <c r="EJ1800" s="6"/>
      <c r="EK1800" s="6"/>
      <c r="EL1800" s="6"/>
      <c r="EM1800" s="6"/>
      <c r="EN1800" s="6"/>
      <c r="EO1800" s="6"/>
      <c r="EP1800" s="6"/>
      <c r="EQ1800" s="6"/>
      <c r="ER1800" s="6"/>
      <c r="ES1800" s="6"/>
      <c r="ET1800" s="6"/>
      <c r="EU1800" s="6"/>
      <c r="EV1800" s="6"/>
      <c r="EW1800" s="6"/>
      <c r="EX1800" s="6"/>
      <c r="EY1800" s="6"/>
      <c r="EZ1800" s="6"/>
      <c r="FA1800" s="6"/>
      <c r="FB1800" s="6"/>
      <c r="FC1800" s="6"/>
      <c r="FD1800" s="6"/>
      <c r="FE1800" s="6"/>
      <c r="FF1800" s="6"/>
      <c r="FG1800" s="6"/>
      <c r="FH1800" s="6"/>
      <c r="FI1800" s="6"/>
      <c r="FJ1800" s="6"/>
      <c r="FK1800" s="6"/>
      <c r="FL1800" s="6"/>
      <c r="FM1800" s="6"/>
      <c r="FN1800" s="6"/>
      <c r="FO1800" s="6"/>
      <c r="FP1800" s="6"/>
      <c r="FQ1800" s="6"/>
      <c r="FR1800" s="6"/>
      <c r="FS1800" s="6"/>
      <c r="FT1800" s="6"/>
      <c r="FU1800" s="6"/>
      <c r="FV1800" s="6"/>
      <c r="FW1800" s="6"/>
      <c r="FX1800" s="6"/>
      <c r="FY1800" s="6"/>
      <c r="FZ1800" s="6"/>
      <c r="GA1800" s="6"/>
      <c r="GB1800" s="6"/>
      <c r="GC1800" s="6"/>
      <c r="GD1800" s="6"/>
      <c r="GE1800" s="6"/>
      <c r="GF1800" s="6"/>
      <c r="GG1800" s="6"/>
      <c r="GH1800" s="6"/>
      <c r="GI1800" s="6"/>
      <c r="GJ1800" s="6"/>
      <c r="GK1800" s="6"/>
      <c r="GL1800" s="6"/>
      <c r="GM1800" s="6"/>
      <c r="GN1800" s="6"/>
      <c r="GO1800" s="6"/>
      <c r="GP1800" s="6"/>
      <c r="GQ1800" s="6"/>
      <c r="GR1800" s="6"/>
      <c r="GS1800" s="6"/>
      <c r="GT1800" s="6"/>
      <c r="GU1800" s="6"/>
      <c r="GV1800" s="6"/>
      <c r="GW1800" s="6"/>
      <c r="GX1800" s="6"/>
      <c r="GY1800" s="6"/>
      <c r="GZ1800" s="6"/>
      <c r="HA1800" s="6"/>
      <c r="HB1800" s="6"/>
      <c r="HC1800" s="6"/>
      <c r="HD1800" s="6"/>
      <c r="HE1800" s="6"/>
      <c r="HF1800" s="6"/>
      <c r="HG1800" s="6"/>
      <c r="HH1800" s="6"/>
    </row>
    <row r="1801" spans="1:216" x14ac:dyDescent="0.3">
      <c r="A1801" s="8"/>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6"/>
      <c r="AR1801" s="6"/>
      <c r="AS1801" s="6"/>
      <c r="AT1801" s="6"/>
      <c r="AU1801" s="6"/>
      <c r="AV1801" s="6"/>
      <c r="AW1801" s="6"/>
      <c r="AX1801" s="6"/>
      <c r="AY1801" s="6"/>
      <c r="AZ1801" s="6"/>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c r="DX1801" s="6"/>
      <c r="DY1801" s="6"/>
      <c r="DZ1801" s="6"/>
      <c r="EA1801" s="6"/>
      <c r="EB1801" s="6"/>
      <c r="EC1801" s="6"/>
      <c r="ED1801" s="6"/>
      <c r="EE1801" s="6"/>
      <c r="EF1801" s="6"/>
      <c r="EG1801" s="6"/>
      <c r="EH1801" s="6"/>
      <c r="EI1801" s="6"/>
      <c r="EJ1801" s="6"/>
      <c r="EK1801" s="6"/>
      <c r="EL1801" s="6"/>
      <c r="EM1801" s="6"/>
      <c r="EN1801" s="6"/>
      <c r="EO1801" s="6"/>
      <c r="EP1801" s="6"/>
      <c r="EQ1801" s="6"/>
      <c r="ER1801" s="6"/>
      <c r="ES1801" s="6"/>
      <c r="ET1801" s="6"/>
      <c r="EU1801" s="6"/>
      <c r="EV1801" s="6"/>
      <c r="EW1801" s="6"/>
      <c r="EX1801" s="6"/>
      <c r="EY1801" s="6"/>
      <c r="EZ1801" s="6"/>
      <c r="FA1801" s="6"/>
      <c r="FB1801" s="6"/>
      <c r="FC1801" s="6"/>
      <c r="FD1801" s="6"/>
      <c r="FE1801" s="6"/>
      <c r="FF1801" s="6"/>
      <c r="FG1801" s="6"/>
      <c r="FH1801" s="6"/>
      <c r="FI1801" s="6"/>
      <c r="FJ1801" s="6"/>
      <c r="FK1801" s="6"/>
      <c r="FL1801" s="6"/>
      <c r="FM1801" s="6"/>
      <c r="FN1801" s="6"/>
      <c r="FO1801" s="6"/>
      <c r="FP1801" s="6"/>
      <c r="FQ1801" s="6"/>
      <c r="FR1801" s="6"/>
      <c r="FS1801" s="6"/>
      <c r="FT1801" s="6"/>
      <c r="FU1801" s="6"/>
      <c r="FV1801" s="6"/>
      <c r="FW1801" s="6"/>
      <c r="FX1801" s="6"/>
      <c r="FY1801" s="6"/>
      <c r="FZ1801" s="6"/>
      <c r="GA1801" s="6"/>
      <c r="GB1801" s="6"/>
      <c r="GC1801" s="6"/>
      <c r="GD1801" s="6"/>
      <c r="GE1801" s="6"/>
      <c r="GF1801" s="6"/>
      <c r="GG1801" s="6"/>
      <c r="GH1801" s="6"/>
      <c r="GI1801" s="6"/>
      <c r="GJ1801" s="6"/>
      <c r="GK1801" s="6"/>
      <c r="GL1801" s="6"/>
      <c r="GM1801" s="6"/>
      <c r="GN1801" s="6"/>
      <c r="GO1801" s="6"/>
      <c r="GP1801" s="6"/>
      <c r="GQ1801" s="6"/>
      <c r="GR1801" s="6"/>
      <c r="GS1801" s="6"/>
      <c r="GT1801" s="6"/>
      <c r="GU1801" s="6"/>
      <c r="GV1801" s="6"/>
      <c r="GW1801" s="6"/>
      <c r="GX1801" s="6"/>
      <c r="GY1801" s="6"/>
      <c r="GZ1801" s="6"/>
      <c r="HA1801" s="6"/>
      <c r="HB1801" s="6"/>
      <c r="HC1801" s="6"/>
      <c r="HD1801" s="6"/>
      <c r="HE1801" s="6"/>
      <c r="HF1801" s="6"/>
      <c r="HG1801" s="6"/>
      <c r="HH1801" s="6"/>
    </row>
    <row r="1802" spans="1:216" x14ac:dyDescent="0.3">
      <c r="A1802" s="8"/>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6"/>
      <c r="AR1802" s="6"/>
      <c r="AS1802" s="6"/>
      <c r="AT1802" s="6"/>
      <c r="AU1802" s="6"/>
      <c r="AV1802" s="6"/>
      <c r="AW1802" s="6"/>
      <c r="AX1802" s="6"/>
      <c r="AY1802" s="6"/>
      <c r="AZ1802" s="6"/>
      <c r="BA1802" s="6"/>
      <c r="BB1802" s="6"/>
      <c r="BC1802" s="6"/>
      <c r="BD1802" s="6"/>
      <c r="BE1802" s="6"/>
      <c r="BF1802" s="6"/>
      <c r="BG1802" s="6"/>
      <c r="BH1802" s="6"/>
      <c r="BI1802" s="6"/>
      <c r="BJ1802" s="6"/>
      <c r="BK1802" s="6"/>
      <c r="BL1802" s="6"/>
      <c r="BM1802" s="6"/>
      <c r="BN1802" s="6"/>
      <c r="BO1802" s="6"/>
      <c r="BP1802" s="6"/>
      <c r="BQ1802" s="6"/>
      <c r="BR1802" s="6"/>
      <c r="BS1802" s="6"/>
      <c r="BT1802" s="6"/>
      <c r="BU1802" s="6"/>
      <c r="BV1802" s="6"/>
      <c r="BW1802" s="6"/>
      <c r="BX1802" s="6"/>
      <c r="BY1802" s="6"/>
      <c r="BZ1802" s="6"/>
      <c r="CA1802" s="6"/>
      <c r="CB1802" s="6"/>
      <c r="CC1802" s="6"/>
      <c r="CD1802" s="6"/>
      <c r="CE1802" s="6"/>
      <c r="CF1802" s="6"/>
      <c r="CG1802" s="6"/>
      <c r="CH1802" s="6"/>
      <c r="CI1802" s="6"/>
      <c r="CJ1802" s="6"/>
      <c r="CK1802" s="6"/>
      <c r="CL1802" s="6"/>
      <c r="CM1802" s="6"/>
      <c r="CN1802" s="6"/>
      <c r="CO1802" s="6"/>
      <c r="CP1802" s="6"/>
      <c r="CQ1802" s="6"/>
      <c r="CR1802" s="6"/>
      <c r="CS1802" s="6"/>
      <c r="CT1802" s="6"/>
      <c r="CU1802" s="6"/>
      <c r="CV1802" s="6"/>
      <c r="CW1802" s="6"/>
      <c r="CX1802" s="6"/>
      <c r="CY1802" s="6"/>
      <c r="CZ1802" s="6"/>
      <c r="DA1802" s="6"/>
      <c r="DB1802" s="6"/>
      <c r="DC1802" s="6"/>
      <c r="DD1802" s="6"/>
      <c r="DE1802" s="6"/>
      <c r="DF1802" s="6"/>
      <c r="DG1802" s="6"/>
      <c r="DH1802" s="6"/>
      <c r="DI1802" s="6"/>
      <c r="DJ1802" s="6"/>
      <c r="DK1802" s="6"/>
      <c r="DL1802" s="6"/>
      <c r="DM1802" s="6"/>
      <c r="DN1802" s="6"/>
      <c r="DO1802" s="6"/>
      <c r="DP1802" s="6"/>
      <c r="DQ1802" s="6"/>
      <c r="DR1802" s="6"/>
      <c r="DS1802" s="6"/>
      <c r="DT1802" s="6"/>
      <c r="DU1802" s="6"/>
      <c r="DV1802" s="6"/>
      <c r="DW1802" s="6"/>
      <c r="DX1802" s="6"/>
      <c r="DY1802" s="6"/>
      <c r="DZ1802" s="6"/>
      <c r="EA1802" s="6"/>
      <c r="EB1802" s="6"/>
      <c r="EC1802" s="6"/>
      <c r="ED1802" s="6"/>
      <c r="EE1802" s="6"/>
      <c r="EF1802" s="6"/>
      <c r="EG1802" s="6"/>
      <c r="EH1802" s="6"/>
      <c r="EI1802" s="6"/>
      <c r="EJ1802" s="6"/>
      <c r="EK1802" s="6"/>
      <c r="EL1802" s="6"/>
      <c r="EM1802" s="6"/>
      <c r="EN1802" s="6"/>
      <c r="EO1802" s="6"/>
      <c r="EP1802" s="6"/>
      <c r="EQ1802" s="6"/>
      <c r="ER1802" s="6"/>
      <c r="ES1802" s="6"/>
      <c r="ET1802" s="6"/>
      <c r="EU1802" s="6"/>
      <c r="EV1802" s="6"/>
      <c r="EW1802" s="6"/>
      <c r="EX1802" s="6"/>
      <c r="EY1802" s="6"/>
      <c r="EZ1802" s="6"/>
      <c r="FA1802" s="6"/>
      <c r="FB1802" s="6"/>
      <c r="FC1802" s="6"/>
      <c r="FD1802" s="6"/>
      <c r="FE1802" s="6"/>
      <c r="FF1802" s="6"/>
      <c r="FG1802" s="6"/>
      <c r="FH1802" s="6"/>
      <c r="FI1802" s="6"/>
      <c r="FJ1802" s="6"/>
      <c r="FK1802" s="6"/>
      <c r="FL1802" s="6"/>
      <c r="FM1802" s="6"/>
      <c r="FN1802" s="6"/>
      <c r="FO1802" s="6"/>
      <c r="FP1802" s="6"/>
      <c r="FQ1802" s="6"/>
      <c r="FR1802" s="6"/>
      <c r="FS1802" s="6"/>
      <c r="FT1802" s="6"/>
      <c r="FU1802" s="6"/>
      <c r="FV1802" s="6"/>
      <c r="FW1802" s="6"/>
      <c r="FX1802" s="6"/>
      <c r="FY1802" s="6"/>
      <c r="FZ1802" s="6"/>
      <c r="GA1802" s="6"/>
      <c r="GB1802" s="6"/>
      <c r="GC1802" s="6"/>
      <c r="GD1802" s="6"/>
      <c r="GE1802" s="6"/>
      <c r="GF1802" s="6"/>
      <c r="GG1802" s="6"/>
      <c r="GH1802" s="6"/>
      <c r="GI1802" s="6"/>
      <c r="GJ1802" s="6"/>
      <c r="GK1802" s="6"/>
      <c r="GL1802" s="6"/>
      <c r="GM1802" s="6"/>
      <c r="GN1802" s="6"/>
      <c r="GO1802" s="6"/>
      <c r="GP1802" s="6"/>
      <c r="GQ1802" s="6"/>
      <c r="GR1802" s="6"/>
      <c r="GS1802" s="6"/>
      <c r="GT1802" s="6"/>
      <c r="GU1802" s="6"/>
      <c r="GV1802" s="6"/>
      <c r="GW1802" s="6"/>
      <c r="GX1802" s="6"/>
      <c r="GY1802" s="6"/>
      <c r="GZ1802" s="6"/>
      <c r="HA1802" s="6"/>
      <c r="HB1802" s="6"/>
      <c r="HC1802" s="6"/>
      <c r="HD1802" s="6"/>
      <c r="HE1802" s="6"/>
      <c r="HF1802" s="6"/>
      <c r="HG1802" s="6"/>
      <c r="HH1802" s="6"/>
    </row>
    <row r="1803" spans="1:216" x14ac:dyDescent="0.3">
      <c r="A1803" s="8"/>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6"/>
      <c r="AR1803" s="6"/>
      <c r="AS1803" s="6"/>
      <c r="AT1803" s="6"/>
      <c r="AU1803" s="6"/>
      <c r="AV1803" s="6"/>
      <c r="AW1803" s="6"/>
      <c r="AX1803" s="6"/>
      <c r="AY1803" s="6"/>
      <c r="AZ1803" s="6"/>
      <c r="BA1803" s="6"/>
      <c r="BB1803" s="6"/>
      <c r="BC1803" s="6"/>
      <c r="BD1803" s="6"/>
      <c r="BE1803" s="6"/>
      <c r="BF1803" s="6"/>
      <c r="BG1803" s="6"/>
      <c r="BH1803" s="6"/>
      <c r="BI1803" s="6"/>
      <c r="BJ1803" s="6"/>
      <c r="BK1803" s="6"/>
      <c r="BL1803" s="6"/>
      <c r="BM1803" s="6"/>
      <c r="BN1803" s="6"/>
      <c r="BO1803" s="6"/>
      <c r="BP1803" s="6"/>
      <c r="BQ1803" s="6"/>
      <c r="BR1803" s="6"/>
      <c r="BS1803" s="6"/>
      <c r="BT1803" s="6"/>
      <c r="BU1803" s="6"/>
      <c r="BV1803" s="6"/>
      <c r="BW1803" s="6"/>
      <c r="BX1803" s="6"/>
      <c r="BY1803" s="6"/>
      <c r="BZ1803" s="6"/>
      <c r="CA1803" s="6"/>
      <c r="CB1803" s="6"/>
      <c r="CC1803" s="6"/>
      <c r="CD1803" s="6"/>
      <c r="CE1803" s="6"/>
      <c r="CF1803" s="6"/>
      <c r="CG1803" s="6"/>
      <c r="CH1803" s="6"/>
      <c r="CI1803" s="6"/>
      <c r="CJ1803" s="6"/>
      <c r="CK1803" s="6"/>
      <c r="CL1803" s="6"/>
      <c r="CM1803" s="6"/>
      <c r="CN1803" s="6"/>
      <c r="CO1803" s="6"/>
      <c r="CP1803" s="6"/>
      <c r="CQ1803" s="6"/>
      <c r="CR1803" s="6"/>
      <c r="CS1803" s="6"/>
      <c r="CT1803" s="6"/>
      <c r="CU1803" s="6"/>
      <c r="CV1803" s="6"/>
      <c r="CW1803" s="6"/>
      <c r="CX1803" s="6"/>
      <c r="CY1803" s="6"/>
      <c r="CZ1803" s="6"/>
      <c r="DA1803" s="6"/>
      <c r="DB1803" s="6"/>
      <c r="DC1803" s="6"/>
      <c r="DD1803" s="6"/>
      <c r="DE1803" s="6"/>
      <c r="DF1803" s="6"/>
      <c r="DG1803" s="6"/>
      <c r="DH1803" s="6"/>
      <c r="DI1803" s="6"/>
      <c r="DJ1803" s="6"/>
      <c r="DK1803" s="6"/>
      <c r="DL1803" s="6"/>
      <c r="DM1803" s="6"/>
      <c r="DN1803" s="6"/>
      <c r="DO1803" s="6"/>
      <c r="DP1803" s="6"/>
      <c r="DQ1803" s="6"/>
      <c r="DR1803" s="6"/>
      <c r="DS1803" s="6"/>
      <c r="DT1803" s="6"/>
      <c r="DU1803" s="6"/>
      <c r="DV1803" s="6"/>
      <c r="DW1803" s="6"/>
      <c r="DX1803" s="6"/>
      <c r="DY1803" s="6"/>
      <c r="DZ1803" s="6"/>
      <c r="EA1803" s="6"/>
      <c r="EB1803" s="6"/>
      <c r="EC1803" s="6"/>
      <c r="ED1803" s="6"/>
      <c r="EE1803" s="6"/>
      <c r="EF1803" s="6"/>
      <c r="EG1803" s="6"/>
      <c r="EH1803" s="6"/>
      <c r="EI1803" s="6"/>
      <c r="EJ1803" s="6"/>
      <c r="EK1803" s="6"/>
      <c r="EL1803" s="6"/>
      <c r="EM1803" s="6"/>
      <c r="EN1803" s="6"/>
      <c r="EO1803" s="6"/>
      <c r="EP1803" s="6"/>
      <c r="EQ1803" s="6"/>
      <c r="ER1803" s="6"/>
      <c r="ES1803" s="6"/>
      <c r="ET1803" s="6"/>
      <c r="EU1803" s="6"/>
      <c r="EV1803" s="6"/>
      <c r="EW1803" s="6"/>
      <c r="EX1803" s="6"/>
      <c r="EY1803" s="6"/>
      <c r="EZ1803" s="6"/>
      <c r="FA1803" s="6"/>
      <c r="FB1803" s="6"/>
      <c r="FC1803" s="6"/>
      <c r="FD1803" s="6"/>
      <c r="FE1803" s="6"/>
      <c r="FF1803" s="6"/>
      <c r="FG1803" s="6"/>
      <c r="FH1803" s="6"/>
      <c r="FI1803" s="6"/>
      <c r="FJ1803" s="6"/>
      <c r="FK1803" s="6"/>
      <c r="FL1803" s="6"/>
      <c r="FM1803" s="6"/>
      <c r="FN1803" s="6"/>
      <c r="FO1803" s="6"/>
      <c r="FP1803" s="6"/>
      <c r="FQ1803" s="6"/>
      <c r="FR1803" s="6"/>
      <c r="FS1803" s="6"/>
      <c r="FT1803" s="6"/>
      <c r="FU1803" s="6"/>
      <c r="FV1803" s="6"/>
      <c r="FW1803" s="6"/>
      <c r="FX1803" s="6"/>
      <c r="FY1803" s="6"/>
      <c r="FZ1803" s="6"/>
      <c r="GA1803" s="6"/>
      <c r="GB1803" s="6"/>
      <c r="GC1803" s="6"/>
      <c r="GD1803" s="6"/>
      <c r="GE1803" s="6"/>
      <c r="GF1803" s="6"/>
      <c r="GG1803" s="6"/>
      <c r="GH1803" s="6"/>
      <c r="GI1803" s="6"/>
      <c r="GJ1803" s="6"/>
      <c r="GK1803" s="6"/>
      <c r="GL1803" s="6"/>
      <c r="GM1803" s="6"/>
      <c r="GN1803" s="6"/>
      <c r="GO1803" s="6"/>
      <c r="GP1803" s="6"/>
      <c r="GQ1803" s="6"/>
      <c r="GR1803" s="6"/>
      <c r="GS1803" s="6"/>
      <c r="GT1803" s="6"/>
      <c r="GU1803" s="6"/>
      <c r="GV1803" s="6"/>
      <c r="GW1803" s="6"/>
      <c r="GX1803" s="6"/>
      <c r="GY1803" s="6"/>
      <c r="GZ1803" s="6"/>
      <c r="HA1803" s="6"/>
      <c r="HB1803" s="6"/>
      <c r="HC1803" s="6"/>
      <c r="HD1803" s="6"/>
      <c r="HE1803" s="6"/>
      <c r="HF1803" s="6"/>
      <c r="HG1803" s="6"/>
      <c r="HH1803" s="6"/>
    </row>
    <row r="1804" spans="1:216" x14ac:dyDescent="0.3">
      <c r="A1804" s="8"/>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6"/>
      <c r="AR1804" s="6"/>
      <c r="AS1804" s="6"/>
      <c r="AT1804" s="6"/>
      <c r="AU1804" s="6"/>
      <c r="AV1804" s="6"/>
      <c r="AW1804" s="6"/>
      <c r="AX1804" s="6"/>
      <c r="AY1804" s="6"/>
      <c r="AZ1804" s="6"/>
      <c r="BA1804" s="6"/>
      <c r="BB1804" s="6"/>
      <c r="BC1804" s="6"/>
      <c r="BD1804" s="6"/>
      <c r="BE1804" s="6"/>
      <c r="BF1804" s="6"/>
      <c r="BG1804" s="6"/>
      <c r="BH1804" s="6"/>
      <c r="BI1804" s="6"/>
      <c r="BJ1804" s="6"/>
      <c r="BK1804" s="6"/>
      <c r="BL1804" s="6"/>
      <c r="BM1804" s="6"/>
      <c r="BN1804" s="6"/>
      <c r="BO1804" s="6"/>
      <c r="BP1804" s="6"/>
      <c r="BQ1804" s="6"/>
      <c r="BR1804" s="6"/>
      <c r="BS1804" s="6"/>
      <c r="BT1804" s="6"/>
      <c r="BU1804" s="6"/>
      <c r="BV1804" s="6"/>
      <c r="BW1804" s="6"/>
      <c r="BX1804" s="6"/>
      <c r="BY1804" s="6"/>
      <c r="BZ1804" s="6"/>
      <c r="CA1804" s="6"/>
      <c r="CB1804" s="6"/>
      <c r="CC1804" s="6"/>
      <c r="CD1804" s="6"/>
      <c r="CE1804" s="6"/>
      <c r="CF1804" s="6"/>
      <c r="CG1804" s="6"/>
      <c r="CH1804" s="6"/>
      <c r="CI1804" s="6"/>
      <c r="CJ1804" s="6"/>
      <c r="CK1804" s="6"/>
      <c r="CL1804" s="6"/>
      <c r="CM1804" s="6"/>
      <c r="CN1804" s="6"/>
      <c r="CO1804" s="6"/>
      <c r="CP1804" s="6"/>
      <c r="CQ1804" s="6"/>
      <c r="CR1804" s="6"/>
      <c r="CS1804" s="6"/>
      <c r="CT1804" s="6"/>
      <c r="CU1804" s="6"/>
      <c r="CV1804" s="6"/>
      <c r="CW1804" s="6"/>
      <c r="CX1804" s="6"/>
      <c r="CY1804" s="6"/>
      <c r="CZ1804" s="6"/>
      <c r="DA1804" s="6"/>
      <c r="DB1804" s="6"/>
      <c r="DC1804" s="6"/>
      <c r="DD1804" s="6"/>
      <c r="DE1804" s="6"/>
      <c r="DF1804" s="6"/>
      <c r="DG1804" s="6"/>
      <c r="DH1804" s="6"/>
      <c r="DI1804" s="6"/>
      <c r="DJ1804" s="6"/>
      <c r="DK1804" s="6"/>
      <c r="DL1804" s="6"/>
      <c r="DM1804" s="6"/>
      <c r="DN1804" s="6"/>
      <c r="DO1804" s="6"/>
      <c r="DP1804" s="6"/>
      <c r="DQ1804" s="6"/>
      <c r="DR1804" s="6"/>
      <c r="DS1804" s="6"/>
      <c r="DT1804" s="6"/>
      <c r="DU1804" s="6"/>
      <c r="DV1804" s="6"/>
      <c r="DW1804" s="6"/>
      <c r="DX1804" s="6"/>
      <c r="DY1804" s="6"/>
      <c r="DZ1804" s="6"/>
      <c r="EA1804" s="6"/>
      <c r="EB1804" s="6"/>
      <c r="EC1804" s="6"/>
      <c r="ED1804" s="6"/>
      <c r="EE1804" s="6"/>
      <c r="EF1804" s="6"/>
      <c r="EG1804" s="6"/>
      <c r="EH1804" s="6"/>
      <c r="EI1804" s="6"/>
      <c r="EJ1804" s="6"/>
      <c r="EK1804" s="6"/>
      <c r="EL1804" s="6"/>
      <c r="EM1804" s="6"/>
      <c r="EN1804" s="6"/>
      <c r="EO1804" s="6"/>
      <c r="EP1804" s="6"/>
      <c r="EQ1804" s="6"/>
      <c r="ER1804" s="6"/>
      <c r="ES1804" s="6"/>
      <c r="ET1804" s="6"/>
      <c r="EU1804" s="6"/>
      <c r="EV1804" s="6"/>
      <c r="EW1804" s="6"/>
      <c r="EX1804" s="6"/>
      <c r="EY1804" s="6"/>
      <c r="EZ1804" s="6"/>
      <c r="FA1804" s="6"/>
      <c r="FB1804" s="6"/>
      <c r="FC1804" s="6"/>
      <c r="FD1804" s="6"/>
      <c r="FE1804" s="6"/>
      <c r="FF1804" s="6"/>
      <c r="FG1804" s="6"/>
      <c r="FH1804" s="6"/>
      <c r="FI1804" s="6"/>
      <c r="FJ1804" s="6"/>
      <c r="FK1804" s="6"/>
      <c r="FL1804" s="6"/>
      <c r="FM1804" s="6"/>
      <c r="FN1804" s="6"/>
      <c r="FO1804" s="6"/>
      <c r="FP1804" s="6"/>
      <c r="FQ1804" s="6"/>
      <c r="FR1804" s="6"/>
      <c r="FS1804" s="6"/>
      <c r="FT1804" s="6"/>
      <c r="FU1804" s="6"/>
      <c r="FV1804" s="6"/>
      <c r="FW1804" s="6"/>
      <c r="FX1804" s="6"/>
      <c r="FY1804" s="6"/>
      <c r="FZ1804" s="6"/>
      <c r="GA1804" s="6"/>
      <c r="GB1804" s="6"/>
      <c r="GC1804" s="6"/>
      <c r="GD1804" s="6"/>
      <c r="GE1804" s="6"/>
      <c r="GF1804" s="6"/>
      <c r="GG1804" s="6"/>
      <c r="GH1804" s="6"/>
      <c r="GI1804" s="6"/>
      <c r="GJ1804" s="6"/>
      <c r="GK1804" s="6"/>
      <c r="GL1804" s="6"/>
      <c r="GM1804" s="6"/>
      <c r="GN1804" s="6"/>
      <c r="GO1804" s="6"/>
      <c r="GP1804" s="6"/>
      <c r="GQ1804" s="6"/>
      <c r="GR1804" s="6"/>
      <c r="GS1804" s="6"/>
      <c r="GT1804" s="6"/>
      <c r="GU1804" s="6"/>
      <c r="GV1804" s="6"/>
      <c r="GW1804" s="6"/>
      <c r="GX1804" s="6"/>
      <c r="GY1804" s="6"/>
      <c r="GZ1804" s="6"/>
      <c r="HA1804" s="6"/>
      <c r="HB1804" s="6"/>
      <c r="HC1804" s="6"/>
      <c r="HD1804" s="6"/>
      <c r="HE1804" s="6"/>
      <c r="HF1804" s="6"/>
      <c r="HG1804" s="6"/>
      <c r="HH1804" s="6"/>
    </row>
    <row r="1805" spans="1:216" x14ac:dyDescent="0.3">
      <c r="A1805" s="8"/>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6"/>
      <c r="AR1805" s="6"/>
      <c r="AS1805" s="6"/>
      <c r="AT1805" s="6"/>
      <c r="AU1805" s="6"/>
      <c r="AV1805" s="6"/>
      <c r="AW1805" s="6"/>
      <c r="AX1805" s="6"/>
      <c r="AY1805" s="6"/>
      <c r="AZ1805" s="6"/>
      <c r="BA1805" s="6"/>
      <c r="BB1805" s="6"/>
      <c r="BC1805" s="6"/>
      <c r="BD1805" s="6"/>
      <c r="BE1805" s="6"/>
      <c r="BF1805" s="6"/>
      <c r="BG1805" s="6"/>
      <c r="BH1805" s="6"/>
      <c r="BI1805" s="6"/>
      <c r="BJ1805" s="6"/>
      <c r="BK1805" s="6"/>
      <c r="BL1805" s="6"/>
      <c r="BM1805" s="6"/>
      <c r="BN1805" s="6"/>
      <c r="BO1805" s="6"/>
      <c r="BP1805" s="6"/>
      <c r="BQ1805" s="6"/>
      <c r="BR1805" s="6"/>
      <c r="BS1805" s="6"/>
      <c r="BT1805" s="6"/>
      <c r="BU1805" s="6"/>
      <c r="BV1805" s="6"/>
      <c r="BW1805" s="6"/>
      <c r="BX1805" s="6"/>
      <c r="BY1805" s="6"/>
      <c r="BZ1805" s="6"/>
      <c r="CA1805" s="6"/>
      <c r="CB1805" s="6"/>
      <c r="CC1805" s="6"/>
      <c r="CD1805" s="6"/>
      <c r="CE1805" s="6"/>
      <c r="CF1805" s="6"/>
      <c r="CG1805" s="6"/>
      <c r="CH1805" s="6"/>
      <c r="CI1805" s="6"/>
      <c r="CJ1805" s="6"/>
      <c r="CK1805" s="6"/>
      <c r="CL1805" s="6"/>
      <c r="CM1805" s="6"/>
      <c r="CN1805" s="6"/>
      <c r="CO1805" s="6"/>
      <c r="CP1805" s="6"/>
      <c r="CQ1805" s="6"/>
      <c r="CR1805" s="6"/>
      <c r="CS1805" s="6"/>
      <c r="CT1805" s="6"/>
      <c r="CU1805" s="6"/>
      <c r="CV1805" s="6"/>
      <c r="CW1805" s="6"/>
      <c r="CX1805" s="6"/>
      <c r="CY1805" s="6"/>
      <c r="CZ1805" s="6"/>
      <c r="DA1805" s="6"/>
      <c r="DB1805" s="6"/>
      <c r="DC1805" s="6"/>
      <c r="DD1805" s="6"/>
      <c r="DE1805" s="6"/>
      <c r="DF1805" s="6"/>
      <c r="DG1805" s="6"/>
      <c r="DH1805" s="6"/>
      <c r="DI1805" s="6"/>
      <c r="DJ1805" s="6"/>
      <c r="DK1805" s="6"/>
      <c r="DL1805" s="6"/>
      <c r="DM1805" s="6"/>
      <c r="DN1805" s="6"/>
      <c r="DO1805" s="6"/>
      <c r="DP1805" s="6"/>
      <c r="DQ1805" s="6"/>
      <c r="DR1805" s="6"/>
      <c r="DS1805" s="6"/>
      <c r="DT1805" s="6"/>
      <c r="DU1805" s="6"/>
      <c r="DV1805" s="6"/>
      <c r="DW1805" s="6"/>
      <c r="DX1805" s="6"/>
      <c r="DY1805" s="6"/>
      <c r="DZ1805" s="6"/>
      <c r="EA1805" s="6"/>
      <c r="EB1805" s="6"/>
      <c r="EC1805" s="6"/>
      <c r="ED1805" s="6"/>
      <c r="EE1805" s="6"/>
      <c r="EF1805" s="6"/>
      <c r="EG1805" s="6"/>
      <c r="EH1805" s="6"/>
      <c r="EI1805" s="6"/>
      <c r="EJ1805" s="6"/>
      <c r="EK1805" s="6"/>
      <c r="EL1805" s="6"/>
      <c r="EM1805" s="6"/>
      <c r="EN1805" s="6"/>
      <c r="EO1805" s="6"/>
      <c r="EP1805" s="6"/>
      <c r="EQ1805" s="6"/>
      <c r="ER1805" s="6"/>
      <c r="ES1805" s="6"/>
      <c r="ET1805" s="6"/>
      <c r="EU1805" s="6"/>
      <c r="EV1805" s="6"/>
      <c r="EW1805" s="6"/>
      <c r="EX1805" s="6"/>
      <c r="EY1805" s="6"/>
      <c r="EZ1805" s="6"/>
      <c r="FA1805" s="6"/>
      <c r="FB1805" s="6"/>
      <c r="FC1805" s="6"/>
      <c r="FD1805" s="6"/>
      <c r="FE1805" s="6"/>
      <c r="FF1805" s="6"/>
      <c r="FG1805" s="6"/>
      <c r="FH1805" s="6"/>
      <c r="FI1805" s="6"/>
      <c r="FJ1805" s="6"/>
      <c r="FK1805" s="6"/>
      <c r="FL1805" s="6"/>
      <c r="FM1805" s="6"/>
      <c r="FN1805" s="6"/>
      <c r="FO1805" s="6"/>
      <c r="FP1805" s="6"/>
      <c r="FQ1805" s="6"/>
      <c r="FR1805" s="6"/>
      <c r="FS1805" s="6"/>
      <c r="FT1805" s="6"/>
      <c r="FU1805" s="6"/>
      <c r="FV1805" s="6"/>
      <c r="FW1805" s="6"/>
      <c r="FX1805" s="6"/>
      <c r="FY1805" s="6"/>
      <c r="FZ1805" s="6"/>
      <c r="GA1805" s="6"/>
      <c r="GB1805" s="6"/>
      <c r="GC1805" s="6"/>
      <c r="GD1805" s="6"/>
      <c r="GE1805" s="6"/>
      <c r="GF1805" s="6"/>
      <c r="GG1805" s="6"/>
      <c r="GH1805" s="6"/>
      <c r="GI1805" s="6"/>
      <c r="GJ1805" s="6"/>
      <c r="GK1805" s="6"/>
      <c r="GL1805" s="6"/>
      <c r="GM1805" s="6"/>
      <c r="GN1805" s="6"/>
      <c r="GO1805" s="6"/>
      <c r="GP1805" s="6"/>
      <c r="GQ1805" s="6"/>
      <c r="GR1805" s="6"/>
      <c r="GS1805" s="6"/>
      <c r="GT1805" s="6"/>
      <c r="GU1805" s="6"/>
      <c r="GV1805" s="6"/>
      <c r="GW1805" s="6"/>
      <c r="GX1805" s="6"/>
      <c r="GY1805" s="6"/>
      <c r="GZ1805" s="6"/>
      <c r="HA1805" s="6"/>
      <c r="HB1805" s="6"/>
      <c r="HC1805" s="6"/>
      <c r="HD1805" s="6"/>
      <c r="HE1805" s="6"/>
      <c r="HF1805" s="6"/>
      <c r="HG1805" s="6"/>
      <c r="HH1805" s="6"/>
    </row>
    <row r="1806" spans="1:216" x14ac:dyDescent="0.3">
      <c r="A1806" s="8"/>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c r="DX1806" s="6"/>
      <c r="DY1806" s="6"/>
      <c r="DZ1806" s="6"/>
      <c r="EA1806" s="6"/>
      <c r="EB1806" s="6"/>
      <c r="EC1806" s="6"/>
      <c r="ED1806" s="6"/>
      <c r="EE1806" s="6"/>
      <c r="EF1806" s="6"/>
      <c r="EG1806" s="6"/>
      <c r="EH1806" s="6"/>
      <c r="EI1806" s="6"/>
      <c r="EJ1806" s="6"/>
      <c r="EK1806" s="6"/>
      <c r="EL1806" s="6"/>
      <c r="EM1806" s="6"/>
      <c r="EN1806" s="6"/>
      <c r="EO1806" s="6"/>
      <c r="EP1806" s="6"/>
      <c r="EQ1806" s="6"/>
      <c r="ER1806" s="6"/>
      <c r="ES1806" s="6"/>
      <c r="ET1806" s="6"/>
      <c r="EU1806" s="6"/>
      <c r="EV1806" s="6"/>
      <c r="EW1806" s="6"/>
      <c r="EX1806" s="6"/>
      <c r="EY1806" s="6"/>
      <c r="EZ1806" s="6"/>
      <c r="FA1806" s="6"/>
      <c r="FB1806" s="6"/>
      <c r="FC1806" s="6"/>
      <c r="FD1806" s="6"/>
      <c r="FE1806" s="6"/>
      <c r="FF1806" s="6"/>
      <c r="FG1806" s="6"/>
      <c r="FH1806" s="6"/>
      <c r="FI1806" s="6"/>
      <c r="FJ1806" s="6"/>
      <c r="FK1806" s="6"/>
      <c r="FL1806" s="6"/>
      <c r="FM1806" s="6"/>
      <c r="FN1806" s="6"/>
      <c r="FO1806" s="6"/>
      <c r="FP1806" s="6"/>
      <c r="FQ1806" s="6"/>
      <c r="FR1806" s="6"/>
      <c r="FS1806" s="6"/>
      <c r="FT1806" s="6"/>
      <c r="FU1806" s="6"/>
      <c r="FV1806" s="6"/>
      <c r="FW1806" s="6"/>
      <c r="FX1806" s="6"/>
      <c r="FY1806" s="6"/>
      <c r="FZ1806" s="6"/>
      <c r="GA1806" s="6"/>
      <c r="GB1806" s="6"/>
      <c r="GC1806" s="6"/>
      <c r="GD1806" s="6"/>
      <c r="GE1806" s="6"/>
      <c r="GF1806" s="6"/>
      <c r="GG1806" s="6"/>
      <c r="GH1806" s="6"/>
      <c r="GI1806" s="6"/>
      <c r="GJ1806" s="6"/>
      <c r="GK1806" s="6"/>
      <c r="GL1806" s="6"/>
      <c r="GM1806" s="6"/>
      <c r="GN1806" s="6"/>
      <c r="GO1806" s="6"/>
      <c r="GP1806" s="6"/>
      <c r="GQ1806" s="6"/>
      <c r="GR1806" s="6"/>
      <c r="GS1806" s="6"/>
      <c r="GT1806" s="6"/>
      <c r="GU1806" s="6"/>
      <c r="GV1806" s="6"/>
      <c r="GW1806" s="6"/>
      <c r="GX1806" s="6"/>
      <c r="GY1806" s="6"/>
      <c r="GZ1806" s="6"/>
      <c r="HA1806" s="6"/>
      <c r="HB1806" s="6"/>
      <c r="HC1806" s="6"/>
      <c r="HD1806" s="6"/>
      <c r="HE1806" s="6"/>
      <c r="HF1806" s="6"/>
      <c r="HG1806" s="6"/>
      <c r="HH1806" s="6"/>
    </row>
    <row r="1807" spans="1:216" x14ac:dyDescent="0.3">
      <c r="A1807" s="8"/>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6"/>
      <c r="AR1807" s="6"/>
      <c r="AS1807" s="6"/>
      <c r="AT1807" s="6"/>
      <c r="AU1807" s="6"/>
      <c r="AV1807" s="6"/>
      <c r="AW1807" s="6"/>
      <c r="AX1807" s="6"/>
      <c r="AY1807" s="6"/>
      <c r="AZ1807" s="6"/>
      <c r="BA1807" s="6"/>
      <c r="BB1807" s="6"/>
      <c r="BC1807" s="6"/>
      <c r="BD1807" s="6"/>
      <c r="BE1807" s="6"/>
      <c r="BF1807" s="6"/>
      <c r="BG1807" s="6"/>
      <c r="BH1807" s="6"/>
      <c r="BI1807" s="6"/>
      <c r="BJ1807" s="6"/>
      <c r="BK1807" s="6"/>
      <c r="BL1807" s="6"/>
      <c r="BM1807" s="6"/>
      <c r="BN1807" s="6"/>
      <c r="BO1807" s="6"/>
      <c r="BP1807" s="6"/>
      <c r="BQ1807" s="6"/>
      <c r="BR1807" s="6"/>
      <c r="BS1807" s="6"/>
      <c r="BT1807" s="6"/>
      <c r="BU1807" s="6"/>
      <c r="BV1807" s="6"/>
      <c r="BW1807" s="6"/>
      <c r="BX1807" s="6"/>
      <c r="BY1807" s="6"/>
      <c r="BZ1807" s="6"/>
      <c r="CA1807" s="6"/>
      <c r="CB1807" s="6"/>
      <c r="CC1807" s="6"/>
      <c r="CD1807" s="6"/>
      <c r="CE1807" s="6"/>
      <c r="CF1807" s="6"/>
      <c r="CG1807" s="6"/>
      <c r="CH1807" s="6"/>
      <c r="CI1807" s="6"/>
      <c r="CJ1807" s="6"/>
      <c r="CK1807" s="6"/>
      <c r="CL1807" s="6"/>
      <c r="CM1807" s="6"/>
      <c r="CN1807" s="6"/>
      <c r="CO1807" s="6"/>
      <c r="CP1807" s="6"/>
      <c r="CQ1807" s="6"/>
      <c r="CR1807" s="6"/>
      <c r="CS1807" s="6"/>
      <c r="CT1807" s="6"/>
      <c r="CU1807" s="6"/>
      <c r="CV1807" s="6"/>
      <c r="CW1807" s="6"/>
      <c r="CX1807" s="6"/>
      <c r="CY1807" s="6"/>
      <c r="CZ1807" s="6"/>
      <c r="DA1807" s="6"/>
      <c r="DB1807" s="6"/>
      <c r="DC1807" s="6"/>
      <c r="DD1807" s="6"/>
      <c r="DE1807" s="6"/>
      <c r="DF1807" s="6"/>
      <c r="DG1807" s="6"/>
      <c r="DH1807" s="6"/>
      <c r="DI1807" s="6"/>
      <c r="DJ1807" s="6"/>
      <c r="DK1807" s="6"/>
      <c r="DL1807" s="6"/>
      <c r="DM1807" s="6"/>
      <c r="DN1807" s="6"/>
      <c r="DO1807" s="6"/>
      <c r="DP1807" s="6"/>
      <c r="DQ1807" s="6"/>
      <c r="DR1807" s="6"/>
      <c r="DS1807" s="6"/>
      <c r="DT1807" s="6"/>
      <c r="DU1807" s="6"/>
      <c r="DV1807" s="6"/>
      <c r="DW1807" s="6"/>
      <c r="DX1807" s="6"/>
      <c r="DY1807" s="6"/>
      <c r="DZ1807" s="6"/>
      <c r="EA1807" s="6"/>
      <c r="EB1807" s="6"/>
      <c r="EC1807" s="6"/>
      <c r="ED1807" s="6"/>
      <c r="EE1807" s="6"/>
      <c r="EF1807" s="6"/>
      <c r="EG1807" s="6"/>
      <c r="EH1807" s="6"/>
      <c r="EI1807" s="6"/>
      <c r="EJ1807" s="6"/>
      <c r="EK1807" s="6"/>
      <c r="EL1807" s="6"/>
      <c r="EM1807" s="6"/>
      <c r="EN1807" s="6"/>
      <c r="EO1807" s="6"/>
      <c r="EP1807" s="6"/>
      <c r="EQ1807" s="6"/>
      <c r="ER1807" s="6"/>
      <c r="ES1807" s="6"/>
      <c r="ET1807" s="6"/>
      <c r="EU1807" s="6"/>
      <c r="EV1807" s="6"/>
      <c r="EW1807" s="6"/>
      <c r="EX1807" s="6"/>
      <c r="EY1807" s="6"/>
      <c r="EZ1807" s="6"/>
      <c r="FA1807" s="6"/>
      <c r="FB1807" s="6"/>
      <c r="FC1807" s="6"/>
      <c r="FD1807" s="6"/>
      <c r="FE1807" s="6"/>
      <c r="FF1807" s="6"/>
      <c r="FG1807" s="6"/>
      <c r="FH1807" s="6"/>
      <c r="FI1807" s="6"/>
      <c r="FJ1807" s="6"/>
      <c r="FK1807" s="6"/>
      <c r="FL1807" s="6"/>
      <c r="FM1807" s="6"/>
      <c r="FN1807" s="6"/>
      <c r="FO1807" s="6"/>
      <c r="FP1807" s="6"/>
      <c r="FQ1807" s="6"/>
      <c r="FR1807" s="6"/>
      <c r="FS1807" s="6"/>
      <c r="FT1807" s="6"/>
      <c r="FU1807" s="6"/>
      <c r="FV1807" s="6"/>
      <c r="FW1807" s="6"/>
      <c r="FX1807" s="6"/>
      <c r="FY1807" s="6"/>
      <c r="FZ1807" s="6"/>
      <c r="GA1807" s="6"/>
      <c r="GB1807" s="6"/>
      <c r="GC1807" s="6"/>
      <c r="GD1807" s="6"/>
      <c r="GE1807" s="6"/>
      <c r="GF1807" s="6"/>
      <c r="GG1807" s="6"/>
      <c r="GH1807" s="6"/>
      <c r="GI1807" s="6"/>
      <c r="GJ1807" s="6"/>
      <c r="GK1807" s="6"/>
      <c r="GL1807" s="6"/>
      <c r="GM1807" s="6"/>
      <c r="GN1807" s="6"/>
      <c r="GO1807" s="6"/>
      <c r="GP1807" s="6"/>
      <c r="GQ1807" s="6"/>
      <c r="GR1807" s="6"/>
      <c r="GS1807" s="6"/>
      <c r="GT1807" s="6"/>
      <c r="GU1807" s="6"/>
      <c r="GV1807" s="6"/>
      <c r="GW1807" s="6"/>
      <c r="GX1807" s="6"/>
      <c r="GY1807" s="6"/>
      <c r="GZ1807" s="6"/>
      <c r="HA1807" s="6"/>
      <c r="HB1807" s="6"/>
      <c r="HC1807" s="6"/>
      <c r="HD1807" s="6"/>
      <c r="HE1807" s="6"/>
      <c r="HF1807" s="6"/>
      <c r="HG1807" s="6"/>
      <c r="HH1807" s="6"/>
    </row>
    <row r="1808" spans="1:216" x14ac:dyDescent="0.3">
      <c r="A1808" s="8"/>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6"/>
      <c r="AR1808" s="6"/>
      <c r="AS1808" s="6"/>
      <c r="AT1808" s="6"/>
      <c r="AU1808" s="6"/>
      <c r="AV1808" s="6"/>
      <c r="AW1808" s="6"/>
      <c r="AX1808" s="6"/>
      <c r="AY1808" s="6"/>
      <c r="AZ1808" s="6"/>
      <c r="BA1808" s="6"/>
      <c r="BB1808" s="6"/>
      <c r="BC1808" s="6"/>
      <c r="BD1808" s="6"/>
      <c r="BE1808" s="6"/>
      <c r="BF1808" s="6"/>
      <c r="BG1808" s="6"/>
      <c r="BH1808" s="6"/>
      <c r="BI1808" s="6"/>
      <c r="BJ1808" s="6"/>
      <c r="BK1808" s="6"/>
      <c r="BL1808" s="6"/>
      <c r="BM1808" s="6"/>
      <c r="BN1808" s="6"/>
      <c r="BO1808" s="6"/>
      <c r="BP1808" s="6"/>
      <c r="BQ1808" s="6"/>
      <c r="BR1808" s="6"/>
      <c r="BS1808" s="6"/>
      <c r="BT1808" s="6"/>
      <c r="BU1808" s="6"/>
      <c r="BV1808" s="6"/>
      <c r="BW1808" s="6"/>
      <c r="BX1808" s="6"/>
      <c r="BY1808" s="6"/>
      <c r="BZ1808" s="6"/>
      <c r="CA1808" s="6"/>
      <c r="CB1808" s="6"/>
      <c r="CC1808" s="6"/>
      <c r="CD1808" s="6"/>
      <c r="CE1808" s="6"/>
      <c r="CF1808" s="6"/>
      <c r="CG1808" s="6"/>
      <c r="CH1808" s="6"/>
      <c r="CI1808" s="6"/>
      <c r="CJ1808" s="6"/>
      <c r="CK1808" s="6"/>
      <c r="CL1808" s="6"/>
      <c r="CM1808" s="6"/>
      <c r="CN1808" s="6"/>
      <c r="CO1808" s="6"/>
      <c r="CP1808" s="6"/>
      <c r="CQ1808" s="6"/>
      <c r="CR1808" s="6"/>
      <c r="CS1808" s="6"/>
      <c r="CT1808" s="6"/>
      <c r="CU1808" s="6"/>
      <c r="CV1808" s="6"/>
      <c r="CW1808" s="6"/>
      <c r="CX1808" s="6"/>
      <c r="CY1808" s="6"/>
      <c r="CZ1808" s="6"/>
      <c r="DA1808" s="6"/>
      <c r="DB1808" s="6"/>
      <c r="DC1808" s="6"/>
      <c r="DD1808" s="6"/>
      <c r="DE1808" s="6"/>
      <c r="DF1808" s="6"/>
      <c r="DG1808" s="6"/>
      <c r="DH1808" s="6"/>
      <c r="DI1808" s="6"/>
      <c r="DJ1808" s="6"/>
      <c r="DK1808" s="6"/>
      <c r="DL1808" s="6"/>
      <c r="DM1808" s="6"/>
      <c r="DN1808" s="6"/>
      <c r="DO1808" s="6"/>
      <c r="DP1808" s="6"/>
      <c r="DQ1808" s="6"/>
      <c r="DR1808" s="6"/>
      <c r="DS1808" s="6"/>
      <c r="DT1808" s="6"/>
      <c r="DU1808" s="6"/>
      <c r="DV1808" s="6"/>
      <c r="DW1808" s="6"/>
      <c r="DX1808" s="6"/>
      <c r="DY1808" s="6"/>
      <c r="DZ1808" s="6"/>
      <c r="EA1808" s="6"/>
      <c r="EB1808" s="6"/>
      <c r="EC1808" s="6"/>
      <c r="ED1808" s="6"/>
      <c r="EE1808" s="6"/>
      <c r="EF1808" s="6"/>
      <c r="EG1808" s="6"/>
      <c r="EH1808" s="6"/>
      <c r="EI1808" s="6"/>
      <c r="EJ1808" s="6"/>
      <c r="EK1808" s="6"/>
      <c r="EL1808" s="6"/>
      <c r="EM1808" s="6"/>
      <c r="EN1808" s="6"/>
      <c r="EO1808" s="6"/>
      <c r="EP1808" s="6"/>
      <c r="EQ1808" s="6"/>
      <c r="ER1808" s="6"/>
      <c r="ES1808" s="6"/>
      <c r="ET1808" s="6"/>
      <c r="EU1808" s="6"/>
      <c r="EV1808" s="6"/>
      <c r="EW1808" s="6"/>
      <c r="EX1808" s="6"/>
      <c r="EY1808" s="6"/>
      <c r="EZ1808" s="6"/>
      <c r="FA1808" s="6"/>
      <c r="FB1808" s="6"/>
      <c r="FC1808" s="6"/>
      <c r="FD1808" s="6"/>
      <c r="FE1808" s="6"/>
      <c r="FF1808" s="6"/>
      <c r="FG1808" s="6"/>
      <c r="FH1808" s="6"/>
      <c r="FI1808" s="6"/>
      <c r="FJ1808" s="6"/>
      <c r="FK1808" s="6"/>
      <c r="FL1808" s="6"/>
      <c r="FM1808" s="6"/>
      <c r="FN1808" s="6"/>
      <c r="FO1808" s="6"/>
      <c r="FP1808" s="6"/>
      <c r="FQ1808" s="6"/>
      <c r="FR1808" s="6"/>
      <c r="FS1808" s="6"/>
      <c r="FT1808" s="6"/>
      <c r="FU1808" s="6"/>
      <c r="FV1808" s="6"/>
      <c r="FW1808" s="6"/>
      <c r="FX1808" s="6"/>
      <c r="FY1808" s="6"/>
      <c r="FZ1808" s="6"/>
      <c r="GA1808" s="6"/>
      <c r="GB1808" s="6"/>
      <c r="GC1808" s="6"/>
      <c r="GD1808" s="6"/>
      <c r="GE1808" s="6"/>
      <c r="GF1808" s="6"/>
      <c r="GG1808" s="6"/>
      <c r="GH1808" s="6"/>
      <c r="GI1808" s="6"/>
      <c r="GJ1808" s="6"/>
      <c r="GK1808" s="6"/>
      <c r="GL1808" s="6"/>
      <c r="GM1808" s="6"/>
      <c r="GN1808" s="6"/>
      <c r="GO1808" s="6"/>
      <c r="GP1808" s="6"/>
      <c r="GQ1808" s="6"/>
      <c r="GR1808" s="6"/>
      <c r="GS1808" s="6"/>
      <c r="GT1808" s="6"/>
      <c r="GU1808" s="6"/>
      <c r="GV1808" s="6"/>
      <c r="GW1808" s="6"/>
      <c r="GX1808" s="6"/>
      <c r="GY1808" s="6"/>
      <c r="GZ1808" s="6"/>
      <c r="HA1808" s="6"/>
      <c r="HB1808" s="6"/>
      <c r="HC1808" s="6"/>
      <c r="HD1808" s="6"/>
      <c r="HE1808" s="6"/>
      <c r="HF1808" s="6"/>
      <c r="HG1808" s="6"/>
      <c r="HH1808" s="6"/>
    </row>
    <row r="1809" spans="1:216" x14ac:dyDescent="0.3">
      <c r="A1809" s="8"/>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c r="DX1809" s="6"/>
      <c r="DY1809" s="6"/>
      <c r="DZ1809" s="6"/>
      <c r="EA1809" s="6"/>
      <c r="EB1809" s="6"/>
      <c r="EC1809" s="6"/>
      <c r="ED1809" s="6"/>
      <c r="EE1809" s="6"/>
      <c r="EF1809" s="6"/>
      <c r="EG1809" s="6"/>
      <c r="EH1809" s="6"/>
      <c r="EI1809" s="6"/>
      <c r="EJ1809" s="6"/>
      <c r="EK1809" s="6"/>
      <c r="EL1809" s="6"/>
      <c r="EM1809" s="6"/>
      <c r="EN1809" s="6"/>
      <c r="EO1809" s="6"/>
      <c r="EP1809" s="6"/>
      <c r="EQ1809" s="6"/>
      <c r="ER1809" s="6"/>
      <c r="ES1809" s="6"/>
      <c r="ET1809" s="6"/>
      <c r="EU1809" s="6"/>
      <c r="EV1809" s="6"/>
      <c r="EW1809" s="6"/>
      <c r="EX1809" s="6"/>
      <c r="EY1809" s="6"/>
      <c r="EZ1809" s="6"/>
      <c r="FA1809" s="6"/>
      <c r="FB1809" s="6"/>
      <c r="FC1809" s="6"/>
      <c r="FD1809" s="6"/>
      <c r="FE1809" s="6"/>
      <c r="FF1809" s="6"/>
      <c r="FG1809" s="6"/>
      <c r="FH1809" s="6"/>
      <c r="FI1809" s="6"/>
      <c r="FJ1809" s="6"/>
      <c r="FK1809" s="6"/>
      <c r="FL1809" s="6"/>
      <c r="FM1809" s="6"/>
      <c r="FN1809" s="6"/>
      <c r="FO1809" s="6"/>
      <c r="FP1809" s="6"/>
      <c r="FQ1809" s="6"/>
      <c r="FR1809" s="6"/>
      <c r="FS1809" s="6"/>
      <c r="FT1809" s="6"/>
      <c r="FU1809" s="6"/>
      <c r="FV1809" s="6"/>
      <c r="FW1809" s="6"/>
      <c r="FX1809" s="6"/>
      <c r="FY1809" s="6"/>
      <c r="FZ1809" s="6"/>
      <c r="GA1809" s="6"/>
      <c r="GB1809" s="6"/>
      <c r="GC1809" s="6"/>
      <c r="GD1809" s="6"/>
      <c r="GE1809" s="6"/>
      <c r="GF1809" s="6"/>
      <c r="GG1809" s="6"/>
      <c r="GH1809" s="6"/>
      <c r="GI1809" s="6"/>
      <c r="GJ1809" s="6"/>
      <c r="GK1809" s="6"/>
      <c r="GL1809" s="6"/>
      <c r="GM1809" s="6"/>
      <c r="GN1809" s="6"/>
      <c r="GO1809" s="6"/>
      <c r="GP1809" s="6"/>
      <c r="GQ1809" s="6"/>
      <c r="GR1809" s="6"/>
      <c r="GS1809" s="6"/>
      <c r="GT1809" s="6"/>
      <c r="GU1809" s="6"/>
      <c r="GV1809" s="6"/>
      <c r="GW1809" s="6"/>
      <c r="GX1809" s="6"/>
      <c r="GY1809" s="6"/>
      <c r="GZ1809" s="6"/>
      <c r="HA1809" s="6"/>
      <c r="HB1809" s="6"/>
      <c r="HC1809" s="6"/>
      <c r="HD1809" s="6"/>
      <c r="HE1809" s="6"/>
      <c r="HF1809" s="6"/>
      <c r="HG1809" s="6"/>
      <c r="HH1809" s="6"/>
    </row>
    <row r="1810" spans="1:216" x14ac:dyDescent="0.3">
      <c r="A1810" s="8"/>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6"/>
      <c r="AR1810" s="6"/>
      <c r="AS1810" s="6"/>
      <c r="AT1810" s="6"/>
      <c r="AU1810" s="6"/>
      <c r="AV1810" s="6"/>
      <c r="AW1810" s="6"/>
      <c r="AX1810" s="6"/>
      <c r="AY1810" s="6"/>
      <c r="AZ1810" s="6"/>
      <c r="BA1810" s="6"/>
      <c r="BB1810" s="6"/>
      <c r="BC1810" s="6"/>
      <c r="BD1810" s="6"/>
      <c r="BE1810" s="6"/>
      <c r="BF1810" s="6"/>
      <c r="BG1810" s="6"/>
      <c r="BH1810" s="6"/>
      <c r="BI1810" s="6"/>
      <c r="BJ1810" s="6"/>
      <c r="BK1810" s="6"/>
      <c r="BL1810" s="6"/>
      <c r="BM1810" s="6"/>
      <c r="BN1810" s="6"/>
      <c r="BO1810" s="6"/>
      <c r="BP1810" s="6"/>
      <c r="BQ1810" s="6"/>
      <c r="BR1810" s="6"/>
      <c r="BS1810" s="6"/>
      <c r="BT1810" s="6"/>
      <c r="BU1810" s="6"/>
      <c r="BV1810" s="6"/>
      <c r="BW1810" s="6"/>
      <c r="BX1810" s="6"/>
      <c r="BY1810" s="6"/>
      <c r="BZ1810" s="6"/>
      <c r="CA1810" s="6"/>
      <c r="CB1810" s="6"/>
      <c r="CC1810" s="6"/>
      <c r="CD1810" s="6"/>
      <c r="CE1810" s="6"/>
      <c r="CF1810" s="6"/>
      <c r="CG1810" s="6"/>
      <c r="CH1810" s="6"/>
      <c r="CI1810" s="6"/>
      <c r="CJ1810" s="6"/>
      <c r="CK1810" s="6"/>
      <c r="CL1810" s="6"/>
      <c r="CM1810" s="6"/>
      <c r="CN1810" s="6"/>
      <c r="CO1810" s="6"/>
      <c r="CP1810" s="6"/>
      <c r="CQ1810" s="6"/>
      <c r="CR1810" s="6"/>
      <c r="CS1810" s="6"/>
      <c r="CT1810" s="6"/>
      <c r="CU1810" s="6"/>
      <c r="CV1810" s="6"/>
      <c r="CW1810" s="6"/>
      <c r="CX1810" s="6"/>
      <c r="CY1810" s="6"/>
      <c r="CZ1810" s="6"/>
      <c r="DA1810" s="6"/>
      <c r="DB1810" s="6"/>
      <c r="DC1810" s="6"/>
      <c r="DD1810" s="6"/>
      <c r="DE1810" s="6"/>
      <c r="DF1810" s="6"/>
      <c r="DG1810" s="6"/>
      <c r="DH1810" s="6"/>
      <c r="DI1810" s="6"/>
      <c r="DJ1810" s="6"/>
      <c r="DK1810" s="6"/>
      <c r="DL1810" s="6"/>
      <c r="DM1810" s="6"/>
      <c r="DN1810" s="6"/>
      <c r="DO1810" s="6"/>
      <c r="DP1810" s="6"/>
      <c r="DQ1810" s="6"/>
      <c r="DR1810" s="6"/>
      <c r="DS1810" s="6"/>
      <c r="DT1810" s="6"/>
      <c r="DU1810" s="6"/>
      <c r="DV1810" s="6"/>
      <c r="DW1810" s="6"/>
      <c r="DX1810" s="6"/>
      <c r="DY1810" s="6"/>
      <c r="DZ1810" s="6"/>
      <c r="EA1810" s="6"/>
      <c r="EB1810" s="6"/>
      <c r="EC1810" s="6"/>
      <c r="ED1810" s="6"/>
      <c r="EE1810" s="6"/>
      <c r="EF1810" s="6"/>
      <c r="EG1810" s="6"/>
      <c r="EH1810" s="6"/>
      <c r="EI1810" s="6"/>
      <c r="EJ1810" s="6"/>
      <c r="EK1810" s="6"/>
      <c r="EL1810" s="6"/>
      <c r="EM1810" s="6"/>
      <c r="EN1810" s="6"/>
      <c r="EO1810" s="6"/>
      <c r="EP1810" s="6"/>
      <c r="EQ1810" s="6"/>
      <c r="ER1810" s="6"/>
      <c r="ES1810" s="6"/>
      <c r="ET1810" s="6"/>
      <c r="EU1810" s="6"/>
      <c r="EV1810" s="6"/>
      <c r="EW1810" s="6"/>
      <c r="EX1810" s="6"/>
      <c r="EY1810" s="6"/>
      <c r="EZ1810" s="6"/>
      <c r="FA1810" s="6"/>
      <c r="FB1810" s="6"/>
      <c r="FC1810" s="6"/>
      <c r="FD1810" s="6"/>
      <c r="FE1810" s="6"/>
      <c r="FF1810" s="6"/>
      <c r="FG1810" s="6"/>
      <c r="FH1810" s="6"/>
      <c r="FI1810" s="6"/>
      <c r="FJ1810" s="6"/>
      <c r="FK1810" s="6"/>
      <c r="FL1810" s="6"/>
      <c r="FM1810" s="6"/>
      <c r="FN1810" s="6"/>
      <c r="FO1810" s="6"/>
      <c r="FP1810" s="6"/>
      <c r="FQ1810" s="6"/>
      <c r="FR1810" s="6"/>
      <c r="FS1810" s="6"/>
      <c r="FT1810" s="6"/>
      <c r="FU1810" s="6"/>
      <c r="FV1810" s="6"/>
      <c r="FW1810" s="6"/>
      <c r="FX1810" s="6"/>
      <c r="FY1810" s="6"/>
      <c r="FZ1810" s="6"/>
      <c r="GA1810" s="6"/>
      <c r="GB1810" s="6"/>
      <c r="GC1810" s="6"/>
      <c r="GD1810" s="6"/>
      <c r="GE1810" s="6"/>
      <c r="GF1810" s="6"/>
      <c r="GG1810" s="6"/>
      <c r="GH1810" s="6"/>
      <c r="GI1810" s="6"/>
      <c r="GJ1810" s="6"/>
      <c r="GK1810" s="6"/>
      <c r="GL1810" s="6"/>
      <c r="GM1810" s="6"/>
      <c r="GN1810" s="6"/>
      <c r="GO1810" s="6"/>
      <c r="GP1810" s="6"/>
      <c r="GQ1810" s="6"/>
      <c r="GR1810" s="6"/>
      <c r="GS1810" s="6"/>
      <c r="GT1810" s="6"/>
      <c r="GU1810" s="6"/>
      <c r="GV1810" s="6"/>
      <c r="GW1810" s="6"/>
      <c r="GX1810" s="6"/>
      <c r="GY1810" s="6"/>
      <c r="GZ1810" s="6"/>
      <c r="HA1810" s="6"/>
      <c r="HB1810" s="6"/>
      <c r="HC1810" s="6"/>
      <c r="HD1810" s="6"/>
      <c r="HE1810" s="6"/>
      <c r="HF1810" s="6"/>
      <c r="HG1810" s="6"/>
      <c r="HH1810" s="6"/>
    </row>
    <row r="1811" spans="1:216" x14ac:dyDescent="0.3">
      <c r="A1811" s="8"/>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c r="DX1811" s="6"/>
      <c r="DY1811" s="6"/>
      <c r="DZ1811" s="6"/>
      <c r="EA1811" s="6"/>
      <c r="EB1811" s="6"/>
      <c r="EC1811" s="6"/>
      <c r="ED1811" s="6"/>
      <c r="EE1811" s="6"/>
      <c r="EF1811" s="6"/>
      <c r="EG1811" s="6"/>
      <c r="EH1811" s="6"/>
      <c r="EI1811" s="6"/>
      <c r="EJ1811" s="6"/>
      <c r="EK1811" s="6"/>
      <c r="EL1811" s="6"/>
      <c r="EM1811" s="6"/>
      <c r="EN1811" s="6"/>
      <c r="EO1811" s="6"/>
      <c r="EP1811" s="6"/>
      <c r="EQ1811" s="6"/>
      <c r="ER1811" s="6"/>
      <c r="ES1811" s="6"/>
      <c r="ET1811" s="6"/>
      <c r="EU1811" s="6"/>
      <c r="EV1811" s="6"/>
      <c r="EW1811" s="6"/>
      <c r="EX1811" s="6"/>
      <c r="EY1811" s="6"/>
      <c r="EZ1811" s="6"/>
      <c r="FA1811" s="6"/>
      <c r="FB1811" s="6"/>
      <c r="FC1811" s="6"/>
      <c r="FD1811" s="6"/>
      <c r="FE1811" s="6"/>
      <c r="FF1811" s="6"/>
      <c r="FG1811" s="6"/>
      <c r="FH1811" s="6"/>
      <c r="FI1811" s="6"/>
      <c r="FJ1811" s="6"/>
      <c r="FK1811" s="6"/>
      <c r="FL1811" s="6"/>
      <c r="FM1811" s="6"/>
      <c r="FN1811" s="6"/>
      <c r="FO1811" s="6"/>
      <c r="FP1811" s="6"/>
      <c r="FQ1811" s="6"/>
      <c r="FR1811" s="6"/>
      <c r="FS1811" s="6"/>
      <c r="FT1811" s="6"/>
      <c r="FU1811" s="6"/>
      <c r="FV1811" s="6"/>
      <c r="FW1811" s="6"/>
      <c r="FX1811" s="6"/>
      <c r="FY1811" s="6"/>
      <c r="FZ1811" s="6"/>
      <c r="GA1811" s="6"/>
      <c r="GB1811" s="6"/>
      <c r="GC1811" s="6"/>
      <c r="GD1811" s="6"/>
      <c r="GE1811" s="6"/>
      <c r="GF1811" s="6"/>
      <c r="GG1811" s="6"/>
      <c r="GH1811" s="6"/>
      <c r="GI1811" s="6"/>
      <c r="GJ1811" s="6"/>
      <c r="GK1811" s="6"/>
      <c r="GL1811" s="6"/>
      <c r="GM1811" s="6"/>
      <c r="GN1811" s="6"/>
      <c r="GO1811" s="6"/>
      <c r="GP1811" s="6"/>
      <c r="GQ1811" s="6"/>
      <c r="GR1811" s="6"/>
      <c r="GS1811" s="6"/>
      <c r="GT1811" s="6"/>
      <c r="GU1811" s="6"/>
      <c r="GV1811" s="6"/>
      <c r="GW1811" s="6"/>
      <c r="GX1811" s="6"/>
      <c r="GY1811" s="6"/>
      <c r="GZ1811" s="6"/>
      <c r="HA1811" s="6"/>
      <c r="HB1811" s="6"/>
      <c r="HC1811" s="6"/>
      <c r="HD1811" s="6"/>
      <c r="HE1811" s="6"/>
      <c r="HF1811" s="6"/>
      <c r="HG1811" s="6"/>
      <c r="HH1811" s="6"/>
    </row>
    <row r="1812" spans="1:216" x14ac:dyDescent="0.3">
      <c r="A1812" s="8"/>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c r="DX1812" s="6"/>
      <c r="DY1812" s="6"/>
      <c r="DZ1812" s="6"/>
      <c r="EA1812" s="6"/>
      <c r="EB1812" s="6"/>
      <c r="EC1812" s="6"/>
      <c r="ED1812" s="6"/>
      <c r="EE1812" s="6"/>
      <c r="EF1812" s="6"/>
      <c r="EG1812" s="6"/>
      <c r="EH1812" s="6"/>
      <c r="EI1812" s="6"/>
      <c r="EJ1812" s="6"/>
      <c r="EK1812" s="6"/>
      <c r="EL1812" s="6"/>
      <c r="EM1812" s="6"/>
      <c r="EN1812" s="6"/>
      <c r="EO1812" s="6"/>
      <c r="EP1812" s="6"/>
      <c r="EQ1812" s="6"/>
      <c r="ER1812" s="6"/>
      <c r="ES1812" s="6"/>
      <c r="ET1812" s="6"/>
      <c r="EU1812" s="6"/>
      <c r="EV1812" s="6"/>
      <c r="EW1812" s="6"/>
      <c r="EX1812" s="6"/>
      <c r="EY1812" s="6"/>
      <c r="EZ1812" s="6"/>
      <c r="FA1812" s="6"/>
      <c r="FB1812" s="6"/>
      <c r="FC1812" s="6"/>
      <c r="FD1812" s="6"/>
      <c r="FE1812" s="6"/>
      <c r="FF1812" s="6"/>
      <c r="FG1812" s="6"/>
      <c r="FH1812" s="6"/>
      <c r="FI1812" s="6"/>
      <c r="FJ1812" s="6"/>
      <c r="FK1812" s="6"/>
      <c r="FL1812" s="6"/>
      <c r="FM1812" s="6"/>
      <c r="FN1812" s="6"/>
      <c r="FO1812" s="6"/>
      <c r="FP1812" s="6"/>
      <c r="FQ1812" s="6"/>
      <c r="FR1812" s="6"/>
      <c r="FS1812" s="6"/>
      <c r="FT1812" s="6"/>
      <c r="FU1812" s="6"/>
      <c r="FV1812" s="6"/>
      <c r="FW1812" s="6"/>
      <c r="FX1812" s="6"/>
      <c r="FY1812" s="6"/>
      <c r="FZ1812" s="6"/>
      <c r="GA1812" s="6"/>
      <c r="GB1812" s="6"/>
      <c r="GC1812" s="6"/>
      <c r="GD1812" s="6"/>
      <c r="GE1812" s="6"/>
      <c r="GF1812" s="6"/>
      <c r="GG1812" s="6"/>
      <c r="GH1812" s="6"/>
      <c r="GI1812" s="6"/>
      <c r="GJ1812" s="6"/>
      <c r="GK1812" s="6"/>
      <c r="GL1812" s="6"/>
      <c r="GM1812" s="6"/>
      <c r="GN1812" s="6"/>
      <c r="GO1812" s="6"/>
      <c r="GP1812" s="6"/>
      <c r="GQ1812" s="6"/>
      <c r="GR1812" s="6"/>
      <c r="GS1812" s="6"/>
      <c r="GT1812" s="6"/>
      <c r="GU1812" s="6"/>
      <c r="GV1812" s="6"/>
      <c r="GW1812" s="6"/>
      <c r="GX1812" s="6"/>
      <c r="GY1812" s="6"/>
      <c r="GZ1812" s="6"/>
      <c r="HA1812" s="6"/>
      <c r="HB1812" s="6"/>
      <c r="HC1812" s="6"/>
      <c r="HD1812" s="6"/>
      <c r="HE1812" s="6"/>
      <c r="HF1812" s="6"/>
      <c r="HG1812" s="6"/>
      <c r="HH1812" s="6"/>
    </row>
    <row r="1813" spans="1:216" x14ac:dyDescent="0.3">
      <c r="A1813" s="8"/>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6"/>
      <c r="AR1813" s="6"/>
      <c r="AS1813" s="6"/>
      <c r="AT1813" s="6"/>
      <c r="AU1813" s="6"/>
      <c r="AV1813" s="6"/>
      <c r="AW1813" s="6"/>
      <c r="AX1813" s="6"/>
      <c r="AY1813" s="6"/>
      <c r="AZ1813" s="6"/>
      <c r="BA1813" s="6"/>
      <c r="BB1813" s="6"/>
      <c r="BC1813" s="6"/>
      <c r="BD1813" s="6"/>
      <c r="BE1813" s="6"/>
      <c r="BF1813" s="6"/>
      <c r="BG1813" s="6"/>
      <c r="BH1813" s="6"/>
      <c r="BI1813" s="6"/>
      <c r="BJ1813" s="6"/>
      <c r="BK1813" s="6"/>
      <c r="BL1813" s="6"/>
      <c r="BM1813" s="6"/>
      <c r="BN1813" s="6"/>
      <c r="BO1813" s="6"/>
      <c r="BP1813" s="6"/>
      <c r="BQ1813" s="6"/>
      <c r="BR1813" s="6"/>
      <c r="BS1813" s="6"/>
      <c r="BT1813" s="6"/>
      <c r="BU1813" s="6"/>
      <c r="BV1813" s="6"/>
      <c r="BW1813" s="6"/>
      <c r="BX1813" s="6"/>
      <c r="BY1813" s="6"/>
      <c r="BZ1813" s="6"/>
      <c r="CA1813" s="6"/>
      <c r="CB1813" s="6"/>
      <c r="CC1813" s="6"/>
      <c r="CD1813" s="6"/>
      <c r="CE1813" s="6"/>
      <c r="CF1813" s="6"/>
      <c r="CG1813" s="6"/>
      <c r="CH1813" s="6"/>
      <c r="CI1813" s="6"/>
      <c r="CJ1813" s="6"/>
      <c r="CK1813" s="6"/>
      <c r="CL1813" s="6"/>
      <c r="CM1813" s="6"/>
      <c r="CN1813" s="6"/>
      <c r="CO1813" s="6"/>
      <c r="CP1813" s="6"/>
      <c r="CQ1813" s="6"/>
      <c r="CR1813" s="6"/>
      <c r="CS1813" s="6"/>
      <c r="CT1813" s="6"/>
      <c r="CU1813" s="6"/>
      <c r="CV1813" s="6"/>
      <c r="CW1813" s="6"/>
      <c r="CX1813" s="6"/>
      <c r="CY1813" s="6"/>
      <c r="CZ1813" s="6"/>
      <c r="DA1813" s="6"/>
      <c r="DB1813" s="6"/>
      <c r="DC1813" s="6"/>
      <c r="DD1813" s="6"/>
      <c r="DE1813" s="6"/>
      <c r="DF1813" s="6"/>
      <c r="DG1813" s="6"/>
      <c r="DH1813" s="6"/>
      <c r="DI1813" s="6"/>
      <c r="DJ1813" s="6"/>
      <c r="DK1813" s="6"/>
      <c r="DL1813" s="6"/>
      <c r="DM1813" s="6"/>
      <c r="DN1813" s="6"/>
      <c r="DO1813" s="6"/>
      <c r="DP1813" s="6"/>
      <c r="DQ1813" s="6"/>
      <c r="DR1813" s="6"/>
      <c r="DS1813" s="6"/>
      <c r="DT1813" s="6"/>
      <c r="DU1813" s="6"/>
      <c r="DV1813" s="6"/>
      <c r="DW1813" s="6"/>
      <c r="DX1813" s="6"/>
      <c r="DY1813" s="6"/>
      <c r="DZ1813" s="6"/>
      <c r="EA1813" s="6"/>
      <c r="EB1813" s="6"/>
      <c r="EC1813" s="6"/>
      <c r="ED1813" s="6"/>
      <c r="EE1813" s="6"/>
      <c r="EF1813" s="6"/>
      <c r="EG1813" s="6"/>
      <c r="EH1813" s="6"/>
      <c r="EI1813" s="6"/>
      <c r="EJ1813" s="6"/>
      <c r="EK1813" s="6"/>
      <c r="EL1813" s="6"/>
      <c r="EM1813" s="6"/>
      <c r="EN1813" s="6"/>
      <c r="EO1813" s="6"/>
      <c r="EP1813" s="6"/>
      <c r="EQ1813" s="6"/>
      <c r="ER1813" s="6"/>
      <c r="ES1813" s="6"/>
      <c r="ET1813" s="6"/>
      <c r="EU1813" s="6"/>
      <c r="EV1813" s="6"/>
      <c r="EW1813" s="6"/>
      <c r="EX1813" s="6"/>
      <c r="EY1813" s="6"/>
      <c r="EZ1813" s="6"/>
      <c r="FA1813" s="6"/>
      <c r="FB1813" s="6"/>
      <c r="FC1813" s="6"/>
      <c r="FD1813" s="6"/>
      <c r="FE1813" s="6"/>
      <c r="FF1813" s="6"/>
      <c r="FG1813" s="6"/>
      <c r="FH1813" s="6"/>
      <c r="FI1813" s="6"/>
      <c r="FJ1813" s="6"/>
      <c r="FK1813" s="6"/>
      <c r="FL1813" s="6"/>
      <c r="FM1813" s="6"/>
      <c r="FN1813" s="6"/>
      <c r="FO1813" s="6"/>
      <c r="FP1813" s="6"/>
      <c r="FQ1813" s="6"/>
      <c r="FR1813" s="6"/>
      <c r="FS1813" s="6"/>
      <c r="FT1813" s="6"/>
      <c r="FU1813" s="6"/>
      <c r="FV1813" s="6"/>
      <c r="FW1813" s="6"/>
      <c r="FX1813" s="6"/>
      <c r="FY1813" s="6"/>
      <c r="FZ1813" s="6"/>
      <c r="GA1813" s="6"/>
      <c r="GB1813" s="6"/>
      <c r="GC1813" s="6"/>
      <c r="GD1813" s="6"/>
      <c r="GE1813" s="6"/>
      <c r="GF1813" s="6"/>
      <c r="GG1813" s="6"/>
      <c r="GH1813" s="6"/>
      <c r="GI1813" s="6"/>
      <c r="GJ1813" s="6"/>
      <c r="GK1813" s="6"/>
      <c r="GL1813" s="6"/>
      <c r="GM1813" s="6"/>
      <c r="GN1813" s="6"/>
      <c r="GO1813" s="6"/>
      <c r="GP1813" s="6"/>
      <c r="GQ1813" s="6"/>
      <c r="GR1813" s="6"/>
      <c r="GS1813" s="6"/>
      <c r="GT1813" s="6"/>
      <c r="GU1813" s="6"/>
      <c r="GV1813" s="6"/>
      <c r="GW1813" s="6"/>
      <c r="GX1813" s="6"/>
      <c r="GY1813" s="6"/>
      <c r="GZ1813" s="6"/>
      <c r="HA1813" s="6"/>
      <c r="HB1813" s="6"/>
      <c r="HC1813" s="6"/>
      <c r="HD1813" s="6"/>
      <c r="HE1813" s="6"/>
      <c r="HF1813" s="6"/>
      <c r="HG1813" s="6"/>
      <c r="HH1813" s="6"/>
    </row>
    <row r="1814" spans="1:216" x14ac:dyDescent="0.3">
      <c r="A1814" s="8"/>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6"/>
      <c r="AR1814" s="6"/>
      <c r="AS1814" s="6"/>
      <c r="AT1814" s="6"/>
      <c r="AU1814" s="6"/>
      <c r="AV1814" s="6"/>
      <c r="AW1814" s="6"/>
      <c r="AX1814" s="6"/>
      <c r="AY1814" s="6"/>
      <c r="AZ1814" s="6"/>
      <c r="BA1814" s="6"/>
      <c r="BB1814" s="6"/>
      <c r="BC1814" s="6"/>
      <c r="BD1814" s="6"/>
      <c r="BE1814" s="6"/>
      <c r="BF1814" s="6"/>
      <c r="BG1814" s="6"/>
      <c r="BH1814" s="6"/>
      <c r="BI1814" s="6"/>
      <c r="BJ1814" s="6"/>
      <c r="BK1814" s="6"/>
      <c r="BL1814" s="6"/>
      <c r="BM1814" s="6"/>
      <c r="BN1814" s="6"/>
      <c r="BO1814" s="6"/>
      <c r="BP1814" s="6"/>
      <c r="BQ1814" s="6"/>
      <c r="BR1814" s="6"/>
      <c r="BS1814" s="6"/>
      <c r="BT1814" s="6"/>
      <c r="BU1814" s="6"/>
      <c r="BV1814" s="6"/>
      <c r="BW1814" s="6"/>
      <c r="BX1814" s="6"/>
      <c r="BY1814" s="6"/>
      <c r="BZ1814" s="6"/>
      <c r="CA1814" s="6"/>
      <c r="CB1814" s="6"/>
      <c r="CC1814" s="6"/>
      <c r="CD1814" s="6"/>
      <c r="CE1814" s="6"/>
      <c r="CF1814" s="6"/>
      <c r="CG1814" s="6"/>
      <c r="CH1814" s="6"/>
      <c r="CI1814" s="6"/>
      <c r="CJ1814" s="6"/>
      <c r="CK1814" s="6"/>
      <c r="CL1814" s="6"/>
      <c r="CM1814" s="6"/>
      <c r="CN1814" s="6"/>
      <c r="CO1814" s="6"/>
      <c r="CP1814" s="6"/>
      <c r="CQ1814" s="6"/>
      <c r="CR1814" s="6"/>
      <c r="CS1814" s="6"/>
      <c r="CT1814" s="6"/>
      <c r="CU1814" s="6"/>
      <c r="CV1814" s="6"/>
      <c r="CW1814" s="6"/>
      <c r="CX1814" s="6"/>
      <c r="CY1814" s="6"/>
      <c r="CZ1814" s="6"/>
      <c r="DA1814" s="6"/>
      <c r="DB1814" s="6"/>
      <c r="DC1814" s="6"/>
      <c r="DD1814" s="6"/>
      <c r="DE1814" s="6"/>
      <c r="DF1814" s="6"/>
      <c r="DG1814" s="6"/>
      <c r="DH1814" s="6"/>
      <c r="DI1814" s="6"/>
      <c r="DJ1814" s="6"/>
      <c r="DK1814" s="6"/>
      <c r="DL1814" s="6"/>
      <c r="DM1814" s="6"/>
      <c r="DN1814" s="6"/>
      <c r="DO1814" s="6"/>
      <c r="DP1814" s="6"/>
      <c r="DQ1814" s="6"/>
      <c r="DR1814" s="6"/>
      <c r="DS1814" s="6"/>
      <c r="DT1814" s="6"/>
      <c r="DU1814" s="6"/>
      <c r="DV1814" s="6"/>
      <c r="DW1814" s="6"/>
      <c r="DX1814" s="6"/>
      <c r="DY1814" s="6"/>
      <c r="DZ1814" s="6"/>
      <c r="EA1814" s="6"/>
      <c r="EB1814" s="6"/>
      <c r="EC1814" s="6"/>
      <c r="ED1814" s="6"/>
      <c r="EE1814" s="6"/>
      <c r="EF1814" s="6"/>
      <c r="EG1814" s="6"/>
      <c r="EH1814" s="6"/>
      <c r="EI1814" s="6"/>
      <c r="EJ1814" s="6"/>
      <c r="EK1814" s="6"/>
      <c r="EL1814" s="6"/>
      <c r="EM1814" s="6"/>
      <c r="EN1814" s="6"/>
      <c r="EO1814" s="6"/>
      <c r="EP1814" s="6"/>
      <c r="EQ1814" s="6"/>
      <c r="ER1814" s="6"/>
      <c r="ES1814" s="6"/>
      <c r="ET1814" s="6"/>
      <c r="EU1814" s="6"/>
      <c r="EV1814" s="6"/>
      <c r="EW1814" s="6"/>
      <c r="EX1814" s="6"/>
      <c r="EY1814" s="6"/>
      <c r="EZ1814" s="6"/>
      <c r="FA1814" s="6"/>
      <c r="FB1814" s="6"/>
      <c r="FC1814" s="6"/>
      <c r="FD1814" s="6"/>
      <c r="FE1814" s="6"/>
      <c r="FF1814" s="6"/>
      <c r="FG1814" s="6"/>
      <c r="FH1814" s="6"/>
      <c r="FI1814" s="6"/>
      <c r="FJ1814" s="6"/>
      <c r="FK1814" s="6"/>
      <c r="FL1814" s="6"/>
      <c r="FM1814" s="6"/>
      <c r="FN1814" s="6"/>
      <c r="FO1814" s="6"/>
      <c r="FP1814" s="6"/>
      <c r="FQ1814" s="6"/>
      <c r="FR1814" s="6"/>
      <c r="FS1814" s="6"/>
      <c r="FT1814" s="6"/>
      <c r="FU1814" s="6"/>
      <c r="FV1814" s="6"/>
      <c r="FW1814" s="6"/>
      <c r="FX1814" s="6"/>
      <c r="FY1814" s="6"/>
      <c r="FZ1814" s="6"/>
      <c r="GA1814" s="6"/>
      <c r="GB1814" s="6"/>
      <c r="GC1814" s="6"/>
      <c r="GD1814" s="6"/>
      <c r="GE1814" s="6"/>
      <c r="GF1814" s="6"/>
      <c r="GG1814" s="6"/>
      <c r="GH1814" s="6"/>
      <c r="GI1814" s="6"/>
      <c r="GJ1814" s="6"/>
      <c r="GK1814" s="6"/>
      <c r="GL1814" s="6"/>
      <c r="GM1814" s="6"/>
      <c r="GN1814" s="6"/>
      <c r="GO1814" s="6"/>
      <c r="GP1814" s="6"/>
      <c r="GQ1814" s="6"/>
      <c r="GR1814" s="6"/>
      <c r="GS1814" s="6"/>
      <c r="GT1814" s="6"/>
      <c r="GU1814" s="6"/>
      <c r="GV1814" s="6"/>
      <c r="GW1814" s="6"/>
      <c r="GX1814" s="6"/>
      <c r="GY1814" s="6"/>
      <c r="GZ1814" s="6"/>
      <c r="HA1814" s="6"/>
      <c r="HB1814" s="6"/>
      <c r="HC1814" s="6"/>
      <c r="HD1814" s="6"/>
      <c r="HE1814" s="6"/>
      <c r="HF1814" s="6"/>
      <c r="HG1814" s="6"/>
      <c r="HH1814" s="6"/>
    </row>
    <row r="1815" spans="1:216" x14ac:dyDescent="0.3">
      <c r="A1815" s="8"/>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6"/>
      <c r="AR1815" s="6"/>
      <c r="AS1815" s="6"/>
      <c r="AT1815" s="6"/>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c r="DX1815" s="6"/>
      <c r="DY1815" s="6"/>
      <c r="DZ1815" s="6"/>
      <c r="EA1815" s="6"/>
      <c r="EB1815" s="6"/>
      <c r="EC1815" s="6"/>
      <c r="ED1815" s="6"/>
      <c r="EE1815" s="6"/>
      <c r="EF1815" s="6"/>
      <c r="EG1815" s="6"/>
      <c r="EH1815" s="6"/>
      <c r="EI1815" s="6"/>
      <c r="EJ1815" s="6"/>
      <c r="EK1815" s="6"/>
      <c r="EL1815" s="6"/>
      <c r="EM1815" s="6"/>
      <c r="EN1815" s="6"/>
      <c r="EO1815" s="6"/>
      <c r="EP1815" s="6"/>
      <c r="EQ1815" s="6"/>
      <c r="ER1815" s="6"/>
      <c r="ES1815" s="6"/>
      <c r="ET1815" s="6"/>
      <c r="EU1815" s="6"/>
      <c r="EV1815" s="6"/>
      <c r="EW1815" s="6"/>
      <c r="EX1815" s="6"/>
      <c r="EY1815" s="6"/>
      <c r="EZ1815" s="6"/>
      <c r="FA1815" s="6"/>
      <c r="FB1815" s="6"/>
      <c r="FC1815" s="6"/>
      <c r="FD1815" s="6"/>
      <c r="FE1815" s="6"/>
      <c r="FF1815" s="6"/>
      <c r="FG1815" s="6"/>
      <c r="FH1815" s="6"/>
      <c r="FI1815" s="6"/>
      <c r="FJ1815" s="6"/>
      <c r="FK1815" s="6"/>
      <c r="FL1815" s="6"/>
      <c r="FM1815" s="6"/>
      <c r="FN1815" s="6"/>
      <c r="FO1815" s="6"/>
      <c r="FP1815" s="6"/>
      <c r="FQ1815" s="6"/>
      <c r="FR1815" s="6"/>
      <c r="FS1815" s="6"/>
      <c r="FT1815" s="6"/>
      <c r="FU1815" s="6"/>
      <c r="FV1815" s="6"/>
      <c r="FW1815" s="6"/>
      <c r="FX1815" s="6"/>
      <c r="FY1815" s="6"/>
      <c r="FZ1815" s="6"/>
      <c r="GA1815" s="6"/>
      <c r="GB1815" s="6"/>
      <c r="GC1815" s="6"/>
      <c r="GD1815" s="6"/>
      <c r="GE1815" s="6"/>
      <c r="GF1815" s="6"/>
      <c r="GG1815" s="6"/>
      <c r="GH1815" s="6"/>
      <c r="GI1815" s="6"/>
      <c r="GJ1815" s="6"/>
      <c r="GK1815" s="6"/>
      <c r="GL1815" s="6"/>
      <c r="GM1815" s="6"/>
      <c r="GN1815" s="6"/>
      <c r="GO1815" s="6"/>
      <c r="GP1815" s="6"/>
      <c r="GQ1815" s="6"/>
      <c r="GR1815" s="6"/>
      <c r="GS1815" s="6"/>
      <c r="GT1815" s="6"/>
      <c r="GU1815" s="6"/>
      <c r="GV1815" s="6"/>
      <c r="GW1815" s="6"/>
      <c r="GX1815" s="6"/>
      <c r="GY1815" s="6"/>
      <c r="GZ1815" s="6"/>
      <c r="HA1815" s="6"/>
      <c r="HB1815" s="6"/>
      <c r="HC1815" s="6"/>
      <c r="HD1815" s="6"/>
      <c r="HE1815" s="6"/>
      <c r="HF1815" s="6"/>
      <c r="HG1815" s="6"/>
      <c r="HH1815" s="6"/>
    </row>
    <row r="1816" spans="1:216" x14ac:dyDescent="0.3">
      <c r="A1816" s="8"/>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6"/>
      <c r="AR1816" s="6"/>
      <c r="AS1816" s="6"/>
      <c r="AT1816" s="6"/>
      <c r="AU1816" s="6"/>
      <c r="AV1816" s="6"/>
      <c r="AW1816" s="6"/>
      <c r="AX1816" s="6"/>
      <c r="AY1816" s="6"/>
      <c r="AZ1816" s="6"/>
      <c r="BA1816" s="6"/>
      <c r="BB1816" s="6"/>
      <c r="BC1816" s="6"/>
      <c r="BD1816" s="6"/>
      <c r="BE1816" s="6"/>
      <c r="BF1816" s="6"/>
      <c r="BG1816" s="6"/>
      <c r="BH1816" s="6"/>
      <c r="BI1816" s="6"/>
      <c r="BJ1816" s="6"/>
      <c r="BK1816" s="6"/>
      <c r="BL1816" s="6"/>
      <c r="BM1816" s="6"/>
      <c r="BN1816" s="6"/>
      <c r="BO1816" s="6"/>
      <c r="BP1816" s="6"/>
      <c r="BQ1816" s="6"/>
      <c r="BR1816" s="6"/>
      <c r="BS1816" s="6"/>
      <c r="BT1816" s="6"/>
      <c r="BU1816" s="6"/>
      <c r="BV1816" s="6"/>
      <c r="BW1816" s="6"/>
      <c r="BX1816" s="6"/>
      <c r="BY1816" s="6"/>
      <c r="BZ1816" s="6"/>
      <c r="CA1816" s="6"/>
      <c r="CB1816" s="6"/>
      <c r="CC1816" s="6"/>
      <c r="CD1816" s="6"/>
      <c r="CE1816" s="6"/>
      <c r="CF1816" s="6"/>
      <c r="CG1816" s="6"/>
      <c r="CH1816" s="6"/>
      <c r="CI1816" s="6"/>
      <c r="CJ1816" s="6"/>
      <c r="CK1816" s="6"/>
      <c r="CL1816" s="6"/>
      <c r="CM1816" s="6"/>
      <c r="CN1816" s="6"/>
      <c r="CO1816" s="6"/>
      <c r="CP1816" s="6"/>
      <c r="CQ1816" s="6"/>
      <c r="CR1816" s="6"/>
      <c r="CS1816" s="6"/>
      <c r="CT1816" s="6"/>
      <c r="CU1816" s="6"/>
      <c r="CV1816" s="6"/>
      <c r="CW1816" s="6"/>
      <c r="CX1816" s="6"/>
      <c r="CY1816" s="6"/>
      <c r="CZ1816" s="6"/>
      <c r="DA1816" s="6"/>
      <c r="DB1816" s="6"/>
      <c r="DC1816" s="6"/>
      <c r="DD1816" s="6"/>
      <c r="DE1816" s="6"/>
      <c r="DF1816" s="6"/>
      <c r="DG1816" s="6"/>
      <c r="DH1816" s="6"/>
      <c r="DI1816" s="6"/>
      <c r="DJ1816" s="6"/>
      <c r="DK1816" s="6"/>
      <c r="DL1816" s="6"/>
      <c r="DM1816" s="6"/>
      <c r="DN1816" s="6"/>
      <c r="DO1816" s="6"/>
      <c r="DP1816" s="6"/>
      <c r="DQ1816" s="6"/>
      <c r="DR1816" s="6"/>
      <c r="DS1816" s="6"/>
      <c r="DT1816" s="6"/>
      <c r="DU1816" s="6"/>
      <c r="DV1816" s="6"/>
      <c r="DW1816" s="6"/>
      <c r="DX1816" s="6"/>
      <c r="DY1816" s="6"/>
      <c r="DZ1816" s="6"/>
      <c r="EA1816" s="6"/>
      <c r="EB1816" s="6"/>
      <c r="EC1816" s="6"/>
      <c r="ED1816" s="6"/>
      <c r="EE1816" s="6"/>
      <c r="EF1816" s="6"/>
      <c r="EG1816" s="6"/>
      <c r="EH1816" s="6"/>
      <c r="EI1816" s="6"/>
      <c r="EJ1816" s="6"/>
      <c r="EK1816" s="6"/>
      <c r="EL1816" s="6"/>
      <c r="EM1816" s="6"/>
      <c r="EN1816" s="6"/>
      <c r="EO1816" s="6"/>
      <c r="EP1816" s="6"/>
      <c r="EQ1816" s="6"/>
      <c r="ER1816" s="6"/>
      <c r="ES1816" s="6"/>
      <c r="ET1816" s="6"/>
      <c r="EU1816" s="6"/>
      <c r="EV1816" s="6"/>
      <c r="EW1816" s="6"/>
      <c r="EX1816" s="6"/>
      <c r="EY1816" s="6"/>
      <c r="EZ1816" s="6"/>
      <c r="FA1816" s="6"/>
      <c r="FB1816" s="6"/>
      <c r="FC1816" s="6"/>
      <c r="FD1816" s="6"/>
      <c r="FE1816" s="6"/>
      <c r="FF1816" s="6"/>
      <c r="FG1816" s="6"/>
      <c r="FH1816" s="6"/>
      <c r="FI1816" s="6"/>
      <c r="FJ1816" s="6"/>
      <c r="FK1816" s="6"/>
      <c r="FL1816" s="6"/>
      <c r="FM1816" s="6"/>
      <c r="FN1816" s="6"/>
      <c r="FO1816" s="6"/>
      <c r="FP1816" s="6"/>
      <c r="FQ1816" s="6"/>
      <c r="FR1816" s="6"/>
      <c r="FS1816" s="6"/>
      <c r="FT1816" s="6"/>
      <c r="FU1816" s="6"/>
      <c r="FV1816" s="6"/>
      <c r="FW1816" s="6"/>
      <c r="FX1816" s="6"/>
      <c r="FY1816" s="6"/>
      <c r="FZ1816" s="6"/>
      <c r="GA1816" s="6"/>
      <c r="GB1816" s="6"/>
      <c r="GC1816" s="6"/>
      <c r="GD1816" s="6"/>
      <c r="GE1816" s="6"/>
      <c r="GF1816" s="6"/>
      <c r="GG1816" s="6"/>
      <c r="GH1816" s="6"/>
      <c r="GI1816" s="6"/>
      <c r="GJ1816" s="6"/>
      <c r="GK1816" s="6"/>
      <c r="GL1816" s="6"/>
      <c r="GM1816" s="6"/>
      <c r="GN1816" s="6"/>
      <c r="GO1816" s="6"/>
      <c r="GP1816" s="6"/>
      <c r="GQ1816" s="6"/>
      <c r="GR1816" s="6"/>
      <c r="GS1816" s="6"/>
      <c r="GT1816" s="6"/>
      <c r="GU1816" s="6"/>
      <c r="GV1816" s="6"/>
      <c r="GW1816" s="6"/>
      <c r="GX1816" s="6"/>
      <c r="GY1816" s="6"/>
      <c r="GZ1816" s="6"/>
      <c r="HA1816" s="6"/>
      <c r="HB1816" s="6"/>
      <c r="HC1816" s="6"/>
      <c r="HD1816" s="6"/>
      <c r="HE1816" s="6"/>
      <c r="HF1816" s="6"/>
      <c r="HG1816" s="6"/>
      <c r="HH1816" s="6"/>
    </row>
    <row r="1817" spans="1:216" x14ac:dyDescent="0.3">
      <c r="A1817" s="8"/>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c r="DX1817" s="6"/>
      <c r="DY1817" s="6"/>
      <c r="DZ1817" s="6"/>
      <c r="EA1817" s="6"/>
      <c r="EB1817" s="6"/>
      <c r="EC1817" s="6"/>
      <c r="ED1817" s="6"/>
      <c r="EE1817" s="6"/>
      <c r="EF1817" s="6"/>
      <c r="EG1817" s="6"/>
      <c r="EH1817" s="6"/>
      <c r="EI1817" s="6"/>
      <c r="EJ1817" s="6"/>
      <c r="EK1817" s="6"/>
      <c r="EL1817" s="6"/>
      <c r="EM1817" s="6"/>
      <c r="EN1817" s="6"/>
      <c r="EO1817" s="6"/>
      <c r="EP1817" s="6"/>
      <c r="EQ1817" s="6"/>
      <c r="ER1817" s="6"/>
      <c r="ES1817" s="6"/>
      <c r="ET1817" s="6"/>
      <c r="EU1817" s="6"/>
      <c r="EV1817" s="6"/>
      <c r="EW1817" s="6"/>
      <c r="EX1817" s="6"/>
      <c r="EY1817" s="6"/>
      <c r="EZ1817" s="6"/>
      <c r="FA1817" s="6"/>
      <c r="FB1817" s="6"/>
      <c r="FC1817" s="6"/>
      <c r="FD1817" s="6"/>
      <c r="FE1817" s="6"/>
      <c r="FF1817" s="6"/>
      <c r="FG1817" s="6"/>
      <c r="FH1817" s="6"/>
      <c r="FI1817" s="6"/>
      <c r="FJ1817" s="6"/>
      <c r="FK1817" s="6"/>
      <c r="FL1817" s="6"/>
      <c r="FM1817" s="6"/>
      <c r="FN1817" s="6"/>
      <c r="FO1817" s="6"/>
      <c r="FP1817" s="6"/>
      <c r="FQ1817" s="6"/>
      <c r="FR1817" s="6"/>
      <c r="FS1817" s="6"/>
      <c r="FT1817" s="6"/>
      <c r="FU1817" s="6"/>
      <c r="FV1817" s="6"/>
      <c r="FW1817" s="6"/>
      <c r="FX1817" s="6"/>
      <c r="FY1817" s="6"/>
      <c r="FZ1817" s="6"/>
      <c r="GA1817" s="6"/>
      <c r="GB1817" s="6"/>
      <c r="GC1817" s="6"/>
      <c r="GD1817" s="6"/>
      <c r="GE1817" s="6"/>
      <c r="GF1817" s="6"/>
      <c r="GG1817" s="6"/>
      <c r="GH1817" s="6"/>
      <c r="GI1817" s="6"/>
      <c r="GJ1817" s="6"/>
      <c r="GK1817" s="6"/>
      <c r="GL1817" s="6"/>
      <c r="GM1817" s="6"/>
      <c r="GN1817" s="6"/>
      <c r="GO1817" s="6"/>
      <c r="GP1817" s="6"/>
      <c r="GQ1817" s="6"/>
      <c r="GR1817" s="6"/>
      <c r="GS1817" s="6"/>
      <c r="GT1817" s="6"/>
      <c r="GU1817" s="6"/>
      <c r="GV1817" s="6"/>
      <c r="GW1817" s="6"/>
      <c r="GX1817" s="6"/>
      <c r="GY1817" s="6"/>
      <c r="GZ1817" s="6"/>
      <c r="HA1817" s="6"/>
      <c r="HB1817" s="6"/>
      <c r="HC1817" s="6"/>
      <c r="HD1817" s="6"/>
      <c r="HE1817" s="6"/>
      <c r="HF1817" s="6"/>
      <c r="HG1817" s="6"/>
      <c r="HH1817" s="6"/>
    </row>
    <row r="1818" spans="1:216" x14ac:dyDescent="0.3">
      <c r="A1818" s="8"/>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c r="DX1818" s="6"/>
      <c r="DY1818" s="6"/>
      <c r="DZ1818" s="6"/>
      <c r="EA1818" s="6"/>
      <c r="EB1818" s="6"/>
      <c r="EC1818" s="6"/>
      <c r="ED1818" s="6"/>
      <c r="EE1818" s="6"/>
      <c r="EF1818" s="6"/>
      <c r="EG1818" s="6"/>
      <c r="EH1818" s="6"/>
      <c r="EI1818" s="6"/>
      <c r="EJ1818" s="6"/>
      <c r="EK1818" s="6"/>
      <c r="EL1818" s="6"/>
      <c r="EM1818" s="6"/>
      <c r="EN1818" s="6"/>
      <c r="EO1818" s="6"/>
      <c r="EP1818" s="6"/>
      <c r="EQ1818" s="6"/>
      <c r="ER1818" s="6"/>
      <c r="ES1818" s="6"/>
      <c r="ET1818" s="6"/>
      <c r="EU1818" s="6"/>
      <c r="EV1818" s="6"/>
      <c r="EW1818" s="6"/>
      <c r="EX1818" s="6"/>
      <c r="EY1818" s="6"/>
      <c r="EZ1818" s="6"/>
      <c r="FA1818" s="6"/>
      <c r="FB1818" s="6"/>
      <c r="FC1818" s="6"/>
      <c r="FD1818" s="6"/>
      <c r="FE1818" s="6"/>
      <c r="FF1818" s="6"/>
      <c r="FG1818" s="6"/>
      <c r="FH1818" s="6"/>
      <c r="FI1818" s="6"/>
      <c r="FJ1818" s="6"/>
      <c r="FK1818" s="6"/>
      <c r="FL1818" s="6"/>
      <c r="FM1818" s="6"/>
      <c r="FN1818" s="6"/>
      <c r="FO1818" s="6"/>
      <c r="FP1818" s="6"/>
      <c r="FQ1818" s="6"/>
      <c r="FR1818" s="6"/>
      <c r="FS1818" s="6"/>
      <c r="FT1818" s="6"/>
      <c r="FU1818" s="6"/>
      <c r="FV1818" s="6"/>
      <c r="FW1818" s="6"/>
      <c r="FX1818" s="6"/>
      <c r="FY1818" s="6"/>
      <c r="FZ1818" s="6"/>
      <c r="GA1818" s="6"/>
      <c r="GB1818" s="6"/>
      <c r="GC1818" s="6"/>
      <c r="GD1818" s="6"/>
      <c r="GE1818" s="6"/>
      <c r="GF1818" s="6"/>
      <c r="GG1818" s="6"/>
      <c r="GH1818" s="6"/>
      <c r="GI1818" s="6"/>
      <c r="GJ1818" s="6"/>
      <c r="GK1818" s="6"/>
      <c r="GL1818" s="6"/>
      <c r="GM1818" s="6"/>
      <c r="GN1818" s="6"/>
      <c r="GO1818" s="6"/>
      <c r="GP1818" s="6"/>
      <c r="GQ1818" s="6"/>
      <c r="GR1818" s="6"/>
      <c r="GS1818" s="6"/>
      <c r="GT1818" s="6"/>
      <c r="GU1818" s="6"/>
      <c r="GV1818" s="6"/>
      <c r="GW1818" s="6"/>
      <c r="GX1818" s="6"/>
      <c r="GY1818" s="6"/>
      <c r="GZ1818" s="6"/>
      <c r="HA1818" s="6"/>
      <c r="HB1818" s="6"/>
      <c r="HC1818" s="6"/>
      <c r="HD1818" s="6"/>
      <c r="HE1818" s="6"/>
      <c r="HF1818" s="6"/>
      <c r="HG1818" s="6"/>
      <c r="HH1818" s="6"/>
    </row>
    <row r="1819" spans="1:216" x14ac:dyDescent="0.3">
      <c r="A1819" s="8"/>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6"/>
      <c r="AR1819" s="6"/>
      <c r="AS1819" s="6"/>
      <c r="AT1819" s="6"/>
      <c r="AU1819" s="6"/>
      <c r="AV1819" s="6"/>
      <c r="AW1819" s="6"/>
      <c r="AX1819" s="6"/>
      <c r="AY1819" s="6"/>
      <c r="AZ1819" s="6"/>
      <c r="BA1819" s="6"/>
      <c r="BB1819" s="6"/>
      <c r="BC1819" s="6"/>
      <c r="BD1819" s="6"/>
      <c r="BE1819" s="6"/>
      <c r="BF1819" s="6"/>
      <c r="BG1819" s="6"/>
      <c r="BH1819" s="6"/>
      <c r="BI1819" s="6"/>
      <c r="BJ1819" s="6"/>
      <c r="BK1819" s="6"/>
      <c r="BL1819" s="6"/>
      <c r="BM1819" s="6"/>
      <c r="BN1819" s="6"/>
      <c r="BO1819" s="6"/>
      <c r="BP1819" s="6"/>
      <c r="BQ1819" s="6"/>
      <c r="BR1819" s="6"/>
      <c r="BS1819" s="6"/>
      <c r="BT1819" s="6"/>
      <c r="BU1819" s="6"/>
      <c r="BV1819" s="6"/>
      <c r="BW1819" s="6"/>
      <c r="BX1819" s="6"/>
      <c r="BY1819" s="6"/>
      <c r="BZ1819" s="6"/>
      <c r="CA1819" s="6"/>
      <c r="CB1819" s="6"/>
      <c r="CC1819" s="6"/>
      <c r="CD1819" s="6"/>
      <c r="CE1819" s="6"/>
      <c r="CF1819" s="6"/>
      <c r="CG1819" s="6"/>
      <c r="CH1819" s="6"/>
      <c r="CI1819" s="6"/>
      <c r="CJ1819" s="6"/>
      <c r="CK1819" s="6"/>
      <c r="CL1819" s="6"/>
      <c r="CM1819" s="6"/>
      <c r="CN1819" s="6"/>
      <c r="CO1819" s="6"/>
      <c r="CP1819" s="6"/>
      <c r="CQ1819" s="6"/>
      <c r="CR1819" s="6"/>
      <c r="CS1819" s="6"/>
      <c r="CT1819" s="6"/>
      <c r="CU1819" s="6"/>
      <c r="CV1819" s="6"/>
      <c r="CW1819" s="6"/>
      <c r="CX1819" s="6"/>
      <c r="CY1819" s="6"/>
      <c r="CZ1819" s="6"/>
      <c r="DA1819" s="6"/>
      <c r="DB1819" s="6"/>
      <c r="DC1819" s="6"/>
      <c r="DD1819" s="6"/>
      <c r="DE1819" s="6"/>
      <c r="DF1819" s="6"/>
      <c r="DG1819" s="6"/>
      <c r="DH1819" s="6"/>
      <c r="DI1819" s="6"/>
      <c r="DJ1819" s="6"/>
      <c r="DK1819" s="6"/>
      <c r="DL1819" s="6"/>
      <c r="DM1819" s="6"/>
      <c r="DN1819" s="6"/>
      <c r="DO1819" s="6"/>
      <c r="DP1819" s="6"/>
      <c r="DQ1819" s="6"/>
      <c r="DR1819" s="6"/>
      <c r="DS1819" s="6"/>
      <c r="DT1819" s="6"/>
      <c r="DU1819" s="6"/>
      <c r="DV1819" s="6"/>
      <c r="DW1819" s="6"/>
      <c r="DX1819" s="6"/>
      <c r="DY1819" s="6"/>
      <c r="DZ1819" s="6"/>
      <c r="EA1819" s="6"/>
      <c r="EB1819" s="6"/>
      <c r="EC1819" s="6"/>
      <c r="ED1819" s="6"/>
      <c r="EE1819" s="6"/>
      <c r="EF1819" s="6"/>
      <c r="EG1819" s="6"/>
      <c r="EH1819" s="6"/>
      <c r="EI1819" s="6"/>
      <c r="EJ1819" s="6"/>
      <c r="EK1819" s="6"/>
      <c r="EL1819" s="6"/>
      <c r="EM1819" s="6"/>
      <c r="EN1819" s="6"/>
      <c r="EO1819" s="6"/>
      <c r="EP1819" s="6"/>
      <c r="EQ1819" s="6"/>
      <c r="ER1819" s="6"/>
      <c r="ES1819" s="6"/>
      <c r="ET1819" s="6"/>
      <c r="EU1819" s="6"/>
      <c r="EV1819" s="6"/>
      <c r="EW1819" s="6"/>
      <c r="EX1819" s="6"/>
      <c r="EY1819" s="6"/>
      <c r="EZ1819" s="6"/>
      <c r="FA1819" s="6"/>
      <c r="FB1819" s="6"/>
      <c r="FC1819" s="6"/>
      <c r="FD1819" s="6"/>
      <c r="FE1819" s="6"/>
      <c r="FF1819" s="6"/>
      <c r="FG1819" s="6"/>
      <c r="FH1819" s="6"/>
      <c r="FI1819" s="6"/>
      <c r="FJ1819" s="6"/>
      <c r="FK1819" s="6"/>
      <c r="FL1819" s="6"/>
      <c r="FM1819" s="6"/>
      <c r="FN1819" s="6"/>
      <c r="FO1819" s="6"/>
      <c r="FP1819" s="6"/>
      <c r="FQ1819" s="6"/>
      <c r="FR1819" s="6"/>
      <c r="FS1819" s="6"/>
      <c r="FT1819" s="6"/>
      <c r="FU1819" s="6"/>
      <c r="FV1819" s="6"/>
      <c r="FW1819" s="6"/>
      <c r="FX1819" s="6"/>
      <c r="FY1819" s="6"/>
      <c r="FZ1819" s="6"/>
      <c r="GA1819" s="6"/>
      <c r="GB1819" s="6"/>
      <c r="GC1819" s="6"/>
      <c r="GD1819" s="6"/>
      <c r="GE1819" s="6"/>
      <c r="GF1819" s="6"/>
      <c r="GG1819" s="6"/>
      <c r="GH1819" s="6"/>
      <c r="GI1819" s="6"/>
      <c r="GJ1819" s="6"/>
      <c r="GK1819" s="6"/>
      <c r="GL1819" s="6"/>
      <c r="GM1819" s="6"/>
      <c r="GN1819" s="6"/>
      <c r="GO1819" s="6"/>
      <c r="GP1819" s="6"/>
      <c r="GQ1819" s="6"/>
      <c r="GR1819" s="6"/>
      <c r="GS1819" s="6"/>
      <c r="GT1819" s="6"/>
      <c r="GU1819" s="6"/>
      <c r="GV1819" s="6"/>
      <c r="GW1819" s="6"/>
      <c r="GX1819" s="6"/>
      <c r="GY1819" s="6"/>
      <c r="GZ1819" s="6"/>
      <c r="HA1819" s="6"/>
      <c r="HB1819" s="6"/>
      <c r="HC1819" s="6"/>
      <c r="HD1819" s="6"/>
      <c r="HE1819" s="6"/>
      <c r="HF1819" s="6"/>
      <c r="HG1819" s="6"/>
      <c r="HH1819" s="6"/>
    </row>
    <row r="1820" spans="1:216" x14ac:dyDescent="0.3">
      <c r="A1820" s="8"/>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6"/>
      <c r="AR1820" s="6"/>
      <c r="AS1820" s="6"/>
      <c r="AT1820" s="6"/>
      <c r="AU1820" s="6"/>
      <c r="AV1820" s="6"/>
      <c r="AW1820" s="6"/>
      <c r="AX1820" s="6"/>
      <c r="AY1820" s="6"/>
      <c r="AZ1820" s="6"/>
      <c r="BA1820" s="6"/>
      <c r="BB1820" s="6"/>
      <c r="BC1820" s="6"/>
      <c r="BD1820" s="6"/>
      <c r="BE1820" s="6"/>
      <c r="BF1820" s="6"/>
      <c r="BG1820" s="6"/>
      <c r="BH1820" s="6"/>
      <c r="BI1820" s="6"/>
      <c r="BJ1820" s="6"/>
      <c r="BK1820" s="6"/>
      <c r="BL1820" s="6"/>
      <c r="BM1820" s="6"/>
      <c r="BN1820" s="6"/>
      <c r="BO1820" s="6"/>
      <c r="BP1820" s="6"/>
      <c r="BQ1820" s="6"/>
      <c r="BR1820" s="6"/>
      <c r="BS1820" s="6"/>
      <c r="BT1820" s="6"/>
      <c r="BU1820" s="6"/>
      <c r="BV1820" s="6"/>
      <c r="BW1820" s="6"/>
      <c r="BX1820" s="6"/>
      <c r="BY1820" s="6"/>
      <c r="BZ1820" s="6"/>
      <c r="CA1820" s="6"/>
      <c r="CB1820" s="6"/>
      <c r="CC1820" s="6"/>
      <c r="CD1820" s="6"/>
      <c r="CE1820" s="6"/>
      <c r="CF1820" s="6"/>
      <c r="CG1820" s="6"/>
      <c r="CH1820" s="6"/>
      <c r="CI1820" s="6"/>
      <c r="CJ1820" s="6"/>
      <c r="CK1820" s="6"/>
      <c r="CL1820" s="6"/>
      <c r="CM1820" s="6"/>
      <c r="CN1820" s="6"/>
      <c r="CO1820" s="6"/>
      <c r="CP1820" s="6"/>
      <c r="CQ1820" s="6"/>
      <c r="CR1820" s="6"/>
      <c r="CS1820" s="6"/>
      <c r="CT1820" s="6"/>
      <c r="CU1820" s="6"/>
      <c r="CV1820" s="6"/>
      <c r="CW1820" s="6"/>
      <c r="CX1820" s="6"/>
      <c r="CY1820" s="6"/>
      <c r="CZ1820" s="6"/>
      <c r="DA1820" s="6"/>
      <c r="DB1820" s="6"/>
      <c r="DC1820" s="6"/>
      <c r="DD1820" s="6"/>
      <c r="DE1820" s="6"/>
      <c r="DF1820" s="6"/>
      <c r="DG1820" s="6"/>
      <c r="DH1820" s="6"/>
      <c r="DI1820" s="6"/>
      <c r="DJ1820" s="6"/>
      <c r="DK1820" s="6"/>
      <c r="DL1820" s="6"/>
      <c r="DM1820" s="6"/>
      <c r="DN1820" s="6"/>
      <c r="DO1820" s="6"/>
      <c r="DP1820" s="6"/>
      <c r="DQ1820" s="6"/>
      <c r="DR1820" s="6"/>
      <c r="DS1820" s="6"/>
      <c r="DT1820" s="6"/>
      <c r="DU1820" s="6"/>
      <c r="DV1820" s="6"/>
      <c r="DW1820" s="6"/>
      <c r="DX1820" s="6"/>
      <c r="DY1820" s="6"/>
      <c r="DZ1820" s="6"/>
      <c r="EA1820" s="6"/>
      <c r="EB1820" s="6"/>
      <c r="EC1820" s="6"/>
      <c r="ED1820" s="6"/>
      <c r="EE1820" s="6"/>
      <c r="EF1820" s="6"/>
      <c r="EG1820" s="6"/>
      <c r="EH1820" s="6"/>
      <c r="EI1820" s="6"/>
      <c r="EJ1820" s="6"/>
      <c r="EK1820" s="6"/>
      <c r="EL1820" s="6"/>
      <c r="EM1820" s="6"/>
      <c r="EN1820" s="6"/>
      <c r="EO1820" s="6"/>
      <c r="EP1820" s="6"/>
      <c r="EQ1820" s="6"/>
      <c r="ER1820" s="6"/>
      <c r="ES1820" s="6"/>
      <c r="ET1820" s="6"/>
      <c r="EU1820" s="6"/>
      <c r="EV1820" s="6"/>
      <c r="EW1820" s="6"/>
      <c r="EX1820" s="6"/>
      <c r="EY1820" s="6"/>
      <c r="EZ1820" s="6"/>
      <c r="FA1820" s="6"/>
      <c r="FB1820" s="6"/>
      <c r="FC1820" s="6"/>
      <c r="FD1820" s="6"/>
      <c r="FE1820" s="6"/>
      <c r="FF1820" s="6"/>
      <c r="FG1820" s="6"/>
      <c r="FH1820" s="6"/>
      <c r="FI1820" s="6"/>
      <c r="FJ1820" s="6"/>
      <c r="FK1820" s="6"/>
      <c r="FL1820" s="6"/>
      <c r="FM1820" s="6"/>
      <c r="FN1820" s="6"/>
      <c r="FO1820" s="6"/>
      <c r="FP1820" s="6"/>
      <c r="FQ1820" s="6"/>
      <c r="FR1820" s="6"/>
      <c r="FS1820" s="6"/>
      <c r="FT1820" s="6"/>
      <c r="FU1820" s="6"/>
      <c r="FV1820" s="6"/>
      <c r="FW1820" s="6"/>
      <c r="FX1820" s="6"/>
      <c r="FY1820" s="6"/>
      <c r="FZ1820" s="6"/>
      <c r="GA1820" s="6"/>
      <c r="GB1820" s="6"/>
      <c r="GC1820" s="6"/>
      <c r="GD1820" s="6"/>
      <c r="GE1820" s="6"/>
      <c r="GF1820" s="6"/>
      <c r="GG1820" s="6"/>
      <c r="GH1820" s="6"/>
      <c r="GI1820" s="6"/>
      <c r="GJ1820" s="6"/>
      <c r="GK1820" s="6"/>
      <c r="GL1820" s="6"/>
      <c r="GM1820" s="6"/>
      <c r="GN1820" s="6"/>
      <c r="GO1820" s="6"/>
      <c r="GP1820" s="6"/>
      <c r="GQ1820" s="6"/>
      <c r="GR1820" s="6"/>
      <c r="GS1820" s="6"/>
      <c r="GT1820" s="6"/>
      <c r="GU1820" s="6"/>
      <c r="GV1820" s="6"/>
      <c r="GW1820" s="6"/>
      <c r="GX1820" s="6"/>
      <c r="GY1820" s="6"/>
      <c r="GZ1820" s="6"/>
      <c r="HA1820" s="6"/>
      <c r="HB1820" s="6"/>
      <c r="HC1820" s="6"/>
      <c r="HD1820" s="6"/>
      <c r="HE1820" s="6"/>
      <c r="HF1820" s="6"/>
      <c r="HG1820" s="6"/>
      <c r="HH1820" s="6"/>
    </row>
    <row r="1821" spans="1:216" x14ac:dyDescent="0.3">
      <c r="A1821" s="8"/>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row>
    <row r="1822" spans="1:216" x14ac:dyDescent="0.3">
      <c r="A1822" s="8"/>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row>
    <row r="1823" spans="1:216" x14ac:dyDescent="0.3">
      <c r="A1823" s="8"/>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row>
    <row r="1824" spans="1:216" x14ac:dyDescent="0.3">
      <c r="A1824" s="8"/>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row>
    <row r="1825" spans="1:216" x14ac:dyDescent="0.3">
      <c r="A1825" s="8"/>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row>
    <row r="1826" spans="1:216" x14ac:dyDescent="0.3">
      <c r="A1826" s="8"/>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row>
    <row r="1827" spans="1:216" x14ac:dyDescent="0.3">
      <c r="A1827" s="8"/>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row>
    <row r="1828" spans="1:216" x14ac:dyDescent="0.3">
      <c r="A1828" s="8"/>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row>
    <row r="1829" spans="1:216" x14ac:dyDescent="0.3">
      <c r="A1829" s="8"/>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row>
    <row r="1830" spans="1:216" x14ac:dyDescent="0.3">
      <c r="A1830" s="8"/>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c r="DX1830" s="6"/>
      <c r="DY1830" s="6"/>
      <c r="DZ1830" s="6"/>
      <c r="EA1830" s="6"/>
      <c r="EB1830" s="6"/>
      <c r="EC1830" s="6"/>
      <c r="ED1830" s="6"/>
      <c r="EE1830" s="6"/>
      <c r="EF1830" s="6"/>
      <c r="EG1830" s="6"/>
      <c r="EH1830" s="6"/>
      <c r="EI1830" s="6"/>
      <c r="EJ1830" s="6"/>
      <c r="EK1830" s="6"/>
      <c r="EL1830" s="6"/>
      <c r="EM1830" s="6"/>
      <c r="EN1830" s="6"/>
      <c r="EO1830" s="6"/>
      <c r="EP1830" s="6"/>
      <c r="EQ1830" s="6"/>
      <c r="ER1830" s="6"/>
      <c r="ES1830" s="6"/>
      <c r="ET1830" s="6"/>
      <c r="EU1830" s="6"/>
      <c r="EV1830" s="6"/>
      <c r="EW1830" s="6"/>
      <c r="EX1830" s="6"/>
      <c r="EY1830" s="6"/>
      <c r="EZ1830" s="6"/>
      <c r="FA1830" s="6"/>
      <c r="FB1830" s="6"/>
      <c r="FC1830" s="6"/>
      <c r="FD1830" s="6"/>
      <c r="FE1830" s="6"/>
      <c r="FF1830" s="6"/>
      <c r="FG1830" s="6"/>
      <c r="FH1830" s="6"/>
      <c r="FI1830" s="6"/>
      <c r="FJ1830" s="6"/>
      <c r="FK1830" s="6"/>
      <c r="FL1830" s="6"/>
      <c r="FM1830" s="6"/>
      <c r="FN1830" s="6"/>
      <c r="FO1830" s="6"/>
      <c r="FP1830" s="6"/>
      <c r="FQ1830" s="6"/>
      <c r="FR1830" s="6"/>
      <c r="FS1830" s="6"/>
      <c r="FT1830" s="6"/>
      <c r="FU1830" s="6"/>
      <c r="FV1830" s="6"/>
      <c r="FW1830" s="6"/>
      <c r="FX1830" s="6"/>
      <c r="FY1830" s="6"/>
      <c r="FZ1830" s="6"/>
      <c r="GA1830" s="6"/>
      <c r="GB1830" s="6"/>
      <c r="GC1830" s="6"/>
      <c r="GD1830" s="6"/>
      <c r="GE1830" s="6"/>
      <c r="GF1830" s="6"/>
      <c r="GG1830" s="6"/>
      <c r="GH1830" s="6"/>
      <c r="GI1830" s="6"/>
      <c r="GJ1830" s="6"/>
      <c r="GK1830" s="6"/>
      <c r="GL1830" s="6"/>
      <c r="GM1830" s="6"/>
      <c r="GN1830" s="6"/>
      <c r="GO1830" s="6"/>
      <c r="GP1830" s="6"/>
      <c r="GQ1830" s="6"/>
      <c r="GR1830" s="6"/>
      <c r="GS1830" s="6"/>
      <c r="GT1830" s="6"/>
      <c r="GU1830" s="6"/>
      <c r="GV1830" s="6"/>
      <c r="GW1830" s="6"/>
      <c r="GX1830" s="6"/>
      <c r="GY1830" s="6"/>
      <c r="GZ1830" s="6"/>
      <c r="HA1830" s="6"/>
      <c r="HB1830" s="6"/>
      <c r="HC1830" s="6"/>
      <c r="HD1830" s="6"/>
      <c r="HE1830" s="6"/>
      <c r="HF1830" s="6"/>
      <c r="HG1830" s="6"/>
      <c r="HH1830" s="6"/>
    </row>
    <row r="1831" spans="1:216" x14ac:dyDescent="0.3">
      <c r="A1831" s="8"/>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c r="DX1831" s="6"/>
      <c r="DY1831" s="6"/>
      <c r="DZ1831" s="6"/>
      <c r="EA1831" s="6"/>
      <c r="EB1831" s="6"/>
      <c r="EC1831" s="6"/>
      <c r="ED1831" s="6"/>
      <c r="EE1831" s="6"/>
      <c r="EF1831" s="6"/>
      <c r="EG1831" s="6"/>
      <c r="EH1831" s="6"/>
      <c r="EI1831" s="6"/>
      <c r="EJ1831" s="6"/>
      <c r="EK1831" s="6"/>
      <c r="EL1831" s="6"/>
      <c r="EM1831" s="6"/>
      <c r="EN1831" s="6"/>
      <c r="EO1831" s="6"/>
      <c r="EP1831" s="6"/>
      <c r="EQ1831" s="6"/>
      <c r="ER1831" s="6"/>
      <c r="ES1831" s="6"/>
      <c r="ET1831" s="6"/>
      <c r="EU1831" s="6"/>
      <c r="EV1831" s="6"/>
      <c r="EW1831" s="6"/>
      <c r="EX1831" s="6"/>
      <c r="EY1831" s="6"/>
      <c r="EZ1831" s="6"/>
      <c r="FA1831" s="6"/>
      <c r="FB1831" s="6"/>
      <c r="FC1831" s="6"/>
      <c r="FD1831" s="6"/>
      <c r="FE1831" s="6"/>
      <c r="FF1831" s="6"/>
      <c r="FG1831" s="6"/>
      <c r="FH1831" s="6"/>
      <c r="FI1831" s="6"/>
      <c r="FJ1831" s="6"/>
      <c r="FK1831" s="6"/>
      <c r="FL1831" s="6"/>
      <c r="FM1831" s="6"/>
      <c r="FN1831" s="6"/>
      <c r="FO1831" s="6"/>
      <c r="FP1831" s="6"/>
      <c r="FQ1831" s="6"/>
      <c r="FR1831" s="6"/>
      <c r="FS1831" s="6"/>
      <c r="FT1831" s="6"/>
      <c r="FU1831" s="6"/>
      <c r="FV1831" s="6"/>
      <c r="FW1831" s="6"/>
      <c r="FX1831" s="6"/>
      <c r="FY1831" s="6"/>
      <c r="FZ1831" s="6"/>
      <c r="GA1831" s="6"/>
      <c r="GB1831" s="6"/>
      <c r="GC1831" s="6"/>
      <c r="GD1831" s="6"/>
      <c r="GE1831" s="6"/>
      <c r="GF1831" s="6"/>
      <c r="GG1831" s="6"/>
      <c r="GH1831" s="6"/>
      <c r="GI1831" s="6"/>
      <c r="GJ1831" s="6"/>
      <c r="GK1831" s="6"/>
      <c r="GL1831" s="6"/>
      <c r="GM1831" s="6"/>
      <c r="GN1831" s="6"/>
      <c r="GO1831" s="6"/>
      <c r="GP1831" s="6"/>
      <c r="GQ1831" s="6"/>
      <c r="GR1831" s="6"/>
      <c r="GS1831" s="6"/>
      <c r="GT1831" s="6"/>
      <c r="GU1831" s="6"/>
      <c r="GV1831" s="6"/>
      <c r="GW1831" s="6"/>
      <c r="GX1831" s="6"/>
      <c r="GY1831" s="6"/>
      <c r="GZ1831" s="6"/>
      <c r="HA1831" s="6"/>
      <c r="HB1831" s="6"/>
      <c r="HC1831" s="6"/>
      <c r="HD1831" s="6"/>
      <c r="HE1831" s="6"/>
      <c r="HF1831" s="6"/>
      <c r="HG1831" s="6"/>
      <c r="HH1831" s="6"/>
    </row>
    <row r="1832" spans="1:216" x14ac:dyDescent="0.3">
      <c r="A1832" s="8"/>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c r="DX1832" s="6"/>
      <c r="DY1832" s="6"/>
      <c r="DZ1832" s="6"/>
      <c r="EA1832" s="6"/>
      <c r="EB1832" s="6"/>
      <c r="EC1832" s="6"/>
      <c r="ED1832" s="6"/>
      <c r="EE1832" s="6"/>
      <c r="EF1832" s="6"/>
      <c r="EG1832" s="6"/>
      <c r="EH1832" s="6"/>
      <c r="EI1832" s="6"/>
      <c r="EJ1832" s="6"/>
      <c r="EK1832" s="6"/>
      <c r="EL1832" s="6"/>
      <c r="EM1832" s="6"/>
      <c r="EN1832" s="6"/>
      <c r="EO1832" s="6"/>
      <c r="EP1832" s="6"/>
      <c r="EQ1832" s="6"/>
      <c r="ER1832" s="6"/>
      <c r="ES1832" s="6"/>
      <c r="ET1832" s="6"/>
      <c r="EU1832" s="6"/>
      <c r="EV1832" s="6"/>
      <c r="EW1832" s="6"/>
      <c r="EX1832" s="6"/>
      <c r="EY1832" s="6"/>
      <c r="EZ1832" s="6"/>
      <c r="FA1832" s="6"/>
      <c r="FB1832" s="6"/>
      <c r="FC1832" s="6"/>
      <c r="FD1832" s="6"/>
      <c r="FE1832" s="6"/>
      <c r="FF1832" s="6"/>
      <c r="FG1832" s="6"/>
      <c r="FH1832" s="6"/>
      <c r="FI1832" s="6"/>
      <c r="FJ1832" s="6"/>
      <c r="FK1832" s="6"/>
      <c r="FL1832" s="6"/>
      <c r="FM1832" s="6"/>
      <c r="FN1832" s="6"/>
      <c r="FO1832" s="6"/>
      <c r="FP1832" s="6"/>
      <c r="FQ1832" s="6"/>
      <c r="FR1832" s="6"/>
      <c r="FS1832" s="6"/>
      <c r="FT1832" s="6"/>
      <c r="FU1832" s="6"/>
      <c r="FV1832" s="6"/>
      <c r="FW1832" s="6"/>
      <c r="FX1832" s="6"/>
      <c r="FY1832" s="6"/>
      <c r="FZ1832" s="6"/>
      <c r="GA1832" s="6"/>
      <c r="GB1832" s="6"/>
      <c r="GC1832" s="6"/>
      <c r="GD1832" s="6"/>
      <c r="GE1832" s="6"/>
      <c r="GF1832" s="6"/>
      <c r="GG1832" s="6"/>
      <c r="GH1832" s="6"/>
      <c r="GI1832" s="6"/>
      <c r="GJ1832" s="6"/>
      <c r="GK1832" s="6"/>
      <c r="GL1832" s="6"/>
      <c r="GM1832" s="6"/>
      <c r="GN1832" s="6"/>
      <c r="GO1832" s="6"/>
      <c r="GP1832" s="6"/>
      <c r="GQ1832" s="6"/>
      <c r="GR1832" s="6"/>
      <c r="GS1832" s="6"/>
      <c r="GT1832" s="6"/>
      <c r="GU1832" s="6"/>
      <c r="GV1832" s="6"/>
      <c r="GW1832" s="6"/>
      <c r="GX1832" s="6"/>
      <c r="GY1832" s="6"/>
      <c r="GZ1832" s="6"/>
      <c r="HA1832" s="6"/>
      <c r="HB1832" s="6"/>
      <c r="HC1832" s="6"/>
      <c r="HD1832" s="6"/>
      <c r="HE1832" s="6"/>
      <c r="HF1832" s="6"/>
      <c r="HG1832" s="6"/>
      <c r="HH1832" s="6"/>
    </row>
    <row r="1833" spans="1:216" x14ac:dyDescent="0.3">
      <c r="A1833" s="8"/>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6"/>
      <c r="AR1833" s="6"/>
      <c r="AS1833" s="6"/>
      <c r="AT1833" s="6"/>
      <c r="AU1833" s="6"/>
      <c r="AV1833" s="6"/>
      <c r="AW1833" s="6"/>
      <c r="AX1833" s="6"/>
      <c r="AY1833" s="6"/>
      <c r="AZ1833" s="6"/>
      <c r="BA1833" s="6"/>
      <c r="BB1833" s="6"/>
      <c r="BC1833" s="6"/>
      <c r="BD1833" s="6"/>
      <c r="BE1833" s="6"/>
      <c r="BF1833" s="6"/>
      <c r="BG1833" s="6"/>
      <c r="BH1833" s="6"/>
      <c r="BI1833" s="6"/>
      <c r="BJ1833" s="6"/>
      <c r="BK1833" s="6"/>
      <c r="BL1833" s="6"/>
      <c r="BM1833" s="6"/>
      <c r="BN1833" s="6"/>
      <c r="BO1833" s="6"/>
      <c r="BP1833" s="6"/>
      <c r="BQ1833" s="6"/>
      <c r="BR1833" s="6"/>
      <c r="BS1833" s="6"/>
      <c r="BT1833" s="6"/>
      <c r="BU1833" s="6"/>
      <c r="BV1833" s="6"/>
      <c r="BW1833" s="6"/>
      <c r="BX1833" s="6"/>
      <c r="BY1833" s="6"/>
      <c r="BZ1833" s="6"/>
      <c r="CA1833" s="6"/>
      <c r="CB1833" s="6"/>
      <c r="CC1833" s="6"/>
      <c r="CD1833" s="6"/>
      <c r="CE1833" s="6"/>
      <c r="CF1833" s="6"/>
      <c r="CG1833" s="6"/>
      <c r="CH1833" s="6"/>
      <c r="CI1833" s="6"/>
      <c r="CJ1833" s="6"/>
      <c r="CK1833" s="6"/>
      <c r="CL1833" s="6"/>
      <c r="CM1833" s="6"/>
      <c r="CN1833" s="6"/>
      <c r="CO1833" s="6"/>
      <c r="CP1833" s="6"/>
      <c r="CQ1833" s="6"/>
      <c r="CR1833" s="6"/>
      <c r="CS1833" s="6"/>
      <c r="CT1833" s="6"/>
      <c r="CU1833" s="6"/>
      <c r="CV1833" s="6"/>
      <c r="CW1833" s="6"/>
      <c r="CX1833" s="6"/>
      <c r="CY1833" s="6"/>
      <c r="CZ1833" s="6"/>
      <c r="DA1833" s="6"/>
      <c r="DB1833" s="6"/>
      <c r="DC1833" s="6"/>
      <c r="DD1833" s="6"/>
      <c r="DE1833" s="6"/>
      <c r="DF1833" s="6"/>
      <c r="DG1833" s="6"/>
      <c r="DH1833" s="6"/>
      <c r="DI1833" s="6"/>
      <c r="DJ1833" s="6"/>
      <c r="DK1833" s="6"/>
      <c r="DL1833" s="6"/>
      <c r="DM1833" s="6"/>
      <c r="DN1833" s="6"/>
      <c r="DO1833" s="6"/>
      <c r="DP1833" s="6"/>
      <c r="DQ1833" s="6"/>
      <c r="DR1833" s="6"/>
      <c r="DS1833" s="6"/>
      <c r="DT1833" s="6"/>
      <c r="DU1833" s="6"/>
      <c r="DV1833" s="6"/>
      <c r="DW1833" s="6"/>
      <c r="DX1833" s="6"/>
      <c r="DY1833" s="6"/>
      <c r="DZ1833" s="6"/>
      <c r="EA1833" s="6"/>
      <c r="EB1833" s="6"/>
      <c r="EC1833" s="6"/>
      <c r="ED1833" s="6"/>
      <c r="EE1833" s="6"/>
      <c r="EF1833" s="6"/>
      <c r="EG1833" s="6"/>
      <c r="EH1833" s="6"/>
      <c r="EI1833" s="6"/>
      <c r="EJ1833" s="6"/>
      <c r="EK1833" s="6"/>
      <c r="EL1833" s="6"/>
      <c r="EM1833" s="6"/>
      <c r="EN1833" s="6"/>
      <c r="EO1833" s="6"/>
      <c r="EP1833" s="6"/>
      <c r="EQ1833" s="6"/>
      <c r="ER1833" s="6"/>
      <c r="ES1833" s="6"/>
      <c r="ET1833" s="6"/>
      <c r="EU1833" s="6"/>
      <c r="EV1833" s="6"/>
      <c r="EW1833" s="6"/>
      <c r="EX1833" s="6"/>
      <c r="EY1833" s="6"/>
      <c r="EZ1833" s="6"/>
      <c r="FA1833" s="6"/>
      <c r="FB1833" s="6"/>
      <c r="FC1833" s="6"/>
      <c r="FD1833" s="6"/>
      <c r="FE1833" s="6"/>
      <c r="FF1833" s="6"/>
      <c r="FG1833" s="6"/>
      <c r="FH1833" s="6"/>
      <c r="FI1833" s="6"/>
      <c r="FJ1833" s="6"/>
      <c r="FK1833" s="6"/>
      <c r="FL1833" s="6"/>
      <c r="FM1833" s="6"/>
      <c r="FN1833" s="6"/>
      <c r="FO1833" s="6"/>
      <c r="FP1833" s="6"/>
      <c r="FQ1833" s="6"/>
      <c r="FR1833" s="6"/>
      <c r="FS1833" s="6"/>
      <c r="FT1833" s="6"/>
      <c r="FU1833" s="6"/>
      <c r="FV1833" s="6"/>
      <c r="FW1833" s="6"/>
      <c r="FX1833" s="6"/>
      <c r="FY1833" s="6"/>
      <c r="FZ1833" s="6"/>
      <c r="GA1833" s="6"/>
      <c r="GB1833" s="6"/>
      <c r="GC1833" s="6"/>
      <c r="GD1833" s="6"/>
      <c r="GE1833" s="6"/>
      <c r="GF1833" s="6"/>
      <c r="GG1833" s="6"/>
      <c r="GH1833" s="6"/>
      <c r="GI1833" s="6"/>
      <c r="GJ1833" s="6"/>
      <c r="GK1833" s="6"/>
      <c r="GL1833" s="6"/>
      <c r="GM1833" s="6"/>
      <c r="GN1833" s="6"/>
      <c r="GO1833" s="6"/>
      <c r="GP1833" s="6"/>
      <c r="GQ1833" s="6"/>
      <c r="GR1833" s="6"/>
      <c r="GS1833" s="6"/>
      <c r="GT1833" s="6"/>
      <c r="GU1833" s="6"/>
      <c r="GV1833" s="6"/>
      <c r="GW1833" s="6"/>
      <c r="GX1833" s="6"/>
      <c r="GY1833" s="6"/>
      <c r="GZ1833" s="6"/>
      <c r="HA1833" s="6"/>
      <c r="HB1833" s="6"/>
      <c r="HC1833" s="6"/>
      <c r="HD1833" s="6"/>
      <c r="HE1833" s="6"/>
      <c r="HF1833" s="6"/>
      <c r="HG1833" s="6"/>
      <c r="HH1833" s="6"/>
    </row>
    <row r="1834" spans="1:216" x14ac:dyDescent="0.3">
      <c r="A1834" s="8"/>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6"/>
      <c r="AR1834" s="6"/>
      <c r="AS1834" s="6"/>
      <c r="AT1834" s="6"/>
      <c r="AU1834" s="6"/>
      <c r="AV1834" s="6"/>
      <c r="AW1834" s="6"/>
      <c r="AX1834" s="6"/>
      <c r="AY1834" s="6"/>
      <c r="AZ1834" s="6"/>
      <c r="BA1834" s="6"/>
      <c r="BB1834" s="6"/>
      <c r="BC1834" s="6"/>
      <c r="BD1834" s="6"/>
      <c r="BE1834" s="6"/>
      <c r="BF1834" s="6"/>
      <c r="BG1834" s="6"/>
      <c r="BH1834" s="6"/>
      <c r="BI1834" s="6"/>
      <c r="BJ1834" s="6"/>
      <c r="BK1834" s="6"/>
      <c r="BL1834" s="6"/>
      <c r="BM1834" s="6"/>
      <c r="BN1834" s="6"/>
      <c r="BO1834" s="6"/>
      <c r="BP1834" s="6"/>
      <c r="BQ1834" s="6"/>
      <c r="BR1834" s="6"/>
      <c r="BS1834" s="6"/>
      <c r="BT1834" s="6"/>
      <c r="BU1834" s="6"/>
      <c r="BV1834" s="6"/>
      <c r="BW1834" s="6"/>
      <c r="BX1834" s="6"/>
      <c r="BY1834" s="6"/>
      <c r="BZ1834" s="6"/>
      <c r="CA1834" s="6"/>
      <c r="CB1834" s="6"/>
      <c r="CC1834" s="6"/>
      <c r="CD1834" s="6"/>
      <c r="CE1834" s="6"/>
      <c r="CF1834" s="6"/>
      <c r="CG1834" s="6"/>
      <c r="CH1834" s="6"/>
      <c r="CI1834" s="6"/>
      <c r="CJ1834" s="6"/>
      <c r="CK1834" s="6"/>
      <c r="CL1834" s="6"/>
      <c r="CM1834" s="6"/>
      <c r="CN1834" s="6"/>
      <c r="CO1834" s="6"/>
      <c r="CP1834" s="6"/>
      <c r="CQ1834" s="6"/>
      <c r="CR1834" s="6"/>
      <c r="CS1834" s="6"/>
      <c r="CT1834" s="6"/>
      <c r="CU1834" s="6"/>
      <c r="CV1834" s="6"/>
      <c r="CW1834" s="6"/>
      <c r="CX1834" s="6"/>
      <c r="CY1834" s="6"/>
      <c r="CZ1834" s="6"/>
      <c r="DA1834" s="6"/>
      <c r="DB1834" s="6"/>
      <c r="DC1834" s="6"/>
      <c r="DD1834" s="6"/>
      <c r="DE1834" s="6"/>
      <c r="DF1834" s="6"/>
      <c r="DG1834" s="6"/>
      <c r="DH1834" s="6"/>
      <c r="DI1834" s="6"/>
      <c r="DJ1834" s="6"/>
      <c r="DK1834" s="6"/>
      <c r="DL1834" s="6"/>
      <c r="DM1834" s="6"/>
      <c r="DN1834" s="6"/>
      <c r="DO1834" s="6"/>
      <c r="DP1834" s="6"/>
      <c r="DQ1834" s="6"/>
      <c r="DR1834" s="6"/>
      <c r="DS1834" s="6"/>
      <c r="DT1834" s="6"/>
      <c r="DU1834" s="6"/>
      <c r="DV1834" s="6"/>
      <c r="DW1834" s="6"/>
      <c r="DX1834" s="6"/>
      <c r="DY1834" s="6"/>
      <c r="DZ1834" s="6"/>
      <c r="EA1834" s="6"/>
      <c r="EB1834" s="6"/>
      <c r="EC1834" s="6"/>
      <c r="ED1834" s="6"/>
      <c r="EE1834" s="6"/>
      <c r="EF1834" s="6"/>
      <c r="EG1834" s="6"/>
      <c r="EH1834" s="6"/>
      <c r="EI1834" s="6"/>
      <c r="EJ1834" s="6"/>
      <c r="EK1834" s="6"/>
      <c r="EL1834" s="6"/>
      <c r="EM1834" s="6"/>
      <c r="EN1834" s="6"/>
      <c r="EO1834" s="6"/>
      <c r="EP1834" s="6"/>
      <c r="EQ1834" s="6"/>
      <c r="ER1834" s="6"/>
      <c r="ES1834" s="6"/>
      <c r="ET1834" s="6"/>
      <c r="EU1834" s="6"/>
      <c r="EV1834" s="6"/>
      <c r="EW1834" s="6"/>
      <c r="EX1834" s="6"/>
      <c r="EY1834" s="6"/>
      <c r="EZ1834" s="6"/>
      <c r="FA1834" s="6"/>
      <c r="FB1834" s="6"/>
      <c r="FC1834" s="6"/>
      <c r="FD1834" s="6"/>
      <c r="FE1834" s="6"/>
      <c r="FF1834" s="6"/>
      <c r="FG1834" s="6"/>
      <c r="FH1834" s="6"/>
      <c r="FI1834" s="6"/>
      <c r="FJ1834" s="6"/>
      <c r="FK1834" s="6"/>
      <c r="FL1834" s="6"/>
      <c r="FM1834" s="6"/>
      <c r="FN1834" s="6"/>
      <c r="FO1834" s="6"/>
      <c r="FP1834" s="6"/>
      <c r="FQ1834" s="6"/>
      <c r="FR1834" s="6"/>
      <c r="FS1834" s="6"/>
      <c r="FT1834" s="6"/>
      <c r="FU1834" s="6"/>
      <c r="FV1834" s="6"/>
      <c r="FW1834" s="6"/>
      <c r="FX1834" s="6"/>
      <c r="FY1834" s="6"/>
      <c r="FZ1834" s="6"/>
      <c r="GA1834" s="6"/>
      <c r="GB1834" s="6"/>
      <c r="GC1834" s="6"/>
      <c r="GD1834" s="6"/>
      <c r="GE1834" s="6"/>
      <c r="GF1834" s="6"/>
      <c r="GG1834" s="6"/>
      <c r="GH1834" s="6"/>
      <c r="GI1834" s="6"/>
      <c r="GJ1834" s="6"/>
      <c r="GK1834" s="6"/>
      <c r="GL1834" s="6"/>
      <c r="GM1834" s="6"/>
      <c r="GN1834" s="6"/>
      <c r="GO1834" s="6"/>
      <c r="GP1834" s="6"/>
      <c r="GQ1834" s="6"/>
      <c r="GR1834" s="6"/>
      <c r="GS1834" s="6"/>
      <c r="GT1834" s="6"/>
      <c r="GU1834" s="6"/>
      <c r="GV1834" s="6"/>
      <c r="GW1834" s="6"/>
      <c r="GX1834" s="6"/>
      <c r="GY1834" s="6"/>
      <c r="GZ1834" s="6"/>
      <c r="HA1834" s="6"/>
      <c r="HB1834" s="6"/>
      <c r="HC1834" s="6"/>
      <c r="HD1834" s="6"/>
      <c r="HE1834" s="6"/>
      <c r="HF1834" s="6"/>
      <c r="HG1834" s="6"/>
      <c r="HH1834" s="6"/>
    </row>
    <row r="1835" spans="1:216" x14ac:dyDescent="0.3">
      <c r="A1835" s="8"/>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c r="DX1835" s="6"/>
      <c r="DY1835" s="6"/>
      <c r="DZ1835" s="6"/>
      <c r="EA1835" s="6"/>
      <c r="EB1835" s="6"/>
      <c r="EC1835" s="6"/>
      <c r="ED1835" s="6"/>
      <c r="EE1835" s="6"/>
      <c r="EF1835" s="6"/>
      <c r="EG1835" s="6"/>
      <c r="EH1835" s="6"/>
      <c r="EI1835" s="6"/>
      <c r="EJ1835" s="6"/>
      <c r="EK1835" s="6"/>
      <c r="EL1835" s="6"/>
      <c r="EM1835" s="6"/>
      <c r="EN1835" s="6"/>
      <c r="EO1835" s="6"/>
      <c r="EP1835" s="6"/>
      <c r="EQ1835" s="6"/>
      <c r="ER1835" s="6"/>
      <c r="ES1835" s="6"/>
      <c r="ET1835" s="6"/>
      <c r="EU1835" s="6"/>
      <c r="EV1835" s="6"/>
      <c r="EW1835" s="6"/>
      <c r="EX1835" s="6"/>
      <c r="EY1835" s="6"/>
      <c r="EZ1835" s="6"/>
      <c r="FA1835" s="6"/>
      <c r="FB1835" s="6"/>
      <c r="FC1835" s="6"/>
      <c r="FD1835" s="6"/>
      <c r="FE1835" s="6"/>
      <c r="FF1835" s="6"/>
      <c r="FG1835" s="6"/>
      <c r="FH1835" s="6"/>
      <c r="FI1835" s="6"/>
      <c r="FJ1835" s="6"/>
      <c r="FK1835" s="6"/>
      <c r="FL1835" s="6"/>
      <c r="FM1835" s="6"/>
      <c r="FN1835" s="6"/>
      <c r="FO1835" s="6"/>
      <c r="FP1835" s="6"/>
      <c r="FQ1835" s="6"/>
      <c r="FR1835" s="6"/>
      <c r="FS1835" s="6"/>
      <c r="FT1835" s="6"/>
      <c r="FU1835" s="6"/>
      <c r="FV1835" s="6"/>
      <c r="FW1835" s="6"/>
      <c r="FX1835" s="6"/>
      <c r="FY1835" s="6"/>
      <c r="FZ1835" s="6"/>
      <c r="GA1835" s="6"/>
      <c r="GB1835" s="6"/>
      <c r="GC1835" s="6"/>
      <c r="GD1835" s="6"/>
      <c r="GE1835" s="6"/>
      <c r="GF1835" s="6"/>
      <c r="GG1835" s="6"/>
      <c r="GH1835" s="6"/>
      <c r="GI1835" s="6"/>
      <c r="GJ1835" s="6"/>
      <c r="GK1835" s="6"/>
      <c r="GL1835" s="6"/>
      <c r="GM1835" s="6"/>
      <c r="GN1835" s="6"/>
      <c r="GO1835" s="6"/>
      <c r="GP1835" s="6"/>
      <c r="GQ1835" s="6"/>
      <c r="GR1835" s="6"/>
      <c r="GS1835" s="6"/>
      <c r="GT1835" s="6"/>
      <c r="GU1835" s="6"/>
      <c r="GV1835" s="6"/>
      <c r="GW1835" s="6"/>
      <c r="GX1835" s="6"/>
      <c r="GY1835" s="6"/>
      <c r="GZ1835" s="6"/>
      <c r="HA1835" s="6"/>
      <c r="HB1835" s="6"/>
      <c r="HC1835" s="6"/>
      <c r="HD1835" s="6"/>
      <c r="HE1835" s="6"/>
      <c r="HF1835" s="6"/>
      <c r="HG1835" s="6"/>
      <c r="HH1835" s="6"/>
    </row>
    <row r="1836" spans="1:216" x14ac:dyDescent="0.3">
      <c r="A1836" s="8"/>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c r="DX1836" s="6"/>
      <c r="DY1836" s="6"/>
      <c r="DZ1836" s="6"/>
      <c r="EA1836" s="6"/>
      <c r="EB1836" s="6"/>
      <c r="EC1836" s="6"/>
      <c r="ED1836" s="6"/>
      <c r="EE1836" s="6"/>
      <c r="EF1836" s="6"/>
      <c r="EG1836" s="6"/>
      <c r="EH1836" s="6"/>
      <c r="EI1836" s="6"/>
      <c r="EJ1836" s="6"/>
      <c r="EK1836" s="6"/>
      <c r="EL1836" s="6"/>
      <c r="EM1836" s="6"/>
      <c r="EN1836" s="6"/>
      <c r="EO1836" s="6"/>
      <c r="EP1836" s="6"/>
      <c r="EQ1836" s="6"/>
      <c r="ER1836" s="6"/>
      <c r="ES1836" s="6"/>
      <c r="ET1836" s="6"/>
      <c r="EU1836" s="6"/>
      <c r="EV1836" s="6"/>
      <c r="EW1836" s="6"/>
      <c r="EX1836" s="6"/>
      <c r="EY1836" s="6"/>
      <c r="EZ1836" s="6"/>
      <c r="FA1836" s="6"/>
      <c r="FB1836" s="6"/>
      <c r="FC1836" s="6"/>
      <c r="FD1836" s="6"/>
      <c r="FE1836" s="6"/>
      <c r="FF1836" s="6"/>
      <c r="FG1836" s="6"/>
      <c r="FH1836" s="6"/>
      <c r="FI1836" s="6"/>
      <c r="FJ1836" s="6"/>
      <c r="FK1836" s="6"/>
      <c r="FL1836" s="6"/>
      <c r="FM1836" s="6"/>
      <c r="FN1836" s="6"/>
      <c r="FO1836" s="6"/>
      <c r="FP1836" s="6"/>
      <c r="FQ1836" s="6"/>
      <c r="FR1836" s="6"/>
      <c r="FS1836" s="6"/>
      <c r="FT1836" s="6"/>
      <c r="FU1836" s="6"/>
      <c r="FV1836" s="6"/>
      <c r="FW1836" s="6"/>
      <c r="FX1836" s="6"/>
      <c r="FY1836" s="6"/>
      <c r="FZ1836" s="6"/>
      <c r="GA1836" s="6"/>
      <c r="GB1836" s="6"/>
      <c r="GC1836" s="6"/>
      <c r="GD1836" s="6"/>
      <c r="GE1836" s="6"/>
      <c r="GF1836" s="6"/>
      <c r="GG1836" s="6"/>
      <c r="GH1836" s="6"/>
      <c r="GI1836" s="6"/>
      <c r="GJ1836" s="6"/>
      <c r="GK1836" s="6"/>
      <c r="GL1836" s="6"/>
      <c r="GM1836" s="6"/>
      <c r="GN1836" s="6"/>
      <c r="GO1836" s="6"/>
      <c r="GP1836" s="6"/>
      <c r="GQ1836" s="6"/>
      <c r="GR1836" s="6"/>
      <c r="GS1836" s="6"/>
      <c r="GT1836" s="6"/>
      <c r="GU1836" s="6"/>
      <c r="GV1836" s="6"/>
      <c r="GW1836" s="6"/>
      <c r="GX1836" s="6"/>
      <c r="GY1836" s="6"/>
      <c r="GZ1836" s="6"/>
      <c r="HA1836" s="6"/>
      <c r="HB1836" s="6"/>
      <c r="HC1836" s="6"/>
      <c r="HD1836" s="6"/>
      <c r="HE1836" s="6"/>
      <c r="HF1836" s="6"/>
      <c r="HG1836" s="6"/>
      <c r="HH1836" s="6"/>
    </row>
    <row r="1837" spans="1:216" x14ac:dyDescent="0.3">
      <c r="A1837" s="8"/>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6"/>
      <c r="AR1837" s="6"/>
      <c r="AS1837" s="6"/>
      <c r="AT1837" s="6"/>
      <c r="AU1837" s="6"/>
      <c r="AV1837" s="6"/>
      <c r="AW1837" s="6"/>
      <c r="AX1837" s="6"/>
      <c r="AY1837" s="6"/>
      <c r="AZ1837" s="6"/>
      <c r="BA1837" s="6"/>
      <c r="BB1837" s="6"/>
      <c r="BC1837" s="6"/>
      <c r="BD1837" s="6"/>
      <c r="BE1837" s="6"/>
      <c r="BF1837" s="6"/>
      <c r="BG1837" s="6"/>
      <c r="BH1837" s="6"/>
      <c r="BI1837" s="6"/>
      <c r="BJ1837" s="6"/>
      <c r="BK1837" s="6"/>
      <c r="BL1837" s="6"/>
      <c r="BM1837" s="6"/>
      <c r="BN1837" s="6"/>
      <c r="BO1837" s="6"/>
      <c r="BP1837" s="6"/>
      <c r="BQ1837" s="6"/>
      <c r="BR1837" s="6"/>
      <c r="BS1837" s="6"/>
      <c r="BT1837" s="6"/>
      <c r="BU1837" s="6"/>
      <c r="BV1837" s="6"/>
      <c r="BW1837" s="6"/>
      <c r="BX1837" s="6"/>
      <c r="BY1837" s="6"/>
      <c r="BZ1837" s="6"/>
      <c r="CA1837" s="6"/>
      <c r="CB1837" s="6"/>
      <c r="CC1837" s="6"/>
      <c r="CD1837" s="6"/>
      <c r="CE1837" s="6"/>
      <c r="CF1837" s="6"/>
      <c r="CG1837" s="6"/>
      <c r="CH1837" s="6"/>
      <c r="CI1837" s="6"/>
      <c r="CJ1837" s="6"/>
      <c r="CK1837" s="6"/>
      <c r="CL1837" s="6"/>
      <c r="CM1837" s="6"/>
      <c r="CN1837" s="6"/>
      <c r="CO1837" s="6"/>
      <c r="CP1837" s="6"/>
      <c r="CQ1837" s="6"/>
      <c r="CR1837" s="6"/>
      <c r="CS1837" s="6"/>
      <c r="CT1837" s="6"/>
      <c r="CU1837" s="6"/>
      <c r="CV1837" s="6"/>
      <c r="CW1837" s="6"/>
      <c r="CX1837" s="6"/>
      <c r="CY1837" s="6"/>
      <c r="CZ1837" s="6"/>
      <c r="DA1837" s="6"/>
      <c r="DB1837" s="6"/>
      <c r="DC1837" s="6"/>
      <c r="DD1837" s="6"/>
      <c r="DE1837" s="6"/>
      <c r="DF1837" s="6"/>
      <c r="DG1837" s="6"/>
      <c r="DH1837" s="6"/>
      <c r="DI1837" s="6"/>
      <c r="DJ1837" s="6"/>
      <c r="DK1837" s="6"/>
      <c r="DL1837" s="6"/>
      <c r="DM1837" s="6"/>
      <c r="DN1837" s="6"/>
      <c r="DO1837" s="6"/>
      <c r="DP1837" s="6"/>
      <c r="DQ1837" s="6"/>
      <c r="DR1837" s="6"/>
      <c r="DS1837" s="6"/>
      <c r="DT1837" s="6"/>
      <c r="DU1837" s="6"/>
      <c r="DV1837" s="6"/>
      <c r="DW1837" s="6"/>
      <c r="DX1837" s="6"/>
      <c r="DY1837" s="6"/>
      <c r="DZ1837" s="6"/>
      <c r="EA1837" s="6"/>
      <c r="EB1837" s="6"/>
      <c r="EC1837" s="6"/>
      <c r="ED1837" s="6"/>
      <c r="EE1837" s="6"/>
      <c r="EF1837" s="6"/>
      <c r="EG1837" s="6"/>
      <c r="EH1837" s="6"/>
      <c r="EI1837" s="6"/>
      <c r="EJ1837" s="6"/>
      <c r="EK1837" s="6"/>
      <c r="EL1837" s="6"/>
      <c r="EM1837" s="6"/>
      <c r="EN1837" s="6"/>
      <c r="EO1837" s="6"/>
      <c r="EP1837" s="6"/>
      <c r="EQ1837" s="6"/>
      <c r="ER1837" s="6"/>
      <c r="ES1837" s="6"/>
      <c r="ET1837" s="6"/>
      <c r="EU1837" s="6"/>
      <c r="EV1837" s="6"/>
      <c r="EW1837" s="6"/>
      <c r="EX1837" s="6"/>
      <c r="EY1837" s="6"/>
      <c r="EZ1837" s="6"/>
      <c r="FA1837" s="6"/>
      <c r="FB1837" s="6"/>
      <c r="FC1837" s="6"/>
      <c r="FD1837" s="6"/>
      <c r="FE1837" s="6"/>
      <c r="FF1837" s="6"/>
      <c r="FG1837" s="6"/>
      <c r="FH1837" s="6"/>
      <c r="FI1837" s="6"/>
      <c r="FJ1837" s="6"/>
      <c r="FK1837" s="6"/>
      <c r="FL1837" s="6"/>
      <c r="FM1837" s="6"/>
      <c r="FN1837" s="6"/>
      <c r="FO1837" s="6"/>
      <c r="FP1837" s="6"/>
      <c r="FQ1837" s="6"/>
      <c r="FR1837" s="6"/>
      <c r="FS1837" s="6"/>
      <c r="FT1837" s="6"/>
      <c r="FU1837" s="6"/>
      <c r="FV1837" s="6"/>
      <c r="FW1837" s="6"/>
      <c r="FX1837" s="6"/>
      <c r="FY1837" s="6"/>
      <c r="FZ1837" s="6"/>
      <c r="GA1837" s="6"/>
      <c r="GB1837" s="6"/>
      <c r="GC1837" s="6"/>
      <c r="GD1837" s="6"/>
      <c r="GE1837" s="6"/>
      <c r="GF1837" s="6"/>
      <c r="GG1837" s="6"/>
      <c r="GH1837" s="6"/>
      <c r="GI1837" s="6"/>
      <c r="GJ1837" s="6"/>
      <c r="GK1837" s="6"/>
      <c r="GL1837" s="6"/>
      <c r="GM1837" s="6"/>
      <c r="GN1837" s="6"/>
      <c r="GO1837" s="6"/>
      <c r="GP1837" s="6"/>
      <c r="GQ1837" s="6"/>
      <c r="GR1837" s="6"/>
      <c r="GS1837" s="6"/>
      <c r="GT1837" s="6"/>
      <c r="GU1837" s="6"/>
      <c r="GV1837" s="6"/>
      <c r="GW1837" s="6"/>
      <c r="GX1837" s="6"/>
      <c r="GY1837" s="6"/>
      <c r="GZ1837" s="6"/>
      <c r="HA1837" s="6"/>
      <c r="HB1837" s="6"/>
      <c r="HC1837" s="6"/>
      <c r="HD1837" s="6"/>
      <c r="HE1837" s="6"/>
      <c r="HF1837" s="6"/>
      <c r="HG1837" s="6"/>
      <c r="HH1837" s="6"/>
    </row>
    <row r="1838" spans="1:216" x14ac:dyDescent="0.3">
      <c r="A1838" s="8"/>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row>
    <row r="1839" spans="1:216" x14ac:dyDescent="0.3">
      <c r="A1839" s="8"/>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row>
    <row r="1840" spans="1:216" x14ac:dyDescent="0.3">
      <c r="A1840" s="8"/>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row>
    <row r="1841" spans="1:216" x14ac:dyDescent="0.3">
      <c r="A1841" s="8"/>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row>
    <row r="1842" spans="1:216" x14ac:dyDescent="0.3">
      <c r="A1842" s="8"/>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row>
    <row r="1843" spans="1:216" x14ac:dyDescent="0.3">
      <c r="A1843" s="8"/>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row>
    <row r="1844" spans="1:216" x14ac:dyDescent="0.3">
      <c r="A1844" s="8"/>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row>
    <row r="1845" spans="1:216" x14ac:dyDescent="0.3">
      <c r="A1845" s="8"/>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row>
    <row r="1846" spans="1:216" x14ac:dyDescent="0.3">
      <c r="A1846" s="8"/>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row>
    <row r="1847" spans="1:216" x14ac:dyDescent="0.3">
      <c r="A1847" s="8"/>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row>
    <row r="1848" spans="1:216" x14ac:dyDescent="0.3">
      <c r="A1848" s="8"/>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c r="DX1848" s="6"/>
      <c r="DY1848" s="6"/>
      <c r="DZ1848" s="6"/>
      <c r="EA1848" s="6"/>
      <c r="EB1848" s="6"/>
      <c r="EC1848" s="6"/>
      <c r="ED1848" s="6"/>
      <c r="EE1848" s="6"/>
      <c r="EF1848" s="6"/>
      <c r="EG1848" s="6"/>
      <c r="EH1848" s="6"/>
      <c r="EI1848" s="6"/>
      <c r="EJ1848" s="6"/>
      <c r="EK1848" s="6"/>
      <c r="EL1848" s="6"/>
      <c r="EM1848" s="6"/>
      <c r="EN1848" s="6"/>
      <c r="EO1848" s="6"/>
      <c r="EP1848" s="6"/>
      <c r="EQ1848" s="6"/>
      <c r="ER1848" s="6"/>
      <c r="ES1848" s="6"/>
      <c r="ET1848" s="6"/>
      <c r="EU1848" s="6"/>
      <c r="EV1848" s="6"/>
      <c r="EW1848" s="6"/>
      <c r="EX1848" s="6"/>
      <c r="EY1848" s="6"/>
      <c r="EZ1848" s="6"/>
      <c r="FA1848" s="6"/>
      <c r="FB1848" s="6"/>
      <c r="FC1848" s="6"/>
      <c r="FD1848" s="6"/>
      <c r="FE1848" s="6"/>
      <c r="FF1848" s="6"/>
      <c r="FG1848" s="6"/>
      <c r="FH1848" s="6"/>
      <c r="FI1848" s="6"/>
      <c r="FJ1848" s="6"/>
      <c r="FK1848" s="6"/>
      <c r="FL1848" s="6"/>
      <c r="FM1848" s="6"/>
      <c r="FN1848" s="6"/>
      <c r="FO1848" s="6"/>
      <c r="FP1848" s="6"/>
      <c r="FQ1848" s="6"/>
      <c r="FR1848" s="6"/>
      <c r="FS1848" s="6"/>
      <c r="FT1848" s="6"/>
      <c r="FU1848" s="6"/>
      <c r="FV1848" s="6"/>
      <c r="FW1848" s="6"/>
      <c r="FX1848" s="6"/>
      <c r="FY1848" s="6"/>
      <c r="FZ1848" s="6"/>
      <c r="GA1848" s="6"/>
      <c r="GB1848" s="6"/>
      <c r="GC1848" s="6"/>
      <c r="GD1848" s="6"/>
      <c r="GE1848" s="6"/>
      <c r="GF1848" s="6"/>
      <c r="GG1848" s="6"/>
      <c r="GH1848" s="6"/>
      <c r="GI1848" s="6"/>
      <c r="GJ1848" s="6"/>
      <c r="GK1848" s="6"/>
      <c r="GL1848" s="6"/>
      <c r="GM1848" s="6"/>
      <c r="GN1848" s="6"/>
      <c r="GO1848" s="6"/>
      <c r="GP1848" s="6"/>
      <c r="GQ1848" s="6"/>
      <c r="GR1848" s="6"/>
      <c r="GS1848" s="6"/>
      <c r="GT1848" s="6"/>
      <c r="GU1848" s="6"/>
      <c r="GV1848" s="6"/>
      <c r="GW1848" s="6"/>
      <c r="GX1848" s="6"/>
      <c r="GY1848" s="6"/>
      <c r="GZ1848" s="6"/>
      <c r="HA1848" s="6"/>
      <c r="HB1848" s="6"/>
      <c r="HC1848" s="6"/>
      <c r="HD1848" s="6"/>
      <c r="HE1848" s="6"/>
      <c r="HF1848" s="6"/>
      <c r="HG1848" s="6"/>
      <c r="HH1848" s="6"/>
    </row>
    <row r="1849" spans="1:216" x14ac:dyDescent="0.3">
      <c r="A1849" s="8"/>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6"/>
      <c r="AR1849" s="6"/>
      <c r="AS1849" s="6"/>
      <c r="AT1849" s="6"/>
      <c r="AU1849" s="6"/>
      <c r="AV1849" s="6"/>
      <c r="AW1849" s="6"/>
      <c r="AX1849" s="6"/>
      <c r="AY1849" s="6"/>
      <c r="AZ1849" s="6"/>
      <c r="BA1849" s="6"/>
      <c r="BB1849" s="6"/>
      <c r="BC1849" s="6"/>
      <c r="BD1849" s="6"/>
      <c r="BE1849" s="6"/>
      <c r="BF1849" s="6"/>
      <c r="BG1849" s="6"/>
      <c r="BH1849" s="6"/>
      <c r="BI1849" s="6"/>
      <c r="BJ1849" s="6"/>
      <c r="BK1849" s="6"/>
      <c r="BL1849" s="6"/>
      <c r="BM1849" s="6"/>
      <c r="BN1849" s="6"/>
      <c r="BO1849" s="6"/>
      <c r="BP1849" s="6"/>
      <c r="BQ1849" s="6"/>
      <c r="BR1849" s="6"/>
      <c r="BS1849" s="6"/>
      <c r="BT1849" s="6"/>
      <c r="BU1849" s="6"/>
      <c r="BV1849" s="6"/>
      <c r="BW1849" s="6"/>
      <c r="BX1849" s="6"/>
      <c r="BY1849" s="6"/>
      <c r="BZ1849" s="6"/>
      <c r="CA1849" s="6"/>
      <c r="CB1849" s="6"/>
      <c r="CC1849" s="6"/>
      <c r="CD1849" s="6"/>
      <c r="CE1849" s="6"/>
      <c r="CF1849" s="6"/>
      <c r="CG1849" s="6"/>
      <c r="CH1849" s="6"/>
      <c r="CI1849" s="6"/>
      <c r="CJ1849" s="6"/>
      <c r="CK1849" s="6"/>
      <c r="CL1849" s="6"/>
      <c r="CM1849" s="6"/>
      <c r="CN1849" s="6"/>
      <c r="CO1849" s="6"/>
      <c r="CP1849" s="6"/>
      <c r="CQ1849" s="6"/>
      <c r="CR1849" s="6"/>
      <c r="CS1849" s="6"/>
      <c r="CT1849" s="6"/>
      <c r="CU1849" s="6"/>
      <c r="CV1849" s="6"/>
      <c r="CW1849" s="6"/>
      <c r="CX1849" s="6"/>
      <c r="CY1849" s="6"/>
      <c r="CZ1849" s="6"/>
      <c r="DA1849" s="6"/>
      <c r="DB1849" s="6"/>
      <c r="DC1849" s="6"/>
      <c r="DD1849" s="6"/>
      <c r="DE1849" s="6"/>
      <c r="DF1849" s="6"/>
      <c r="DG1849" s="6"/>
      <c r="DH1849" s="6"/>
      <c r="DI1849" s="6"/>
      <c r="DJ1849" s="6"/>
      <c r="DK1849" s="6"/>
      <c r="DL1849" s="6"/>
      <c r="DM1849" s="6"/>
      <c r="DN1849" s="6"/>
      <c r="DO1849" s="6"/>
      <c r="DP1849" s="6"/>
      <c r="DQ1849" s="6"/>
      <c r="DR1849" s="6"/>
      <c r="DS1849" s="6"/>
      <c r="DT1849" s="6"/>
      <c r="DU1849" s="6"/>
      <c r="DV1849" s="6"/>
      <c r="DW1849" s="6"/>
      <c r="DX1849" s="6"/>
      <c r="DY1849" s="6"/>
      <c r="DZ1849" s="6"/>
      <c r="EA1849" s="6"/>
      <c r="EB1849" s="6"/>
      <c r="EC1849" s="6"/>
      <c r="ED1849" s="6"/>
      <c r="EE1849" s="6"/>
      <c r="EF1849" s="6"/>
      <c r="EG1849" s="6"/>
      <c r="EH1849" s="6"/>
      <c r="EI1849" s="6"/>
      <c r="EJ1849" s="6"/>
      <c r="EK1849" s="6"/>
      <c r="EL1849" s="6"/>
      <c r="EM1849" s="6"/>
      <c r="EN1849" s="6"/>
      <c r="EO1849" s="6"/>
      <c r="EP1849" s="6"/>
      <c r="EQ1849" s="6"/>
      <c r="ER1849" s="6"/>
      <c r="ES1849" s="6"/>
      <c r="ET1849" s="6"/>
      <c r="EU1849" s="6"/>
      <c r="EV1849" s="6"/>
      <c r="EW1849" s="6"/>
      <c r="EX1849" s="6"/>
      <c r="EY1849" s="6"/>
      <c r="EZ1849" s="6"/>
      <c r="FA1849" s="6"/>
      <c r="FB1849" s="6"/>
      <c r="FC1849" s="6"/>
      <c r="FD1849" s="6"/>
      <c r="FE1849" s="6"/>
      <c r="FF1849" s="6"/>
      <c r="FG1849" s="6"/>
      <c r="FH1849" s="6"/>
      <c r="FI1849" s="6"/>
      <c r="FJ1849" s="6"/>
      <c r="FK1849" s="6"/>
      <c r="FL1849" s="6"/>
      <c r="FM1849" s="6"/>
      <c r="FN1849" s="6"/>
      <c r="FO1849" s="6"/>
      <c r="FP1849" s="6"/>
      <c r="FQ1849" s="6"/>
      <c r="FR1849" s="6"/>
      <c r="FS1849" s="6"/>
      <c r="FT1849" s="6"/>
      <c r="FU1849" s="6"/>
      <c r="FV1849" s="6"/>
      <c r="FW1849" s="6"/>
      <c r="FX1849" s="6"/>
      <c r="FY1849" s="6"/>
      <c r="FZ1849" s="6"/>
      <c r="GA1849" s="6"/>
      <c r="GB1849" s="6"/>
      <c r="GC1849" s="6"/>
      <c r="GD1849" s="6"/>
      <c r="GE1849" s="6"/>
      <c r="GF1849" s="6"/>
      <c r="GG1849" s="6"/>
      <c r="GH1849" s="6"/>
      <c r="GI1849" s="6"/>
      <c r="GJ1849" s="6"/>
      <c r="GK1849" s="6"/>
      <c r="GL1849" s="6"/>
      <c r="GM1849" s="6"/>
      <c r="GN1849" s="6"/>
      <c r="GO1849" s="6"/>
      <c r="GP1849" s="6"/>
      <c r="GQ1849" s="6"/>
      <c r="GR1849" s="6"/>
      <c r="GS1849" s="6"/>
      <c r="GT1849" s="6"/>
      <c r="GU1849" s="6"/>
      <c r="GV1849" s="6"/>
      <c r="GW1849" s="6"/>
      <c r="GX1849" s="6"/>
      <c r="GY1849" s="6"/>
      <c r="GZ1849" s="6"/>
      <c r="HA1849" s="6"/>
      <c r="HB1849" s="6"/>
      <c r="HC1849" s="6"/>
      <c r="HD1849" s="6"/>
      <c r="HE1849" s="6"/>
      <c r="HF1849" s="6"/>
      <c r="HG1849" s="6"/>
      <c r="HH1849" s="6"/>
    </row>
    <row r="1850" spans="1:216" x14ac:dyDescent="0.3">
      <c r="A1850" s="8"/>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c r="DX1850" s="6"/>
      <c r="DY1850" s="6"/>
      <c r="DZ1850" s="6"/>
      <c r="EA1850" s="6"/>
      <c r="EB1850" s="6"/>
      <c r="EC1850" s="6"/>
      <c r="ED1850" s="6"/>
      <c r="EE1850" s="6"/>
      <c r="EF1850" s="6"/>
      <c r="EG1850" s="6"/>
      <c r="EH1850" s="6"/>
      <c r="EI1850" s="6"/>
      <c r="EJ1850" s="6"/>
      <c r="EK1850" s="6"/>
      <c r="EL1850" s="6"/>
      <c r="EM1850" s="6"/>
      <c r="EN1850" s="6"/>
      <c r="EO1850" s="6"/>
      <c r="EP1850" s="6"/>
      <c r="EQ1850" s="6"/>
      <c r="ER1850" s="6"/>
      <c r="ES1850" s="6"/>
      <c r="ET1850" s="6"/>
      <c r="EU1850" s="6"/>
      <c r="EV1850" s="6"/>
      <c r="EW1850" s="6"/>
      <c r="EX1850" s="6"/>
      <c r="EY1850" s="6"/>
      <c r="EZ1850" s="6"/>
      <c r="FA1850" s="6"/>
      <c r="FB1850" s="6"/>
      <c r="FC1850" s="6"/>
      <c r="FD1850" s="6"/>
      <c r="FE1850" s="6"/>
      <c r="FF1850" s="6"/>
      <c r="FG1850" s="6"/>
      <c r="FH1850" s="6"/>
      <c r="FI1850" s="6"/>
      <c r="FJ1850" s="6"/>
      <c r="FK1850" s="6"/>
      <c r="FL1850" s="6"/>
      <c r="FM1850" s="6"/>
      <c r="FN1850" s="6"/>
      <c r="FO1850" s="6"/>
      <c r="FP1850" s="6"/>
      <c r="FQ1850" s="6"/>
      <c r="FR1850" s="6"/>
      <c r="FS1850" s="6"/>
      <c r="FT1850" s="6"/>
      <c r="FU1850" s="6"/>
      <c r="FV1850" s="6"/>
      <c r="FW1850" s="6"/>
      <c r="FX1850" s="6"/>
      <c r="FY1850" s="6"/>
      <c r="FZ1850" s="6"/>
      <c r="GA1850" s="6"/>
      <c r="GB1850" s="6"/>
      <c r="GC1850" s="6"/>
      <c r="GD1850" s="6"/>
      <c r="GE1850" s="6"/>
      <c r="GF1850" s="6"/>
      <c r="GG1850" s="6"/>
      <c r="GH1850" s="6"/>
      <c r="GI1850" s="6"/>
      <c r="GJ1850" s="6"/>
      <c r="GK1850" s="6"/>
      <c r="GL1850" s="6"/>
      <c r="GM1850" s="6"/>
      <c r="GN1850" s="6"/>
      <c r="GO1850" s="6"/>
      <c r="GP1850" s="6"/>
      <c r="GQ1850" s="6"/>
      <c r="GR1850" s="6"/>
      <c r="GS1850" s="6"/>
      <c r="GT1850" s="6"/>
      <c r="GU1850" s="6"/>
      <c r="GV1850" s="6"/>
      <c r="GW1850" s="6"/>
      <c r="GX1850" s="6"/>
      <c r="GY1850" s="6"/>
      <c r="GZ1850" s="6"/>
      <c r="HA1850" s="6"/>
      <c r="HB1850" s="6"/>
      <c r="HC1850" s="6"/>
      <c r="HD1850" s="6"/>
      <c r="HE1850" s="6"/>
      <c r="HF1850" s="6"/>
      <c r="HG1850" s="6"/>
      <c r="HH1850" s="6"/>
    </row>
    <row r="1851" spans="1:216" x14ac:dyDescent="0.3">
      <c r="A1851" s="8"/>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c r="DX1851" s="6"/>
      <c r="DY1851" s="6"/>
      <c r="DZ1851" s="6"/>
      <c r="EA1851" s="6"/>
      <c r="EB1851" s="6"/>
      <c r="EC1851" s="6"/>
      <c r="ED1851" s="6"/>
      <c r="EE1851" s="6"/>
      <c r="EF1851" s="6"/>
      <c r="EG1851" s="6"/>
      <c r="EH1851" s="6"/>
      <c r="EI1851" s="6"/>
      <c r="EJ1851" s="6"/>
      <c r="EK1851" s="6"/>
      <c r="EL1851" s="6"/>
      <c r="EM1851" s="6"/>
      <c r="EN1851" s="6"/>
      <c r="EO1851" s="6"/>
      <c r="EP1851" s="6"/>
      <c r="EQ1851" s="6"/>
      <c r="ER1851" s="6"/>
      <c r="ES1851" s="6"/>
      <c r="ET1851" s="6"/>
      <c r="EU1851" s="6"/>
      <c r="EV1851" s="6"/>
      <c r="EW1851" s="6"/>
      <c r="EX1851" s="6"/>
      <c r="EY1851" s="6"/>
      <c r="EZ1851" s="6"/>
      <c r="FA1851" s="6"/>
      <c r="FB1851" s="6"/>
      <c r="FC1851" s="6"/>
      <c r="FD1851" s="6"/>
      <c r="FE1851" s="6"/>
      <c r="FF1851" s="6"/>
      <c r="FG1851" s="6"/>
      <c r="FH1851" s="6"/>
      <c r="FI1851" s="6"/>
      <c r="FJ1851" s="6"/>
      <c r="FK1851" s="6"/>
      <c r="FL1851" s="6"/>
      <c r="FM1851" s="6"/>
      <c r="FN1851" s="6"/>
      <c r="FO1851" s="6"/>
      <c r="FP1851" s="6"/>
      <c r="FQ1851" s="6"/>
      <c r="FR1851" s="6"/>
      <c r="FS1851" s="6"/>
      <c r="FT1851" s="6"/>
      <c r="FU1851" s="6"/>
      <c r="FV1851" s="6"/>
      <c r="FW1851" s="6"/>
      <c r="FX1851" s="6"/>
      <c r="FY1851" s="6"/>
      <c r="FZ1851" s="6"/>
      <c r="GA1851" s="6"/>
      <c r="GB1851" s="6"/>
      <c r="GC1851" s="6"/>
      <c r="GD1851" s="6"/>
      <c r="GE1851" s="6"/>
      <c r="GF1851" s="6"/>
      <c r="GG1851" s="6"/>
      <c r="GH1851" s="6"/>
      <c r="GI1851" s="6"/>
      <c r="GJ1851" s="6"/>
      <c r="GK1851" s="6"/>
      <c r="GL1851" s="6"/>
      <c r="GM1851" s="6"/>
      <c r="GN1851" s="6"/>
      <c r="GO1851" s="6"/>
      <c r="GP1851" s="6"/>
      <c r="GQ1851" s="6"/>
      <c r="GR1851" s="6"/>
      <c r="GS1851" s="6"/>
      <c r="GT1851" s="6"/>
      <c r="GU1851" s="6"/>
      <c r="GV1851" s="6"/>
      <c r="GW1851" s="6"/>
      <c r="GX1851" s="6"/>
      <c r="GY1851" s="6"/>
      <c r="GZ1851" s="6"/>
      <c r="HA1851" s="6"/>
      <c r="HB1851" s="6"/>
      <c r="HC1851" s="6"/>
      <c r="HD1851" s="6"/>
      <c r="HE1851" s="6"/>
      <c r="HF1851" s="6"/>
      <c r="HG1851" s="6"/>
      <c r="HH1851" s="6"/>
    </row>
    <row r="1852" spans="1:216" x14ac:dyDescent="0.3">
      <c r="A1852" s="8"/>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6"/>
      <c r="AR1852" s="6"/>
      <c r="AS1852" s="6"/>
      <c r="AT1852" s="6"/>
      <c r="AU1852" s="6"/>
      <c r="AV1852" s="6"/>
      <c r="AW1852" s="6"/>
      <c r="AX1852" s="6"/>
      <c r="AY1852" s="6"/>
      <c r="AZ1852" s="6"/>
      <c r="BA1852" s="6"/>
      <c r="BB1852" s="6"/>
      <c r="BC1852" s="6"/>
      <c r="BD1852" s="6"/>
      <c r="BE1852" s="6"/>
      <c r="BF1852" s="6"/>
      <c r="BG1852" s="6"/>
      <c r="BH1852" s="6"/>
      <c r="BI1852" s="6"/>
      <c r="BJ1852" s="6"/>
      <c r="BK1852" s="6"/>
      <c r="BL1852" s="6"/>
      <c r="BM1852" s="6"/>
      <c r="BN1852" s="6"/>
      <c r="BO1852" s="6"/>
      <c r="BP1852" s="6"/>
      <c r="BQ1852" s="6"/>
      <c r="BR1852" s="6"/>
      <c r="BS1852" s="6"/>
      <c r="BT1852" s="6"/>
      <c r="BU1852" s="6"/>
      <c r="BV1852" s="6"/>
      <c r="BW1852" s="6"/>
      <c r="BX1852" s="6"/>
      <c r="BY1852" s="6"/>
      <c r="BZ1852" s="6"/>
      <c r="CA1852" s="6"/>
      <c r="CB1852" s="6"/>
      <c r="CC1852" s="6"/>
      <c r="CD1852" s="6"/>
      <c r="CE1852" s="6"/>
      <c r="CF1852" s="6"/>
      <c r="CG1852" s="6"/>
      <c r="CH1852" s="6"/>
      <c r="CI1852" s="6"/>
      <c r="CJ1852" s="6"/>
      <c r="CK1852" s="6"/>
      <c r="CL1852" s="6"/>
      <c r="CM1852" s="6"/>
      <c r="CN1852" s="6"/>
      <c r="CO1852" s="6"/>
      <c r="CP1852" s="6"/>
      <c r="CQ1852" s="6"/>
      <c r="CR1852" s="6"/>
      <c r="CS1852" s="6"/>
      <c r="CT1852" s="6"/>
      <c r="CU1852" s="6"/>
      <c r="CV1852" s="6"/>
      <c r="CW1852" s="6"/>
      <c r="CX1852" s="6"/>
      <c r="CY1852" s="6"/>
      <c r="CZ1852" s="6"/>
      <c r="DA1852" s="6"/>
      <c r="DB1852" s="6"/>
      <c r="DC1852" s="6"/>
      <c r="DD1852" s="6"/>
      <c r="DE1852" s="6"/>
      <c r="DF1852" s="6"/>
      <c r="DG1852" s="6"/>
      <c r="DH1852" s="6"/>
      <c r="DI1852" s="6"/>
      <c r="DJ1852" s="6"/>
      <c r="DK1852" s="6"/>
      <c r="DL1852" s="6"/>
      <c r="DM1852" s="6"/>
      <c r="DN1852" s="6"/>
      <c r="DO1852" s="6"/>
      <c r="DP1852" s="6"/>
      <c r="DQ1852" s="6"/>
      <c r="DR1852" s="6"/>
      <c r="DS1852" s="6"/>
      <c r="DT1852" s="6"/>
      <c r="DU1852" s="6"/>
      <c r="DV1852" s="6"/>
      <c r="DW1852" s="6"/>
      <c r="DX1852" s="6"/>
      <c r="DY1852" s="6"/>
      <c r="DZ1852" s="6"/>
      <c r="EA1852" s="6"/>
      <c r="EB1852" s="6"/>
      <c r="EC1852" s="6"/>
      <c r="ED1852" s="6"/>
      <c r="EE1852" s="6"/>
      <c r="EF1852" s="6"/>
      <c r="EG1852" s="6"/>
      <c r="EH1852" s="6"/>
      <c r="EI1852" s="6"/>
      <c r="EJ1852" s="6"/>
      <c r="EK1852" s="6"/>
      <c r="EL1852" s="6"/>
      <c r="EM1852" s="6"/>
      <c r="EN1852" s="6"/>
      <c r="EO1852" s="6"/>
      <c r="EP1852" s="6"/>
      <c r="EQ1852" s="6"/>
      <c r="ER1852" s="6"/>
      <c r="ES1852" s="6"/>
      <c r="ET1852" s="6"/>
      <c r="EU1852" s="6"/>
      <c r="EV1852" s="6"/>
      <c r="EW1852" s="6"/>
      <c r="EX1852" s="6"/>
      <c r="EY1852" s="6"/>
      <c r="EZ1852" s="6"/>
      <c r="FA1852" s="6"/>
      <c r="FB1852" s="6"/>
      <c r="FC1852" s="6"/>
      <c r="FD1852" s="6"/>
      <c r="FE1852" s="6"/>
      <c r="FF1852" s="6"/>
      <c r="FG1852" s="6"/>
      <c r="FH1852" s="6"/>
      <c r="FI1852" s="6"/>
      <c r="FJ1852" s="6"/>
      <c r="FK1852" s="6"/>
      <c r="FL1852" s="6"/>
      <c r="FM1852" s="6"/>
      <c r="FN1852" s="6"/>
      <c r="FO1852" s="6"/>
      <c r="FP1852" s="6"/>
      <c r="FQ1852" s="6"/>
      <c r="FR1852" s="6"/>
      <c r="FS1852" s="6"/>
      <c r="FT1852" s="6"/>
      <c r="FU1852" s="6"/>
      <c r="FV1852" s="6"/>
      <c r="FW1852" s="6"/>
      <c r="FX1852" s="6"/>
      <c r="FY1852" s="6"/>
      <c r="FZ1852" s="6"/>
      <c r="GA1852" s="6"/>
      <c r="GB1852" s="6"/>
      <c r="GC1852" s="6"/>
      <c r="GD1852" s="6"/>
      <c r="GE1852" s="6"/>
      <c r="GF1852" s="6"/>
      <c r="GG1852" s="6"/>
      <c r="GH1852" s="6"/>
      <c r="GI1852" s="6"/>
      <c r="GJ1852" s="6"/>
      <c r="GK1852" s="6"/>
      <c r="GL1852" s="6"/>
      <c r="GM1852" s="6"/>
      <c r="GN1852" s="6"/>
      <c r="GO1852" s="6"/>
      <c r="GP1852" s="6"/>
      <c r="GQ1852" s="6"/>
      <c r="GR1852" s="6"/>
      <c r="GS1852" s="6"/>
      <c r="GT1852" s="6"/>
      <c r="GU1852" s="6"/>
      <c r="GV1852" s="6"/>
      <c r="GW1852" s="6"/>
      <c r="GX1852" s="6"/>
      <c r="GY1852" s="6"/>
      <c r="GZ1852" s="6"/>
      <c r="HA1852" s="6"/>
      <c r="HB1852" s="6"/>
      <c r="HC1852" s="6"/>
      <c r="HD1852" s="6"/>
      <c r="HE1852" s="6"/>
      <c r="HF1852" s="6"/>
      <c r="HG1852" s="6"/>
      <c r="HH1852" s="6"/>
    </row>
    <row r="1853" spans="1:216" x14ac:dyDescent="0.3">
      <c r="A1853" s="8"/>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c r="DX1853" s="6"/>
      <c r="DY1853" s="6"/>
      <c r="DZ1853" s="6"/>
      <c r="EA1853" s="6"/>
      <c r="EB1853" s="6"/>
      <c r="EC1853" s="6"/>
      <c r="ED1853" s="6"/>
      <c r="EE1853" s="6"/>
      <c r="EF1853" s="6"/>
      <c r="EG1853" s="6"/>
      <c r="EH1853" s="6"/>
      <c r="EI1853" s="6"/>
      <c r="EJ1853" s="6"/>
      <c r="EK1853" s="6"/>
      <c r="EL1853" s="6"/>
      <c r="EM1853" s="6"/>
      <c r="EN1853" s="6"/>
      <c r="EO1853" s="6"/>
      <c r="EP1853" s="6"/>
      <c r="EQ1853" s="6"/>
      <c r="ER1853" s="6"/>
      <c r="ES1853" s="6"/>
      <c r="ET1853" s="6"/>
      <c r="EU1853" s="6"/>
      <c r="EV1853" s="6"/>
      <c r="EW1853" s="6"/>
      <c r="EX1853" s="6"/>
      <c r="EY1853" s="6"/>
      <c r="EZ1853" s="6"/>
      <c r="FA1853" s="6"/>
      <c r="FB1853" s="6"/>
      <c r="FC1853" s="6"/>
      <c r="FD1853" s="6"/>
      <c r="FE1853" s="6"/>
      <c r="FF1853" s="6"/>
      <c r="FG1853" s="6"/>
      <c r="FH1853" s="6"/>
      <c r="FI1853" s="6"/>
      <c r="FJ1853" s="6"/>
      <c r="FK1853" s="6"/>
      <c r="FL1853" s="6"/>
      <c r="FM1853" s="6"/>
      <c r="FN1853" s="6"/>
      <c r="FO1853" s="6"/>
      <c r="FP1853" s="6"/>
      <c r="FQ1853" s="6"/>
      <c r="FR1853" s="6"/>
      <c r="FS1853" s="6"/>
      <c r="FT1853" s="6"/>
      <c r="FU1853" s="6"/>
      <c r="FV1853" s="6"/>
      <c r="FW1853" s="6"/>
      <c r="FX1853" s="6"/>
      <c r="FY1853" s="6"/>
      <c r="FZ1853" s="6"/>
      <c r="GA1853" s="6"/>
      <c r="GB1853" s="6"/>
      <c r="GC1853" s="6"/>
      <c r="GD1853" s="6"/>
      <c r="GE1853" s="6"/>
      <c r="GF1853" s="6"/>
      <c r="GG1853" s="6"/>
      <c r="GH1853" s="6"/>
      <c r="GI1853" s="6"/>
      <c r="GJ1853" s="6"/>
      <c r="GK1853" s="6"/>
      <c r="GL1853" s="6"/>
      <c r="GM1853" s="6"/>
      <c r="GN1853" s="6"/>
      <c r="GO1853" s="6"/>
      <c r="GP1853" s="6"/>
      <c r="GQ1853" s="6"/>
      <c r="GR1853" s="6"/>
      <c r="GS1853" s="6"/>
      <c r="GT1853" s="6"/>
      <c r="GU1853" s="6"/>
      <c r="GV1853" s="6"/>
      <c r="GW1853" s="6"/>
      <c r="GX1853" s="6"/>
      <c r="GY1853" s="6"/>
      <c r="GZ1853" s="6"/>
      <c r="HA1853" s="6"/>
      <c r="HB1853" s="6"/>
      <c r="HC1853" s="6"/>
      <c r="HD1853" s="6"/>
      <c r="HE1853" s="6"/>
      <c r="HF1853" s="6"/>
      <c r="HG1853" s="6"/>
      <c r="HH1853" s="6"/>
    </row>
    <row r="1854" spans="1:216" x14ac:dyDescent="0.3">
      <c r="A1854" s="8"/>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c r="DX1854" s="6"/>
      <c r="DY1854" s="6"/>
      <c r="DZ1854" s="6"/>
      <c r="EA1854" s="6"/>
      <c r="EB1854" s="6"/>
      <c r="EC1854" s="6"/>
      <c r="ED1854" s="6"/>
      <c r="EE1854" s="6"/>
      <c r="EF1854" s="6"/>
      <c r="EG1854" s="6"/>
      <c r="EH1854" s="6"/>
      <c r="EI1854" s="6"/>
      <c r="EJ1854" s="6"/>
      <c r="EK1854" s="6"/>
      <c r="EL1854" s="6"/>
      <c r="EM1854" s="6"/>
      <c r="EN1854" s="6"/>
      <c r="EO1854" s="6"/>
      <c r="EP1854" s="6"/>
      <c r="EQ1854" s="6"/>
      <c r="ER1854" s="6"/>
      <c r="ES1854" s="6"/>
      <c r="ET1854" s="6"/>
      <c r="EU1854" s="6"/>
      <c r="EV1854" s="6"/>
      <c r="EW1854" s="6"/>
      <c r="EX1854" s="6"/>
      <c r="EY1854" s="6"/>
      <c r="EZ1854" s="6"/>
      <c r="FA1854" s="6"/>
      <c r="FB1854" s="6"/>
      <c r="FC1854" s="6"/>
      <c r="FD1854" s="6"/>
      <c r="FE1854" s="6"/>
      <c r="FF1854" s="6"/>
      <c r="FG1854" s="6"/>
      <c r="FH1854" s="6"/>
      <c r="FI1854" s="6"/>
      <c r="FJ1854" s="6"/>
      <c r="FK1854" s="6"/>
      <c r="FL1854" s="6"/>
      <c r="FM1854" s="6"/>
      <c r="FN1854" s="6"/>
      <c r="FO1854" s="6"/>
      <c r="FP1854" s="6"/>
      <c r="FQ1854" s="6"/>
      <c r="FR1854" s="6"/>
      <c r="FS1854" s="6"/>
      <c r="FT1854" s="6"/>
      <c r="FU1854" s="6"/>
      <c r="FV1854" s="6"/>
      <c r="FW1854" s="6"/>
      <c r="FX1854" s="6"/>
      <c r="FY1854" s="6"/>
      <c r="FZ1854" s="6"/>
      <c r="GA1854" s="6"/>
      <c r="GB1854" s="6"/>
      <c r="GC1854" s="6"/>
      <c r="GD1854" s="6"/>
      <c r="GE1854" s="6"/>
      <c r="GF1854" s="6"/>
      <c r="GG1854" s="6"/>
      <c r="GH1854" s="6"/>
      <c r="GI1854" s="6"/>
      <c r="GJ1854" s="6"/>
      <c r="GK1854" s="6"/>
      <c r="GL1854" s="6"/>
      <c r="GM1854" s="6"/>
      <c r="GN1854" s="6"/>
      <c r="GO1854" s="6"/>
      <c r="GP1854" s="6"/>
      <c r="GQ1854" s="6"/>
      <c r="GR1854" s="6"/>
      <c r="GS1854" s="6"/>
      <c r="GT1854" s="6"/>
      <c r="GU1854" s="6"/>
      <c r="GV1854" s="6"/>
      <c r="GW1854" s="6"/>
      <c r="GX1854" s="6"/>
      <c r="GY1854" s="6"/>
      <c r="GZ1854" s="6"/>
      <c r="HA1854" s="6"/>
      <c r="HB1854" s="6"/>
      <c r="HC1854" s="6"/>
      <c r="HD1854" s="6"/>
      <c r="HE1854" s="6"/>
      <c r="HF1854" s="6"/>
      <c r="HG1854" s="6"/>
      <c r="HH1854" s="6"/>
    </row>
    <row r="1855" spans="1:216" x14ac:dyDescent="0.3">
      <c r="A1855" s="8"/>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c r="DX1855" s="6"/>
      <c r="DY1855" s="6"/>
      <c r="DZ1855" s="6"/>
      <c r="EA1855" s="6"/>
      <c r="EB1855" s="6"/>
      <c r="EC1855" s="6"/>
      <c r="ED1855" s="6"/>
      <c r="EE1855" s="6"/>
      <c r="EF1855" s="6"/>
      <c r="EG1855" s="6"/>
      <c r="EH1855" s="6"/>
      <c r="EI1855" s="6"/>
      <c r="EJ1855" s="6"/>
      <c r="EK1855" s="6"/>
      <c r="EL1855" s="6"/>
      <c r="EM1855" s="6"/>
      <c r="EN1855" s="6"/>
      <c r="EO1855" s="6"/>
      <c r="EP1855" s="6"/>
      <c r="EQ1855" s="6"/>
      <c r="ER1855" s="6"/>
      <c r="ES1855" s="6"/>
      <c r="ET1855" s="6"/>
      <c r="EU1855" s="6"/>
      <c r="EV1855" s="6"/>
      <c r="EW1855" s="6"/>
      <c r="EX1855" s="6"/>
      <c r="EY1855" s="6"/>
      <c r="EZ1855" s="6"/>
      <c r="FA1855" s="6"/>
      <c r="FB1855" s="6"/>
      <c r="FC1855" s="6"/>
      <c r="FD1855" s="6"/>
      <c r="FE1855" s="6"/>
      <c r="FF1855" s="6"/>
      <c r="FG1855" s="6"/>
      <c r="FH1855" s="6"/>
      <c r="FI1855" s="6"/>
      <c r="FJ1855" s="6"/>
      <c r="FK1855" s="6"/>
      <c r="FL1855" s="6"/>
      <c r="FM1855" s="6"/>
      <c r="FN1855" s="6"/>
      <c r="FO1855" s="6"/>
      <c r="FP1855" s="6"/>
      <c r="FQ1855" s="6"/>
      <c r="FR1855" s="6"/>
      <c r="FS1855" s="6"/>
      <c r="FT1855" s="6"/>
      <c r="FU1855" s="6"/>
      <c r="FV1855" s="6"/>
      <c r="FW1855" s="6"/>
      <c r="FX1855" s="6"/>
      <c r="FY1855" s="6"/>
      <c r="FZ1855" s="6"/>
      <c r="GA1855" s="6"/>
      <c r="GB1855" s="6"/>
      <c r="GC1855" s="6"/>
      <c r="GD1855" s="6"/>
      <c r="GE1855" s="6"/>
      <c r="GF1855" s="6"/>
      <c r="GG1855" s="6"/>
      <c r="GH1855" s="6"/>
      <c r="GI1855" s="6"/>
      <c r="GJ1855" s="6"/>
      <c r="GK1855" s="6"/>
      <c r="GL1855" s="6"/>
      <c r="GM1855" s="6"/>
      <c r="GN1855" s="6"/>
      <c r="GO1855" s="6"/>
      <c r="GP1855" s="6"/>
      <c r="GQ1855" s="6"/>
      <c r="GR1855" s="6"/>
      <c r="GS1855" s="6"/>
      <c r="GT1855" s="6"/>
      <c r="GU1855" s="6"/>
      <c r="GV1855" s="6"/>
      <c r="GW1855" s="6"/>
      <c r="GX1855" s="6"/>
      <c r="GY1855" s="6"/>
      <c r="GZ1855" s="6"/>
      <c r="HA1855" s="6"/>
      <c r="HB1855" s="6"/>
      <c r="HC1855" s="6"/>
      <c r="HD1855" s="6"/>
      <c r="HE1855" s="6"/>
      <c r="HF1855" s="6"/>
      <c r="HG1855" s="6"/>
      <c r="HH1855" s="6"/>
    </row>
    <row r="1856" spans="1:216" x14ac:dyDescent="0.3">
      <c r="A1856" s="8"/>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c r="DX1856" s="6"/>
      <c r="DY1856" s="6"/>
      <c r="DZ1856" s="6"/>
      <c r="EA1856" s="6"/>
      <c r="EB1856" s="6"/>
      <c r="EC1856" s="6"/>
      <c r="ED1856" s="6"/>
      <c r="EE1856" s="6"/>
      <c r="EF1856" s="6"/>
      <c r="EG1856" s="6"/>
      <c r="EH1856" s="6"/>
      <c r="EI1856" s="6"/>
      <c r="EJ1856" s="6"/>
      <c r="EK1856" s="6"/>
      <c r="EL1856" s="6"/>
      <c r="EM1856" s="6"/>
      <c r="EN1856" s="6"/>
      <c r="EO1856" s="6"/>
      <c r="EP1856" s="6"/>
      <c r="EQ1856" s="6"/>
      <c r="ER1856" s="6"/>
      <c r="ES1856" s="6"/>
      <c r="ET1856" s="6"/>
      <c r="EU1856" s="6"/>
      <c r="EV1856" s="6"/>
      <c r="EW1856" s="6"/>
      <c r="EX1856" s="6"/>
      <c r="EY1856" s="6"/>
      <c r="EZ1856" s="6"/>
      <c r="FA1856" s="6"/>
      <c r="FB1856" s="6"/>
      <c r="FC1856" s="6"/>
      <c r="FD1856" s="6"/>
      <c r="FE1856" s="6"/>
      <c r="FF1856" s="6"/>
      <c r="FG1856" s="6"/>
      <c r="FH1856" s="6"/>
      <c r="FI1856" s="6"/>
      <c r="FJ1856" s="6"/>
      <c r="FK1856" s="6"/>
      <c r="FL1856" s="6"/>
      <c r="FM1856" s="6"/>
      <c r="FN1856" s="6"/>
      <c r="FO1856" s="6"/>
      <c r="FP1856" s="6"/>
      <c r="FQ1856" s="6"/>
      <c r="FR1856" s="6"/>
      <c r="FS1856" s="6"/>
      <c r="FT1856" s="6"/>
      <c r="FU1856" s="6"/>
      <c r="FV1856" s="6"/>
      <c r="FW1856" s="6"/>
      <c r="FX1856" s="6"/>
      <c r="FY1856" s="6"/>
      <c r="FZ1856" s="6"/>
      <c r="GA1856" s="6"/>
      <c r="GB1856" s="6"/>
      <c r="GC1856" s="6"/>
      <c r="GD1856" s="6"/>
      <c r="GE1856" s="6"/>
      <c r="GF1856" s="6"/>
      <c r="GG1856" s="6"/>
      <c r="GH1856" s="6"/>
      <c r="GI1856" s="6"/>
      <c r="GJ1856" s="6"/>
      <c r="GK1856" s="6"/>
      <c r="GL1856" s="6"/>
      <c r="GM1856" s="6"/>
      <c r="GN1856" s="6"/>
      <c r="GO1856" s="6"/>
      <c r="GP1856" s="6"/>
      <c r="GQ1856" s="6"/>
      <c r="GR1856" s="6"/>
      <c r="GS1856" s="6"/>
      <c r="GT1856" s="6"/>
      <c r="GU1856" s="6"/>
      <c r="GV1856" s="6"/>
      <c r="GW1856" s="6"/>
      <c r="GX1856" s="6"/>
      <c r="GY1856" s="6"/>
      <c r="GZ1856" s="6"/>
      <c r="HA1856" s="6"/>
      <c r="HB1856" s="6"/>
      <c r="HC1856" s="6"/>
      <c r="HD1856" s="6"/>
      <c r="HE1856" s="6"/>
      <c r="HF1856" s="6"/>
      <c r="HG1856" s="6"/>
      <c r="HH1856" s="6"/>
    </row>
    <row r="1857" spans="1:216" x14ac:dyDescent="0.3">
      <c r="A1857" s="8"/>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c r="DX1857" s="6"/>
      <c r="DY1857" s="6"/>
      <c r="DZ1857" s="6"/>
      <c r="EA1857" s="6"/>
      <c r="EB1857" s="6"/>
      <c r="EC1857" s="6"/>
      <c r="ED1857" s="6"/>
      <c r="EE1857" s="6"/>
      <c r="EF1857" s="6"/>
      <c r="EG1857" s="6"/>
      <c r="EH1857" s="6"/>
      <c r="EI1857" s="6"/>
      <c r="EJ1857" s="6"/>
      <c r="EK1857" s="6"/>
      <c r="EL1857" s="6"/>
      <c r="EM1857" s="6"/>
      <c r="EN1857" s="6"/>
      <c r="EO1857" s="6"/>
      <c r="EP1857" s="6"/>
      <c r="EQ1857" s="6"/>
      <c r="ER1857" s="6"/>
      <c r="ES1857" s="6"/>
      <c r="ET1857" s="6"/>
      <c r="EU1857" s="6"/>
      <c r="EV1857" s="6"/>
      <c r="EW1857" s="6"/>
      <c r="EX1857" s="6"/>
      <c r="EY1857" s="6"/>
      <c r="EZ1857" s="6"/>
      <c r="FA1857" s="6"/>
      <c r="FB1857" s="6"/>
      <c r="FC1857" s="6"/>
      <c r="FD1857" s="6"/>
      <c r="FE1857" s="6"/>
      <c r="FF1857" s="6"/>
      <c r="FG1857" s="6"/>
      <c r="FH1857" s="6"/>
      <c r="FI1857" s="6"/>
      <c r="FJ1857" s="6"/>
      <c r="FK1857" s="6"/>
      <c r="FL1857" s="6"/>
      <c r="FM1857" s="6"/>
      <c r="FN1857" s="6"/>
      <c r="FO1857" s="6"/>
      <c r="FP1857" s="6"/>
      <c r="FQ1857" s="6"/>
      <c r="FR1857" s="6"/>
      <c r="FS1857" s="6"/>
      <c r="FT1857" s="6"/>
      <c r="FU1857" s="6"/>
      <c r="FV1857" s="6"/>
      <c r="FW1857" s="6"/>
      <c r="FX1857" s="6"/>
      <c r="FY1857" s="6"/>
      <c r="FZ1857" s="6"/>
      <c r="GA1857" s="6"/>
      <c r="GB1857" s="6"/>
      <c r="GC1857" s="6"/>
      <c r="GD1857" s="6"/>
      <c r="GE1857" s="6"/>
      <c r="GF1857" s="6"/>
      <c r="GG1857" s="6"/>
      <c r="GH1857" s="6"/>
      <c r="GI1857" s="6"/>
      <c r="GJ1857" s="6"/>
      <c r="GK1857" s="6"/>
      <c r="GL1857" s="6"/>
      <c r="GM1857" s="6"/>
      <c r="GN1857" s="6"/>
      <c r="GO1857" s="6"/>
      <c r="GP1857" s="6"/>
      <c r="GQ1857" s="6"/>
      <c r="GR1857" s="6"/>
      <c r="GS1857" s="6"/>
      <c r="GT1857" s="6"/>
      <c r="GU1857" s="6"/>
      <c r="GV1857" s="6"/>
      <c r="GW1857" s="6"/>
      <c r="GX1857" s="6"/>
      <c r="GY1857" s="6"/>
      <c r="GZ1857" s="6"/>
      <c r="HA1857" s="6"/>
      <c r="HB1857" s="6"/>
      <c r="HC1857" s="6"/>
      <c r="HD1857" s="6"/>
      <c r="HE1857" s="6"/>
      <c r="HF1857" s="6"/>
      <c r="HG1857" s="6"/>
      <c r="HH1857" s="6"/>
    </row>
    <row r="1858" spans="1:216" x14ac:dyDescent="0.3">
      <c r="A1858" s="8"/>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6"/>
      <c r="AR1858" s="6"/>
      <c r="AS1858" s="6"/>
      <c r="AT1858" s="6"/>
      <c r="AU1858" s="6"/>
      <c r="AV1858" s="6"/>
      <c r="AW1858" s="6"/>
      <c r="AX1858" s="6"/>
      <c r="AY1858" s="6"/>
      <c r="AZ1858" s="6"/>
      <c r="BA1858" s="6"/>
      <c r="BB1858" s="6"/>
      <c r="BC1858" s="6"/>
      <c r="BD1858" s="6"/>
      <c r="BE1858" s="6"/>
      <c r="BF1858" s="6"/>
      <c r="BG1858" s="6"/>
      <c r="BH1858" s="6"/>
      <c r="BI1858" s="6"/>
      <c r="BJ1858" s="6"/>
      <c r="BK1858" s="6"/>
      <c r="BL1858" s="6"/>
      <c r="BM1858" s="6"/>
      <c r="BN1858" s="6"/>
      <c r="BO1858" s="6"/>
      <c r="BP1858" s="6"/>
      <c r="BQ1858" s="6"/>
      <c r="BR1858" s="6"/>
      <c r="BS1858" s="6"/>
      <c r="BT1858" s="6"/>
      <c r="BU1858" s="6"/>
      <c r="BV1858" s="6"/>
      <c r="BW1858" s="6"/>
      <c r="BX1858" s="6"/>
      <c r="BY1858" s="6"/>
      <c r="BZ1858" s="6"/>
      <c r="CA1858" s="6"/>
      <c r="CB1858" s="6"/>
      <c r="CC1858" s="6"/>
      <c r="CD1858" s="6"/>
      <c r="CE1858" s="6"/>
      <c r="CF1858" s="6"/>
      <c r="CG1858" s="6"/>
      <c r="CH1858" s="6"/>
      <c r="CI1858" s="6"/>
      <c r="CJ1858" s="6"/>
      <c r="CK1858" s="6"/>
      <c r="CL1858" s="6"/>
      <c r="CM1858" s="6"/>
      <c r="CN1858" s="6"/>
      <c r="CO1858" s="6"/>
      <c r="CP1858" s="6"/>
      <c r="CQ1858" s="6"/>
      <c r="CR1858" s="6"/>
      <c r="CS1858" s="6"/>
      <c r="CT1858" s="6"/>
      <c r="CU1858" s="6"/>
      <c r="CV1858" s="6"/>
      <c r="CW1858" s="6"/>
      <c r="CX1858" s="6"/>
      <c r="CY1858" s="6"/>
      <c r="CZ1858" s="6"/>
      <c r="DA1858" s="6"/>
      <c r="DB1858" s="6"/>
      <c r="DC1858" s="6"/>
      <c r="DD1858" s="6"/>
      <c r="DE1858" s="6"/>
      <c r="DF1858" s="6"/>
      <c r="DG1858" s="6"/>
      <c r="DH1858" s="6"/>
      <c r="DI1858" s="6"/>
      <c r="DJ1858" s="6"/>
      <c r="DK1858" s="6"/>
      <c r="DL1858" s="6"/>
      <c r="DM1858" s="6"/>
      <c r="DN1858" s="6"/>
      <c r="DO1858" s="6"/>
      <c r="DP1858" s="6"/>
      <c r="DQ1858" s="6"/>
      <c r="DR1858" s="6"/>
      <c r="DS1858" s="6"/>
      <c r="DT1858" s="6"/>
      <c r="DU1858" s="6"/>
      <c r="DV1858" s="6"/>
      <c r="DW1858" s="6"/>
      <c r="DX1858" s="6"/>
      <c r="DY1858" s="6"/>
      <c r="DZ1858" s="6"/>
      <c r="EA1858" s="6"/>
      <c r="EB1858" s="6"/>
      <c r="EC1858" s="6"/>
      <c r="ED1858" s="6"/>
      <c r="EE1858" s="6"/>
      <c r="EF1858" s="6"/>
      <c r="EG1858" s="6"/>
      <c r="EH1858" s="6"/>
      <c r="EI1858" s="6"/>
      <c r="EJ1858" s="6"/>
      <c r="EK1858" s="6"/>
      <c r="EL1858" s="6"/>
      <c r="EM1858" s="6"/>
      <c r="EN1858" s="6"/>
      <c r="EO1858" s="6"/>
      <c r="EP1858" s="6"/>
      <c r="EQ1858" s="6"/>
      <c r="ER1858" s="6"/>
      <c r="ES1858" s="6"/>
      <c r="ET1858" s="6"/>
      <c r="EU1858" s="6"/>
      <c r="EV1858" s="6"/>
      <c r="EW1858" s="6"/>
      <c r="EX1858" s="6"/>
      <c r="EY1858" s="6"/>
      <c r="EZ1858" s="6"/>
      <c r="FA1858" s="6"/>
      <c r="FB1858" s="6"/>
      <c r="FC1858" s="6"/>
      <c r="FD1858" s="6"/>
      <c r="FE1858" s="6"/>
      <c r="FF1858" s="6"/>
      <c r="FG1858" s="6"/>
      <c r="FH1858" s="6"/>
      <c r="FI1858" s="6"/>
      <c r="FJ1858" s="6"/>
      <c r="FK1858" s="6"/>
      <c r="FL1858" s="6"/>
      <c r="FM1858" s="6"/>
      <c r="FN1858" s="6"/>
      <c r="FO1858" s="6"/>
      <c r="FP1858" s="6"/>
      <c r="FQ1858" s="6"/>
      <c r="FR1858" s="6"/>
      <c r="FS1858" s="6"/>
      <c r="FT1858" s="6"/>
      <c r="FU1858" s="6"/>
      <c r="FV1858" s="6"/>
      <c r="FW1858" s="6"/>
      <c r="FX1858" s="6"/>
      <c r="FY1858" s="6"/>
      <c r="FZ1858" s="6"/>
      <c r="GA1858" s="6"/>
      <c r="GB1858" s="6"/>
      <c r="GC1858" s="6"/>
      <c r="GD1858" s="6"/>
      <c r="GE1858" s="6"/>
      <c r="GF1858" s="6"/>
      <c r="GG1858" s="6"/>
      <c r="GH1858" s="6"/>
      <c r="GI1858" s="6"/>
      <c r="GJ1858" s="6"/>
      <c r="GK1858" s="6"/>
      <c r="GL1858" s="6"/>
      <c r="GM1858" s="6"/>
      <c r="GN1858" s="6"/>
      <c r="GO1858" s="6"/>
      <c r="GP1858" s="6"/>
      <c r="GQ1858" s="6"/>
      <c r="GR1858" s="6"/>
      <c r="GS1858" s="6"/>
      <c r="GT1858" s="6"/>
      <c r="GU1858" s="6"/>
      <c r="GV1858" s="6"/>
      <c r="GW1858" s="6"/>
      <c r="GX1858" s="6"/>
      <c r="GY1858" s="6"/>
      <c r="GZ1858" s="6"/>
      <c r="HA1858" s="6"/>
      <c r="HB1858" s="6"/>
      <c r="HC1858" s="6"/>
      <c r="HD1858" s="6"/>
      <c r="HE1858" s="6"/>
      <c r="HF1858" s="6"/>
      <c r="HG1858" s="6"/>
      <c r="HH1858" s="6"/>
    </row>
    <row r="1859" spans="1:216" x14ac:dyDescent="0.3">
      <c r="A1859" s="8"/>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6"/>
      <c r="AR1859" s="6"/>
      <c r="AS1859" s="6"/>
      <c r="AT1859" s="6"/>
      <c r="AU1859" s="6"/>
      <c r="AV1859" s="6"/>
      <c r="AW1859" s="6"/>
      <c r="AX1859" s="6"/>
      <c r="AY1859" s="6"/>
      <c r="AZ1859" s="6"/>
      <c r="BA1859" s="6"/>
      <c r="BB1859" s="6"/>
      <c r="BC1859" s="6"/>
      <c r="BD1859" s="6"/>
      <c r="BE1859" s="6"/>
      <c r="BF1859" s="6"/>
      <c r="BG1859" s="6"/>
      <c r="BH1859" s="6"/>
      <c r="BI1859" s="6"/>
      <c r="BJ1859" s="6"/>
      <c r="BK1859" s="6"/>
      <c r="BL1859" s="6"/>
      <c r="BM1859" s="6"/>
      <c r="BN1859" s="6"/>
      <c r="BO1859" s="6"/>
      <c r="BP1859" s="6"/>
      <c r="BQ1859" s="6"/>
      <c r="BR1859" s="6"/>
      <c r="BS1859" s="6"/>
      <c r="BT1859" s="6"/>
      <c r="BU1859" s="6"/>
      <c r="BV1859" s="6"/>
      <c r="BW1859" s="6"/>
      <c r="BX1859" s="6"/>
      <c r="BY1859" s="6"/>
      <c r="BZ1859" s="6"/>
      <c r="CA1859" s="6"/>
      <c r="CB1859" s="6"/>
      <c r="CC1859" s="6"/>
      <c r="CD1859" s="6"/>
      <c r="CE1859" s="6"/>
      <c r="CF1859" s="6"/>
      <c r="CG1859" s="6"/>
      <c r="CH1859" s="6"/>
      <c r="CI1859" s="6"/>
      <c r="CJ1859" s="6"/>
      <c r="CK1859" s="6"/>
      <c r="CL1859" s="6"/>
      <c r="CM1859" s="6"/>
      <c r="CN1859" s="6"/>
      <c r="CO1859" s="6"/>
      <c r="CP1859" s="6"/>
      <c r="CQ1859" s="6"/>
      <c r="CR1859" s="6"/>
      <c r="CS1859" s="6"/>
      <c r="CT1859" s="6"/>
      <c r="CU1859" s="6"/>
      <c r="CV1859" s="6"/>
      <c r="CW1859" s="6"/>
      <c r="CX1859" s="6"/>
      <c r="CY1859" s="6"/>
      <c r="CZ1859" s="6"/>
      <c r="DA1859" s="6"/>
      <c r="DB1859" s="6"/>
      <c r="DC1859" s="6"/>
      <c r="DD1859" s="6"/>
      <c r="DE1859" s="6"/>
      <c r="DF1859" s="6"/>
      <c r="DG1859" s="6"/>
      <c r="DH1859" s="6"/>
      <c r="DI1859" s="6"/>
      <c r="DJ1859" s="6"/>
      <c r="DK1859" s="6"/>
      <c r="DL1859" s="6"/>
      <c r="DM1859" s="6"/>
      <c r="DN1859" s="6"/>
      <c r="DO1859" s="6"/>
      <c r="DP1859" s="6"/>
      <c r="DQ1859" s="6"/>
      <c r="DR1859" s="6"/>
      <c r="DS1859" s="6"/>
      <c r="DT1859" s="6"/>
      <c r="DU1859" s="6"/>
      <c r="DV1859" s="6"/>
      <c r="DW1859" s="6"/>
      <c r="DX1859" s="6"/>
      <c r="DY1859" s="6"/>
      <c r="DZ1859" s="6"/>
      <c r="EA1859" s="6"/>
      <c r="EB1859" s="6"/>
      <c r="EC1859" s="6"/>
      <c r="ED1859" s="6"/>
      <c r="EE1859" s="6"/>
      <c r="EF1859" s="6"/>
      <c r="EG1859" s="6"/>
      <c r="EH1859" s="6"/>
      <c r="EI1859" s="6"/>
      <c r="EJ1859" s="6"/>
      <c r="EK1859" s="6"/>
      <c r="EL1859" s="6"/>
      <c r="EM1859" s="6"/>
      <c r="EN1859" s="6"/>
      <c r="EO1859" s="6"/>
      <c r="EP1859" s="6"/>
      <c r="EQ1859" s="6"/>
      <c r="ER1859" s="6"/>
      <c r="ES1859" s="6"/>
      <c r="ET1859" s="6"/>
      <c r="EU1859" s="6"/>
      <c r="EV1859" s="6"/>
      <c r="EW1859" s="6"/>
      <c r="EX1859" s="6"/>
      <c r="EY1859" s="6"/>
      <c r="EZ1859" s="6"/>
      <c r="FA1859" s="6"/>
      <c r="FB1859" s="6"/>
      <c r="FC1859" s="6"/>
      <c r="FD1859" s="6"/>
      <c r="FE1859" s="6"/>
      <c r="FF1859" s="6"/>
      <c r="FG1859" s="6"/>
      <c r="FH1859" s="6"/>
      <c r="FI1859" s="6"/>
      <c r="FJ1859" s="6"/>
      <c r="FK1859" s="6"/>
      <c r="FL1859" s="6"/>
      <c r="FM1859" s="6"/>
      <c r="FN1859" s="6"/>
      <c r="FO1859" s="6"/>
      <c r="FP1859" s="6"/>
      <c r="FQ1859" s="6"/>
      <c r="FR1859" s="6"/>
      <c r="FS1859" s="6"/>
      <c r="FT1859" s="6"/>
      <c r="FU1859" s="6"/>
      <c r="FV1859" s="6"/>
      <c r="FW1859" s="6"/>
      <c r="FX1859" s="6"/>
      <c r="FY1859" s="6"/>
      <c r="FZ1859" s="6"/>
      <c r="GA1859" s="6"/>
      <c r="GB1859" s="6"/>
      <c r="GC1859" s="6"/>
      <c r="GD1859" s="6"/>
      <c r="GE1859" s="6"/>
      <c r="GF1859" s="6"/>
      <c r="GG1859" s="6"/>
      <c r="GH1859" s="6"/>
      <c r="GI1859" s="6"/>
      <c r="GJ1859" s="6"/>
      <c r="GK1859" s="6"/>
      <c r="GL1859" s="6"/>
      <c r="GM1859" s="6"/>
      <c r="GN1859" s="6"/>
      <c r="GO1859" s="6"/>
      <c r="GP1859" s="6"/>
      <c r="GQ1859" s="6"/>
      <c r="GR1859" s="6"/>
      <c r="GS1859" s="6"/>
      <c r="GT1859" s="6"/>
      <c r="GU1859" s="6"/>
      <c r="GV1859" s="6"/>
      <c r="GW1859" s="6"/>
      <c r="GX1859" s="6"/>
      <c r="GY1859" s="6"/>
      <c r="GZ1859" s="6"/>
      <c r="HA1859" s="6"/>
      <c r="HB1859" s="6"/>
      <c r="HC1859" s="6"/>
      <c r="HD1859" s="6"/>
      <c r="HE1859" s="6"/>
      <c r="HF1859" s="6"/>
      <c r="HG1859" s="6"/>
      <c r="HH1859" s="6"/>
    </row>
    <row r="1860" spans="1:216" x14ac:dyDescent="0.3">
      <c r="A1860" s="8"/>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6"/>
      <c r="AR1860" s="6"/>
      <c r="AS1860" s="6"/>
      <c r="AT1860" s="6"/>
      <c r="AU1860" s="6"/>
      <c r="AV1860" s="6"/>
      <c r="AW1860" s="6"/>
      <c r="AX1860" s="6"/>
      <c r="AY1860" s="6"/>
      <c r="AZ1860" s="6"/>
      <c r="BA1860" s="6"/>
      <c r="BB1860" s="6"/>
      <c r="BC1860" s="6"/>
      <c r="BD1860" s="6"/>
      <c r="BE1860" s="6"/>
      <c r="BF1860" s="6"/>
      <c r="BG1860" s="6"/>
      <c r="BH1860" s="6"/>
      <c r="BI1860" s="6"/>
      <c r="BJ1860" s="6"/>
      <c r="BK1860" s="6"/>
      <c r="BL1860" s="6"/>
      <c r="BM1860" s="6"/>
      <c r="BN1860" s="6"/>
      <c r="BO1860" s="6"/>
      <c r="BP1860" s="6"/>
      <c r="BQ1860" s="6"/>
      <c r="BR1860" s="6"/>
      <c r="BS1860" s="6"/>
      <c r="BT1860" s="6"/>
      <c r="BU1860" s="6"/>
      <c r="BV1860" s="6"/>
      <c r="BW1860" s="6"/>
      <c r="BX1860" s="6"/>
      <c r="BY1860" s="6"/>
      <c r="BZ1860" s="6"/>
      <c r="CA1860" s="6"/>
      <c r="CB1860" s="6"/>
      <c r="CC1860" s="6"/>
      <c r="CD1860" s="6"/>
      <c r="CE1860" s="6"/>
      <c r="CF1860" s="6"/>
      <c r="CG1860" s="6"/>
      <c r="CH1860" s="6"/>
      <c r="CI1860" s="6"/>
      <c r="CJ1860" s="6"/>
      <c r="CK1860" s="6"/>
      <c r="CL1860" s="6"/>
      <c r="CM1860" s="6"/>
      <c r="CN1860" s="6"/>
      <c r="CO1860" s="6"/>
      <c r="CP1860" s="6"/>
      <c r="CQ1860" s="6"/>
      <c r="CR1860" s="6"/>
      <c r="CS1860" s="6"/>
      <c r="CT1860" s="6"/>
      <c r="CU1860" s="6"/>
      <c r="CV1860" s="6"/>
      <c r="CW1860" s="6"/>
      <c r="CX1860" s="6"/>
      <c r="CY1860" s="6"/>
      <c r="CZ1860" s="6"/>
      <c r="DA1860" s="6"/>
      <c r="DB1860" s="6"/>
      <c r="DC1860" s="6"/>
      <c r="DD1860" s="6"/>
      <c r="DE1860" s="6"/>
      <c r="DF1860" s="6"/>
      <c r="DG1860" s="6"/>
      <c r="DH1860" s="6"/>
      <c r="DI1860" s="6"/>
      <c r="DJ1860" s="6"/>
      <c r="DK1860" s="6"/>
      <c r="DL1860" s="6"/>
      <c r="DM1860" s="6"/>
      <c r="DN1860" s="6"/>
      <c r="DO1860" s="6"/>
      <c r="DP1860" s="6"/>
      <c r="DQ1860" s="6"/>
      <c r="DR1860" s="6"/>
      <c r="DS1860" s="6"/>
      <c r="DT1860" s="6"/>
      <c r="DU1860" s="6"/>
      <c r="DV1860" s="6"/>
      <c r="DW1860" s="6"/>
      <c r="DX1860" s="6"/>
      <c r="DY1860" s="6"/>
      <c r="DZ1860" s="6"/>
      <c r="EA1860" s="6"/>
      <c r="EB1860" s="6"/>
      <c r="EC1860" s="6"/>
      <c r="ED1860" s="6"/>
      <c r="EE1860" s="6"/>
      <c r="EF1860" s="6"/>
      <c r="EG1860" s="6"/>
      <c r="EH1860" s="6"/>
      <c r="EI1860" s="6"/>
      <c r="EJ1860" s="6"/>
      <c r="EK1860" s="6"/>
      <c r="EL1860" s="6"/>
      <c r="EM1860" s="6"/>
      <c r="EN1860" s="6"/>
      <c r="EO1860" s="6"/>
      <c r="EP1860" s="6"/>
      <c r="EQ1860" s="6"/>
      <c r="ER1860" s="6"/>
      <c r="ES1860" s="6"/>
      <c r="ET1860" s="6"/>
      <c r="EU1860" s="6"/>
      <c r="EV1860" s="6"/>
      <c r="EW1860" s="6"/>
      <c r="EX1860" s="6"/>
      <c r="EY1860" s="6"/>
      <c r="EZ1860" s="6"/>
      <c r="FA1860" s="6"/>
      <c r="FB1860" s="6"/>
      <c r="FC1860" s="6"/>
      <c r="FD1860" s="6"/>
      <c r="FE1860" s="6"/>
      <c r="FF1860" s="6"/>
      <c r="FG1860" s="6"/>
      <c r="FH1860" s="6"/>
      <c r="FI1860" s="6"/>
      <c r="FJ1860" s="6"/>
      <c r="FK1860" s="6"/>
      <c r="FL1860" s="6"/>
      <c r="FM1860" s="6"/>
      <c r="FN1860" s="6"/>
      <c r="FO1860" s="6"/>
      <c r="FP1860" s="6"/>
      <c r="FQ1860" s="6"/>
      <c r="FR1860" s="6"/>
      <c r="FS1860" s="6"/>
      <c r="FT1860" s="6"/>
      <c r="FU1860" s="6"/>
      <c r="FV1860" s="6"/>
      <c r="FW1860" s="6"/>
      <c r="FX1860" s="6"/>
      <c r="FY1860" s="6"/>
      <c r="FZ1860" s="6"/>
      <c r="GA1860" s="6"/>
      <c r="GB1860" s="6"/>
      <c r="GC1860" s="6"/>
      <c r="GD1860" s="6"/>
      <c r="GE1860" s="6"/>
      <c r="GF1860" s="6"/>
      <c r="GG1860" s="6"/>
      <c r="GH1860" s="6"/>
      <c r="GI1860" s="6"/>
      <c r="GJ1860" s="6"/>
      <c r="GK1860" s="6"/>
      <c r="GL1860" s="6"/>
      <c r="GM1860" s="6"/>
      <c r="GN1860" s="6"/>
      <c r="GO1860" s="6"/>
      <c r="GP1860" s="6"/>
      <c r="GQ1860" s="6"/>
      <c r="GR1860" s="6"/>
      <c r="GS1860" s="6"/>
      <c r="GT1860" s="6"/>
      <c r="GU1860" s="6"/>
      <c r="GV1860" s="6"/>
      <c r="GW1860" s="6"/>
      <c r="GX1860" s="6"/>
      <c r="GY1860" s="6"/>
      <c r="GZ1860" s="6"/>
      <c r="HA1860" s="6"/>
      <c r="HB1860" s="6"/>
      <c r="HC1860" s="6"/>
      <c r="HD1860" s="6"/>
      <c r="HE1860" s="6"/>
      <c r="HF1860" s="6"/>
      <c r="HG1860" s="6"/>
      <c r="HH1860" s="6"/>
    </row>
    <row r="1861" spans="1:216" x14ac:dyDescent="0.3">
      <c r="A1861" s="8"/>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6"/>
      <c r="AR1861" s="6"/>
      <c r="AS1861" s="6"/>
      <c r="AT1861" s="6"/>
      <c r="AU1861" s="6"/>
      <c r="AV1861" s="6"/>
      <c r="AW1861" s="6"/>
      <c r="AX1861" s="6"/>
      <c r="AY1861" s="6"/>
      <c r="AZ1861" s="6"/>
      <c r="BA1861" s="6"/>
      <c r="BB1861" s="6"/>
      <c r="BC1861" s="6"/>
      <c r="BD1861" s="6"/>
      <c r="BE1861" s="6"/>
      <c r="BF1861" s="6"/>
      <c r="BG1861" s="6"/>
      <c r="BH1861" s="6"/>
      <c r="BI1861" s="6"/>
      <c r="BJ1861" s="6"/>
      <c r="BK1861" s="6"/>
      <c r="BL1861" s="6"/>
      <c r="BM1861" s="6"/>
      <c r="BN1861" s="6"/>
      <c r="BO1861" s="6"/>
      <c r="BP1861" s="6"/>
      <c r="BQ1861" s="6"/>
      <c r="BR1861" s="6"/>
      <c r="BS1861" s="6"/>
      <c r="BT1861" s="6"/>
      <c r="BU1861" s="6"/>
      <c r="BV1861" s="6"/>
      <c r="BW1861" s="6"/>
      <c r="BX1861" s="6"/>
      <c r="BY1861" s="6"/>
      <c r="BZ1861" s="6"/>
      <c r="CA1861" s="6"/>
      <c r="CB1861" s="6"/>
      <c r="CC1861" s="6"/>
      <c r="CD1861" s="6"/>
      <c r="CE1861" s="6"/>
      <c r="CF1861" s="6"/>
      <c r="CG1861" s="6"/>
      <c r="CH1861" s="6"/>
      <c r="CI1861" s="6"/>
      <c r="CJ1861" s="6"/>
      <c r="CK1861" s="6"/>
      <c r="CL1861" s="6"/>
      <c r="CM1861" s="6"/>
      <c r="CN1861" s="6"/>
      <c r="CO1861" s="6"/>
      <c r="CP1861" s="6"/>
      <c r="CQ1861" s="6"/>
      <c r="CR1861" s="6"/>
      <c r="CS1861" s="6"/>
      <c r="CT1861" s="6"/>
      <c r="CU1861" s="6"/>
      <c r="CV1861" s="6"/>
      <c r="CW1861" s="6"/>
      <c r="CX1861" s="6"/>
      <c r="CY1861" s="6"/>
      <c r="CZ1861" s="6"/>
      <c r="DA1861" s="6"/>
      <c r="DB1861" s="6"/>
      <c r="DC1861" s="6"/>
      <c r="DD1861" s="6"/>
      <c r="DE1861" s="6"/>
      <c r="DF1861" s="6"/>
      <c r="DG1861" s="6"/>
      <c r="DH1861" s="6"/>
      <c r="DI1861" s="6"/>
      <c r="DJ1861" s="6"/>
      <c r="DK1861" s="6"/>
      <c r="DL1861" s="6"/>
      <c r="DM1861" s="6"/>
      <c r="DN1861" s="6"/>
      <c r="DO1861" s="6"/>
      <c r="DP1861" s="6"/>
      <c r="DQ1861" s="6"/>
      <c r="DR1861" s="6"/>
      <c r="DS1861" s="6"/>
      <c r="DT1861" s="6"/>
      <c r="DU1861" s="6"/>
      <c r="DV1861" s="6"/>
      <c r="DW1861" s="6"/>
      <c r="DX1861" s="6"/>
      <c r="DY1861" s="6"/>
      <c r="DZ1861" s="6"/>
      <c r="EA1861" s="6"/>
      <c r="EB1861" s="6"/>
      <c r="EC1861" s="6"/>
      <c r="ED1861" s="6"/>
      <c r="EE1861" s="6"/>
      <c r="EF1861" s="6"/>
      <c r="EG1861" s="6"/>
      <c r="EH1861" s="6"/>
      <c r="EI1861" s="6"/>
      <c r="EJ1861" s="6"/>
      <c r="EK1861" s="6"/>
      <c r="EL1861" s="6"/>
      <c r="EM1861" s="6"/>
      <c r="EN1861" s="6"/>
      <c r="EO1861" s="6"/>
      <c r="EP1861" s="6"/>
      <c r="EQ1861" s="6"/>
      <c r="ER1861" s="6"/>
      <c r="ES1861" s="6"/>
      <c r="ET1861" s="6"/>
      <c r="EU1861" s="6"/>
      <c r="EV1861" s="6"/>
      <c r="EW1861" s="6"/>
      <c r="EX1861" s="6"/>
      <c r="EY1861" s="6"/>
      <c r="EZ1861" s="6"/>
      <c r="FA1861" s="6"/>
      <c r="FB1861" s="6"/>
      <c r="FC1861" s="6"/>
      <c r="FD1861" s="6"/>
      <c r="FE1861" s="6"/>
      <c r="FF1861" s="6"/>
      <c r="FG1861" s="6"/>
      <c r="FH1861" s="6"/>
      <c r="FI1861" s="6"/>
      <c r="FJ1861" s="6"/>
      <c r="FK1861" s="6"/>
      <c r="FL1861" s="6"/>
      <c r="FM1861" s="6"/>
      <c r="FN1861" s="6"/>
      <c r="FO1861" s="6"/>
      <c r="FP1861" s="6"/>
      <c r="FQ1861" s="6"/>
      <c r="FR1861" s="6"/>
      <c r="FS1861" s="6"/>
      <c r="FT1861" s="6"/>
      <c r="FU1861" s="6"/>
      <c r="FV1861" s="6"/>
      <c r="FW1861" s="6"/>
      <c r="FX1861" s="6"/>
      <c r="FY1861" s="6"/>
      <c r="FZ1861" s="6"/>
      <c r="GA1861" s="6"/>
      <c r="GB1861" s="6"/>
      <c r="GC1861" s="6"/>
      <c r="GD1861" s="6"/>
      <c r="GE1861" s="6"/>
      <c r="GF1861" s="6"/>
      <c r="GG1861" s="6"/>
      <c r="GH1861" s="6"/>
      <c r="GI1861" s="6"/>
      <c r="GJ1861" s="6"/>
      <c r="GK1861" s="6"/>
      <c r="GL1861" s="6"/>
      <c r="GM1861" s="6"/>
      <c r="GN1861" s="6"/>
      <c r="GO1861" s="6"/>
      <c r="GP1861" s="6"/>
      <c r="GQ1861" s="6"/>
      <c r="GR1861" s="6"/>
      <c r="GS1861" s="6"/>
      <c r="GT1861" s="6"/>
      <c r="GU1861" s="6"/>
      <c r="GV1861" s="6"/>
      <c r="GW1861" s="6"/>
      <c r="GX1861" s="6"/>
      <c r="GY1861" s="6"/>
      <c r="GZ1861" s="6"/>
      <c r="HA1861" s="6"/>
      <c r="HB1861" s="6"/>
      <c r="HC1861" s="6"/>
      <c r="HD1861" s="6"/>
      <c r="HE1861" s="6"/>
      <c r="HF1861" s="6"/>
      <c r="HG1861" s="6"/>
      <c r="HH1861" s="6"/>
    </row>
    <row r="1862" spans="1:216" x14ac:dyDescent="0.3">
      <c r="A1862" s="8"/>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c r="DX1862" s="6"/>
      <c r="DY1862" s="6"/>
      <c r="DZ1862" s="6"/>
      <c r="EA1862" s="6"/>
      <c r="EB1862" s="6"/>
      <c r="EC1862" s="6"/>
      <c r="ED1862" s="6"/>
      <c r="EE1862" s="6"/>
      <c r="EF1862" s="6"/>
      <c r="EG1862" s="6"/>
      <c r="EH1862" s="6"/>
      <c r="EI1862" s="6"/>
      <c r="EJ1862" s="6"/>
      <c r="EK1862" s="6"/>
      <c r="EL1862" s="6"/>
      <c r="EM1862" s="6"/>
      <c r="EN1862" s="6"/>
      <c r="EO1862" s="6"/>
      <c r="EP1862" s="6"/>
      <c r="EQ1862" s="6"/>
      <c r="ER1862" s="6"/>
      <c r="ES1862" s="6"/>
      <c r="ET1862" s="6"/>
      <c r="EU1862" s="6"/>
      <c r="EV1862" s="6"/>
      <c r="EW1862" s="6"/>
      <c r="EX1862" s="6"/>
      <c r="EY1862" s="6"/>
      <c r="EZ1862" s="6"/>
      <c r="FA1862" s="6"/>
      <c r="FB1862" s="6"/>
      <c r="FC1862" s="6"/>
      <c r="FD1862" s="6"/>
      <c r="FE1862" s="6"/>
      <c r="FF1862" s="6"/>
      <c r="FG1862" s="6"/>
      <c r="FH1862" s="6"/>
      <c r="FI1862" s="6"/>
      <c r="FJ1862" s="6"/>
      <c r="FK1862" s="6"/>
      <c r="FL1862" s="6"/>
      <c r="FM1862" s="6"/>
      <c r="FN1862" s="6"/>
      <c r="FO1862" s="6"/>
      <c r="FP1862" s="6"/>
      <c r="FQ1862" s="6"/>
      <c r="FR1862" s="6"/>
      <c r="FS1862" s="6"/>
      <c r="FT1862" s="6"/>
      <c r="FU1862" s="6"/>
      <c r="FV1862" s="6"/>
      <c r="FW1862" s="6"/>
      <c r="FX1862" s="6"/>
      <c r="FY1862" s="6"/>
      <c r="FZ1862" s="6"/>
      <c r="GA1862" s="6"/>
      <c r="GB1862" s="6"/>
      <c r="GC1862" s="6"/>
      <c r="GD1862" s="6"/>
      <c r="GE1862" s="6"/>
      <c r="GF1862" s="6"/>
      <c r="GG1862" s="6"/>
      <c r="GH1862" s="6"/>
      <c r="GI1862" s="6"/>
      <c r="GJ1862" s="6"/>
      <c r="GK1862" s="6"/>
      <c r="GL1862" s="6"/>
      <c r="GM1862" s="6"/>
      <c r="GN1862" s="6"/>
      <c r="GO1862" s="6"/>
      <c r="GP1862" s="6"/>
      <c r="GQ1862" s="6"/>
      <c r="GR1862" s="6"/>
      <c r="GS1862" s="6"/>
      <c r="GT1862" s="6"/>
      <c r="GU1862" s="6"/>
      <c r="GV1862" s="6"/>
      <c r="GW1862" s="6"/>
      <c r="GX1862" s="6"/>
      <c r="GY1862" s="6"/>
      <c r="GZ1862" s="6"/>
      <c r="HA1862" s="6"/>
      <c r="HB1862" s="6"/>
      <c r="HC1862" s="6"/>
      <c r="HD1862" s="6"/>
      <c r="HE1862" s="6"/>
      <c r="HF1862" s="6"/>
      <c r="HG1862" s="6"/>
      <c r="HH1862" s="6"/>
    </row>
    <row r="1863" spans="1:216" x14ac:dyDescent="0.3">
      <c r="A1863" s="8"/>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6"/>
      <c r="AR1863" s="6"/>
      <c r="AS1863" s="6"/>
      <c r="AT1863" s="6"/>
      <c r="AU1863" s="6"/>
      <c r="AV1863" s="6"/>
      <c r="AW1863" s="6"/>
      <c r="AX1863" s="6"/>
      <c r="AY1863" s="6"/>
      <c r="AZ1863" s="6"/>
      <c r="BA1863" s="6"/>
      <c r="BB1863" s="6"/>
      <c r="BC1863" s="6"/>
      <c r="BD1863" s="6"/>
      <c r="BE1863" s="6"/>
      <c r="BF1863" s="6"/>
      <c r="BG1863" s="6"/>
      <c r="BH1863" s="6"/>
      <c r="BI1863" s="6"/>
      <c r="BJ1863" s="6"/>
      <c r="BK1863" s="6"/>
      <c r="BL1863" s="6"/>
      <c r="BM1863" s="6"/>
      <c r="BN1863" s="6"/>
      <c r="BO1863" s="6"/>
      <c r="BP1863" s="6"/>
      <c r="BQ1863" s="6"/>
      <c r="BR1863" s="6"/>
      <c r="BS1863" s="6"/>
      <c r="BT1863" s="6"/>
      <c r="BU1863" s="6"/>
      <c r="BV1863" s="6"/>
      <c r="BW1863" s="6"/>
      <c r="BX1863" s="6"/>
      <c r="BY1863" s="6"/>
      <c r="BZ1863" s="6"/>
      <c r="CA1863" s="6"/>
      <c r="CB1863" s="6"/>
      <c r="CC1863" s="6"/>
      <c r="CD1863" s="6"/>
      <c r="CE1863" s="6"/>
      <c r="CF1863" s="6"/>
      <c r="CG1863" s="6"/>
      <c r="CH1863" s="6"/>
      <c r="CI1863" s="6"/>
      <c r="CJ1863" s="6"/>
      <c r="CK1863" s="6"/>
      <c r="CL1863" s="6"/>
      <c r="CM1863" s="6"/>
      <c r="CN1863" s="6"/>
      <c r="CO1863" s="6"/>
      <c r="CP1863" s="6"/>
      <c r="CQ1863" s="6"/>
      <c r="CR1863" s="6"/>
      <c r="CS1863" s="6"/>
      <c r="CT1863" s="6"/>
      <c r="CU1863" s="6"/>
      <c r="CV1863" s="6"/>
      <c r="CW1863" s="6"/>
      <c r="CX1863" s="6"/>
      <c r="CY1863" s="6"/>
      <c r="CZ1863" s="6"/>
      <c r="DA1863" s="6"/>
      <c r="DB1863" s="6"/>
      <c r="DC1863" s="6"/>
      <c r="DD1863" s="6"/>
      <c r="DE1863" s="6"/>
      <c r="DF1863" s="6"/>
      <c r="DG1863" s="6"/>
      <c r="DH1863" s="6"/>
      <c r="DI1863" s="6"/>
      <c r="DJ1863" s="6"/>
      <c r="DK1863" s="6"/>
      <c r="DL1863" s="6"/>
      <c r="DM1863" s="6"/>
      <c r="DN1863" s="6"/>
      <c r="DO1863" s="6"/>
      <c r="DP1863" s="6"/>
      <c r="DQ1863" s="6"/>
      <c r="DR1863" s="6"/>
      <c r="DS1863" s="6"/>
      <c r="DT1863" s="6"/>
      <c r="DU1863" s="6"/>
      <c r="DV1863" s="6"/>
      <c r="DW1863" s="6"/>
      <c r="DX1863" s="6"/>
      <c r="DY1863" s="6"/>
      <c r="DZ1863" s="6"/>
      <c r="EA1863" s="6"/>
      <c r="EB1863" s="6"/>
      <c r="EC1863" s="6"/>
      <c r="ED1863" s="6"/>
      <c r="EE1863" s="6"/>
      <c r="EF1863" s="6"/>
      <c r="EG1863" s="6"/>
      <c r="EH1863" s="6"/>
      <c r="EI1863" s="6"/>
      <c r="EJ1863" s="6"/>
      <c r="EK1863" s="6"/>
      <c r="EL1863" s="6"/>
      <c r="EM1863" s="6"/>
      <c r="EN1863" s="6"/>
      <c r="EO1863" s="6"/>
      <c r="EP1863" s="6"/>
      <c r="EQ1863" s="6"/>
      <c r="ER1863" s="6"/>
      <c r="ES1863" s="6"/>
      <c r="ET1863" s="6"/>
      <c r="EU1863" s="6"/>
      <c r="EV1863" s="6"/>
      <c r="EW1863" s="6"/>
      <c r="EX1863" s="6"/>
      <c r="EY1863" s="6"/>
      <c r="EZ1863" s="6"/>
      <c r="FA1863" s="6"/>
      <c r="FB1863" s="6"/>
      <c r="FC1863" s="6"/>
      <c r="FD1863" s="6"/>
      <c r="FE1863" s="6"/>
      <c r="FF1863" s="6"/>
      <c r="FG1863" s="6"/>
      <c r="FH1863" s="6"/>
      <c r="FI1863" s="6"/>
      <c r="FJ1863" s="6"/>
      <c r="FK1863" s="6"/>
      <c r="FL1863" s="6"/>
      <c r="FM1863" s="6"/>
      <c r="FN1863" s="6"/>
      <c r="FO1863" s="6"/>
      <c r="FP1863" s="6"/>
      <c r="FQ1863" s="6"/>
      <c r="FR1863" s="6"/>
      <c r="FS1863" s="6"/>
      <c r="FT1863" s="6"/>
      <c r="FU1863" s="6"/>
      <c r="FV1863" s="6"/>
      <c r="FW1863" s="6"/>
      <c r="FX1863" s="6"/>
      <c r="FY1863" s="6"/>
      <c r="FZ1863" s="6"/>
      <c r="GA1863" s="6"/>
      <c r="GB1863" s="6"/>
      <c r="GC1863" s="6"/>
      <c r="GD1863" s="6"/>
      <c r="GE1863" s="6"/>
      <c r="GF1863" s="6"/>
      <c r="GG1863" s="6"/>
      <c r="GH1863" s="6"/>
      <c r="GI1863" s="6"/>
      <c r="GJ1863" s="6"/>
      <c r="GK1863" s="6"/>
      <c r="GL1863" s="6"/>
      <c r="GM1863" s="6"/>
      <c r="GN1863" s="6"/>
      <c r="GO1863" s="6"/>
      <c r="GP1863" s="6"/>
      <c r="GQ1863" s="6"/>
      <c r="GR1863" s="6"/>
      <c r="GS1863" s="6"/>
      <c r="GT1863" s="6"/>
      <c r="GU1863" s="6"/>
      <c r="GV1863" s="6"/>
      <c r="GW1863" s="6"/>
      <c r="GX1863" s="6"/>
      <c r="GY1863" s="6"/>
      <c r="GZ1863" s="6"/>
      <c r="HA1863" s="6"/>
      <c r="HB1863" s="6"/>
      <c r="HC1863" s="6"/>
      <c r="HD1863" s="6"/>
      <c r="HE1863" s="6"/>
      <c r="HF1863" s="6"/>
      <c r="HG1863" s="6"/>
      <c r="HH1863" s="6"/>
    </row>
    <row r="1864" spans="1:216" x14ac:dyDescent="0.3">
      <c r="A1864" s="8"/>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6"/>
      <c r="AR1864" s="6"/>
      <c r="AS1864" s="6"/>
      <c r="AT1864" s="6"/>
      <c r="AU1864" s="6"/>
      <c r="AV1864" s="6"/>
      <c r="AW1864" s="6"/>
      <c r="AX1864" s="6"/>
      <c r="AY1864" s="6"/>
      <c r="AZ1864" s="6"/>
      <c r="BA1864" s="6"/>
      <c r="BB1864" s="6"/>
      <c r="BC1864" s="6"/>
      <c r="BD1864" s="6"/>
      <c r="BE1864" s="6"/>
      <c r="BF1864" s="6"/>
      <c r="BG1864" s="6"/>
      <c r="BH1864" s="6"/>
      <c r="BI1864" s="6"/>
      <c r="BJ1864" s="6"/>
      <c r="BK1864" s="6"/>
      <c r="BL1864" s="6"/>
      <c r="BM1864" s="6"/>
      <c r="BN1864" s="6"/>
      <c r="BO1864" s="6"/>
      <c r="BP1864" s="6"/>
      <c r="BQ1864" s="6"/>
      <c r="BR1864" s="6"/>
      <c r="BS1864" s="6"/>
      <c r="BT1864" s="6"/>
      <c r="BU1864" s="6"/>
      <c r="BV1864" s="6"/>
      <c r="BW1864" s="6"/>
      <c r="BX1864" s="6"/>
      <c r="BY1864" s="6"/>
      <c r="BZ1864" s="6"/>
      <c r="CA1864" s="6"/>
      <c r="CB1864" s="6"/>
      <c r="CC1864" s="6"/>
      <c r="CD1864" s="6"/>
      <c r="CE1864" s="6"/>
      <c r="CF1864" s="6"/>
      <c r="CG1864" s="6"/>
      <c r="CH1864" s="6"/>
      <c r="CI1864" s="6"/>
      <c r="CJ1864" s="6"/>
      <c r="CK1864" s="6"/>
      <c r="CL1864" s="6"/>
      <c r="CM1864" s="6"/>
      <c r="CN1864" s="6"/>
      <c r="CO1864" s="6"/>
      <c r="CP1864" s="6"/>
      <c r="CQ1864" s="6"/>
      <c r="CR1864" s="6"/>
      <c r="CS1864" s="6"/>
      <c r="CT1864" s="6"/>
      <c r="CU1864" s="6"/>
      <c r="CV1864" s="6"/>
      <c r="CW1864" s="6"/>
      <c r="CX1864" s="6"/>
      <c r="CY1864" s="6"/>
      <c r="CZ1864" s="6"/>
      <c r="DA1864" s="6"/>
      <c r="DB1864" s="6"/>
      <c r="DC1864" s="6"/>
      <c r="DD1864" s="6"/>
      <c r="DE1864" s="6"/>
      <c r="DF1864" s="6"/>
      <c r="DG1864" s="6"/>
      <c r="DH1864" s="6"/>
      <c r="DI1864" s="6"/>
      <c r="DJ1864" s="6"/>
      <c r="DK1864" s="6"/>
      <c r="DL1864" s="6"/>
      <c r="DM1864" s="6"/>
      <c r="DN1864" s="6"/>
      <c r="DO1864" s="6"/>
      <c r="DP1864" s="6"/>
      <c r="DQ1864" s="6"/>
      <c r="DR1864" s="6"/>
      <c r="DS1864" s="6"/>
      <c r="DT1864" s="6"/>
      <c r="DU1864" s="6"/>
      <c r="DV1864" s="6"/>
      <c r="DW1864" s="6"/>
      <c r="DX1864" s="6"/>
      <c r="DY1864" s="6"/>
      <c r="DZ1864" s="6"/>
      <c r="EA1864" s="6"/>
      <c r="EB1864" s="6"/>
      <c r="EC1864" s="6"/>
      <c r="ED1864" s="6"/>
      <c r="EE1864" s="6"/>
      <c r="EF1864" s="6"/>
      <c r="EG1864" s="6"/>
      <c r="EH1864" s="6"/>
      <c r="EI1864" s="6"/>
      <c r="EJ1864" s="6"/>
      <c r="EK1864" s="6"/>
      <c r="EL1864" s="6"/>
      <c r="EM1864" s="6"/>
      <c r="EN1864" s="6"/>
      <c r="EO1864" s="6"/>
      <c r="EP1864" s="6"/>
      <c r="EQ1864" s="6"/>
      <c r="ER1864" s="6"/>
      <c r="ES1864" s="6"/>
      <c r="ET1864" s="6"/>
      <c r="EU1864" s="6"/>
      <c r="EV1864" s="6"/>
      <c r="EW1864" s="6"/>
      <c r="EX1864" s="6"/>
      <c r="EY1864" s="6"/>
      <c r="EZ1864" s="6"/>
      <c r="FA1864" s="6"/>
      <c r="FB1864" s="6"/>
      <c r="FC1864" s="6"/>
      <c r="FD1864" s="6"/>
      <c r="FE1864" s="6"/>
      <c r="FF1864" s="6"/>
      <c r="FG1864" s="6"/>
      <c r="FH1864" s="6"/>
      <c r="FI1864" s="6"/>
      <c r="FJ1864" s="6"/>
      <c r="FK1864" s="6"/>
      <c r="FL1864" s="6"/>
      <c r="FM1864" s="6"/>
      <c r="FN1864" s="6"/>
      <c r="FO1864" s="6"/>
      <c r="FP1864" s="6"/>
      <c r="FQ1864" s="6"/>
      <c r="FR1864" s="6"/>
      <c r="FS1864" s="6"/>
      <c r="FT1864" s="6"/>
      <c r="FU1864" s="6"/>
      <c r="FV1864" s="6"/>
      <c r="FW1864" s="6"/>
      <c r="FX1864" s="6"/>
      <c r="FY1864" s="6"/>
      <c r="FZ1864" s="6"/>
      <c r="GA1864" s="6"/>
      <c r="GB1864" s="6"/>
      <c r="GC1864" s="6"/>
      <c r="GD1864" s="6"/>
      <c r="GE1864" s="6"/>
      <c r="GF1864" s="6"/>
      <c r="GG1864" s="6"/>
      <c r="GH1864" s="6"/>
      <c r="GI1864" s="6"/>
      <c r="GJ1864" s="6"/>
      <c r="GK1864" s="6"/>
      <c r="GL1864" s="6"/>
      <c r="GM1864" s="6"/>
      <c r="GN1864" s="6"/>
      <c r="GO1864" s="6"/>
      <c r="GP1864" s="6"/>
      <c r="GQ1864" s="6"/>
      <c r="GR1864" s="6"/>
      <c r="GS1864" s="6"/>
      <c r="GT1864" s="6"/>
      <c r="GU1864" s="6"/>
      <c r="GV1864" s="6"/>
      <c r="GW1864" s="6"/>
      <c r="GX1864" s="6"/>
      <c r="GY1864" s="6"/>
      <c r="GZ1864" s="6"/>
      <c r="HA1864" s="6"/>
      <c r="HB1864" s="6"/>
      <c r="HC1864" s="6"/>
      <c r="HD1864" s="6"/>
      <c r="HE1864" s="6"/>
      <c r="HF1864" s="6"/>
      <c r="HG1864" s="6"/>
      <c r="HH1864" s="6"/>
    </row>
    <row r="1865" spans="1:216" x14ac:dyDescent="0.3">
      <c r="A1865" s="8"/>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6"/>
      <c r="AR1865" s="6"/>
      <c r="AS1865" s="6"/>
      <c r="AT1865" s="6"/>
      <c r="AU1865" s="6"/>
      <c r="AV1865" s="6"/>
      <c r="AW1865" s="6"/>
      <c r="AX1865" s="6"/>
      <c r="AY1865" s="6"/>
      <c r="AZ1865" s="6"/>
      <c r="BA1865" s="6"/>
      <c r="BB1865" s="6"/>
      <c r="BC1865" s="6"/>
      <c r="BD1865" s="6"/>
      <c r="BE1865" s="6"/>
      <c r="BF1865" s="6"/>
      <c r="BG1865" s="6"/>
      <c r="BH1865" s="6"/>
      <c r="BI1865" s="6"/>
      <c r="BJ1865" s="6"/>
      <c r="BK1865" s="6"/>
      <c r="BL1865" s="6"/>
      <c r="BM1865" s="6"/>
      <c r="BN1865" s="6"/>
      <c r="BO1865" s="6"/>
      <c r="BP1865" s="6"/>
      <c r="BQ1865" s="6"/>
      <c r="BR1865" s="6"/>
      <c r="BS1865" s="6"/>
      <c r="BT1865" s="6"/>
      <c r="BU1865" s="6"/>
      <c r="BV1865" s="6"/>
      <c r="BW1865" s="6"/>
      <c r="BX1865" s="6"/>
      <c r="BY1865" s="6"/>
      <c r="BZ1865" s="6"/>
      <c r="CA1865" s="6"/>
      <c r="CB1865" s="6"/>
      <c r="CC1865" s="6"/>
      <c r="CD1865" s="6"/>
      <c r="CE1865" s="6"/>
      <c r="CF1865" s="6"/>
      <c r="CG1865" s="6"/>
      <c r="CH1865" s="6"/>
      <c r="CI1865" s="6"/>
      <c r="CJ1865" s="6"/>
      <c r="CK1865" s="6"/>
      <c r="CL1865" s="6"/>
      <c r="CM1865" s="6"/>
      <c r="CN1865" s="6"/>
      <c r="CO1865" s="6"/>
      <c r="CP1865" s="6"/>
      <c r="CQ1865" s="6"/>
      <c r="CR1865" s="6"/>
      <c r="CS1865" s="6"/>
      <c r="CT1865" s="6"/>
      <c r="CU1865" s="6"/>
      <c r="CV1865" s="6"/>
      <c r="CW1865" s="6"/>
      <c r="CX1865" s="6"/>
      <c r="CY1865" s="6"/>
      <c r="CZ1865" s="6"/>
      <c r="DA1865" s="6"/>
      <c r="DB1865" s="6"/>
      <c r="DC1865" s="6"/>
      <c r="DD1865" s="6"/>
      <c r="DE1865" s="6"/>
      <c r="DF1865" s="6"/>
      <c r="DG1865" s="6"/>
      <c r="DH1865" s="6"/>
      <c r="DI1865" s="6"/>
      <c r="DJ1865" s="6"/>
      <c r="DK1865" s="6"/>
      <c r="DL1865" s="6"/>
      <c r="DM1865" s="6"/>
      <c r="DN1865" s="6"/>
      <c r="DO1865" s="6"/>
      <c r="DP1865" s="6"/>
      <c r="DQ1865" s="6"/>
      <c r="DR1865" s="6"/>
      <c r="DS1865" s="6"/>
      <c r="DT1865" s="6"/>
      <c r="DU1865" s="6"/>
      <c r="DV1865" s="6"/>
      <c r="DW1865" s="6"/>
      <c r="DX1865" s="6"/>
      <c r="DY1865" s="6"/>
      <c r="DZ1865" s="6"/>
      <c r="EA1865" s="6"/>
      <c r="EB1865" s="6"/>
      <c r="EC1865" s="6"/>
      <c r="ED1865" s="6"/>
      <c r="EE1865" s="6"/>
      <c r="EF1865" s="6"/>
      <c r="EG1865" s="6"/>
      <c r="EH1865" s="6"/>
      <c r="EI1865" s="6"/>
      <c r="EJ1865" s="6"/>
      <c r="EK1865" s="6"/>
      <c r="EL1865" s="6"/>
      <c r="EM1865" s="6"/>
      <c r="EN1865" s="6"/>
      <c r="EO1865" s="6"/>
      <c r="EP1865" s="6"/>
      <c r="EQ1865" s="6"/>
      <c r="ER1865" s="6"/>
      <c r="ES1865" s="6"/>
      <c r="ET1865" s="6"/>
      <c r="EU1865" s="6"/>
      <c r="EV1865" s="6"/>
      <c r="EW1865" s="6"/>
      <c r="EX1865" s="6"/>
      <c r="EY1865" s="6"/>
      <c r="EZ1865" s="6"/>
      <c r="FA1865" s="6"/>
      <c r="FB1865" s="6"/>
      <c r="FC1865" s="6"/>
      <c r="FD1865" s="6"/>
      <c r="FE1865" s="6"/>
      <c r="FF1865" s="6"/>
      <c r="FG1865" s="6"/>
      <c r="FH1865" s="6"/>
      <c r="FI1865" s="6"/>
      <c r="FJ1865" s="6"/>
      <c r="FK1865" s="6"/>
      <c r="FL1865" s="6"/>
      <c r="FM1865" s="6"/>
      <c r="FN1865" s="6"/>
      <c r="FO1865" s="6"/>
      <c r="FP1865" s="6"/>
      <c r="FQ1865" s="6"/>
      <c r="FR1865" s="6"/>
      <c r="FS1865" s="6"/>
      <c r="FT1865" s="6"/>
      <c r="FU1865" s="6"/>
      <c r="FV1865" s="6"/>
      <c r="FW1865" s="6"/>
      <c r="FX1865" s="6"/>
      <c r="FY1865" s="6"/>
      <c r="FZ1865" s="6"/>
      <c r="GA1865" s="6"/>
      <c r="GB1865" s="6"/>
      <c r="GC1865" s="6"/>
      <c r="GD1865" s="6"/>
      <c r="GE1865" s="6"/>
      <c r="GF1865" s="6"/>
      <c r="GG1865" s="6"/>
      <c r="GH1865" s="6"/>
      <c r="GI1865" s="6"/>
      <c r="GJ1865" s="6"/>
      <c r="GK1865" s="6"/>
      <c r="GL1865" s="6"/>
      <c r="GM1865" s="6"/>
      <c r="GN1865" s="6"/>
      <c r="GO1865" s="6"/>
      <c r="GP1865" s="6"/>
      <c r="GQ1865" s="6"/>
      <c r="GR1865" s="6"/>
      <c r="GS1865" s="6"/>
      <c r="GT1865" s="6"/>
      <c r="GU1865" s="6"/>
      <c r="GV1865" s="6"/>
      <c r="GW1865" s="6"/>
      <c r="GX1865" s="6"/>
      <c r="GY1865" s="6"/>
      <c r="GZ1865" s="6"/>
      <c r="HA1865" s="6"/>
      <c r="HB1865" s="6"/>
      <c r="HC1865" s="6"/>
      <c r="HD1865" s="6"/>
      <c r="HE1865" s="6"/>
      <c r="HF1865" s="6"/>
      <c r="HG1865" s="6"/>
      <c r="HH1865" s="6"/>
    </row>
    <row r="1866" spans="1:216" x14ac:dyDescent="0.3">
      <c r="A1866" s="8"/>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c r="DX1866" s="6"/>
      <c r="DY1866" s="6"/>
      <c r="DZ1866" s="6"/>
      <c r="EA1866" s="6"/>
      <c r="EB1866" s="6"/>
      <c r="EC1866" s="6"/>
      <c r="ED1866" s="6"/>
      <c r="EE1866" s="6"/>
      <c r="EF1866" s="6"/>
      <c r="EG1866" s="6"/>
      <c r="EH1866" s="6"/>
      <c r="EI1866" s="6"/>
      <c r="EJ1866" s="6"/>
      <c r="EK1866" s="6"/>
      <c r="EL1866" s="6"/>
      <c r="EM1866" s="6"/>
      <c r="EN1866" s="6"/>
      <c r="EO1866" s="6"/>
      <c r="EP1866" s="6"/>
      <c r="EQ1866" s="6"/>
      <c r="ER1866" s="6"/>
      <c r="ES1866" s="6"/>
      <c r="ET1866" s="6"/>
      <c r="EU1866" s="6"/>
      <c r="EV1866" s="6"/>
      <c r="EW1866" s="6"/>
      <c r="EX1866" s="6"/>
      <c r="EY1866" s="6"/>
      <c r="EZ1866" s="6"/>
      <c r="FA1866" s="6"/>
      <c r="FB1866" s="6"/>
      <c r="FC1866" s="6"/>
      <c r="FD1866" s="6"/>
      <c r="FE1866" s="6"/>
      <c r="FF1866" s="6"/>
      <c r="FG1866" s="6"/>
      <c r="FH1866" s="6"/>
      <c r="FI1866" s="6"/>
      <c r="FJ1866" s="6"/>
      <c r="FK1866" s="6"/>
      <c r="FL1866" s="6"/>
      <c r="FM1866" s="6"/>
      <c r="FN1866" s="6"/>
      <c r="FO1866" s="6"/>
      <c r="FP1866" s="6"/>
      <c r="FQ1866" s="6"/>
      <c r="FR1866" s="6"/>
      <c r="FS1866" s="6"/>
      <c r="FT1866" s="6"/>
      <c r="FU1866" s="6"/>
      <c r="FV1866" s="6"/>
      <c r="FW1866" s="6"/>
      <c r="FX1866" s="6"/>
      <c r="FY1866" s="6"/>
      <c r="FZ1866" s="6"/>
      <c r="GA1866" s="6"/>
      <c r="GB1866" s="6"/>
      <c r="GC1866" s="6"/>
      <c r="GD1866" s="6"/>
      <c r="GE1866" s="6"/>
      <c r="GF1866" s="6"/>
      <c r="GG1866" s="6"/>
      <c r="GH1866" s="6"/>
      <c r="GI1866" s="6"/>
      <c r="GJ1866" s="6"/>
      <c r="GK1866" s="6"/>
      <c r="GL1866" s="6"/>
      <c r="GM1866" s="6"/>
      <c r="GN1866" s="6"/>
      <c r="GO1866" s="6"/>
      <c r="GP1866" s="6"/>
      <c r="GQ1866" s="6"/>
      <c r="GR1866" s="6"/>
      <c r="GS1866" s="6"/>
      <c r="GT1866" s="6"/>
      <c r="GU1866" s="6"/>
      <c r="GV1866" s="6"/>
      <c r="GW1866" s="6"/>
      <c r="GX1866" s="6"/>
      <c r="GY1866" s="6"/>
      <c r="GZ1866" s="6"/>
      <c r="HA1866" s="6"/>
      <c r="HB1866" s="6"/>
      <c r="HC1866" s="6"/>
      <c r="HD1866" s="6"/>
      <c r="HE1866" s="6"/>
      <c r="HF1866" s="6"/>
      <c r="HG1866" s="6"/>
      <c r="HH1866" s="6"/>
    </row>
    <row r="1867" spans="1:216" x14ac:dyDescent="0.3">
      <c r="A1867" s="8"/>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6"/>
      <c r="AR1867" s="6"/>
      <c r="AS1867" s="6"/>
      <c r="AT1867" s="6"/>
      <c r="AU1867" s="6"/>
      <c r="AV1867" s="6"/>
      <c r="AW1867" s="6"/>
      <c r="AX1867" s="6"/>
      <c r="AY1867" s="6"/>
      <c r="AZ1867" s="6"/>
      <c r="BA1867" s="6"/>
      <c r="BB1867" s="6"/>
      <c r="BC1867" s="6"/>
      <c r="BD1867" s="6"/>
      <c r="BE1867" s="6"/>
      <c r="BF1867" s="6"/>
      <c r="BG1867" s="6"/>
      <c r="BH1867" s="6"/>
      <c r="BI1867" s="6"/>
      <c r="BJ1867" s="6"/>
      <c r="BK1867" s="6"/>
      <c r="BL1867" s="6"/>
      <c r="BM1867" s="6"/>
      <c r="BN1867" s="6"/>
      <c r="BO1867" s="6"/>
      <c r="BP1867" s="6"/>
      <c r="BQ1867" s="6"/>
      <c r="BR1867" s="6"/>
      <c r="BS1867" s="6"/>
      <c r="BT1867" s="6"/>
      <c r="BU1867" s="6"/>
      <c r="BV1867" s="6"/>
      <c r="BW1867" s="6"/>
      <c r="BX1867" s="6"/>
      <c r="BY1867" s="6"/>
      <c r="BZ1867" s="6"/>
      <c r="CA1867" s="6"/>
      <c r="CB1867" s="6"/>
      <c r="CC1867" s="6"/>
      <c r="CD1867" s="6"/>
      <c r="CE1867" s="6"/>
      <c r="CF1867" s="6"/>
      <c r="CG1867" s="6"/>
      <c r="CH1867" s="6"/>
      <c r="CI1867" s="6"/>
      <c r="CJ1867" s="6"/>
      <c r="CK1867" s="6"/>
      <c r="CL1867" s="6"/>
      <c r="CM1867" s="6"/>
      <c r="CN1867" s="6"/>
      <c r="CO1867" s="6"/>
      <c r="CP1867" s="6"/>
      <c r="CQ1867" s="6"/>
      <c r="CR1867" s="6"/>
      <c r="CS1867" s="6"/>
      <c r="CT1867" s="6"/>
      <c r="CU1867" s="6"/>
      <c r="CV1867" s="6"/>
      <c r="CW1867" s="6"/>
      <c r="CX1867" s="6"/>
      <c r="CY1867" s="6"/>
      <c r="CZ1867" s="6"/>
      <c r="DA1867" s="6"/>
      <c r="DB1867" s="6"/>
      <c r="DC1867" s="6"/>
      <c r="DD1867" s="6"/>
      <c r="DE1867" s="6"/>
      <c r="DF1867" s="6"/>
      <c r="DG1867" s="6"/>
      <c r="DH1867" s="6"/>
      <c r="DI1867" s="6"/>
      <c r="DJ1867" s="6"/>
      <c r="DK1867" s="6"/>
      <c r="DL1867" s="6"/>
      <c r="DM1867" s="6"/>
      <c r="DN1867" s="6"/>
      <c r="DO1867" s="6"/>
      <c r="DP1867" s="6"/>
      <c r="DQ1867" s="6"/>
      <c r="DR1867" s="6"/>
      <c r="DS1867" s="6"/>
      <c r="DT1867" s="6"/>
      <c r="DU1867" s="6"/>
      <c r="DV1867" s="6"/>
      <c r="DW1867" s="6"/>
      <c r="DX1867" s="6"/>
      <c r="DY1867" s="6"/>
      <c r="DZ1867" s="6"/>
      <c r="EA1867" s="6"/>
      <c r="EB1867" s="6"/>
      <c r="EC1867" s="6"/>
      <c r="ED1867" s="6"/>
      <c r="EE1867" s="6"/>
      <c r="EF1867" s="6"/>
      <c r="EG1867" s="6"/>
      <c r="EH1867" s="6"/>
      <c r="EI1867" s="6"/>
      <c r="EJ1867" s="6"/>
      <c r="EK1867" s="6"/>
      <c r="EL1867" s="6"/>
      <c r="EM1867" s="6"/>
      <c r="EN1867" s="6"/>
      <c r="EO1867" s="6"/>
      <c r="EP1867" s="6"/>
      <c r="EQ1867" s="6"/>
      <c r="ER1867" s="6"/>
      <c r="ES1867" s="6"/>
      <c r="ET1867" s="6"/>
      <c r="EU1867" s="6"/>
      <c r="EV1867" s="6"/>
      <c r="EW1867" s="6"/>
      <c r="EX1867" s="6"/>
      <c r="EY1867" s="6"/>
      <c r="EZ1867" s="6"/>
      <c r="FA1867" s="6"/>
      <c r="FB1867" s="6"/>
      <c r="FC1867" s="6"/>
      <c r="FD1867" s="6"/>
      <c r="FE1867" s="6"/>
      <c r="FF1867" s="6"/>
      <c r="FG1867" s="6"/>
      <c r="FH1867" s="6"/>
      <c r="FI1867" s="6"/>
      <c r="FJ1867" s="6"/>
      <c r="FK1867" s="6"/>
      <c r="FL1867" s="6"/>
      <c r="FM1867" s="6"/>
      <c r="FN1867" s="6"/>
      <c r="FO1867" s="6"/>
      <c r="FP1867" s="6"/>
      <c r="FQ1867" s="6"/>
      <c r="FR1867" s="6"/>
      <c r="FS1867" s="6"/>
      <c r="FT1867" s="6"/>
      <c r="FU1867" s="6"/>
      <c r="FV1867" s="6"/>
      <c r="FW1867" s="6"/>
      <c r="FX1867" s="6"/>
      <c r="FY1867" s="6"/>
      <c r="FZ1867" s="6"/>
      <c r="GA1867" s="6"/>
      <c r="GB1867" s="6"/>
      <c r="GC1867" s="6"/>
      <c r="GD1867" s="6"/>
      <c r="GE1867" s="6"/>
      <c r="GF1867" s="6"/>
      <c r="GG1867" s="6"/>
      <c r="GH1867" s="6"/>
      <c r="GI1867" s="6"/>
      <c r="GJ1867" s="6"/>
      <c r="GK1867" s="6"/>
      <c r="GL1867" s="6"/>
      <c r="GM1867" s="6"/>
      <c r="GN1867" s="6"/>
      <c r="GO1867" s="6"/>
      <c r="GP1867" s="6"/>
      <c r="GQ1867" s="6"/>
      <c r="GR1867" s="6"/>
      <c r="GS1867" s="6"/>
      <c r="GT1867" s="6"/>
      <c r="GU1867" s="6"/>
      <c r="GV1867" s="6"/>
      <c r="GW1867" s="6"/>
      <c r="GX1867" s="6"/>
      <c r="GY1867" s="6"/>
      <c r="GZ1867" s="6"/>
      <c r="HA1867" s="6"/>
      <c r="HB1867" s="6"/>
      <c r="HC1867" s="6"/>
      <c r="HD1867" s="6"/>
      <c r="HE1867" s="6"/>
      <c r="HF1867" s="6"/>
      <c r="HG1867" s="6"/>
      <c r="HH1867" s="6"/>
    </row>
    <row r="1868" spans="1:216" x14ac:dyDescent="0.3">
      <c r="A1868" s="8"/>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6"/>
      <c r="AR1868" s="6"/>
      <c r="AS1868" s="6"/>
      <c r="AT1868" s="6"/>
      <c r="AU1868" s="6"/>
      <c r="AV1868" s="6"/>
      <c r="AW1868" s="6"/>
      <c r="AX1868" s="6"/>
      <c r="AY1868" s="6"/>
      <c r="AZ1868" s="6"/>
      <c r="BA1868" s="6"/>
      <c r="BB1868" s="6"/>
      <c r="BC1868" s="6"/>
      <c r="BD1868" s="6"/>
      <c r="BE1868" s="6"/>
      <c r="BF1868" s="6"/>
      <c r="BG1868" s="6"/>
      <c r="BH1868" s="6"/>
      <c r="BI1868" s="6"/>
      <c r="BJ1868" s="6"/>
      <c r="BK1868" s="6"/>
      <c r="BL1868" s="6"/>
      <c r="BM1868" s="6"/>
      <c r="BN1868" s="6"/>
      <c r="BO1868" s="6"/>
      <c r="BP1868" s="6"/>
      <c r="BQ1868" s="6"/>
      <c r="BR1868" s="6"/>
      <c r="BS1868" s="6"/>
      <c r="BT1868" s="6"/>
      <c r="BU1868" s="6"/>
      <c r="BV1868" s="6"/>
      <c r="BW1868" s="6"/>
      <c r="BX1868" s="6"/>
      <c r="BY1868" s="6"/>
      <c r="BZ1868" s="6"/>
      <c r="CA1868" s="6"/>
      <c r="CB1868" s="6"/>
      <c r="CC1868" s="6"/>
      <c r="CD1868" s="6"/>
      <c r="CE1868" s="6"/>
      <c r="CF1868" s="6"/>
      <c r="CG1868" s="6"/>
      <c r="CH1868" s="6"/>
      <c r="CI1868" s="6"/>
      <c r="CJ1868" s="6"/>
      <c r="CK1868" s="6"/>
      <c r="CL1868" s="6"/>
      <c r="CM1868" s="6"/>
      <c r="CN1868" s="6"/>
      <c r="CO1868" s="6"/>
      <c r="CP1868" s="6"/>
      <c r="CQ1868" s="6"/>
      <c r="CR1868" s="6"/>
      <c r="CS1868" s="6"/>
      <c r="CT1868" s="6"/>
      <c r="CU1868" s="6"/>
      <c r="CV1868" s="6"/>
      <c r="CW1868" s="6"/>
      <c r="CX1868" s="6"/>
      <c r="CY1868" s="6"/>
      <c r="CZ1868" s="6"/>
      <c r="DA1868" s="6"/>
      <c r="DB1868" s="6"/>
      <c r="DC1868" s="6"/>
      <c r="DD1868" s="6"/>
      <c r="DE1868" s="6"/>
      <c r="DF1868" s="6"/>
      <c r="DG1868" s="6"/>
      <c r="DH1868" s="6"/>
      <c r="DI1868" s="6"/>
      <c r="DJ1868" s="6"/>
      <c r="DK1868" s="6"/>
      <c r="DL1868" s="6"/>
      <c r="DM1868" s="6"/>
      <c r="DN1868" s="6"/>
      <c r="DO1868" s="6"/>
      <c r="DP1868" s="6"/>
      <c r="DQ1868" s="6"/>
      <c r="DR1868" s="6"/>
      <c r="DS1868" s="6"/>
      <c r="DT1868" s="6"/>
      <c r="DU1868" s="6"/>
      <c r="DV1868" s="6"/>
      <c r="DW1868" s="6"/>
      <c r="DX1868" s="6"/>
      <c r="DY1868" s="6"/>
      <c r="DZ1868" s="6"/>
      <c r="EA1868" s="6"/>
      <c r="EB1868" s="6"/>
      <c r="EC1868" s="6"/>
      <c r="ED1868" s="6"/>
      <c r="EE1868" s="6"/>
      <c r="EF1868" s="6"/>
      <c r="EG1868" s="6"/>
      <c r="EH1868" s="6"/>
      <c r="EI1868" s="6"/>
      <c r="EJ1868" s="6"/>
      <c r="EK1868" s="6"/>
      <c r="EL1868" s="6"/>
      <c r="EM1868" s="6"/>
      <c r="EN1868" s="6"/>
      <c r="EO1868" s="6"/>
      <c r="EP1868" s="6"/>
      <c r="EQ1868" s="6"/>
      <c r="ER1868" s="6"/>
      <c r="ES1868" s="6"/>
      <c r="ET1868" s="6"/>
      <c r="EU1868" s="6"/>
      <c r="EV1868" s="6"/>
      <c r="EW1868" s="6"/>
      <c r="EX1868" s="6"/>
      <c r="EY1868" s="6"/>
      <c r="EZ1868" s="6"/>
      <c r="FA1868" s="6"/>
      <c r="FB1868" s="6"/>
      <c r="FC1868" s="6"/>
      <c r="FD1868" s="6"/>
      <c r="FE1868" s="6"/>
      <c r="FF1868" s="6"/>
      <c r="FG1868" s="6"/>
      <c r="FH1868" s="6"/>
      <c r="FI1868" s="6"/>
      <c r="FJ1868" s="6"/>
      <c r="FK1868" s="6"/>
      <c r="FL1868" s="6"/>
      <c r="FM1868" s="6"/>
      <c r="FN1868" s="6"/>
      <c r="FO1868" s="6"/>
      <c r="FP1868" s="6"/>
      <c r="FQ1868" s="6"/>
      <c r="FR1868" s="6"/>
      <c r="FS1868" s="6"/>
      <c r="FT1868" s="6"/>
      <c r="FU1868" s="6"/>
      <c r="FV1868" s="6"/>
      <c r="FW1868" s="6"/>
      <c r="FX1868" s="6"/>
      <c r="FY1868" s="6"/>
      <c r="FZ1868" s="6"/>
      <c r="GA1868" s="6"/>
      <c r="GB1868" s="6"/>
      <c r="GC1868" s="6"/>
      <c r="GD1868" s="6"/>
      <c r="GE1868" s="6"/>
      <c r="GF1868" s="6"/>
      <c r="GG1868" s="6"/>
      <c r="GH1868" s="6"/>
      <c r="GI1868" s="6"/>
      <c r="GJ1868" s="6"/>
      <c r="GK1868" s="6"/>
      <c r="GL1868" s="6"/>
      <c r="GM1868" s="6"/>
      <c r="GN1868" s="6"/>
      <c r="GO1868" s="6"/>
      <c r="GP1868" s="6"/>
      <c r="GQ1868" s="6"/>
      <c r="GR1868" s="6"/>
      <c r="GS1868" s="6"/>
      <c r="GT1868" s="6"/>
      <c r="GU1868" s="6"/>
      <c r="GV1868" s="6"/>
      <c r="GW1868" s="6"/>
      <c r="GX1868" s="6"/>
      <c r="GY1868" s="6"/>
      <c r="GZ1868" s="6"/>
      <c r="HA1868" s="6"/>
      <c r="HB1868" s="6"/>
      <c r="HC1868" s="6"/>
      <c r="HD1868" s="6"/>
      <c r="HE1868" s="6"/>
      <c r="HF1868" s="6"/>
      <c r="HG1868" s="6"/>
      <c r="HH1868" s="6"/>
    </row>
    <row r="1869" spans="1:216" x14ac:dyDescent="0.3">
      <c r="A1869" s="8"/>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6"/>
      <c r="AR1869" s="6"/>
      <c r="AS1869" s="6"/>
      <c r="AT1869" s="6"/>
      <c r="AU1869" s="6"/>
      <c r="AV1869" s="6"/>
      <c r="AW1869" s="6"/>
      <c r="AX1869" s="6"/>
      <c r="AY1869" s="6"/>
      <c r="AZ1869" s="6"/>
      <c r="BA1869" s="6"/>
      <c r="BB1869" s="6"/>
      <c r="BC1869" s="6"/>
      <c r="BD1869" s="6"/>
      <c r="BE1869" s="6"/>
      <c r="BF1869" s="6"/>
      <c r="BG1869" s="6"/>
      <c r="BH1869" s="6"/>
      <c r="BI1869" s="6"/>
      <c r="BJ1869" s="6"/>
      <c r="BK1869" s="6"/>
      <c r="BL1869" s="6"/>
      <c r="BM1869" s="6"/>
      <c r="BN1869" s="6"/>
      <c r="BO1869" s="6"/>
      <c r="BP1869" s="6"/>
      <c r="BQ1869" s="6"/>
      <c r="BR1869" s="6"/>
      <c r="BS1869" s="6"/>
      <c r="BT1869" s="6"/>
      <c r="BU1869" s="6"/>
      <c r="BV1869" s="6"/>
      <c r="BW1869" s="6"/>
      <c r="BX1869" s="6"/>
      <c r="BY1869" s="6"/>
      <c r="BZ1869" s="6"/>
      <c r="CA1869" s="6"/>
      <c r="CB1869" s="6"/>
      <c r="CC1869" s="6"/>
      <c r="CD1869" s="6"/>
      <c r="CE1869" s="6"/>
      <c r="CF1869" s="6"/>
      <c r="CG1869" s="6"/>
      <c r="CH1869" s="6"/>
      <c r="CI1869" s="6"/>
      <c r="CJ1869" s="6"/>
      <c r="CK1869" s="6"/>
      <c r="CL1869" s="6"/>
      <c r="CM1869" s="6"/>
      <c r="CN1869" s="6"/>
      <c r="CO1869" s="6"/>
      <c r="CP1869" s="6"/>
      <c r="CQ1869" s="6"/>
      <c r="CR1869" s="6"/>
      <c r="CS1869" s="6"/>
      <c r="CT1869" s="6"/>
      <c r="CU1869" s="6"/>
      <c r="CV1869" s="6"/>
      <c r="CW1869" s="6"/>
      <c r="CX1869" s="6"/>
      <c r="CY1869" s="6"/>
      <c r="CZ1869" s="6"/>
      <c r="DA1869" s="6"/>
      <c r="DB1869" s="6"/>
      <c r="DC1869" s="6"/>
      <c r="DD1869" s="6"/>
      <c r="DE1869" s="6"/>
      <c r="DF1869" s="6"/>
      <c r="DG1869" s="6"/>
      <c r="DH1869" s="6"/>
      <c r="DI1869" s="6"/>
      <c r="DJ1869" s="6"/>
      <c r="DK1869" s="6"/>
      <c r="DL1869" s="6"/>
      <c r="DM1869" s="6"/>
      <c r="DN1869" s="6"/>
      <c r="DO1869" s="6"/>
      <c r="DP1869" s="6"/>
      <c r="DQ1869" s="6"/>
      <c r="DR1869" s="6"/>
      <c r="DS1869" s="6"/>
      <c r="DT1869" s="6"/>
      <c r="DU1869" s="6"/>
      <c r="DV1869" s="6"/>
      <c r="DW1869" s="6"/>
      <c r="DX1869" s="6"/>
      <c r="DY1869" s="6"/>
      <c r="DZ1869" s="6"/>
      <c r="EA1869" s="6"/>
      <c r="EB1869" s="6"/>
      <c r="EC1869" s="6"/>
      <c r="ED1869" s="6"/>
      <c r="EE1869" s="6"/>
      <c r="EF1869" s="6"/>
      <c r="EG1869" s="6"/>
      <c r="EH1869" s="6"/>
      <c r="EI1869" s="6"/>
      <c r="EJ1869" s="6"/>
      <c r="EK1869" s="6"/>
      <c r="EL1869" s="6"/>
      <c r="EM1869" s="6"/>
      <c r="EN1869" s="6"/>
      <c r="EO1869" s="6"/>
      <c r="EP1869" s="6"/>
      <c r="EQ1869" s="6"/>
      <c r="ER1869" s="6"/>
      <c r="ES1869" s="6"/>
      <c r="ET1869" s="6"/>
      <c r="EU1869" s="6"/>
      <c r="EV1869" s="6"/>
      <c r="EW1869" s="6"/>
      <c r="EX1869" s="6"/>
      <c r="EY1869" s="6"/>
      <c r="EZ1869" s="6"/>
      <c r="FA1869" s="6"/>
      <c r="FB1869" s="6"/>
      <c r="FC1869" s="6"/>
      <c r="FD1869" s="6"/>
      <c r="FE1869" s="6"/>
      <c r="FF1869" s="6"/>
      <c r="FG1869" s="6"/>
      <c r="FH1869" s="6"/>
      <c r="FI1869" s="6"/>
      <c r="FJ1869" s="6"/>
      <c r="FK1869" s="6"/>
      <c r="FL1869" s="6"/>
      <c r="FM1869" s="6"/>
      <c r="FN1869" s="6"/>
      <c r="FO1869" s="6"/>
      <c r="FP1869" s="6"/>
      <c r="FQ1869" s="6"/>
      <c r="FR1869" s="6"/>
      <c r="FS1869" s="6"/>
      <c r="FT1869" s="6"/>
      <c r="FU1869" s="6"/>
      <c r="FV1869" s="6"/>
      <c r="FW1869" s="6"/>
      <c r="FX1869" s="6"/>
      <c r="FY1869" s="6"/>
      <c r="FZ1869" s="6"/>
      <c r="GA1869" s="6"/>
      <c r="GB1869" s="6"/>
      <c r="GC1869" s="6"/>
      <c r="GD1869" s="6"/>
      <c r="GE1869" s="6"/>
      <c r="GF1869" s="6"/>
      <c r="GG1869" s="6"/>
      <c r="GH1869" s="6"/>
      <c r="GI1869" s="6"/>
      <c r="GJ1869" s="6"/>
      <c r="GK1869" s="6"/>
      <c r="GL1869" s="6"/>
      <c r="GM1869" s="6"/>
      <c r="GN1869" s="6"/>
      <c r="GO1869" s="6"/>
      <c r="GP1869" s="6"/>
      <c r="GQ1869" s="6"/>
      <c r="GR1869" s="6"/>
      <c r="GS1869" s="6"/>
      <c r="GT1869" s="6"/>
      <c r="GU1869" s="6"/>
      <c r="GV1869" s="6"/>
      <c r="GW1869" s="6"/>
      <c r="GX1869" s="6"/>
      <c r="GY1869" s="6"/>
      <c r="GZ1869" s="6"/>
      <c r="HA1869" s="6"/>
      <c r="HB1869" s="6"/>
      <c r="HC1869" s="6"/>
      <c r="HD1869" s="6"/>
      <c r="HE1869" s="6"/>
      <c r="HF1869" s="6"/>
      <c r="HG1869" s="6"/>
      <c r="HH1869" s="6"/>
    </row>
    <row r="1870" spans="1:216" x14ac:dyDescent="0.3">
      <c r="A1870" s="8"/>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6"/>
      <c r="AR1870" s="6"/>
      <c r="AS1870" s="6"/>
      <c r="AT1870" s="6"/>
      <c r="AU1870" s="6"/>
      <c r="AV1870" s="6"/>
      <c r="AW1870" s="6"/>
      <c r="AX1870" s="6"/>
      <c r="AY1870" s="6"/>
      <c r="AZ1870" s="6"/>
      <c r="BA1870" s="6"/>
      <c r="BB1870" s="6"/>
      <c r="BC1870" s="6"/>
      <c r="BD1870" s="6"/>
      <c r="BE1870" s="6"/>
      <c r="BF1870" s="6"/>
      <c r="BG1870" s="6"/>
      <c r="BH1870" s="6"/>
      <c r="BI1870" s="6"/>
      <c r="BJ1870" s="6"/>
      <c r="BK1870" s="6"/>
      <c r="BL1870" s="6"/>
      <c r="BM1870" s="6"/>
      <c r="BN1870" s="6"/>
      <c r="BO1870" s="6"/>
      <c r="BP1870" s="6"/>
      <c r="BQ1870" s="6"/>
      <c r="BR1870" s="6"/>
      <c r="BS1870" s="6"/>
      <c r="BT1870" s="6"/>
      <c r="BU1870" s="6"/>
      <c r="BV1870" s="6"/>
      <c r="BW1870" s="6"/>
      <c r="BX1870" s="6"/>
      <c r="BY1870" s="6"/>
      <c r="BZ1870" s="6"/>
      <c r="CA1870" s="6"/>
      <c r="CB1870" s="6"/>
      <c r="CC1870" s="6"/>
      <c r="CD1870" s="6"/>
      <c r="CE1870" s="6"/>
      <c r="CF1870" s="6"/>
      <c r="CG1870" s="6"/>
      <c r="CH1870" s="6"/>
      <c r="CI1870" s="6"/>
      <c r="CJ1870" s="6"/>
      <c r="CK1870" s="6"/>
      <c r="CL1870" s="6"/>
      <c r="CM1870" s="6"/>
      <c r="CN1870" s="6"/>
      <c r="CO1870" s="6"/>
      <c r="CP1870" s="6"/>
      <c r="CQ1870" s="6"/>
      <c r="CR1870" s="6"/>
      <c r="CS1870" s="6"/>
      <c r="CT1870" s="6"/>
      <c r="CU1870" s="6"/>
      <c r="CV1870" s="6"/>
      <c r="CW1870" s="6"/>
      <c r="CX1870" s="6"/>
      <c r="CY1870" s="6"/>
      <c r="CZ1870" s="6"/>
      <c r="DA1870" s="6"/>
      <c r="DB1870" s="6"/>
      <c r="DC1870" s="6"/>
      <c r="DD1870" s="6"/>
      <c r="DE1870" s="6"/>
      <c r="DF1870" s="6"/>
      <c r="DG1870" s="6"/>
      <c r="DH1870" s="6"/>
      <c r="DI1870" s="6"/>
      <c r="DJ1870" s="6"/>
      <c r="DK1870" s="6"/>
      <c r="DL1870" s="6"/>
      <c r="DM1870" s="6"/>
      <c r="DN1870" s="6"/>
      <c r="DO1870" s="6"/>
      <c r="DP1870" s="6"/>
      <c r="DQ1870" s="6"/>
      <c r="DR1870" s="6"/>
      <c r="DS1870" s="6"/>
      <c r="DT1870" s="6"/>
      <c r="DU1870" s="6"/>
      <c r="DV1870" s="6"/>
      <c r="DW1870" s="6"/>
      <c r="DX1870" s="6"/>
      <c r="DY1870" s="6"/>
      <c r="DZ1870" s="6"/>
      <c r="EA1870" s="6"/>
      <c r="EB1870" s="6"/>
      <c r="EC1870" s="6"/>
      <c r="ED1870" s="6"/>
      <c r="EE1870" s="6"/>
      <c r="EF1870" s="6"/>
      <c r="EG1870" s="6"/>
      <c r="EH1870" s="6"/>
      <c r="EI1870" s="6"/>
      <c r="EJ1870" s="6"/>
      <c r="EK1870" s="6"/>
      <c r="EL1870" s="6"/>
      <c r="EM1870" s="6"/>
      <c r="EN1870" s="6"/>
      <c r="EO1870" s="6"/>
      <c r="EP1870" s="6"/>
      <c r="EQ1870" s="6"/>
      <c r="ER1870" s="6"/>
      <c r="ES1870" s="6"/>
      <c r="ET1870" s="6"/>
      <c r="EU1870" s="6"/>
      <c r="EV1870" s="6"/>
      <c r="EW1870" s="6"/>
      <c r="EX1870" s="6"/>
      <c r="EY1870" s="6"/>
      <c r="EZ1870" s="6"/>
      <c r="FA1870" s="6"/>
      <c r="FB1870" s="6"/>
      <c r="FC1870" s="6"/>
      <c r="FD1870" s="6"/>
      <c r="FE1870" s="6"/>
      <c r="FF1870" s="6"/>
      <c r="FG1870" s="6"/>
      <c r="FH1870" s="6"/>
      <c r="FI1870" s="6"/>
      <c r="FJ1870" s="6"/>
      <c r="FK1870" s="6"/>
      <c r="FL1870" s="6"/>
      <c r="FM1870" s="6"/>
      <c r="FN1870" s="6"/>
      <c r="FO1870" s="6"/>
      <c r="FP1870" s="6"/>
      <c r="FQ1870" s="6"/>
      <c r="FR1870" s="6"/>
      <c r="FS1870" s="6"/>
      <c r="FT1870" s="6"/>
      <c r="FU1870" s="6"/>
      <c r="FV1870" s="6"/>
      <c r="FW1870" s="6"/>
      <c r="FX1870" s="6"/>
      <c r="FY1870" s="6"/>
      <c r="FZ1870" s="6"/>
      <c r="GA1870" s="6"/>
      <c r="GB1870" s="6"/>
      <c r="GC1870" s="6"/>
      <c r="GD1870" s="6"/>
      <c r="GE1870" s="6"/>
      <c r="GF1870" s="6"/>
      <c r="GG1870" s="6"/>
      <c r="GH1870" s="6"/>
      <c r="GI1870" s="6"/>
      <c r="GJ1870" s="6"/>
      <c r="GK1870" s="6"/>
      <c r="GL1870" s="6"/>
      <c r="GM1870" s="6"/>
      <c r="GN1870" s="6"/>
      <c r="GO1870" s="6"/>
      <c r="GP1870" s="6"/>
      <c r="GQ1870" s="6"/>
      <c r="GR1870" s="6"/>
      <c r="GS1870" s="6"/>
      <c r="GT1870" s="6"/>
      <c r="GU1870" s="6"/>
      <c r="GV1870" s="6"/>
      <c r="GW1870" s="6"/>
      <c r="GX1870" s="6"/>
      <c r="GY1870" s="6"/>
      <c r="GZ1870" s="6"/>
      <c r="HA1870" s="6"/>
      <c r="HB1870" s="6"/>
      <c r="HC1870" s="6"/>
      <c r="HD1870" s="6"/>
      <c r="HE1870" s="6"/>
      <c r="HF1870" s="6"/>
      <c r="HG1870" s="6"/>
      <c r="HH1870" s="6"/>
    </row>
    <row r="1871" spans="1:216" x14ac:dyDescent="0.3">
      <c r="A1871" s="8"/>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c r="DX1871" s="6"/>
      <c r="DY1871" s="6"/>
      <c r="DZ1871" s="6"/>
      <c r="EA1871" s="6"/>
      <c r="EB1871" s="6"/>
      <c r="EC1871" s="6"/>
      <c r="ED1871" s="6"/>
      <c r="EE1871" s="6"/>
      <c r="EF1871" s="6"/>
      <c r="EG1871" s="6"/>
      <c r="EH1871" s="6"/>
      <c r="EI1871" s="6"/>
      <c r="EJ1871" s="6"/>
      <c r="EK1871" s="6"/>
      <c r="EL1871" s="6"/>
      <c r="EM1871" s="6"/>
      <c r="EN1871" s="6"/>
      <c r="EO1871" s="6"/>
      <c r="EP1871" s="6"/>
      <c r="EQ1871" s="6"/>
      <c r="ER1871" s="6"/>
      <c r="ES1871" s="6"/>
      <c r="ET1871" s="6"/>
      <c r="EU1871" s="6"/>
      <c r="EV1871" s="6"/>
      <c r="EW1871" s="6"/>
      <c r="EX1871" s="6"/>
      <c r="EY1871" s="6"/>
      <c r="EZ1871" s="6"/>
      <c r="FA1871" s="6"/>
      <c r="FB1871" s="6"/>
      <c r="FC1871" s="6"/>
      <c r="FD1871" s="6"/>
      <c r="FE1871" s="6"/>
      <c r="FF1871" s="6"/>
      <c r="FG1871" s="6"/>
      <c r="FH1871" s="6"/>
      <c r="FI1871" s="6"/>
      <c r="FJ1871" s="6"/>
      <c r="FK1871" s="6"/>
      <c r="FL1871" s="6"/>
      <c r="FM1871" s="6"/>
      <c r="FN1871" s="6"/>
      <c r="FO1871" s="6"/>
      <c r="FP1871" s="6"/>
      <c r="FQ1871" s="6"/>
      <c r="FR1871" s="6"/>
      <c r="FS1871" s="6"/>
      <c r="FT1871" s="6"/>
      <c r="FU1871" s="6"/>
      <c r="FV1871" s="6"/>
      <c r="FW1871" s="6"/>
      <c r="FX1871" s="6"/>
      <c r="FY1871" s="6"/>
      <c r="FZ1871" s="6"/>
      <c r="GA1871" s="6"/>
      <c r="GB1871" s="6"/>
      <c r="GC1871" s="6"/>
      <c r="GD1871" s="6"/>
      <c r="GE1871" s="6"/>
      <c r="GF1871" s="6"/>
      <c r="GG1871" s="6"/>
      <c r="GH1871" s="6"/>
      <c r="GI1871" s="6"/>
      <c r="GJ1871" s="6"/>
      <c r="GK1871" s="6"/>
      <c r="GL1871" s="6"/>
      <c r="GM1871" s="6"/>
      <c r="GN1871" s="6"/>
      <c r="GO1871" s="6"/>
      <c r="GP1871" s="6"/>
      <c r="GQ1871" s="6"/>
      <c r="GR1871" s="6"/>
      <c r="GS1871" s="6"/>
      <c r="GT1871" s="6"/>
      <c r="GU1871" s="6"/>
      <c r="GV1871" s="6"/>
      <c r="GW1871" s="6"/>
      <c r="GX1871" s="6"/>
      <c r="GY1871" s="6"/>
      <c r="GZ1871" s="6"/>
      <c r="HA1871" s="6"/>
      <c r="HB1871" s="6"/>
      <c r="HC1871" s="6"/>
      <c r="HD1871" s="6"/>
      <c r="HE1871" s="6"/>
      <c r="HF1871" s="6"/>
      <c r="HG1871" s="6"/>
      <c r="HH1871" s="6"/>
    </row>
    <row r="1872" spans="1:216" x14ac:dyDescent="0.3">
      <c r="A1872" s="8"/>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c r="DX1872" s="6"/>
      <c r="DY1872" s="6"/>
      <c r="DZ1872" s="6"/>
      <c r="EA1872" s="6"/>
      <c r="EB1872" s="6"/>
      <c r="EC1872" s="6"/>
      <c r="ED1872" s="6"/>
      <c r="EE1872" s="6"/>
      <c r="EF1872" s="6"/>
      <c r="EG1872" s="6"/>
      <c r="EH1872" s="6"/>
      <c r="EI1872" s="6"/>
      <c r="EJ1872" s="6"/>
      <c r="EK1872" s="6"/>
      <c r="EL1872" s="6"/>
      <c r="EM1872" s="6"/>
      <c r="EN1872" s="6"/>
      <c r="EO1872" s="6"/>
      <c r="EP1872" s="6"/>
      <c r="EQ1872" s="6"/>
      <c r="ER1872" s="6"/>
      <c r="ES1872" s="6"/>
      <c r="ET1872" s="6"/>
      <c r="EU1872" s="6"/>
      <c r="EV1872" s="6"/>
      <c r="EW1872" s="6"/>
      <c r="EX1872" s="6"/>
      <c r="EY1872" s="6"/>
      <c r="EZ1872" s="6"/>
      <c r="FA1872" s="6"/>
      <c r="FB1872" s="6"/>
      <c r="FC1872" s="6"/>
      <c r="FD1872" s="6"/>
      <c r="FE1872" s="6"/>
      <c r="FF1872" s="6"/>
      <c r="FG1872" s="6"/>
      <c r="FH1872" s="6"/>
      <c r="FI1872" s="6"/>
      <c r="FJ1872" s="6"/>
      <c r="FK1872" s="6"/>
      <c r="FL1872" s="6"/>
      <c r="FM1872" s="6"/>
      <c r="FN1872" s="6"/>
      <c r="FO1872" s="6"/>
      <c r="FP1872" s="6"/>
      <c r="FQ1872" s="6"/>
      <c r="FR1872" s="6"/>
      <c r="FS1872" s="6"/>
      <c r="FT1872" s="6"/>
      <c r="FU1872" s="6"/>
      <c r="FV1872" s="6"/>
      <c r="FW1872" s="6"/>
      <c r="FX1872" s="6"/>
      <c r="FY1872" s="6"/>
      <c r="FZ1872" s="6"/>
      <c r="GA1872" s="6"/>
      <c r="GB1872" s="6"/>
      <c r="GC1872" s="6"/>
      <c r="GD1872" s="6"/>
      <c r="GE1872" s="6"/>
      <c r="GF1872" s="6"/>
      <c r="GG1872" s="6"/>
      <c r="GH1872" s="6"/>
      <c r="GI1872" s="6"/>
      <c r="GJ1872" s="6"/>
      <c r="GK1872" s="6"/>
      <c r="GL1872" s="6"/>
      <c r="GM1872" s="6"/>
      <c r="GN1872" s="6"/>
      <c r="GO1872" s="6"/>
      <c r="GP1872" s="6"/>
      <c r="GQ1872" s="6"/>
      <c r="GR1872" s="6"/>
      <c r="GS1872" s="6"/>
      <c r="GT1872" s="6"/>
      <c r="GU1872" s="6"/>
      <c r="GV1872" s="6"/>
      <c r="GW1872" s="6"/>
      <c r="GX1872" s="6"/>
      <c r="GY1872" s="6"/>
      <c r="GZ1872" s="6"/>
      <c r="HA1872" s="6"/>
      <c r="HB1872" s="6"/>
      <c r="HC1872" s="6"/>
      <c r="HD1872" s="6"/>
      <c r="HE1872" s="6"/>
      <c r="HF1872" s="6"/>
      <c r="HG1872" s="6"/>
      <c r="HH1872" s="6"/>
    </row>
    <row r="1873" spans="1:216" x14ac:dyDescent="0.3">
      <c r="A1873" s="8"/>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6"/>
      <c r="AR1873" s="6"/>
      <c r="AS1873" s="6"/>
      <c r="AT1873" s="6"/>
      <c r="AU1873" s="6"/>
      <c r="AV1873" s="6"/>
      <c r="AW1873" s="6"/>
      <c r="AX1873" s="6"/>
      <c r="AY1873" s="6"/>
      <c r="AZ1873" s="6"/>
      <c r="BA1873" s="6"/>
      <c r="BB1873" s="6"/>
      <c r="BC1873" s="6"/>
      <c r="BD1873" s="6"/>
      <c r="BE1873" s="6"/>
      <c r="BF1873" s="6"/>
      <c r="BG1873" s="6"/>
      <c r="BH1873" s="6"/>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6"/>
      <c r="CL1873" s="6"/>
      <c r="CM1873" s="6"/>
      <c r="CN1873" s="6"/>
      <c r="CO1873" s="6"/>
      <c r="CP1873" s="6"/>
      <c r="CQ1873" s="6"/>
      <c r="CR1873" s="6"/>
      <c r="CS1873" s="6"/>
      <c r="CT1873" s="6"/>
      <c r="CU1873" s="6"/>
      <c r="CV1873" s="6"/>
      <c r="CW1873" s="6"/>
      <c r="CX1873" s="6"/>
      <c r="CY1873" s="6"/>
      <c r="CZ1873" s="6"/>
      <c r="DA1873" s="6"/>
      <c r="DB1873" s="6"/>
      <c r="DC1873" s="6"/>
      <c r="DD1873" s="6"/>
      <c r="DE1873" s="6"/>
      <c r="DF1873" s="6"/>
      <c r="DG1873" s="6"/>
      <c r="DH1873" s="6"/>
      <c r="DI1873" s="6"/>
      <c r="DJ1873" s="6"/>
      <c r="DK1873" s="6"/>
      <c r="DL1873" s="6"/>
      <c r="DM1873" s="6"/>
      <c r="DN1873" s="6"/>
      <c r="DO1873" s="6"/>
      <c r="DP1873" s="6"/>
      <c r="DQ1873" s="6"/>
      <c r="DR1873" s="6"/>
      <c r="DS1873" s="6"/>
      <c r="DT1873" s="6"/>
      <c r="DU1873" s="6"/>
      <c r="DV1873" s="6"/>
      <c r="DW1873" s="6"/>
      <c r="DX1873" s="6"/>
      <c r="DY1873" s="6"/>
      <c r="DZ1873" s="6"/>
      <c r="EA1873" s="6"/>
      <c r="EB1873" s="6"/>
      <c r="EC1873" s="6"/>
      <c r="ED1873" s="6"/>
      <c r="EE1873" s="6"/>
      <c r="EF1873" s="6"/>
      <c r="EG1873" s="6"/>
      <c r="EH1873" s="6"/>
      <c r="EI1873" s="6"/>
      <c r="EJ1873" s="6"/>
      <c r="EK1873" s="6"/>
      <c r="EL1873" s="6"/>
      <c r="EM1873" s="6"/>
      <c r="EN1873" s="6"/>
      <c r="EO1873" s="6"/>
      <c r="EP1873" s="6"/>
      <c r="EQ1873" s="6"/>
      <c r="ER1873" s="6"/>
      <c r="ES1873" s="6"/>
      <c r="ET1873" s="6"/>
      <c r="EU1873" s="6"/>
      <c r="EV1873" s="6"/>
      <c r="EW1873" s="6"/>
      <c r="EX1873" s="6"/>
      <c r="EY1873" s="6"/>
      <c r="EZ1873" s="6"/>
      <c r="FA1873" s="6"/>
      <c r="FB1873" s="6"/>
      <c r="FC1873" s="6"/>
      <c r="FD1873" s="6"/>
      <c r="FE1873" s="6"/>
      <c r="FF1873" s="6"/>
      <c r="FG1873" s="6"/>
      <c r="FH1873" s="6"/>
      <c r="FI1873" s="6"/>
      <c r="FJ1873" s="6"/>
      <c r="FK1873" s="6"/>
      <c r="FL1873" s="6"/>
      <c r="FM1873" s="6"/>
      <c r="FN1873" s="6"/>
      <c r="FO1873" s="6"/>
      <c r="FP1873" s="6"/>
      <c r="FQ1873" s="6"/>
      <c r="FR1873" s="6"/>
      <c r="FS1873" s="6"/>
      <c r="FT1873" s="6"/>
      <c r="FU1873" s="6"/>
      <c r="FV1873" s="6"/>
      <c r="FW1873" s="6"/>
      <c r="FX1873" s="6"/>
      <c r="FY1873" s="6"/>
      <c r="FZ1873" s="6"/>
      <c r="GA1873" s="6"/>
      <c r="GB1873" s="6"/>
      <c r="GC1873" s="6"/>
      <c r="GD1873" s="6"/>
      <c r="GE1873" s="6"/>
      <c r="GF1873" s="6"/>
      <c r="GG1873" s="6"/>
      <c r="GH1873" s="6"/>
      <c r="GI1873" s="6"/>
      <c r="GJ1873" s="6"/>
      <c r="GK1873" s="6"/>
      <c r="GL1873" s="6"/>
      <c r="GM1873" s="6"/>
      <c r="GN1873" s="6"/>
      <c r="GO1873" s="6"/>
      <c r="GP1873" s="6"/>
      <c r="GQ1873" s="6"/>
      <c r="GR1873" s="6"/>
      <c r="GS1873" s="6"/>
      <c r="GT1873" s="6"/>
      <c r="GU1873" s="6"/>
      <c r="GV1873" s="6"/>
      <c r="GW1873" s="6"/>
      <c r="GX1873" s="6"/>
      <c r="GY1873" s="6"/>
      <c r="GZ1873" s="6"/>
      <c r="HA1873" s="6"/>
      <c r="HB1873" s="6"/>
      <c r="HC1873" s="6"/>
      <c r="HD1873" s="6"/>
      <c r="HE1873" s="6"/>
      <c r="HF1873" s="6"/>
      <c r="HG1873" s="6"/>
      <c r="HH1873" s="6"/>
    </row>
    <row r="1874" spans="1:216" x14ac:dyDescent="0.3">
      <c r="A1874" s="8"/>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6"/>
      <c r="AR1874" s="6"/>
      <c r="AS1874" s="6"/>
      <c r="AT1874" s="6"/>
      <c r="AU1874" s="6"/>
      <c r="AV1874" s="6"/>
      <c r="AW1874" s="6"/>
      <c r="AX1874" s="6"/>
      <c r="AY1874" s="6"/>
      <c r="AZ1874" s="6"/>
      <c r="BA1874" s="6"/>
      <c r="BB1874" s="6"/>
      <c r="BC1874" s="6"/>
      <c r="BD1874" s="6"/>
      <c r="BE1874" s="6"/>
      <c r="BF1874" s="6"/>
      <c r="BG1874" s="6"/>
      <c r="BH1874" s="6"/>
      <c r="BI1874" s="6"/>
      <c r="BJ1874" s="6"/>
      <c r="BK1874" s="6"/>
      <c r="BL1874" s="6"/>
      <c r="BM1874" s="6"/>
      <c r="BN1874" s="6"/>
      <c r="BO1874" s="6"/>
      <c r="BP1874" s="6"/>
      <c r="BQ1874" s="6"/>
      <c r="BR1874" s="6"/>
      <c r="BS1874" s="6"/>
      <c r="BT1874" s="6"/>
      <c r="BU1874" s="6"/>
      <c r="BV1874" s="6"/>
      <c r="BW1874" s="6"/>
      <c r="BX1874" s="6"/>
      <c r="BY1874" s="6"/>
      <c r="BZ1874" s="6"/>
      <c r="CA1874" s="6"/>
      <c r="CB1874" s="6"/>
      <c r="CC1874" s="6"/>
      <c r="CD1874" s="6"/>
      <c r="CE1874" s="6"/>
      <c r="CF1874" s="6"/>
      <c r="CG1874" s="6"/>
      <c r="CH1874" s="6"/>
      <c r="CI1874" s="6"/>
      <c r="CJ1874" s="6"/>
      <c r="CK1874" s="6"/>
      <c r="CL1874" s="6"/>
      <c r="CM1874" s="6"/>
      <c r="CN1874" s="6"/>
      <c r="CO1874" s="6"/>
      <c r="CP1874" s="6"/>
      <c r="CQ1874" s="6"/>
      <c r="CR1874" s="6"/>
      <c r="CS1874" s="6"/>
      <c r="CT1874" s="6"/>
      <c r="CU1874" s="6"/>
      <c r="CV1874" s="6"/>
      <c r="CW1874" s="6"/>
      <c r="CX1874" s="6"/>
      <c r="CY1874" s="6"/>
      <c r="CZ1874" s="6"/>
      <c r="DA1874" s="6"/>
      <c r="DB1874" s="6"/>
      <c r="DC1874" s="6"/>
      <c r="DD1874" s="6"/>
      <c r="DE1874" s="6"/>
      <c r="DF1874" s="6"/>
      <c r="DG1874" s="6"/>
      <c r="DH1874" s="6"/>
      <c r="DI1874" s="6"/>
      <c r="DJ1874" s="6"/>
      <c r="DK1874" s="6"/>
      <c r="DL1874" s="6"/>
      <c r="DM1874" s="6"/>
      <c r="DN1874" s="6"/>
      <c r="DO1874" s="6"/>
      <c r="DP1874" s="6"/>
      <c r="DQ1874" s="6"/>
      <c r="DR1874" s="6"/>
      <c r="DS1874" s="6"/>
      <c r="DT1874" s="6"/>
      <c r="DU1874" s="6"/>
      <c r="DV1874" s="6"/>
      <c r="DW1874" s="6"/>
      <c r="DX1874" s="6"/>
      <c r="DY1874" s="6"/>
      <c r="DZ1874" s="6"/>
      <c r="EA1874" s="6"/>
      <c r="EB1874" s="6"/>
      <c r="EC1874" s="6"/>
      <c r="ED1874" s="6"/>
      <c r="EE1874" s="6"/>
      <c r="EF1874" s="6"/>
      <c r="EG1874" s="6"/>
      <c r="EH1874" s="6"/>
      <c r="EI1874" s="6"/>
      <c r="EJ1874" s="6"/>
      <c r="EK1874" s="6"/>
      <c r="EL1874" s="6"/>
      <c r="EM1874" s="6"/>
      <c r="EN1874" s="6"/>
      <c r="EO1874" s="6"/>
      <c r="EP1874" s="6"/>
      <c r="EQ1874" s="6"/>
      <c r="ER1874" s="6"/>
      <c r="ES1874" s="6"/>
      <c r="ET1874" s="6"/>
      <c r="EU1874" s="6"/>
      <c r="EV1874" s="6"/>
      <c r="EW1874" s="6"/>
      <c r="EX1874" s="6"/>
      <c r="EY1874" s="6"/>
      <c r="EZ1874" s="6"/>
      <c r="FA1874" s="6"/>
      <c r="FB1874" s="6"/>
      <c r="FC1874" s="6"/>
      <c r="FD1874" s="6"/>
      <c r="FE1874" s="6"/>
      <c r="FF1874" s="6"/>
      <c r="FG1874" s="6"/>
      <c r="FH1874" s="6"/>
      <c r="FI1874" s="6"/>
      <c r="FJ1874" s="6"/>
      <c r="FK1874" s="6"/>
      <c r="FL1874" s="6"/>
      <c r="FM1874" s="6"/>
      <c r="FN1874" s="6"/>
      <c r="FO1874" s="6"/>
      <c r="FP1874" s="6"/>
      <c r="FQ1874" s="6"/>
      <c r="FR1874" s="6"/>
      <c r="FS1874" s="6"/>
      <c r="FT1874" s="6"/>
      <c r="FU1874" s="6"/>
      <c r="FV1874" s="6"/>
      <c r="FW1874" s="6"/>
      <c r="FX1874" s="6"/>
      <c r="FY1874" s="6"/>
      <c r="FZ1874" s="6"/>
      <c r="GA1874" s="6"/>
      <c r="GB1874" s="6"/>
      <c r="GC1874" s="6"/>
      <c r="GD1874" s="6"/>
      <c r="GE1874" s="6"/>
      <c r="GF1874" s="6"/>
      <c r="GG1874" s="6"/>
      <c r="GH1874" s="6"/>
      <c r="GI1874" s="6"/>
      <c r="GJ1874" s="6"/>
      <c r="GK1874" s="6"/>
      <c r="GL1874" s="6"/>
      <c r="GM1874" s="6"/>
      <c r="GN1874" s="6"/>
      <c r="GO1874" s="6"/>
      <c r="GP1874" s="6"/>
      <c r="GQ1874" s="6"/>
      <c r="GR1874" s="6"/>
      <c r="GS1874" s="6"/>
      <c r="GT1874" s="6"/>
      <c r="GU1874" s="6"/>
      <c r="GV1874" s="6"/>
      <c r="GW1874" s="6"/>
      <c r="GX1874" s="6"/>
      <c r="GY1874" s="6"/>
      <c r="GZ1874" s="6"/>
      <c r="HA1874" s="6"/>
      <c r="HB1874" s="6"/>
      <c r="HC1874" s="6"/>
      <c r="HD1874" s="6"/>
      <c r="HE1874" s="6"/>
      <c r="HF1874" s="6"/>
      <c r="HG1874" s="6"/>
      <c r="HH1874" s="6"/>
    </row>
    <row r="1875" spans="1:216" x14ac:dyDescent="0.3">
      <c r="A1875" s="8"/>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6"/>
      <c r="AR1875" s="6"/>
      <c r="AS1875" s="6"/>
      <c r="AT1875" s="6"/>
      <c r="AU1875" s="6"/>
      <c r="AV1875" s="6"/>
      <c r="AW1875" s="6"/>
      <c r="AX1875" s="6"/>
      <c r="AY1875" s="6"/>
      <c r="AZ1875" s="6"/>
      <c r="BA1875" s="6"/>
      <c r="BB1875" s="6"/>
      <c r="BC1875" s="6"/>
      <c r="BD1875" s="6"/>
      <c r="BE1875" s="6"/>
      <c r="BF1875" s="6"/>
      <c r="BG1875" s="6"/>
      <c r="BH1875" s="6"/>
      <c r="BI1875" s="6"/>
      <c r="BJ1875" s="6"/>
      <c r="BK1875" s="6"/>
      <c r="BL1875" s="6"/>
      <c r="BM1875" s="6"/>
      <c r="BN1875" s="6"/>
      <c r="BO1875" s="6"/>
      <c r="BP1875" s="6"/>
      <c r="BQ1875" s="6"/>
      <c r="BR1875" s="6"/>
      <c r="BS1875" s="6"/>
      <c r="BT1875" s="6"/>
      <c r="BU1875" s="6"/>
      <c r="BV1875" s="6"/>
      <c r="BW1875" s="6"/>
      <c r="BX1875" s="6"/>
      <c r="BY1875" s="6"/>
      <c r="BZ1875" s="6"/>
      <c r="CA1875" s="6"/>
      <c r="CB1875" s="6"/>
      <c r="CC1875" s="6"/>
      <c r="CD1875" s="6"/>
      <c r="CE1875" s="6"/>
      <c r="CF1875" s="6"/>
      <c r="CG1875" s="6"/>
      <c r="CH1875" s="6"/>
      <c r="CI1875" s="6"/>
      <c r="CJ1875" s="6"/>
      <c r="CK1875" s="6"/>
      <c r="CL1875" s="6"/>
      <c r="CM1875" s="6"/>
      <c r="CN1875" s="6"/>
      <c r="CO1875" s="6"/>
      <c r="CP1875" s="6"/>
      <c r="CQ1875" s="6"/>
      <c r="CR1875" s="6"/>
      <c r="CS1875" s="6"/>
      <c r="CT1875" s="6"/>
      <c r="CU1875" s="6"/>
      <c r="CV1875" s="6"/>
      <c r="CW1875" s="6"/>
      <c r="CX1875" s="6"/>
      <c r="CY1875" s="6"/>
      <c r="CZ1875" s="6"/>
      <c r="DA1875" s="6"/>
      <c r="DB1875" s="6"/>
      <c r="DC1875" s="6"/>
      <c r="DD1875" s="6"/>
      <c r="DE1875" s="6"/>
      <c r="DF1875" s="6"/>
      <c r="DG1875" s="6"/>
      <c r="DH1875" s="6"/>
      <c r="DI1875" s="6"/>
      <c r="DJ1875" s="6"/>
      <c r="DK1875" s="6"/>
      <c r="DL1875" s="6"/>
      <c r="DM1875" s="6"/>
      <c r="DN1875" s="6"/>
      <c r="DO1875" s="6"/>
      <c r="DP1875" s="6"/>
      <c r="DQ1875" s="6"/>
      <c r="DR1875" s="6"/>
      <c r="DS1875" s="6"/>
      <c r="DT1875" s="6"/>
      <c r="DU1875" s="6"/>
      <c r="DV1875" s="6"/>
      <c r="DW1875" s="6"/>
      <c r="DX1875" s="6"/>
      <c r="DY1875" s="6"/>
      <c r="DZ1875" s="6"/>
      <c r="EA1875" s="6"/>
      <c r="EB1875" s="6"/>
      <c r="EC1875" s="6"/>
      <c r="ED1875" s="6"/>
      <c r="EE1875" s="6"/>
      <c r="EF1875" s="6"/>
      <c r="EG1875" s="6"/>
      <c r="EH1875" s="6"/>
      <c r="EI1875" s="6"/>
      <c r="EJ1875" s="6"/>
      <c r="EK1875" s="6"/>
      <c r="EL1875" s="6"/>
      <c r="EM1875" s="6"/>
      <c r="EN1875" s="6"/>
      <c r="EO1875" s="6"/>
      <c r="EP1875" s="6"/>
      <c r="EQ1875" s="6"/>
      <c r="ER1875" s="6"/>
      <c r="ES1875" s="6"/>
      <c r="ET1875" s="6"/>
      <c r="EU1875" s="6"/>
      <c r="EV1875" s="6"/>
      <c r="EW1875" s="6"/>
      <c r="EX1875" s="6"/>
      <c r="EY1875" s="6"/>
      <c r="EZ1875" s="6"/>
      <c r="FA1875" s="6"/>
      <c r="FB1875" s="6"/>
      <c r="FC1875" s="6"/>
      <c r="FD1875" s="6"/>
      <c r="FE1875" s="6"/>
      <c r="FF1875" s="6"/>
      <c r="FG1875" s="6"/>
      <c r="FH1875" s="6"/>
      <c r="FI1875" s="6"/>
      <c r="FJ1875" s="6"/>
      <c r="FK1875" s="6"/>
      <c r="FL1875" s="6"/>
      <c r="FM1875" s="6"/>
      <c r="FN1875" s="6"/>
      <c r="FO1875" s="6"/>
      <c r="FP1875" s="6"/>
      <c r="FQ1875" s="6"/>
      <c r="FR1875" s="6"/>
      <c r="FS1875" s="6"/>
      <c r="FT1875" s="6"/>
      <c r="FU1875" s="6"/>
      <c r="FV1875" s="6"/>
      <c r="FW1875" s="6"/>
      <c r="FX1875" s="6"/>
      <c r="FY1875" s="6"/>
      <c r="FZ1875" s="6"/>
      <c r="GA1875" s="6"/>
      <c r="GB1875" s="6"/>
      <c r="GC1875" s="6"/>
      <c r="GD1875" s="6"/>
      <c r="GE1875" s="6"/>
      <c r="GF1875" s="6"/>
      <c r="GG1875" s="6"/>
      <c r="GH1875" s="6"/>
      <c r="GI1875" s="6"/>
      <c r="GJ1875" s="6"/>
      <c r="GK1875" s="6"/>
      <c r="GL1875" s="6"/>
      <c r="GM1875" s="6"/>
      <c r="GN1875" s="6"/>
      <c r="GO1875" s="6"/>
      <c r="GP1875" s="6"/>
      <c r="GQ1875" s="6"/>
      <c r="GR1875" s="6"/>
      <c r="GS1875" s="6"/>
      <c r="GT1875" s="6"/>
      <c r="GU1875" s="6"/>
      <c r="GV1875" s="6"/>
      <c r="GW1875" s="6"/>
      <c r="GX1875" s="6"/>
      <c r="GY1875" s="6"/>
      <c r="GZ1875" s="6"/>
      <c r="HA1875" s="6"/>
      <c r="HB1875" s="6"/>
      <c r="HC1875" s="6"/>
      <c r="HD1875" s="6"/>
      <c r="HE1875" s="6"/>
      <c r="HF1875" s="6"/>
      <c r="HG1875" s="6"/>
      <c r="HH1875" s="6"/>
    </row>
    <row r="1876" spans="1:216" x14ac:dyDescent="0.3">
      <c r="A1876" s="8"/>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c r="DX1876" s="6"/>
      <c r="DY1876" s="6"/>
      <c r="DZ1876" s="6"/>
      <c r="EA1876" s="6"/>
      <c r="EB1876" s="6"/>
      <c r="EC1876" s="6"/>
      <c r="ED1876" s="6"/>
      <c r="EE1876" s="6"/>
      <c r="EF1876" s="6"/>
      <c r="EG1876" s="6"/>
      <c r="EH1876" s="6"/>
      <c r="EI1876" s="6"/>
      <c r="EJ1876" s="6"/>
      <c r="EK1876" s="6"/>
      <c r="EL1876" s="6"/>
      <c r="EM1876" s="6"/>
      <c r="EN1876" s="6"/>
      <c r="EO1876" s="6"/>
      <c r="EP1876" s="6"/>
      <c r="EQ1876" s="6"/>
      <c r="ER1876" s="6"/>
      <c r="ES1876" s="6"/>
      <c r="ET1876" s="6"/>
      <c r="EU1876" s="6"/>
      <c r="EV1876" s="6"/>
      <c r="EW1876" s="6"/>
      <c r="EX1876" s="6"/>
      <c r="EY1876" s="6"/>
      <c r="EZ1876" s="6"/>
      <c r="FA1876" s="6"/>
      <c r="FB1876" s="6"/>
      <c r="FC1876" s="6"/>
      <c r="FD1876" s="6"/>
      <c r="FE1876" s="6"/>
      <c r="FF1876" s="6"/>
      <c r="FG1876" s="6"/>
      <c r="FH1876" s="6"/>
      <c r="FI1876" s="6"/>
      <c r="FJ1876" s="6"/>
      <c r="FK1876" s="6"/>
      <c r="FL1876" s="6"/>
      <c r="FM1876" s="6"/>
      <c r="FN1876" s="6"/>
      <c r="FO1876" s="6"/>
      <c r="FP1876" s="6"/>
      <c r="FQ1876" s="6"/>
      <c r="FR1876" s="6"/>
      <c r="FS1876" s="6"/>
      <c r="FT1876" s="6"/>
      <c r="FU1876" s="6"/>
      <c r="FV1876" s="6"/>
      <c r="FW1876" s="6"/>
      <c r="FX1876" s="6"/>
      <c r="FY1876" s="6"/>
      <c r="FZ1876" s="6"/>
      <c r="GA1876" s="6"/>
      <c r="GB1876" s="6"/>
      <c r="GC1876" s="6"/>
      <c r="GD1876" s="6"/>
      <c r="GE1876" s="6"/>
      <c r="GF1876" s="6"/>
      <c r="GG1876" s="6"/>
      <c r="GH1876" s="6"/>
      <c r="GI1876" s="6"/>
      <c r="GJ1876" s="6"/>
      <c r="GK1876" s="6"/>
      <c r="GL1876" s="6"/>
      <c r="GM1876" s="6"/>
      <c r="GN1876" s="6"/>
      <c r="GO1876" s="6"/>
      <c r="GP1876" s="6"/>
      <c r="GQ1876" s="6"/>
      <c r="GR1876" s="6"/>
      <c r="GS1876" s="6"/>
      <c r="GT1876" s="6"/>
      <c r="GU1876" s="6"/>
      <c r="GV1876" s="6"/>
      <c r="GW1876" s="6"/>
      <c r="GX1876" s="6"/>
      <c r="GY1876" s="6"/>
      <c r="GZ1876" s="6"/>
      <c r="HA1876" s="6"/>
      <c r="HB1876" s="6"/>
      <c r="HC1876" s="6"/>
      <c r="HD1876" s="6"/>
      <c r="HE1876" s="6"/>
      <c r="HF1876" s="6"/>
      <c r="HG1876" s="6"/>
      <c r="HH1876" s="6"/>
    </row>
    <row r="1877" spans="1:216" x14ac:dyDescent="0.3">
      <c r="A1877" s="8"/>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c r="DX1877" s="6"/>
      <c r="DY1877" s="6"/>
      <c r="DZ1877" s="6"/>
      <c r="EA1877" s="6"/>
      <c r="EB1877" s="6"/>
      <c r="EC1877" s="6"/>
      <c r="ED1877" s="6"/>
      <c r="EE1877" s="6"/>
      <c r="EF1877" s="6"/>
      <c r="EG1877" s="6"/>
      <c r="EH1877" s="6"/>
      <c r="EI1877" s="6"/>
      <c r="EJ1877" s="6"/>
      <c r="EK1877" s="6"/>
      <c r="EL1877" s="6"/>
      <c r="EM1877" s="6"/>
      <c r="EN1877" s="6"/>
      <c r="EO1877" s="6"/>
      <c r="EP1877" s="6"/>
      <c r="EQ1877" s="6"/>
      <c r="ER1877" s="6"/>
      <c r="ES1877" s="6"/>
      <c r="ET1877" s="6"/>
      <c r="EU1877" s="6"/>
      <c r="EV1877" s="6"/>
      <c r="EW1877" s="6"/>
      <c r="EX1877" s="6"/>
      <c r="EY1877" s="6"/>
      <c r="EZ1877" s="6"/>
      <c r="FA1877" s="6"/>
      <c r="FB1877" s="6"/>
      <c r="FC1877" s="6"/>
      <c r="FD1877" s="6"/>
      <c r="FE1877" s="6"/>
      <c r="FF1877" s="6"/>
      <c r="FG1877" s="6"/>
      <c r="FH1877" s="6"/>
      <c r="FI1877" s="6"/>
      <c r="FJ1877" s="6"/>
      <c r="FK1877" s="6"/>
      <c r="FL1877" s="6"/>
      <c r="FM1877" s="6"/>
      <c r="FN1877" s="6"/>
      <c r="FO1877" s="6"/>
      <c r="FP1877" s="6"/>
      <c r="FQ1877" s="6"/>
      <c r="FR1877" s="6"/>
      <c r="FS1877" s="6"/>
      <c r="FT1877" s="6"/>
      <c r="FU1877" s="6"/>
      <c r="FV1877" s="6"/>
      <c r="FW1877" s="6"/>
      <c r="FX1877" s="6"/>
      <c r="FY1877" s="6"/>
      <c r="FZ1877" s="6"/>
      <c r="GA1877" s="6"/>
      <c r="GB1877" s="6"/>
      <c r="GC1877" s="6"/>
      <c r="GD1877" s="6"/>
      <c r="GE1877" s="6"/>
      <c r="GF1877" s="6"/>
      <c r="GG1877" s="6"/>
      <c r="GH1877" s="6"/>
      <c r="GI1877" s="6"/>
      <c r="GJ1877" s="6"/>
      <c r="GK1877" s="6"/>
      <c r="GL1877" s="6"/>
      <c r="GM1877" s="6"/>
      <c r="GN1877" s="6"/>
      <c r="GO1877" s="6"/>
      <c r="GP1877" s="6"/>
      <c r="GQ1877" s="6"/>
      <c r="GR1877" s="6"/>
      <c r="GS1877" s="6"/>
      <c r="GT1877" s="6"/>
      <c r="GU1877" s="6"/>
      <c r="GV1877" s="6"/>
      <c r="GW1877" s="6"/>
      <c r="GX1877" s="6"/>
      <c r="GY1877" s="6"/>
      <c r="GZ1877" s="6"/>
      <c r="HA1877" s="6"/>
      <c r="HB1877" s="6"/>
      <c r="HC1877" s="6"/>
      <c r="HD1877" s="6"/>
      <c r="HE1877" s="6"/>
      <c r="HF1877" s="6"/>
      <c r="HG1877" s="6"/>
      <c r="HH1877" s="6"/>
    </row>
    <row r="1878" spans="1:216" x14ac:dyDescent="0.3">
      <c r="A1878" s="8"/>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6"/>
      <c r="AR1878" s="6"/>
      <c r="AS1878" s="6"/>
      <c r="AT1878" s="6"/>
      <c r="AU1878" s="6"/>
      <c r="AV1878" s="6"/>
      <c r="AW1878" s="6"/>
      <c r="AX1878" s="6"/>
      <c r="AY1878" s="6"/>
      <c r="AZ1878" s="6"/>
      <c r="BA1878" s="6"/>
      <c r="BB1878" s="6"/>
      <c r="BC1878" s="6"/>
      <c r="BD1878" s="6"/>
      <c r="BE1878" s="6"/>
      <c r="BF1878" s="6"/>
      <c r="BG1878" s="6"/>
      <c r="BH1878" s="6"/>
      <c r="BI1878" s="6"/>
      <c r="BJ1878" s="6"/>
      <c r="BK1878" s="6"/>
      <c r="BL1878" s="6"/>
      <c r="BM1878" s="6"/>
      <c r="BN1878" s="6"/>
      <c r="BO1878" s="6"/>
      <c r="BP1878" s="6"/>
      <c r="BQ1878" s="6"/>
      <c r="BR1878" s="6"/>
      <c r="BS1878" s="6"/>
      <c r="BT1878" s="6"/>
      <c r="BU1878" s="6"/>
      <c r="BV1878" s="6"/>
      <c r="BW1878" s="6"/>
      <c r="BX1878" s="6"/>
      <c r="BY1878" s="6"/>
      <c r="BZ1878" s="6"/>
      <c r="CA1878" s="6"/>
      <c r="CB1878" s="6"/>
      <c r="CC1878" s="6"/>
      <c r="CD1878" s="6"/>
      <c r="CE1878" s="6"/>
      <c r="CF1878" s="6"/>
      <c r="CG1878" s="6"/>
      <c r="CH1878" s="6"/>
      <c r="CI1878" s="6"/>
      <c r="CJ1878" s="6"/>
      <c r="CK1878" s="6"/>
      <c r="CL1878" s="6"/>
      <c r="CM1878" s="6"/>
      <c r="CN1878" s="6"/>
      <c r="CO1878" s="6"/>
      <c r="CP1878" s="6"/>
      <c r="CQ1878" s="6"/>
      <c r="CR1878" s="6"/>
      <c r="CS1878" s="6"/>
      <c r="CT1878" s="6"/>
      <c r="CU1878" s="6"/>
      <c r="CV1878" s="6"/>
      <c r="CW1878" s="6"/>
      <c r="CX1878" s="6"/>
      <c r="CY1878" s="6"/>
      <c r="CZ1878" s="6"/>
      <c r="DA1878" s="6"/>
      <c r="DB1878" s="6"/>
      <c r="DC1878" s="6"/>
      <c r="DD1878" s="6"/>
      <c r="DE1878" s="6"/>
      <c r="DF1878" s="6"/>
      <c r="DG1878" s="6"/>
      <c r="DH1878" s="6"/>
      <c r="DI1878" s="6"/>
      <c r="DJ1878" s="6"/>
      <c r="DK1878" s="6"/>
      <c r="DL1878" s="6"/>
      <c r="DM1878" s="6"/>
      <c r="DN1878" s="6"/>
      <c r="DO1878" s="6"/>
      <c r="DP1878" s="6"/>
      <c r="DQ1878" s="6"/>
      <c r="DR1878" s="6"/>
      <c r="DS1878" s="6"/>
      <c r="DT1878" s="6"/>
      <c r="DU1878" s="6"/>
      <c r="DV1878" s="6"/>
      <c r="DW1878" s="6"/>
      <c r="DX1878" s="6"/>
      <c r="DY1878" s="6"/>
      <c r="DZ1878" s="6"/>
      <c r="EA1878" s="6"/>
      <c r="EB1878" s="6"/>
      <c r="EC1878" s="6"/>
      <c r="ED1878" s="6"/>
      <c r="EE1878" s="6"/>
      <c r="EF1878" s="6"/>
      <c r="EG1878" s="6"/>
      <c r="EH1878" s="6"/>
      <c r="EI1878" s="6"/>
      <c r="EJ1878" s="6"/>
      <c r="EK1878" s="6"/>
      <c r="EL1878" s="6"/>
      <c r="EM1878" s="6"/>
      <c r="EN1878" s="6"/>
      <c r="EO1878" s="6"/>
      <c r="EP1878" s="6"/>
      <c r="EQ1878" s="6"/>
      <c r="ER1878" s="6"/>
      <c r="ES1878" s="6"/>
      <c r="ET1878" s="6"/>
      <c r="EU1878" s="6"/>
      <c r="EV1878" s="6"/>
      <c r="EW1878" s="6"/>
      <c r="EX1878" s="6"/>
      <c r="EY1878" s="6"/>
      <c r="EZ1878" s="6"/>
      <c r="FA1878" s="6"/>
      <c r="FB1878" s="6"/>
      <c r="FC1878" s="6"/>
      <c r="FD1878" s="6"/>
      <c r="FE1878" s="6"/>
      <c r="FF1878" s="6"/>
      <c r="FG1878" s="6"/>
      <c r="FH1878" s="6"/>
      <c r="FI1878" s="6"/>
      <c r="FJ1878" s="6"/>
      <c r="FK1878" s="6"/>
      <c r="FL1878" s="6"/>
      <c r="FM1878" s="6"/>
      <c r="FN1878" s="6"/>
      <c r="FO1878" s="6"/>
      <c r="FP1878" s="6"/>
      <c r="FQ1878" s="6"/>
      <c r="FR1878" s="6"/>
      <c r="FS1878" s="6"/>
      <c r="FT1878" s="6"/>
      <c r="FU1878" s="6"/>
      <c r="FV1878" s="6"/>
      <c r="FW1878" s="6"/>
      <c r="FX1878" s="6"/>
      <c r="FY1878" s="6"/>
      <c r="FZ1878" s="6"/>
      <c r="GA1878" s="6"/>
      <c r="GB1878" s="6"/>
      <c r="GC1878" s="6"/>
      <c r="GD1878" s="6"/>
      <c r="GE1878" s="6"/>
      <c r="GF1878" s="6"/>
      <c r="GG1878" s="6"/>
      <c r="GH1878" s="6"/>
      <c r="GI1878" s="6"/>
      <c r="GJ1878" s="6"/>
      <c r="GK1878" s="6"/>
      <c r="GL1878" s="6"/>
      <c r="GM1878" s="6"/>
      <c r="GN1878" s="6"/>
      <c r="GO1878" s="6"/>
      <c r="GP1878" s="6"/>
      <c r="GQ1878" s="6"/>
      <c r="GR1878" s="6"/>
      <c r="GS1878" s="6"/>
      <c r="GT1878" s="6"/>
      <c r="GU1878" s="6"/>
      <c r="GV1878" s="6"/>
      <c r="GW1878" s="6"/>
      <c r="GX1878" s="6"/>
      <c r="GY1878" s="6"/>
      <c r="GZ1878" s="6"/>
      <c r="HA1878" s="6"/>
      <c r="HB1878" s="6"/>
      <c r="HC1878" s="6"/>
      <c r="HD1878" s="6"/>
      <c r="HE1878" s="6"/>
      <c r="HF1878" s="6"/>
      <c r="HG1878" s="6"/>
      <c r="HH1878" s="6"/>
    </row>
    <row r="1879" spans="1:216" x14ac:dyDescent="0.3">
      <c r="A1879" s="8"/>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c r="DX1879" s="6"/>
      <c r="DY1879" s="6"/>
      <c r="DZ1879" s="6"/>
      <c r="EA1879" s="6"/>
      <c r="EB1879" s="6"/>
      <c r="EC1879" s="6"/>
      <c r="ED1879" s="6"/>
      <c r="EE1879" s="6"/>
      <c r="EF1879" s="6"/>
      <c r="EG1879" s="6"/>
      <c r="EH1879" s="6"/>
      <c r="EI1879" s="6"/>
      <c r="EJ1879" s="6"/>
      <c r="EK1879" s="6"/>
      <c r="EL1879" s="6"/>
      <c r="EM1879" s="6"/>
      <c r="EN1879" s="6"/>
      <c r="EO1879" s="6"/>
      <c r="EP1879" s="6"/>
      <c r="EQ1879" s="6"/>
      <c r="ER1879" s="6"/>
      <c r="ES1879" s="6"/>
      <c r="ET1879" s="6"/>
      <c r="EU1879" s="6"/>
      <c r="EV1879" s="6"/>
      <c r="EW1879" s="6"/>
      <c r="EX1879" s="6"/>
      <c r="EY1879" s="6"/>
      <c r="EZ1879" s="6"/>
      <c r="FA1879" s="6"/>
      <c r="FB1879" s="6"/>
      <c r="FC1879" s="6"/>
      <c r="FD1879" s="6"/>
      <c r="FE1879" s="6"/>
      <c r="FF1879" s="6"/>
      <c r="FG1879" s="6"/>
      <c r="FH1879" s="6"/>
      <c r="FI1879" s="6"/>
      <c r="FJ1879" s="6"/>
      <c r="FK1879" s="6"/>
      <c r="FL1879" s="6"/>
      <c r="FM1879" s="6"/>
      <c r="FN1879" s="6"/>
      <c r="FO1879" s="6"/>
      <c r="FP1879" s="6"/>
      <c r="FQ1879" s="6"/>
      <c r="FR1879" s="6"/>
      <c r="FS1879" s="6"/>
      <c r="FT1879" s="6"/>
      <c r="FU1879" s="6"/>
      <c r="FV1879" s="6"/>
      <c r="FW1879" s="6"/>
      <c r="FX1879" s="6"/>
      <c r="FY1879" s="6"/>
      <c r="FZ1879" s="6"/>
      <c r="GA1879" s="6"/>
      <c r="GB1879" s="6"/>
      <c r="GC1879" s="6"/>
      <c r="GD1879" s="6"/>
      <c r="GE1879" s="6"/>
      <c r="GF1879" s="6"/>
      <c r="GG1879" s="6"/>
      <c r="GH1879" s="6"/>
      <c r="GI1879" s="6"/>
      <c r="GJ1879" s="6"/>
      <c r="GK1879" s="6"/>
      <c r="GL1879" s="6"/>
      <c r="GM1879" s="6"/>
      <c r="GN1879" s="6"/>
      <c r="GO1879" s="6"/>
      <c r="GP1879" s="6"/>
      <c r="GQ1879" s="6"/>
      <c r="GR1879" s="6"/>
      <c r="GS1879" s="6"/>
      <c r="GT1879" s="6"/>
      <c r="GU1879" s="6"/>
      <c r="GV1879" s="6"/>
      <c r="GW1879" s="6"/>
      <c r="GX1879" s="6"/>
      <c r="GY1879" s="6"/>
      <c r="GZ1879" s="6"/>
      <c r="HA1879" s="6"/>
      <c r="HB1879" s="6"/>
      <c r="HC1879" s="6"/>
      <c r="HD1879" s="6"/>
      <c r="HE1879" s="6"/>
      <c r="HF1879" s="6"/>
      <c r="HG1879" s="6"/>
      <c r="HH1879" s="6"/>
    </row>
    <row r="1880" spans="1:216" x14ac:dyDescent="0.3">
      <c r="A1880" s="8"/>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c r="DX1880" s="6"/>
      <c r="DY1880" s="6"/>
      <c r="DZ1880" s="6"/>
      <c r="EA1880" s="6"/>
      <c r="EB1880" s="6"/>
      <c r="EC1880" s="6"/>
      <c r="ED1880" s="6"/>
      <c r="EE1880" s="6"/>
      <c r="EF1880" s="6"/>
      <c r="EG1880" s="6"/>
      <c r="EH1880" s="6"/>
      <c r="EI1880" s="6"/>
      <c r="EJ1880" s="6"/>
      <c r="EK1880" s="6"/>
      <c r="EL1880" s="6"/>
      <c r="EM1880" s="6"/>
      <c r="EN1880" s="6"/>
      <c r="EO1880" s="6"/>
      <c r="EP1880" s="6"/>
      <c r="EQ1880" s="6"/>
      <c r="ER1880" s="6"/>
      <c r="ES1880" s="6"/>
      <c r="ET1880" s="6"/>
      <c r="EU1880" s="6"/>
      <c r="EV1880" s="6"/>
      <c r="EW1880" s="6"/>
      <c r="EX1880" s="6"/>
      <c r="EY1880" s="6"/>
      <c r="EZ1880" s="6"/>
      <c r="FA1880" s="6"/>
      <c r="FB1880" s="6"/>
      <c r="FC1880" s="6"/>
      <c r="FD1880" s="6"/>
      <c r="FE1880" s="6"/>
      <c r="FF1880" s="6"/>
      <c r="FG1880" s="6"/>
      <c r="FH1880" s="6"/>
      <c r="FI1880" s="6"/>
      <c r="FJ1880" s="6"/>
      <c r="FK1880" s="6"/>
      <c r="FL1880" s="6"/>
      <c r="FM1880" s="6"/>
      <c r="FN1880" s="6"/>
      <c r="FO1880" s="6"/>
      <c r="FP1880" s="6"/>
      <c r="FQ1880" s="6"/>
      <c r="FR1880" s="6"/>
      <c r="FS1880" s="6"/>
      <c r="FT1880" s="6"/>
      <c r="FU1880" s="6"/>
      <c r="FV1880" s="6"/>
      <c r="FW1880" s="6"/>
      <c r="FX1880" s="6"/>
      <c r="FY1880" s="6"/>
      <c r="FZ1880" s="6"/>
      <c r="GA1880" s="6"/>
      <c r="GB1880" s="6"/>
      <c r="GC1880" s="6"/>
      <c r="GD1880" s="6"/>
      <c r="GE1880" s="6"/>
      <c r="GF1880" s="6"/>
      <c r="GG1880" s="6"/>
      <c r="GH1880" s="6"/>
      <c r="GI1880" s="6"/>
      <c r="GJ1880" s="6"/>
      <c r="GK1880" s="6"/>
      <c r="GL1880" s="6"/>
      <c r="GM1880" s="6"/>
      <c r="GN1880" s="6"/>
      <c r="GO1880" s="6"/>
      <c r="GP1880" s="6"/>
      <c r="GQ1880" s="6"/>
      <c r="GR1880" s="6"/>
      <c r="GS1880" s="6"/>
      <c r="GT1880" s="6"/>
      <c r="GU1880" s="6"/>
      <c r="GV1880" s="6"/>
      <c r="GW1880" s="6"/>
      <c r="GX1880" s="6"/>
      <c r="GY1880" s="6"/>
      <c r="GZ1880" s="6"/>
      <c r="HA1880" s="6"/>
      <c r="HB1880" s="6"/>
      <c r="HC1880" s="6"/>
      <c r="HD1880" s="6"/>
      <c r="HE1880" s="6"/>
      <c r="HF1880" s="6"/>
      <c r="HG1880" s="6"/>
      <c r="HH1880" s="6"/>
    </row>
    <row r="1881" spans="1:216" x14ac:dyDescent="0.3">
      <c r="A1881" s="8"/>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c r="DX1881" s="6"/>
      <c r="DY1881" s="6"/>
      <c r="DZ1881" s="6"/>
      <c r="EA1881" s="6"/>
      <c r="EB1881" s="6"/>
      <c r="EC1881" s="6"/>
      <c r="ED1881" s="6"/>
      <c r="EE1881" s="6"/>
      <c r="EF1881" s="6"/>
      <c r="EG1881" s="6"/>
      <c r="EH1881" s="6"/>
      <c r="EI1881" s="6"/>
      <c r="EJ1881" s="6"/>
      <c r="EK1881" s="6"/>
      <c r="EL1881" s="6"/>
      <c r="EM1881" s="6"/>
      <c r="EN1881" s="6"/>
      <c r="EO1881" s="6"/>
      <c r="EP1881" s="6"/>
      <c r="EQ1881" s="6"/>
      <c r="ER1881" s="6"/>
      <c r="ES1881" s="6"/>
      <c r="ET1881" s="6"/>
      <c r="EU1881" s="6"/>
      <c r="EV1881" s="6"/>
      <c r="EW1881" s="6"/>
      <c r="EX1881" s="6"/>
      <c r="EY1881" s="6"/>
      <c r="EZ1881" s="6"/>
      <c r="FA1881" s="6"/>
      <c r="FB1881" s="6"/>
      <c r="FC1881" s="6"/>
      <c r="FD1881" s="6"/>
      <c r="FE1881" s="6"/>
      <c r="FF1881" s="6"/>
      <c r="FG1881" s="6"/>
      <c r="FH1881" s="6"/>
      <c r="FI1881" s="6"/>
      <c r="FJ1881" s="6"/>
      <c r="FK1881" s="6"/>
      <c r="FL1881" s="6"/>
      <c r="FM1881" s="6"/>
      <c r="FN1881" s="6"/>
      <c r="FO1881" s="6"/>
      <c r="FP1881" s="6"/>
      <c r="FQ1881" s="6"/>
      <c r="FR1881" s="6"/>
      <c r="FS1881" s="6"/>
      <c r="FT1881" s="6"/>
      <c r="FU1881" s="6"/>
      <c r="FV1881" s="6"/>
      <c r="FW1881" s="6"/>
      <c r="FX1881" s="6"/>
      <c r="FY1881" s="6"/>
      <c r="FZ1881" s="6"/>
      <c r="GA1881" s="6"/>
      <c r="GB1881" s="6"/>
      <c r="GC1881" s="6"/>
      <c r="GD1881" s="6"/>
      <c r="GE1881" s="6"/>
      <c r="GF1881" s="6"/>
      <c r="GG1881" s="6"/>
      <c r="GH1881" s="6"/>
      <c r="GI1881" s="6"/>
      <c r="GJ1881" s="6"/>
      <c r="GK1881" s="6"/>
      <c r="GL1881" s="6"/>
      <c r="GM1881" s="6"/>
      <c r="GN1881" s="6"/>
      <c r="GO1881" s="6"/>
      <c r="GP1881" s="6"/>
      <c r="GQ1881" s="6"/>
      <c r="GR1881" s="6"/>
      <c r="GS1881" s="6"/>
      <c r="GT1881" s="6"/>
      <c r="GU1881" s="6"/>
      <c r="GV1881" s="6"/>
      <c r="GW1881" s="6"/>
      <c r="GX1881" s="6"/>
      <c r="GY1881" s="6"/>
      <c r="GZ1881" s="6"/>
      <c r="HA1881" s="6"/>
      <c r="HB1881" s="6"/>
      <c r="HC1881" s="6"/>
      <c r="HD1881" s="6"/>
      <c r="HE1881" s="6"/>
      <c r="HF1881" s="6"/>
      <c r="HG1881" s="6"/>
      <c r="HH1881" s="6"/>
    </row>
    <row r="1882" spans="1:216" x14ac:dyDescent="0.3">
      <c r="A1882" s="8"/>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6"/>
      <c r="AR1882" s="6"/>
      <c r="AS1882" s="6"/>
      <c r="AT1882" s="6"/>
      <c r="AU1882" s="6"/>
      <c r="AV1882" s="6"/>
      <c r="AW1882" s="6"/>
      <c r="AX1882" s="6"/>
      <c r="AY1882" s="6"/>
      <c r="AZ1882" s="6"/>
      <c r="BA1882" s="6"/>
      <c r="BB1882" s="6"/>
      <c r="BC1882" s="6"/>
      <c r="BD1882" s="6"/>
      <c r="BE1882" s="6"/>
      <c r="BF1882" s="6"/>
      <c r="BG1882" s="6"/>
      <c r="BH1882" s="6"/>
      <c r="BI1882" s="6"/>
      <c r="BJ1882" s="6"/>
      <c r="BK1882" s="6"/>
      <c r="BL1882" s="6"/>
      <c r="BM1882" s="6"/>
      <c r="BN1882" s="6"/>
      <c r="BO1882" s="6"/>
      <c r="BP1882" s="6"/>
      <c r="BQ1882" s="6"/>
      <c r="BR1882" s="6"/>
      <c r="BS1882" s="6"/>
      <c r="BT1882" s="6"/>
      <c r="BU1882" s="6"/>
      <c r="BV1882" s="6"/>
      <c r="BW1882" s="6"/>
      <c r="BX1882" s="6"/>
      <c r="BY1882" s="6"/>
      <c r="BZ1882" s="6"/>
      <c r="CA1882" s="6"/>
      <c r="CB1882" s="6"/>
      <c r="CC1882" s="6"/>
      <c r="CD1882" s="6"/>
      <c r="CE1882" s="6"/>
      <c r="CF1882" s="6"/>
      <c r="CG1882" s="6"/>
      <c r="CH1882" s="6"/>
      <c r="CI1882" s="6"/>
      <c r="CJ1882" s="6"/>
      <c r="CK1882" s="6"/>
      <c r="CL1882" s="6"/>
      <c r="CM1882" s="6"/>
      <c r="CN1882" s="6"/>
      <c r="CO1882" s="6"/>
      <c r="CP1882" s="6"/>
      <c r="CQ1882" s="6"/>
      <c r="CR1882" s="6"/>
      <c r="CS1882" s="6"/>
      <c r="CT1882" s="6"/>
      <c r="CU1882" s="6"/>
      <c r="CV1882" s="6"/>
      <c r="CW1882" s="6"/>
      <c r="CX1882" s="6"/>
      <c r="CY1882" s="6"/>
      <c r="CZ1882" s="6"/>
      <c r="DA1882" s="6"/>
      <c r="DB1882" s="6"/>
      <c r="DC1882" s="6"/>
      <c r="DD1882" s="6"/>
      <c r="DE1882" s="6"/>
      <c r="DF1882" s="6"/>
      <c r="DG1882" s="6"/>
      <c r="DH1882" s="6"/>
      <c r="DI1882" s="6"/>
      <c r="DJ1882" s="6"/>
      <c r="DK1882" s="6"/>
      <c r="DL1882" s="6"/>
      <c r="DM1882" s="6"/>
      <c r="DN1882" s="6"/>
      <c r="DO1882" s="6"/>
      <c r="DP1882" s="6"/>
      <c r="DQ1882" s="6"/>
      <c r="DR1882" s="6"/>
      <c r="DS1882" s="6"/>
      <c r="DT1882" s="6"/>
      <c r="DU1882" s="6"/>
      <c r="DV1882" s="6"/>
      <c r="DW1882" s="6"/>
      <c r="DX1882" s="6"/>
      <c r="DY1882" s="6"/>
      <c r="DZ1882" s="6"/>
      <c r="EA1882" s="6"/>
      <c r="EB1882" s="6"/>
      <c r="EC1882" s="6"/>
      <c r="ED1882" s="6"/>
      <c r="EE1882" s="6"/>
      <c r="EF1882" s="6"/>
      <c r="EG1882" s="6"/>
      <c r="EH1882" s="6"/>
      <c r="EI1882" s="6"/>
      <c r="EJ1882" s="6"/>
      <c r="EK1882" s="6"/>
      <c r="EL1882" s="6"/>
      <c r="EM1882" s="6"/>
      <c r="EN1882" s="6"/>
      <c r="EO1882" s="6"/>
      <c r="EP1882" s="6"/>
      <c r="EQ1882" s="6"/>
      <c r="ER1882" s="6"/>
      <c r="ES1882" s="6"/>
      <c r="ET1882" s="6"/>
      <c r="EU1882" s="6"/>
      <c r="EV1882" s="6"/>
      <c r="EW1882" s="6"/>
      <c r="EX1882" s="6"/>
      <c r="EY1882" s="6"/>
      <c r="EZ1882" s="6"/>
      <c r="FA1882" s="6"/>
      <c r="FB1882" s="6"/>
      <c r="FC1882" s="6"/>
      <c r="FD1882" s="6"/>
      <c r="FE1882" s="6"/>
      <c r="FF1882" s="6"/>
      <c r="FG1882" s="6"/>
      <c r="FH1882" s="6"/>
      <c r="FI1882" s="6"/>
      <c r="FJ1882" s="6"/>
      <c r="FK1882" s="6"/>
      <c r="FL1882" s="6"/>
      <c r="FM1882" s="6"/>
      <c r="FN1882" s="6"/>
      <c r="FO1882" s="6"/>
      <c r="FP1882" s="6"/>
      <c r="FQ1882" s="6"/>
      <c r="FR1882" s="6"/>
      <c r="FS1882" s="6"/>
      <c r="FT1882" s="6"/>
      <c r="FU1882" s="6"/>
      <c r="FV1882" s="6"/>
      <c r="FW1882" s="6"/>
      <c r="FX1882" s="6"/>
      <c r="FY1882" s="6"/>
      <c r="FZ1882" s="6"/>
      <c r="GA1882" s="6"/>
      <c r="GB1882" s="6"/>
      <c r="GC1882" s="6"/>
      <c r="GD1882" s="6"/>
      <c r="GE1882" s="6"/>
      <c r="GF1882" s="6"/>
      <c r="GG1882" s="6"/>
      <c r="GH1882" s="6"/>
      <c r="GI1882" s="6"/>
      <c r="GJ1882" s="6"/>
      <c r="GK1882" s="6"/>
      <c r="GL1882" s="6"/>
      <c r="GM1882" s="6"/>
      <c r="GN1882" s="6"/>
      <c r="GO1882" s="6"/>
      <c r="GP1882" s="6"/>
      <c r="GQ1882" s="6"/>
      <c r="GR1882" s="6"/>
      <c r="GS1882" s="6"/>
      <c r="GT1882" s="6"/>
      <c r="GU1882" s="6"/>
      <c r="GV1882" s="6"/>
      <c r="GW1882" s="6"/>
      <c r="GX1882" s="6"/>
      <c r="GY1882" s="6"/>
      <c r="GZ1882" s="6"/>
      <c r="HA1882" s="6"/>
      <c r="HB1882" s="6"/>
      <c r="HC1882" s="6"/>
      <c r="HD1882" s="6"/>
      <c r="HE1882" s="6"/>
      <c r="HF1882" s="6"/>
      <c r="HG1882" s="6"/>
      <c r="HH1882" s="6"/>
    </row>
    <row r="1883" spans="1:216" x14ac:dyDescent="0.3">
      <c r="A1883" s="8"/>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c r="DX1883" s="6"/>
      <c r="DY1883" s="6"/>
      <c r="DZ1883" s="6"/>
      <c r="EA1883" s="6"/>
      <c r="EB1883" s="6"/>
      <c r="EC1883" s="6"/>
      <c r="ED1883" s="6"/>
      <c r="EE1883" s="6"/>
      <c r="EF1883" s="6"/>
      <c r="EG1883" s="6"/>
      <c r="EH1883" s="6"/>
      <c r="EI1883" s="6"/>
      <c r="EJ1883" s="6"/>
      <c r="EK1883" s="6"/>
      <c r="EL1883" s="6"/>
      <c r="EM1883" s="6"/>
      <c r="EN1883" s="6"/>
      <c r="EO1883" s="6"/>
      <c r="EP1883" s="6"/>
      <c r="EQ1883" s="6"/>
      <c r="ER1883" s="6"/>
      <c r="ES1883" s="6"/>
      <c r="ET1883" s="6"/>
      <c r="EU1883" s="6"/>
      <c r="EV1883" s="6"/>
      <c r="EW1883" s="6"/>
      <c r="EX1883" s="6"/>
      <c r="EY1883" s="6"/>
      <c r="EZ1883" s="6"/>
      <c r="FA1883" s="6"/>
      <c r="FB1883" s="6"/>
      <c r="FC1883" s="6"/>
      <c r="FD1883" s="6"/>
      <c r="FE1883" s="6"/>
      <c r="FF1883" s="6"/>
      <c r="FG1883" s="6"/>
      <c r="FH1883" s="6"/>
      <c r="FI1883" s="6"/>
      <c r="FJ1883" s="6"/>
      <c r="FK1883" s="6"/>
      <c r="FL1883" s="6"/>
      <c r="FM1883" s="6"/>
      <c r="FN1883" s="6"/>
      <c r="FO1883" s="6"/>
      <c r="FP1883" s="6"/>
      <c r="FQ1883" s="6"/>
      <c r="FR1883" s="6"/>
      <c r="FS1883" s="6"/>
      <c r="FT1883" s="6"/>
      <c r="FU1883" s="6"/>
      <c r="FV1883" s="6"/>
      <c r="FW1883" s="6"/>
      <c r="FX1883" s="6"/>
      <c r="FY1883" s="6"/>
      <c r="FZ1883" s="6"/>
      <c r="GA1883" s="6"/>
      <c r="GB1883" s="6"/>
      <c r="GC1883" s="6"/>
      <c r="GD1883" s="6"/>
      <c r="GE1883" s="6"/>
      <c r="GF1883" s="6"/>
      <c r="GG1883" s="6"/>
      <c r="GH1883" s="6"/>
      <c r="GI1883" s="6"/>
      <c r="GJ1883" s="6"/>
      <c r="GK1883" s="6"/>
      <c r="GL1883" s="6"/>
      <c r="GM1883" s="6"/>
      <c r="GN1883" s="6"/>
      <c r="GO1883" s="6"/>
      <c r="GP1883" s="6"/>
      <c r="GQ1883" s="6"/>
      <c r="GR1883" s="6"/>
      <c r="GS1883" s="6"/>
      <c r="GT1883" s="6"/>
      <c r="GU1883" s="6"/>
      <c r="GV1883" s="6"/>
      <c r="GW1883" s="6"/>
      <c r="GX1883" s="6"/>
      <c r="GY1883" s="6"/>
      <c r="GZ1883" s="6"/>
      <c r="HA1883" s="6"/>
      <c r="HB1883" s="6"/>
      <c r="HC1883" s="6"/>
      <c r="HD1883" s="6"/>
      <c r="HE1883" s="6"/>
      <c r="HF1883" s="6"/>
      <c r="HG1883" s="6"/>
      <c r="HH1883" s="6"/>
    </row>
    <row r="1884" spans="1:216" x14ac:dyDescent="0.3">
      <c r="A1884" s="8"/>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6"/>
      <c r="AR1884" s="6"/>
      <c r="AS1884" s="6"/>
      <c r="AT1884" s="6"/>
      <c r="AU1884" s="6"/>
      <c r="AV1884" s="6"/>
      <c r="AW1884" s="6"/>
      <c r="AX1884" s="6"/>
      <c r="AY1884" s="6"/>
      <c r="AZ1884" s="6"/>
      <c r="BA1884" s="6"/>
      <c r="BB1884" s="6"/>
      <c r="BC1884" s="6"/>
      <c r="BD1884" s="6"/>
      <c r="BE1884" s="6"/>
      <c r="BF1884" s="6"/>
      <c r="BG1884" s="6"/>
      <c r="BH1884" s="6"/>
      <c r="BI1884" s="6"/>
      <c r="BJ1884" s="6"/>
      <c r="BK1884" s="6"/>
      <c r="BL1884" s="6"/>
      <c r="BM1884" s="6"/>
      <c r="BN1884" s="6"/>
      <c r="BO1884" s="6"/>
      <c r="BP1884" s="6"/>
      <c r="BQ1884" s="6"/>
      <c r="BR1884" s="6"/>
      <c r="BS1884" s="6"/>
      <c r="BT1884" s="6"/>
      <c r="BU1884" s="6"/>
      <c r="BV1884" s="6"/>
      <c r="BW1884" s="6"/>
      <c r="BX1884" s="6"/>
      <c r="BY1884" s="6"/>
      <c r="BZ1884" s="6"/>
      <c r="CA1884" s="6"/>
      <c r="CB1884" s="6"/>
      <c r="CC1884" s="6"/>
      <c r="CD1884" s="6"/>
      <c r="CE1884" s="6"/>
      <c r="CF1884" s="6"/>
      <c r="CG1884" s="6"/>
      <c r="CH1884" s="6"/>
      <c r="CI1884" s="6"/>
      <c r="CJ1884" s="6"/>
      <c r="CK1884" s="6"/>
      <c r="CL1884" s="6"/>
      <c r="CM1884" s="6"/>
      <c r="CN1884" s="6"/>
      <c r="CO1884" s="6"/>
      <c r="CP1884" s="6"/>
      <c r="CQ1884" s="6"/>
      <c r="CR1884" s="6"/>
      <c r="CS1884" s="6"/>
      <c r="CT1884" s="6"/>
      <c r="CU1884" s="6"/>
      <c r="CV1884" s="6"/>
      <c r="CW1884" s="6"/>
      <c r="CX1884" s="6"/>
      <c r="CY1884" s="6"/>
      <c r="CZ1884" s="6"/>
      <c r="DA1884" s="6"/>
      <c r="DB1884" s="6"/>
      <c r="DC1884" s="6"/>
      <c r="DD1884" s="6"/>
      <c r="DE1884" s="6"/>
      <c r="DF1884" s="6"/>
      <c r="DG1884" s="6"/>
      <c r="DH1884" s="6"/>
      <c r="DI1884" s="6"/>
      <c r="DJ1884" s="6"/>
      <c r="DK1884" s="6"/>
      <c r="DL1884" s="6"/>
      <c r="DM1884" s="6"/>
      <c r="DN1884" s="6"/>
      <c r="DO1884" s="6"/>
      <c r="DP1884" s="6"/>
      <c r="DQ1884" s="6"/>
      <c r="DR1884" s="6"/>
      <c r="DS1884" s="6"/>
      <c r="DT1884" s="6"/>
      <c r="DU1884" s="6"/>
      <c r="DV1884" s="6"/>
      <c r="DW1884" s="6"/>
      <c r="DX1884" s="6"/>
      <c r="DY1884" s="6"/>
      <c r="DZ1884" s="6"/>
      <c r="EA1884" s="6"/>
      <c r="EB1884" s="6"/>
      <c r="EC1884" s="6"/>
      <c r="ED1884" s="6"/>
      <c r="EE1884" s="6"/>
      <c r="EF1884" s="6"/>
      <c r="EG1884" s="6"/>
      <c r="EH1884" s="6"/>
      <c r="EI1884" s="6"/>
      <c r="EJ1884" s="6"/>
      <c r="EK1884" s="6"/>
      <c r="EL1884" s="6"/>
      <c r="EM1884" s="6"/>
      <c r="EN1884" s="6"/>
      <c r="EO1884" s="6"/>
      <c r="EP1884" s="6"/>
      <c r="EQ1884" s="6"/>
      <c r="ER1884" s="6"/>
      <c r="ES1884" s="6"/>
      <c r="ET1884" s="6"/>
      <c r="EU1884" s="6"/>
      <c r="EV1884" s="6"/>
      <c r="EW1884" s="6"/>
      <c r="EX1884" s="6"/>
      <c r="EY1884" s="6"/>
      <c r="EZ1884" s="6"/>
      <c r="FA1884" s="6"/>
      <c r="FB1884" s="6"/>
      <c r="FC1884" s="6"/>
      <c r="FD1884" s="6"/>
      <c r="FE1884" s="6"/>
      <c r="FF1884" s="6"/>
      <c r="FG1884" s="6"/>
      <c r="FH1884" s="6"/>
      <c r="FI1884" s="6"/>
      <c r="FJ1884" s="6"/>
      <c r="FK1884" s="6"/>
      <c r="FL1884" s="6"/>
      <c r="FM1884" s="6"/>
      <c r="FN1884" s="6"/>
      <c r="FO1884" s="6"/>
      <c r="FP1884" s="6"/>
      <c r="FQ1884" s="6"/>
      <c r="FR1884" s="6"/>
      <c r="FS1884" s="6"/>
      <c r="FT1884" s="6"/>
      <c r="FU1884" s="6"/>
      <c r="FV1884" s="6"/>
      <c r="FW1884" s="6"/>
      <c r="FX1884" s="6"/>
      <c r="FY1884" s="6"/>
      <c r="FZ1884" s="6"/>
      <c r="GA1884" s="6"/>
      <c r="GB1884" s="6"/>
      <c r="GC1884" s="6"/>
      <c r="GD1884" s="6"/>
      <c r="GE1884" s="6"/>
      <c r="GF1884" s="6"/>
      <c r="GG1884" s="6"/>
      <c r="GH1884" s="6"/>
      <c r="GI1884" s="6"/>
      <c r="GJ1884" s="6"/>
      <c r="GK1884" s="6"/>
      <c r="GL1884" s="6"/>
      <c r="GM1884" s="6"/>
      <c r="GN1884" s="6"/>
      <c r="GO1884" s="6"/>
      <c r="GP1884" s="6"/>
      <c r="GQ1884" s="6"/>
      <c r="GR1884" s="6"/>
      <c r="GS1884" s="6"/>
      <c r="GT1884" s="6"/>
      <c r="GU1884" s="6"/>
      <c r="GV1884" s="6"/>
      <c r="GW1884" s="6"/>
      <c r="GX1884" s="6"/>
      <c r="GY1884" s="6"/>
      <c r="GZ1884" s="6"/>
      <c r="HA1884" s="6"/>
      <c r="HB1884" s="6"/>
      <c r="HC1884" s="6"/>
      <c r="HD1884" s="6"/>
      <c r="HE1884" s="6"/>
      <c r="HF1884" s="6"/>
      <c r="HG1884" s="6"/>
      <c r="HH1884" s="6"/>
    </row>
    <row r="1885" spans="1:216" x14ac:dyDescent="0.3">
      <c r="A1885" s="8"/>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6"/>
      <c r="AR1885" s="6"/>
      <c r="AS1885" s="6"/>
      <c r="AT1885" s="6"/>
      <c r="AU1885" s="6"/>
      <c r="AV1885" s="6"/>
      <c r="AW1885" s="6"/>
      <c r="AX1885" s="6"/>
      <c r="AY1885" s="6"/>
      <c r="AZ1885" s="6"/>
      <c r="BA1885" s="6"/>
      <c r="BB1885" s="6"/>
      <c r="BC1885" s="6"/>
      <c r="BD1885" s="6"/>
      <c r="BE1885" s="6"/>
      <c r="BF1885" s="6"/>
      <c r="BG1885" s="6"/>
      <c r="BH1885" s="6"/>
      <c r="BI1885" s="6"/>
      <c r="BJ1885" s="6"/>
      <c r="BK1885" s="6"/>
      <c r="BL1885" s="6"/>
      <c r="BM1885" s="6"/>
      <c r="BN1885" s="6"/>
      <c r="BO1885" s="6"/>
      <c r="BP1885" s="6"/>
      <c r="BQ1885" s="6"/>
      <c r="BR1885" s="6"/>
      <c r="BS1885" s="6"/>
      <c r="BT1885" s="6"/>
      <c r="BU1885" s="6"/>
      <c r="BV1885" s="6"/>
      <c r="BW1885" s="6"/>
      <c r="BX1885" s="6"/>
      <c r="BY1885" s="6"/>
      <c r="BZ1885" s="6"/>
      <c r="CA1885" s="6"/>
      <c r="CB1885" s="6"/>
      <c r="CC1885" s="6"/>
      <c r="CD1885" s="6"/>
      <c r="CE1885" s="6"/>
      <c r="CF1885" s="6"/>
      <c r="CG1885" s="6"/>
      <c r="CH1885" s="6"/>
      <c r="CI1885" s="6"/>
      <c r="CJ1885" s="6"/>
      <c r="CK1885" s="6"/>
      <c r="CL1885" s="6"/>
      <c r="CM1885" s="6"/>
      <c r="CN1885" s="6"/>
      <c r="CO1885" s="6"/>
      <c r="CP1885" s="6"/>
      <c r="CQ1885" s="6"/>
      <c r="CR1885" s="6"/>
      <c r="CS1885" s="6"/>
      <c r="CT1885" s="6"/>
      <c r="CU1885" s="6"/>
      <c r="CV1885" s="6"/>
      <c r="CW1885" s="6"/>
      <c r="CX1885" s="6"/>
      <c r="CY1885" s="6"/>
      <c r="CZ1885" s="6"/>
      <c r="DA1885" s="6"/>
      <c r="DB1885" s="6"/>
      <c r="DC1885" s="6"/>
      <c r="DD1885" s="6"/>
      <c r="DE1885" s="6"/>
      <c r="DF1885" s="6"/>
      <c r="DG1885" s="6"/>
      <c r="DH1885" s="6"/>
      <c r="DI1885" s="6"/>
      <c r="DJ1885" s="6"/>
      <c r="DK1885" s="6"/>
      <c r="DL1885" s="6"/>
      <c r="DM1885" s="6"/>
      <c r="DN1885" s="6"/>
      <c r="DO1885" s="6"/>
      <c r="DP1885" s="6"/>
      <c r="DQ1885" s="6"/>
      <c r="DR1885" s="6"/>
      <c r="DS1885" s="6"/>
      <c r="DT1885" s="6"/>
      <c r="DU1885" s="6"/>
      <c r="DV1885" s="6"/>
      <c r="DW1885" s="6"/>
      <c r="DX1885" s="6"/>
      <c r="DY1885" s="6"/>
      <c r="DZ1885" s="6"/>
      <c r="EA1885" s="6"/>
      <c r="EB1885" s="6"/>
      <c r="EC1885" s="6"/>
      <c r="ED1885" s="6"/>
      <c r="EE1885" s="6"/>
      <c r="EF1885" s="6"/>
      <c r="EG1885" s="6"/>
      <c r="EH1885" s="6"/>
      <c r="EI1885" s="6"/>
      <c r="EJ1885" s="6"/>
      <c r="EK1885" s="6"/>
      <c r="EL1885" s="6"/>
      <c r="EM1885" s="6"/>
      <c r="EN1885" s="6"/>
      <c r="EO1885" s="6"/>
      <c r="EP1885" s="6"/>
      <c r="EQ1885" s="6"/>
      <c r="ER1885" s="6"/>
      <c r="ES1885" s="6"/>
      <c r="ET1885" s="6"/>
      <c r="EU1885" s="6"/>
      <c r="EV1885" s="6"/>
      <c r="EW1885" s="6"/>
      <c r="EX1885" s="6"/>
      <c r="EY1885" s="6"/>
      <c r="EZ1885" s="6"/>
      <c r="FA1885" s="6"/>
      <c r="FB1885" s="6"/>
      <c r="FC1885" s="6"/>
      <c r="FD1885" s="6"/>
      <c r="FE1885" s="6"/>
      <c r="FF1885" s="6"/>
      <c r="FG1885" s="6"/>
      <c r="FH1885" s="6"/>
      <c r="FI1885" s="6"/>
      <c r="FJ1885" s="6"/>
      <c r="FK1885" s="6"/>
      <c r="FL1885" s="6"/>
      <c r="FM1885" s="6"/>
      <c r="FN1885" s="6"/>
      <c r="FO1885" s="6"/>
      <c r="FP1885" s="6"/>
      <c r="FQ1885" s="6"/>
      <c r="FR1885" s="6"/>
      <c r="FS1885" s="6"/>
      <c r="FT1885" s="6"/>
      <c r="FU1885" s="6"/>
      <c r="FV1885" s="6"/>
      <c r="FW1885" s="6"/>
      <c r="FX1885" s="6"/>
      <c r="FY1885" s="6"/>
      <c r="FZ1885" s="6"/>
      <c r="GA1885" s="6"/>
      <c r="GB1885" s="6"/>
      <c r="GC1885" s="6"/>
      <c r="GD1885" s="6"/>
      <c r="GE1885" s="6"/>
      <c r="GF1885" s="6"/>
      <c r="GG1885" s="6"/>
      <c r="GH1885" s="6"/>
      <c r="GI1885" s="6"/>
      <c r="GJ1885" s="6"/>
      <c r="GK1885" s="6"/>
      <c r="GL1885" s="6"/>
      <c r="GM1885" s="6"/>
      <c r="GN1885" s="6"/>
      <c r="GO1885" s="6"/>
      <c r="GP1885" s="6"/>
      <c r="GQ1885" s="6"/>
      <c r="GR1885" s="6"/>
      <c r="GS1885" s="6"/>
      <c r="GT1885" s="6"/>
      <c r="GU1885" s="6"/>
      <c r="GV1885" s="6"/>
      <c r="GW1885" s="6"/>
      <c r="GX1885" s="6"/>
      <c r="GY1885" s="6"/>
      <c r="GZ1885" s="6"/>
      <c r="HA1885" s="6"/>
      <c r="HB1885" s="6"/>
      <c r="HC1885" s="6"/>
      <c r="HD1885" s="6"/>
      <c r="HE1885" s="6"/>
      <c r="HF1885" s="6"/>
      <c r="HG1885" s="6"/>
      <c r="HH1885" s="6"/>
    </row>
    <row r="1886" spans="1:216" x14ac:dyDescent="0.3">
      <c r="A1886" s="8"/>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6"/>
      <c r="AR1886" s="6"/>
      <c r="AS1886" s="6"/>
      <c r="AT1886" s="6"/>
      <c r="AU1886" s="6"/>
      <c r="AV1886" s="6"/>
      <c r="AW1886" s="6"/>
      <c r="AX1886" s="6"/>
      <c r="AY1886" s="6"/>
      <c r="AZ1886" s="6"/>
      <c r="BA1886" s="6"/>
      <c r="BB1886" s="6"/>
      <c r="BC1886" s="6"/>
      <c r="BD1886" s="6"/>
      <c r="BE1886" s="6"/>
      <c r="BF1886" s="6"/>
      <c r="BG1886" s="6"/>
      <c r="BH1886" s="6"/>
      <c r="BI1886" s="6"/>
      <c r="BJ1886" s="6"/>
      <c r="BK1886" s="6"/>
      <c r="BL1886" s="6"/>
      <c r="BM1886" s="6"/>
      <c r="BN1886" s="6"/>
      <c r="BO1886" s="6"/>
      <c r="BP1886" s="6"/>
      <c r="BQ1886" s="6"/>
      <c r="BR1886" s="6"/>
      <c r="BS1886" s="6"/>
      <c r="BT1886" s="6"/>
      <c r="BU1886" s="6"/>
      <c r="BV1886" s="6"/>
      <c r="BW1886" s="6"/>
      <c r="BX1886" s="6"/>
      <c r="BY1886" s="6"/>
      <c r="BZ1886" s="6"/>
      <c r="CA1886" s="6"/>
      <c r="CB1886" s="6"/>
      <c r="CC1886" s="6"/>
      <c r="CD1886" s="6"/>
      <c r="CE1886" s="6"/>
      <c r="CF1886" s="6"/>
      <c r="CG1886" s="6"/>
      <c r="CH1886" s="6"/>
      <c r="CI1886" s="6"/>
      <c r="CJ1886" s="6"/>
      <c r="CK1886" s="6"/>
      <c r="CL1886" s="6"/>
      <c r="CM1886" s="6"/>
      <c r="CN1886" s="6"/>
      <c r="CO1886" s="6"/>
      <c r="CP1886" s="6"/>
      <c r="CQ1886" s="6"/>
      <c r="CR1886" s="6"/>
      <c r="CS1886" s="6"/>
      <c r="CT1886" s="6"/>
      <c r="CU1886" s="6"/>
      <c r="CV1886" s="6"/>
      <c r="CW1886" s="6"/>
      <c r="CX1886" s="6"/>
      <c r="CY1886" s="6"/>
      <c r="CZ1886" s="6"/>
      <c r="DA1886" s="6"/>
      <c r="DB1886" s="6"/>
      <c r="DC1886" s="6"/>
      <c r="DD1886" s="6"/>
      <c r="DE1886" s="6"/>
      <c r="DF1886" s="6"/>
      <c r="DG1886" s="6"/>
      <c r="DH1886" s="6"/>
      <c r="DI1886" s="6"/>
      <c r="DJ1886" s="6"/>
      <c r="DK1886" s="6"/>
      <c r="DL1886" s="6"/>
      <c r="DM1886" s="6"/>
      <c r="DN1886" s="6"/>
      <c r="DO1886" s="6"/>
      <c r="DP1886" s="6"/>
      <c r="DQ1886" s="6"/>
      <c r="DR1886" s="6"/>
      <c r="DS1886" s="6"/>
      <c r="DT1886" s="6"/>
      <c r="DU1886" s="6"/>
      <c r="DV1886" s="6"/>
      <c r="DW1886" s="6"/>
      <c r="DX1886" s="6"/>
      <c r="DY1886" s="6"/>
      <c r="DZ1886" s="6"/>
      <c r="EA1886" s="6"/>
      <c r="EB1886" s="6"/>
      <c r="EC1886" s="6"/>
      <c r="ED1886" s="6"/>
      <c r="EE1886" s="6"/>
      <c r="EF1886" s="6"/>
      <c r="EG1886" s="6"/>
      <c r="EH1886" s="6"/>
      <c r="EI1886" s="6"/>
      <c r="EJ1886" s="6"/>
      <c r="EK1886" s="6"/>
      <c r="EL1886" s="6"/>
      <c r="EM1886" s="6"/>
      <c r="EN1886" s="6"/>
      <c r="EO1886" s="6"/>
      <c r="EP1886" s="6"/>
      <c r="EQ1886" s="6"/>
      <c r="ER1886" s="6"/>
      <c r="ES1886" s="6"/>
      <c r="ET1886" s="6"/>
      <c r="EU1886" s="6"/>
      <c r="EV1886" s="6"/>
      <c r="EW1886" s="6"/>
      <c r="EX1886" s="6"/>
      <c r="EY1886" s="6"/>
      <c r="EZ1886" s="6"/>
      <c r="FA1886" s="6"/>
      <c r="FB1886" s="6"/>
      <c r="FC1886" s="6"/>
      <c r="FD1886" s="6"/>
      <c r="FE1886" s="6"/>
      <c r="FF1886" s="6"/>
      <c r="FG1886" s="6"/>
      <c r="FH1886" s="6"/>
      <c r="FI1886" s="6"/>
      <c r="FJ1886" s="6"/>
      <c r="FK1886" s="6"/>
      <c r="FL1886" s="6"/>
      <c r="FM1886" s="6"/>
      <c r="FN1886" s="6"/>
      <c r="FO1886" s="6"/>
      <c r="FP1886" s="6"/>
      <c r="FQ1886" s="6"/>
      <c r="FR1886" s="6"/>
      <c r="FS1886" s="6"/>
      <c r="FT1886" s="6"/>
      <c r="FU1886" s="6"/>
      <c r="FV1886" s="6"/>
      <c r="FW1886" s="6"/>
      <c r="FX1886" s="6"/>
      <c r="FY1886" s="6"/>
      <c r="FZ1886" s="6"/>
      <c r="GA1886" s="6"/>
      <c r="GB1886" s="6"/>
      <c r="GC1886" s="6"/>
      <c r="GD1886" s="6"/>
      <c r="GE1886" s="6"/>
      <c r="GF1886" s="6"/>
      <c r="GG1886" s="6"/>
      <c r="GH1886" s="6"/>
      <c r="GI1886" s="6"/>
      <c r="GJ1886" s="6"/>
      <c r="GK1886" s="6"/>
      <c r="GL1886" s="6"/>
      <c r="GM1886" s="6"/>
      <c r="GN1886" s="6"/>
      <c r="GO1886" s="6"/>
      <c r="GP1886" s="6"/>
      <c r="GQ1886" s="6"/>
      <c r="GR1886" s="6"/>
      <c r="GS1886" s="6"/>
      <c r="GT1886" s="6"/>
      <c r="GU1886" s="6"/>
      <c r="GV1886" s="6"/>
      <c r="GW1886" s="6"/>
      <c r="GX1886" s="6"/>
      <c r="GY1886" s="6"/>
      <c r="GZ1886" s="6"/>
      <c r="HA1886" s="6"/>
      <c r="HB1886" s="6"/>
      <c r="HC1886" s="6"/>
      <c r="HD1886" s="6"/>
      <c r="HE1886" s="6"/>
      <c r="HF1886" s="6"/>
      <c r="HG1886" s="6"/>
      <c r="HH1886" s="6"/>
    </row>
    <row r="1887" spans="1:216" x14ac:dyDescent="0.3">
      <c r="A1887" s="8"/>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c r="DX1887" s="6"/>
      <c r="DY1887" s="6"/>
      <c r="DZ1887" s="6"/>
      <c r="EA1887" s="6"/>
      <c r="EB1887" s="6"/>
      <c r="EC1887" s="6"/>
      <c r="ED1887" s="6"/>
      <c r="EE1887" s="6"/>
      <c r="EF1887" s="6"/>
      <c r="EG1887" s="6"/>
      <c r="EH1887" s="6"/>
      <c r="EI1887" s="6"/>
      <c r="EJ1887" s="6"/>
      <c r="EK1887" s="6"/>
      <c r="EL1887" s="6"/>
      <c r="EM1887" s="6"/>
      <c r="EN1887" s="6"/>
      <c r="EO1887" s="6"/>
      <c r="EP1887" s="6"/>
      <c r="EQ1887" s="6"/>
      <c r="ER1887" s="6"/>
      <c r="ES1887" s="6"/>
      <c r="ET1887" s="6"/>
      <c r="EU1887" s="6"/>
      <c r="EV1887" s="6"/>
      <c r="EW1887" s="6"/>
      <c r="EX1887" s="6"/>
      <c r="EY1887" s="6"/>
      <c r="EZ1887" s="6"/>
      <c r="FA1887" s="6"/>
      <c r="FB1887" s="6"/>
      <c r="FC1887" s="6"/>
      <c r="FD1887" s="6"/>
      <c r="FE1887" s="6"/>
      <c r="FF1887" s="6"/>
      <c r="FG1887" s="6"/>
      <c r="FH1887" s="6"/>
      <c r="FI1887" s="6"/>
      <c r="FJ1887" s="6"/>
      <c r="FK1887" s="6"/>
      <c r="FL1887" s="6"/>
      <c r="FM1887" s="6"/>
      <c r="FN1887" s="6"/>
      <c r="FO1887" s="6"/>
      <c r="FP1887" s="6"/>
      <c r="FQ1887" s="6"/>
      <c r="FR1887" s="6"/>
      <c r="FS1887" s="6"/>
      <c r="FT1887" s="6"/>
      <c r="FU1887" s="6"/>
      <c r="FV1887" s="6"/>
      <c r="FW1887" s="6"/>
      <c r="FX1887" s="6"/>
      <c r="FY1887" s="6"/>
      <c r="FZ1887" s="6"/>
      <c r="GA1887" s="6"/>
      <c r="GB1887" s="6"/>
      <c r="GC1887" s="6"/>
      <c r="GD1887" s="6"/>
      <c r="GE1887" s="6"/>
      <c r="GF1887" s="6"/>
      <c r="GG1887" s="6"/>
      <c r="GH1887" s="6"/>
      <c r="GI1887" s="6"/>
      <c r="GJ1887" s="6"/>
      <c r="GK1887" s="6"/>
      <c r="GL1887" s="6"/>
      <c r="GM1887" s="6"/>
      <c r="GN1887" s="6"/>
      <c r="GO1887" s="6"/>
      <c r="GP1887" s="6"/>
      <c r="GQ1887" s="6"/>
      <c r="GR1887" s="6"/>
      <c r="GS1887" s="6"/>
      <c r="GT1887" s="6"/>
      <c r="GU1887" s="6"/>
      <c r="GV1887" s="6"/>
      <c r="GW1887" s="6"/>
      <c r="GX1887" s="6"/>
      <c r="GY1887" s="6"/>
      <c r="GZ1887" s="6"/>
      <c r="HA1887" s="6"/>
      <c r="HB1887" s="6"/>
      <c r="HC1887" s="6"/>
      <c r="HD1887" s="6"/>
      <c r="HE1887" s="6"/>
      <c r="HF1887" s="6"/>
      <c r="HG1887" s="6"/>
      <c r="HH1887" s="6"/>
    </row>
    <row r="1888" spans="1:216" x14ac:dyDescent="0.3">
      <c r="A1888" s="8"/>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6"/>
      <c r="AR1888" s="6"/>
      <c r="AS1888" s="6"/>
      <c r="AT1888" s="6"/>
      <c r="AU1888" s="6"/>
      <c r="AV1888" s="6"/>
      <c r="AW1888" s="6"/>
      <c r="AX1888" s="6"/>
      <c r="AY1888" s="6"/>
      <c r="AZ1888" s="6"/>
      <c r="BA1888" s="6"/>
      <c r="BB1888" s="6"/>
      <c r="BC1888" s="6"/>
      <c r="BD1888" s="6"/>
      <c r="BE1888" s="6"/>
      <c r="BF1888" s="6"/>
      <c r="BG1888" s="6"/>
      <c r="BH1888" s="6"/>
      <c r="BI1888" s="6"/>
      <c r="BJ1888" s="6"/>
      <c r="BK1888" s="6"/>
      <c r="BL1888" s="6"/>
      <c r="BM1888" s="6"/>
      <c r="BN1888" s="6"/>
      <c r="BO1888" s="6"/>
      <c r="BP1888" s="6"/>
      <c r="BQ1888" s="6"/>
      <c r="BR1888" s="6"/>
      <c r="BS1888" s="6"/>
      <c r="BT1888" s="6"/>
      <c r="BU1888" s="6"/>
      <c r="BV1888" s="6"/>
      <c r="BW1888" s="6"/>
      <c r="BX1888" s="6"/>
      <c r="BY1888" s="6"/>
      <c r="BZ1888" s="6"/>
      <c r="CA1888" s="6"/>
      <c r="CB1888" s="6"/>
      <c r="CC1888" s="6"/>
      <c r="CD1888" s="6"/>
      <c r="CE1888" s="6"/>
      <c r="CF1888" s="6"/>
      <c r="CG1888" s="6"/>
      <c r="CH1888" s="6"/>
      <c r="CI1888" s="6"/>
      <c r="CJ1888" s="6"/>
      <c r="CK1888" s="6"/>
      <c r="CL1888" s="6"/>
      <c r="CM1888" s="6"/>
      <c r="CN1888" s="6"/>
      <c r="CO1888" s="6"/>
      <c r="CP1888" s="6"/>
      <c r="CQ1888" s="6"/>
      <c r="CR1888" s="6"/>
      <c r="CS1888" s="6"/>
      <c r="CT1888" s="6"/>
      <c r="CU1888" s="6"/>
      <c r="CV1888" s="6"/>
      <c r="CW1888" s="6"/>
      <c r="CX1888" s="6"/>
      <c r="CY1888" s="6"/>
      <c r="CZ1888" s="6"/>
      <c r="DA1888" s="6"/>
      <c r="DB1888" s="6"/>
      <c r="DC1888" s="6"/>
      <c r="DD1888" s="6"/>
      <c r="DE1888" s="6"/>
      <c r="DF1888" s="6"/>
      <c r="DG1888" s="6"/>
      <c r="DH1888" s="6"/>
      <c r="DI1888" s="6"/>
      <c r="DJ1888" s="6"/>
      <c r="DK1888" s="6"/>
      <c r="DL1888" s="6"/>
      <c r="DM1888" s="6"/>
      <c r="DN1888" s="6"/>
      <c r="DO1888" s="6"/>
      <c r="DP1888" s="6"/>
      <c r="DQ1888" s="6"/>
      <c r="DR1888" s="6"/>
      <c r="DS1888" s="6"/>
      <c r="DT1888" s="6"/>
      <c r="DU1888" s="6"/>
      <c r="DV1888" s="6"/>
      <c r="DW1888" s="6"/>
      <c r="DX1888" s="6"/>
      <c r="DY1888" s="6"/>
      <c r="DZ1888" s="6"/>
      <c r="EA1888" s="6"/>
      <c r="EB1888" s="6"/>
      <c r="EC1888" s="6"/>
      <c r="ED1888" s="6"/>
      <c r="EE1888" s="6"/>
      <c r="EF1888" s="6"/>
      <c r="EG1888" s="6"/>
      <c r="EH1888" s="6"/>
      <c r="EI1888" s="6"/>
      <c r="EJ1888" s="6"/>
      <c r="EK1888" s="6"/>
      <c r="EL1888" s="6"/>
      <c r="EM1888" s="6"/>
      <c r="EN1888" s="6"/>
      <c r="EO1888" s="6"/>
      <c r="EP1888" s="6"/>
      <c r="EQ1888" s="6"/>
      <c r="ER1888" s="6"/>
      <c r="ES1888" s="6"/>
      <c r="ET1888" s="6"/>
      <c r="EU1888" s="6"/>
      <c r="EV1888" s="6"/>
      <c r="EW1888" s="6"/>
      <c r="EX1888" s="6"/>
      <c r="EY1888" s="6"/>
      <c r="EZ1888" s="6"/>
      <c r="FA1888" s="6"/>
      <c r="FB1888" s="6"/>
      <c r="FC1888" s="6"/>
      <c r="FD1888" s="6"/>
      <c r="FE1888" s="6"/>
      <c r="FF1888" s="6"/>
      <c r="FG1888" s="6"/>
      <c r="FH1888" s="6"/>
      <c r="FI1888" s="6"/>
      <c r="FJ1888" s="6"/>
      <c r="FK1888" s="6"/>
      <c r="FL1888" s="6"/>
      <c r="FM1888" s="6"/>
      <c r="FN1888" s="6"/>
      <c r="FO1888" s="6"/>
      <c r="FP1888" s="6"/>
      <c r="FQ1888" s="6"/>
      <c r="FR1888" s="6"/>
      <c r="FS1888" s="6"/>
      <c r="FT1888" s="6"/>
      <c r="FU1888" s="6"/>
      <c r="FV1888" s="6"/>
      <c r="FW1888" s="6"/>
      <c r="FX1888" s="6"/>
      <c r="FY1888" s="6"/>
      <c r="FZ1888" s="6"/>
      <c r="GA1888" s="6"/>
      <c r="GB1888" s="6"/>
      <c r="GC1888" s="6"/>
      <c r="GD1888" s="6"/>
      <c r="GE1888" s="6"/>
      <c r="GF1888" s="6"/>
      <c r="GG1888" s="6"/>
      <c r="GH1888" s="6"/>
      <c r="GI1888" s="6"/>
      <c r="GJ1888" s="6"/>
      <c r="GK1888" s="6"/>
      <c r="GL1888" s="6"/>
      <c r="GM1888" s="6"/>
      <c r="GN1888" s="6"/>
      <c r="GO1888" s="6"/>
      <c r="GP1888" s="6"/>
      <c r="GQ1888" s="6"/>
      <c r="GR1888" s="6"/>
      <c r="GS1888" s="6"/>
      <c r="GT1888" s="6"/>
      <c r="GU1888" s="6"/>
      <c r="GV1888" s="6"/>
      <c r="GW1888" s="6"/>
      <c r="GX1888" s="6"/>
      <c r="GY1888" s="6"/>
      <c r="GZ1888" s="6"/>
      <c r="HA1888" s="6"/>
      <c r="HB1888" s="6"/>
      <c r="HC1888" s="6"/>
      <c r="HD1888" s="6"/>
      <c r="HE1888" s="6"/>
      <c r="HF1888" s="6"/>
      <c r="HG1888" s="6"/>
      <c r="HH1888" s="6"/>
    </row>
    <row r="1889" spans="1:216" x14ac:dyDescent="0.3">
      <c r="A1889" s="8"/>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6"/>
      <c r="AR1889" s="6"/>
      <c r="AS1889" s="6"/>
      <c r="AT1889" s="6"/>
      <c r="AU1889" s="6"/>
      <c r="AV1889" s="6"/>
      <c r="AW1889" s="6"/>
      <c r="AX1889" s="6"/>
      <c r="AY1889" s="6"/>
      <c r="AZ1889" s="6"/>
      <c r="BA1889" s="6"/>
      <c r="BB1889" s="6"/>
      <c r="BC1889" s="6"/>
      <c r="BD1889" s="6"/>
      <c r="BE1889" s="6"/>
      <c r="BF1889" s="6"/>
      <c r="BG1889" s="6"/>
      <c r="BH1889" s="6"/>
      <c r="BI1889" s="6"/>
      <c r="BJ1889" s="6"/>
      <c r="BK1889" s="6"/>
      <c r="BL1889" s="6"/>
      <c r="BM1889" s="6"/>
      <c r="BN1889" s="6"/>
      <c r="BO1889" s="6"/>
      <c r="BP1889" s="6"/>
      <c r="BQ1889" s="6"/>
      <c r="BR1889" s="6"/>
      <c r="BS1889" s="6"/>
      <c r="BT1889" s="6"/>
      <c r="BU1889" s="6"/>
      <c r="BV1889" s="6"/>
      <c r="BW1889" s="6"/>
      <c r="BX1889" s="6"/>
      <c r="BY1889" s="6"/>
      <c r="BZ1889" s="6"/>
      <c r="CA1889" s="6"/>
      <c r="CB1889" s="6"/>
      <c r="CC1889" s="6"/>
      <c r="CD1889" s="6"/>
      <c r="CE1889" s="6"/>
      <c r="CF1889" s="6"/>
      <c r="CG1889" s="6"/>
      <c r="CH1889" s="6"/>
      <c r="CI1889" s="6"/>
      <c r="CJ1889" s="6"/>
      <c r="CK1889" s="6"/>
      <c r="CL1889" s="6"/>
      <c r="CM1889" s="6"/>
      <c r="CN1889" s="6"/>
      <c r="CO1889" s="6"/>
      <c r="CP1889" s="6"/>
      <c r="CQ1889" s="6"/>
      <c r="CR1889" s="6"/>
      <c r="CS1889" s="6"/>
      <c r="CT1889" s="6"/>
      <c r="CU1889" s="6"/>
      <c r="CV1889" s="6"/>
      <c r="CW1889" s="6"/>
      <c r="CX1889" s="6"/>
      <c r="CY1889" s="6"/>
      <c r="CZ1889" s="6"/>
      <c r="DA1889" s="6"/>
      <c r="DB1889" s="6"/>
      <c r="DC1889" s="6"/>
      <c r="DD1889" s="6"/>
      <c r="DE1889" s="6"/>
      <c r="DF1889" s="6"/>
      <c r="DG1889" s="6"/>
      <c r="DH1889" s="6"/>
      <c r="DI1889" s="6"/>
      <c r="DJ1889" s="6"/>
      <c r="DK1889" s="6"/>
      <c r="DL1889" s="6"/>
      <c r="DM1889" s="6"/>
      <c r="DN1889" s="6"/>
      <c r="DO1889" s="6"/>
      <c r="DP1889" s="6"/>
      <c r="DQ1889" s="6"/>
      <c r="DR1889" s="6"/>
      <c r="DS1889" s="6"/>
      <c r="DT1889" s="6"/>
      <c r="DU1889" s="6"/>
      <c r="DV1889" s="6"/>
      <c r="DW1889" s="6"/>
      <c r="DX1889" s="6"/>
      <c r="DY1889" s="6"/>
      <c r="DZ1889" s="6"/>
      <c r="EA1889" s="6"/>
      <c r="EB1889" s="6"/>
      <c r="EC1889" s="6"/>
      <c r="ED1889" s="6"/>
      <c r="EE1889" s="6"/>
      <c r="EF1889" s="6"/>
      <c r="EG1889" s="6"/>
      <c r="EH1889" s="6"/>
      <c r="EI1889" s="6"/>
      <c r="EJ1889" s="6"/>
      <c r="EK1889" s="6"/>
      <c r="EL1889" s="6"/>
      <c r="EM1889" s="6"/>
      <c r="EN1889" s="6"/>
      <c r="EO1889" s="6"/>
      <c r="EP1889" s="6"/>
      <c r="EQ1889" s="6"/>
      <c r="ER1889" s="6"/>
      <c r="ES1889" s="6"/>
      <c r="ET1889" s="6"/>
      <c r="EU1889" s="6"/>
      <c r="EV1889" s="6"/>
      <c r="EW1889" s="6"/>
      <c r="EX1889" s="6"/>
      <c r="EY1889" s="6"/>
      <c r="EZ1889" s="6"/>
      <c r="FA1889" s="6"/>
      <c r="FB1889" s="6"/>
      <c r="FC1889" s="6"/>
      <c r="FD1889" s="6"/>
      <c r="FE1889" s="6"/>
      <c r="FF1889" s="6"/>
      <c r="FG1889" s="6"/>
      <c r="FH1889" s="6"/>
      <c r="FI1889" s="6"/>
      <c r="FJ1889" s="6"/>
      <c r="FK1889" s="6"/>
      <c r="FL1889" s="6"/>
      <c r="FM1889" s="6"/>
      <c r="FN1889" s="6"/>
      <c r="FO1889" s="6"/>
      <c r="FP1889" s="6"/>
      <c r="FQ1889" s="6"/>
      <c r="FR1889" s="6"/>
      <c r="FS1889" s="6"/>
      <c r="FT1889" s="6"/>
      <c r="FU1889" s="6"/>
      <c r="FV1889" s="6"/>
      <c r="FW1889" s="6"/>
      <c r="FX1889" s="6"/>
      <c r="FY1889" s="6"/>
      <c r="FZ1889" s="6"/>
      <c r="GA1889" s="6"/>
      <c r="GB1889" s="6"/>
      <c r="GC1889" s="6"/>
      <c r="GD1889" s="6"/>
      <c r="GE1889" s="6"/>
      <c r="GF1889" s="6"/>
      <c r="GG1889" s="6"/>
      <c r="GH1889" s="6"/>
      <c r="GI1889" s="6"/>
      <c r="GJ1889" s="6"/>
      <c r="GK1889" s="6"/>
      <c r="GL1889" s="6"/>
      <c r="GM1889" s="6"/>
      <c r="GN1889" s="6"/>
      <c r="GO1889" s="6"/>
      <c r="GP1889" s="6"/>
      <c r="GQ1889" s="6"/>
      <c r="GR1889" s="6"/>
      <c r="GS1889" s="6"/>
      <c r="GT1889" s="6"/>
      <c r="GU1889" s="6"/>
      <c r="GV1889" s="6"/>
      <c r="GW1889" s="6"/>
      <c r="GX1889" s="6"/>
      <c r="GY1889" s="6"/>
      <c r="GZ1889" s="6"/>
      <c r="HA1889" s="6"/>
      <c r="HB1889" s="6"/>
      <c r="HC1889" s="6"/>
      <c r="HD1889" s="6"/>
      <c r="HE1889" s="6"/>
      <c r="HF1889" s="6"/>
      <c r="HG1889" s="6"/>
      <c r="HH1889" s="6"/>
    </row>
    <row r="1890" spans="1:216" x14ac:dyDescent="0.3">
      <c r="A1890" s="8"/>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c r="DX1890" s="6"/>
      <c r="DY1890" s="6"/>
      <c r="DZ1890" s="6"/>
      <c r="EA1890" s="6"/>
      <c r="EB1890" s="6"/>
      <c r="EC1890" s="6"/>
      <c r="ED1890" s="6"/>
      <c r="EE1890" s="6"/>
      <c r="EF1890" s="6"/>
      <c r="EG1890" s="6"/>
      <c r="EH1890" s="6"/>
      <c r="EI1890" s="6"/>
      <c r="EJ1890" s="6"/>
      <c r="EK1890" s="6"/>
      <c r="EL1890" s="6"/>
      <c r="EM1890" s="6"/>
      <c r="EN1890" s="6"/>
      <c r="EO1890" s="6"/>
      <c r="EP1890" s="6"/>
      <c r="EQ1890" s="6"/>
      <c r="ER1890" s="6"/>
      <c r="ES1890" s="6"/>
      <c r="ET1890" s="6"/>
      <c r="EU1890" s="6"/>
      <c r="EV1890" s="6"/>
      <c r="EW1890" s="6"/>
      <c r="EX1890" s="6"/>
      <c r="EY1890" s="6"/>
      <c r="EZ1890" s="6"/>
      <c r="FA1890" s="6"/>
      <c r="FB1890" s="6"/>
      <c r="FC1890" s="6"/>
      <c r="FD1890" s="6"/>
      <c r="FE1890" s="6"/>
      <c r="FF1890" s="6"/>
      <c r="FG1890" s="6"/>
      <c r="FH1890" s="6"/>
      <c r="FI1890" s="6"/>
      <c r="FJ1890" s="6"/>
      <c r="FK1890" s="6"/>
      <c r="FL1890" s="6"/>
      <c r="FM1890" s="6"/>
      <c r="FN1890" s="6"/>
      <c r="FO1890" s="6"/>
      <c r="FP1890" s="6"/>
      <c r="FQ1890" s="6"/>
      <c r="FR1890" s="6"/>
      <c r="FS1890" s="6"/>
      <c r="FT1890" s="6"/>
      <c r="FU1890" s="6"/>
      <c r="FV1890" s="6"/>
      <c r="FW1890" s="6"/>
      <c r="FX1890" s="6"/>
      <c r="FY1890" s="6"/>
      <c r="FZ1890" s="6"/>
      <c r="GA1890" s="6"/>
      <c r="GB1890" s="6"/>
      <c r="GC1890" s="6"/>
      <c r="GD1890" s="6"/>
      <c r="GE1890" s="6"/>
      <c r="GF1890" s="6"/>
      <c r="GG1890" s="6"/>
      <c r="GH1890" s="6"/>
      <c r="GI1890" s="6"/>
      <c r="GJ1890" s="6"/>
      <c r="GK1890" s="6"/>
      <c r="GL1890" s="6"/>
      <c r="GM1890" s="6"/>
      <c r="GN1890" s="6"/>
      <c r="GO1890" s="6"/>
      <c r="GP1890" s="6"/>
      <c r="GQ1890" s="6"/>
      <c r="GR1890" s="6"/>
      <c r="GS1890" s="6"/>
      <c r="GT1890" s="6"/>
      <c r="GU1890" s="6"/>
      <c r="GV1890" s="6"/>
      <c r="GW1890" s="6"/>
      <c r="GX1890" s="6"/>
      <c r="GY1890" s="6"/>
      <c r="GZ1890" s="6"/>
      <c r="HA1890" s="6"/>
      <c r="HB1890" s="6"/>
      <c r="HC1890" s="6"/>
      <c r="HD1890" s="6"/>
      <c r="HE1890" s="6"/>
      <c r="HF1890" s="6"/>
      <c r="HG1890" s="6"/>
      <c r="HH1890" s="6"/>
    </row>
    <row r="1891" spans="1:216" x14ac:dyDescent="0.3">
      <c r="A1891" s="8"/>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6"/>
      <c r="AR1891" s="6"/>
      <c r="AS1891" s="6"/>
      <c r="AT1891" s="6"/>
      <c r="AU1891" s="6"/>
      <c r="AV1891" s="6"/>
      <c r="AW1891" s="6"/>
      <c r="AX1891" s="6"/>
      <c r="AY1891" s="6"/>
      <c r="AZ1891" s="6"/>
      <c r="BA1891" s="6"/>
      <c r="BB1891" s="6"/>
      <c r="BC1891" s="6"/>
      <c r="BD1891" s="6"/>
      <c r="BE1891" s="6"/>
      <c r="BF1891" s="6"/>
      <c r="BG1891" s="6"/>
      <c r="BH1891" s="6"/>
      <c r="BI1891" s="6"/>
      <c r="BJ1891" s="6"/>
      <c r="BK1891" s="6"/>
      <c r="BL1891" s="6"/>
      <c r="BM1891" s="6"/>
      <c r="BN1891" s="6"/>
      <c r="BO1891" s="6"/>
      <c r="BP1891" s="6"/>
      <c r="BQ1891" s="6"/>
      <c r="BR1891" s="6"/>
      <c r="BS1891" s="6"/>
      <c r="BT1891" s="6"/>
      <c r="BU1891" s="6"/>
      <c r="BV1891" s="6"/>
      <c r="BW1891" s="6"/>
      <c r="BX1891" s="6"/>
      <c r="BY1891" s="6"/>
      <c r="BZ1891" s="6"/>
      <c r="CA1891" s="6"/>
      <c r="CB1891" s="6"/>
      <c r="CC1891" s="6"/>
      <c r="CD1891" s="6"/>
      <c r="CE1891" s="6"/>
      <c r="CF1891" s="6"/>
      <c r="CG1891" s="6"/>
      <c r="CH1891" s="6"/>
      <c r="CI1891" s="6"/>
      <c r="CJ1891" s="6"/>
      <c r="CK1891" s="6"/>
      <c r="CL1891" s="6"/>
      <c r="CM1891" s="6"/>
      <c r="CN1891" s="6"/>
      <c r="CO1891" s="6"/>
      <c r="CP1891" s="6"/>
      <c r="CQ1891" s="6"/>
      <c r="CR1891" s="6"/>
      <c r="CS1891" s="6"/>
      <c r="CT1891" s="6"/>
      <c r="CU1891" s="6"/>
      <c r="CV1891" s="6"/>
      <c r="CW1891" s="6"/>
      <c r="CX1891" s="6"/>
      <c r="CY1891" s="6"/>
      <c r="CZ1891" s="6"/>
      <c r="DA1891" s="6"/>
      <c r="DB1891" s="6"/>
      <c r="DC1891" s="6"/>
      <c r="DD1891" s="6"/>
      <c r="DE1891" s="6"/>
      <c r="DF1891" s="6"/>
      <c r="DG1891" s="6"/>
      <c r="DH1891" s="6"/>
      <c r="DI1891" s="6"/>
      <c r="DJ1891" s="6"/>
      <c r="DK1891" s="6"/>
      <c r="DL1891" s="6"/>
      <c r="DM1891" s="6"/>
      <c r="DN1891" s="6"/>
      <c r="DO1891" s="6"/>
      <c r="DP1891" s="6"/>
      <c r="DQ1891" s="6"/>
      <c r="DR1891" s="6"/>
      <c r="DS1891" s="6"/>
      <c r="DT1891" s="6"/>
      <c r="DU1891" s="6"/>
      <c r="DV1891" s="6"/>
      <c r="DW1891" s="6"/>
      <c r="DX1891" s="6"/>
      <c r="DY1891" s="6"/>
      <c r="DZ1891" s="6"/>
      <c r="EA1891" s="6"/>
      <c r="EB1891" s="6"/>
      <c r="EC1891" s="6"/>
      <c r="ED1891" s="6"/>
      <c r="EE1891" s="6"/>
      <c r="EF1891" s="6"/>
      <c r="EG1891" s="6"/>
      <c r="EH1891" s="6"/>
      <c r="EI1891" s="6"/>
      <c r="EJ1891" s="6"/>
      <c r="EK1891" s="6"/>
      <c r="EL1891" s="6"/>
      <c r="EM1891" s="6"/>
      <c r="EN1891" s="6"/>
      <c r="EO1891" s="6"/>
      <c r="EP1891" s="6"/>
      <c r="EQ1891" s="6"/>
      <c r="ER1891" s="6"/>
      <c r="ES1891" s="6"/>
      <c r="ET1891" s="6"/>
      <c r="EU1891" s="6"/>
      <c r="EV1891" s="6"/>
      <c r="EW1891" s="6"/>
      <c r="EX1891" s="6"/>
      <c r="EY1891" s="6"/>
      <c r="EZ1891" s="6"/>
      <c r="FA1891" s="6"/>
      <c r="FB1891" s="6"/>
      <c r="FC1891" s="6"/>
      <c r="FD1891" s="6"/>
      <c r="FE1891" s="6"/>
      <c r="FF1891" s="6"/>
      <c r="FG1891" s="6"/>
      <c r="FH1891" s="6"/>
      <c r="FI1891" s="6"/>
      <c r="FJ1891" s="6"/>
      <c r="FK1891" s="6"/>
      <c r="FL1891" s="6"/>
      <c r="FM1891" s="6"/>
      <c r="FN1891" s="6"/>
      <c r="FO1891" s="6"/>
      <c r="FP1891" s="6"/>
      <c r="FQ1891" s="6"/>
      <c r="FR1891" s="6"/>
      <c r="FS1891" s="6"/>
      <c r="FT1891" s="6"/>
      <c r="FU1891" s="6"/>
      <c r="FV1891" s="6"/>
      <c r="FW1891" s="6"/>
      <c r="FX1891" s="6"/>
      <c r="FY1891" s="6"/>
      <c r="FZ1891" s="6"/>
      <c r="GA1891" s="6"/>
      <c r="GB1891" s="6"/>
      <c r="GC1891" s="6"/>
      <c r="GD1891" s="6"/>
      <c r="GE1891" s="6"/>
      <c r="GF1891" s="6"/>
      <c r="GG1891" s="6"/>
      <c r="GH1891" s="6"/>
      <c r="GI1891" s="6"/>
      <c r="GJ1891" s="6"/>
      <c r="GK1891" s="6"/>
      <c r="GL1891" s="6"/>
      <c r="GM1891" s="6"/>
      <c r="GN1891" s="6"/>
      <c r="GO1891" s="6"/>
      <c r="GP1891" s="6"/>
      <c r="GQ1891" s="6"/>
      <c r="GR1891" s="6"/>
      <c r="GS1891" s="6"/>
      <c r="GT1891" s="6"/>
      <c r="GU1891" s="6"/>
      <c r="GV1891" s="6"/>
      <c r="GW1891" s="6"/>
      <c r="GX1891" s="6"/>
      <c r="GY1891" s="6"/>
      <c r="GZ1891" s="6"/>
      <c r="HA1891" s="6"/>
      <c r="HB1891" s="6"/>
      <c r="HC1891" s="6"/>
      <c r="HD1891" s="6"/>
      <c r="HE1891" s="6"/>
      <c r="HF1891" s="6"/>
      <c r="HG1891" s="6"/>
      <c r="HH1891" s="6"/>
    </row>
    <row r="1892" spans="1:216" x14ac:dyDescent="0.3">
      <c r="A1892" s="8"/>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6"/>
      <c r="AR1892" s="6"/>
      <c r="AS1892" s="6"/>
      <c r="AT1892" s="6"/>
      <c r="AU1892" s="6"/>
      <c r="AV1892" s="6"/>
      <c r="AW1892" s="6"/>
      <c r="AX1892" s="6"/>
      <c r="AY1892" s="6"/>
      <c r="AZ1892" s="6"/>
      <c r="BA1892" s="6"/>
      <c r="BB1892" s="6"/>
      <c r="BC1892" s="6"/>
      <c r="BD1892" s="6"/>
      <c r="BE1892" s="6"/>
      <c r="BF1892" s="6"/>
      <c r="BG1892" s="6"/>
      <c r="BH1892" s="6"/>
      <c r="BI1892" s="6"/>
      <c r="BJ1892" s="6"/>
      <c r="BK1892" s="6"/>
      <c r="BL1892" s="6"/>
      <c r="BM1892" s="6"/>
      <c r="BN1892" s="6"/>
      <c r="BO1892" s="6"/>
      <c r="BP1892" s="6"/>
      <c r="BQ1892" s="6"/>
      <c r="BR1892" s="6"/>
      <c r="BS1892" s="6"/>
      <c r="BT1892" s="6"/>
      <c r="BU1892" s="6"/>
      <c r="BV1892" s="6"/>
      <c r="BW1892" s="6"/>
      <c r="BX1892" s="6"/>
      <c r="BY1892" s="6"/>
      <c r="BZ1892" s="6"/>
      <c r="CA1892" s="6"/>
      <c r="CB1892" s="6"/>
      <c r="CC1892" s="6"/>
      <c r="CD1892" s="6"/>
      <c r="CE1892" s="6"/>
      <c r="CF1892" s="6"/>
      <c r="CG1892" s="6"/>
      <c r="CH1892" s="6"/>
      <c r="CI1892" s="6"/>
      <c r="CJ1892" s="6"/>
      <c r="CK1892" s="6"/>
      <c r="CL1892" s="6"/>
      <c r="CM1892" s="6"/>
      <c r="CN1892" s="6"/>
      <c r="CO1892" s="6"/>
      <c r="CP1892" s="6"/>
      <c r="CQ1892" s="6"/>
      <c r="CR1892" s="6"/>
      <c r="CS1892" s="6"/>
      <c r="CT1892" s="6"/>
      <c r="CU1892" s="6"/>
      <c r="CV1892" s="6"/>
      <c r="CW1892" s="6"/>
      <c r="CX1892" s="6"/>
      <c r="CY1892" s="6"/>
      <c r="CZ1892" s="6"/>
      <c r="DA1892" s="6"/>
      <c r="DB1892" s="6"/>
      <c r="DC1892" s="6"/>
      <c r="DD1892" s="6"/>
      <c r="DE1892" s="6"/>
      <c r="DF1892" s="6"/>
      <c r="DG1892" s="6"/>
      <c r="DH1892" s="6"/>
      <c r="DI1892" s="6"/>
      <c r="DJ1892" s="6"/>
      <c r="DK1892" s="6"/>
      <c r="DL1892" s="6"/>
      <c r="DM1892" s="6"/>
      <c r="DN1892" s="6"/>
      <c r="DO1892" s="6"/>
      <c r="DP1892" s="6"/>
      <c r="DQ1892" s="6"/>
      <c r="DR1892" s="6"/>
      <c r="DS1892" s="6"/>
      <c r="DT1892" s="6"/>
      <c r="DU1892" s="6"/>
      <c r="DV1892" s="6"/>
      <c r="DW1892" s="6"/>
      <c r="DX1892" s="6"/>
      <c r="DY1892" s="6"/>
      <c r="DZ1892" s="6"/>
      <c r="EA1892" s="6"/>
      <c r="EB1892" s="6"/>
      <c r="EC1892" s="6"/>
      <c r="ED1892" s="6"/>
      <c r="EE1892" s="6"/>
      <c r="EF1892" s="6"/>
      <c r="EG1892" s="6"/>
      <c r="EH1892" s="6"/>
      <c r="EI1892" s="6"/>
      <c r="EJ1892" s="6"/>
      <c r="EK1892" s="6"/>
      <c r="EL1892" s="6"/>
      <c r="EM1892" s="6"/>
      <c r="EN1892" s="6"/>
      <c r="EO1892" s="6"/>
      <c r="EP1892" s="6"/>
      <c r="EQ1892" s="6"/>
      <c r="ER1892" s="6"/>
      <c r="ES1892" s="6"/>
      <c r="ET1892" s="6"/>
      <c r="EU1892" s="6"/>
      <c r="EV1892" s="6"/>
      <c r="EW1892" s="6"/>
      <c r="EX1892" s="6"/>
      <c r="EY1892" s="6"/>
      <c r="EZ1892" s="6"/>
      <c r="FA1892" s="6"/>
      <c r="FB1892" s="6"/>
      <c r="FC1892" s="6"/>
      <c r="FD1892" s="6"/>
      <c r="FE1892" s="6"/>
      <c r="FF1892" s="6"/>
      <c r="FG1892" s="6"/>
      <c r="FH1892" s="6"/>
      <c r="FI1892" s="6"/>
      <c r="FJ1892" s="6"/>
      <c r="FK1892" s="6"/>
      <c r="FL1892" s="6"/>
      <c r="FM1892" s="6"/>
      <c r="FN1892" s="6"/>
      <c r="FO1892" s="6"/>
      <c r="FP1892" s="6"/>
      <c r="FQ1892" s="6"/>
      <c r="FR1892" s="6"/>
      <c r="FS1892" s="6"/>
      <c r="FT1892" s="6"/>
      <c r="FU1892" s="6"/>
      <c r="FV1892" s="6"/>
      <c r="FW1892" s="6"/>
      <c r="FX1892" s="6"/>
      <c r="FY1892" s="6"/>
      <c r="FZ1892" s="6"/>
      <c r="GA1892" s="6"/>
      <c r="GB1892" s="6"/>
      <c r="GC1892" s="6"/>
      <c r="GD1892" s="6"/>
      <c r="GE1892" s="6"/>
      <c r="GF1892" s="6"/>
      <c r="GG1892" s="6"/>
      <c r="GH1892" s="6"/>
      <c r="GI1892" s="6"/>
      <c r="GJ1892" s="6"/>
      <c r="GK1892" s="6"/>
      <c r="GL1892" s="6"/>
      <c r="GM1892" s="6"/>
      <c r="GN1892" s="6"/>
      <c r="GO1892" s="6"/>
      <c r="GP1892" s="6"/>
      <c r="GQ1892" s="6"/>
      <c r="GR1892" s="6"/>
      <c r="GS1892" s="6"/>
      <c r="GT1892" s="6"/>
      <c r="GU1892" s="6"/>
      <c r="GV1892" s="6"/>
      <c r="GW1892" s="6"/>
      <c r="GX1892" s="6"/>
      <c r="GY1892" s="6"/>
      <c r="GZ1892" s="6"/>
      <c r="HA1892" s="6"/>
      <c r="HB1892" s="6"/>
      <c r="HC1892" s="6"/>
      <c r="HD1892" s="6"/>
      <c r="HE1892" s="6"/>
      <c r="HF1892" s="6"/>
      <c r="HG1892" s="6"/>
      <c r="HH1892" s="6"/>
    </row>
    <row r="1893" spans="1:216" x14ac:dyDescent="0.3">
      <c r="A1893" s="8"/>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6"/>
      <c r="AR1893" s="6"/>
      <c r="AS1893" s="6"/>
      <c r="AT1893" s="6"/>
      <c r="AU1893" s="6"/>
      <c r="AV1893" s="6"/>
      <c r="AW1893" s="6"/>
      <c r="AX1893" s="6"/>
      <c r="AY1893" s="6"/>
      <c r="AZ1893" s="6"/>
      <c r="BA1893" s="6"/>
      <c r="BB1893" s="6"/>
      <c r="BC1893" s="6"/>
      <c r="BD1893" s="6"/>
      <c r="BE1893" s="6"/>
      <c r="BF1893" s="6"/>
      <c r="BG1893" s="6"/>
      <c r="BH1893" s="6"/>
      <c r="BI1893" s="6"/>
      <c r="BJ1893" s="6"/>
      <c r="BK1893" s="6"/>
      <c r="BL1893" s="6"/>
      <c r="BM1893" s="6"/>
      <c r="BN1893" s="6"/>
      <c r="BO1893" s="6"/>
      <c r="BP1893" s="6"/>
      <c r="BQ1893" s="6"/>
      <c r="BR1893" s="6"/>
      <c r="BS1893" s="6"/>
      <c r="BT1893" s="6"/>
      <c r="BU1893" s="6"/>
      <c r="BV1893" s="6"/>
      <c r="BW1893" s="6"/>
      <c r="BX1893" s="6"/>
      <c r="BY1893" s="6"/>
      <c r="BZ1893" s="6"/>
      <c r="CA1893" s="6"/>
      <c r="CB1893" s="6"/>
      <c r="CC1893" s="6"/>
      <c r="CD1893" s="6"/>
      <c r="CE1893" s="6"/>
      <c r="CF1893" s="6"/>
      <c r="CG1893" s="6"/>
      <c r="CH1893" s="6"/>
      <c r="CI1893" s="6"/>
      <c r="CJ1893" s="6"/>
      <c r="CK1893" s="6"/>
      <c r="CL1893" s="6"/>
      <c r="CM1893" s="6"/>
      <c r="CN1893" s="6"/>
      <c r="CO1893" s="6"/>
      <c r="CP1893" s="6"/>
      <c r="CQ1893" s="6"/>
      <c r="CR1893" s="6"/>
      <c r="CS1893" s="6"/>
      <c r="CT1893" s="6"/>
      <c r="CU1893" s="6"/>
      <c r="CV1893" s="6"/>
      <c r="CW1893" s="6"/>
      <c r="CX1893" s="6"/>
      <c r="CY1893" s="6"/>
      <c r="CZ1893" s="6"/>
      <c r="DA1893" s="6"/>
      <c r="DB1893" s="6"/>
      <c r="DC1893" s="6"/>
      <c r="DD1893" s="6"/>
      <c r="DE1893" s="6"/>
      <c r="DF1893" s="6"/>
      <c r="DG1893" s="6"/>
      <c r="DH1893" s="6"/>
      <c r="DI1893" s="6"/>
      <c r="DJ1893" s="6"/>
      <c r="DK1893" s="6"/>
      <c r="DL1893" s="6"/>
      <c r="DM1893" s="6"/>
      <c r="DN1893" s="6"/>
      <c r="DO1893" s="6"/>
      <c r="DP1893" s="6"/>
      <c r="DQ1893" s="6"/>
      <c r="DR1893" s="6"/>
      <c r="DS1893" s="6"/>
      <c r="DT1893" s="6"/>
      <c r="DU1893" s="6"/>
      <c r="DV1893" s="6"/>
      <c r="DW1893" s="6"/>
      <c r="DX1893" s="6"/>
      <c r="DY1893" s="6"/>
      <c r="DZ1893" s="6"/>
      <c r="EA1893" s="6"/>
      <c r="EB1893" s="6"/>
      <c r="EC1893" s="6"/>
      <c r="ED1893" s="6"/>
      <c r="EE1893" s="6"/>
      <c r="EF1893" s="6"/>
      <c r="EG1893" s="6"/>
      <c r="EH1893" s="6"/>
      <c r="EI1893" s="6"/>
      <c r="EJ1893" s="6"/>
      <c r="EK1893" s="6"/>
      <c r="EL1893" s="6"/>
      <c r="EM1893" s="6"/>
      <c r="EN1893" s="6"/>
      <c r="EO1893" s="6"/>
      <c r="EP1893" s="6"/>
      <c r="EQ1893" s="6"/>
      <c r="ER1893" s="6"/>
      <c r="ES1893" s="6"/>
      <c r="ET1893" s="6"/>
      <c r="EU1893" s="6"/>
      <c r="EV1893" s="6"/>
      <c r="EW1893" s="6"/>
      <c r="EX1893" s="6"/>
      <c r="EY1893" s="6"/>
      <c r="EZ1893" s="6"/>
      <c r="FA1893" s="6"/>
      <c r="FB1893" s="6"/>
      <c r="FC1893" s="6"/>
      <c r="FD1893" s="6"/>
      <c r="FE1893" s="6"/>
      <c r="FF1893" s="6"/>
      <c r="FG1893" s="6"/>
      <c r="FH1893" s="6"/>
      <c r="FI1893" s="6"/>
      <c r="FJ1893" s="6"/>
      <c r="FK1893" s="6"/>
      <c r="FL1893" s="6"/>
      <c r="FM1893" s="6"/>
      <c r="FN1893" s="6"/>
      <c r="FO1893" s="6"/>
      <c r="FP1893" s="6"/>
      <c r="FQ1893" s="6"/>
      <c r="FR1893" s="6"/>
      <c r="FS1893" s="6"/>
      <c r="FT1893" s="6"/>
      <c r="FU1893" s="6"/>
      <c r="FV1893" s="6"/>
      <c r="FW1893" s="6"/>
      <c r="FX1893" s="6"/>
      <c r="FY1893" s="6"/>
      <c r="FZ1893" s="6"/>
      <c r="GA1893" s="6"/>
      <c r="GB1893" s="6"/>
      <c r="GC1893" s="6"/>
      <c r="GD1893" s="6"/>
      <c r="GE1893" s="6"/>
      <c r="GF1893" s="6"/>
      <c r="GG1893" s="6"/>
      <c r="GH1893" s="6"/>
      <c r="GI1893" s="6"/>
      <c r="GJ1893" s="6"/>
      <c r="GK1893" s="6"/>
      <c r="GL1893" s="6"/>
      <c r="GM1893" s="6"/>
      <c r="GN1893" s="6"/>
      <c r="GO1893" s="6"/>
      <c r="GP1893" s="6"/>
      <c r="GQ1893" s="6"/>
      <c r="GR1893" s="6"/>
      <c r="GS1893" s="6"/>
      <c r="GT1893" s="6"/>
      <c r="GU1893" s="6"/>
      <c r="GV1893" s="6"/>
      <c r="GW1893" s="6"/>
      <c r="GX1893" s="6"/>
      <c r="GY1893" s="6"/>
      <c r="GZ1893" s="6"/>
      <c r="HA1893" s="6"/>
      <c r="HB1893" s="6"/>
      <c r="HC1893" s="6"/>
      <c r="HD1893" s="6"/>
      <c r="HE1893" s="6"/>
      <c r="HF1893" s="6"/>
      <c r="HG1893" s="6"/>
      <c r="HH1893" s="6"/>
    </row>
    <row r="1894" spans="1:216" x14ac:dyDescent="0.3">
      <c r="A1894" s="8"/>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6"/>
      <c r="AR1894" s="6"/>
      <c r="AS1894" s="6"/>
      <c r="AT1894" s="6"/>
      <c r="AU1894" s="6"/>
      <c r="AV1894" s="6"/>
      <c r="AW1894" s="6"/>
      <c r="AX1894" s="6"/>
      <c r="AY1894" s="6"/>
      <c r="AZ1894" s="6"/>
      <c r="BA1894" s="6"/>
      <c r="BB1894" s="6"/>
      <c r="BC1894" s="6"/>
      <c r="BD1894" s="6"/>
      <c r="BE1894" s="6"/>
      <c r="BF1894" s="6"/>
      <c r="BG1894" s="6"/>
      <c r="BH1894" s="6"/>
      <c r="BI1894" s="6"/>
      <c r="BJ1894" s="6"/>
      <c r="BK1894" s="6"/>
      <c r="BL1894" s="6"/>
      <c r="BM1894" s="6"/>
      <c r="BN1894" s="6"/>
      <c r="BO1894" s="6"/>
      <c r="BP1894" s="6"/>
      <c r="BQ1894" s="6"/>
      <c r="BR1894" s="6"/>
      <c r="BS1894" s="6"/>
      <c r="BT1894" s="6"/>
      <c r="BU1894" s="6"/>
      <c r="BV1894" s="6"/>
      <c r="BW1894" s="6"/>
      <c r="BX1894" s="6"/>
      <c r="BY1894" s="6"/>
      <c r="BZ1894" s="6"/>
      <c r="CA1894" s="6"/>
      <c r="CB1894" s="6"/>
      <c r="CC1894" s="6"/>
      <c r="CD1894" s="6"/>
      <c r="CE1894" s="6"/>
      <c r="CF1894" s="6"/>
      <c r="CG1894" s="6"/>
      <c r="CH1894" s="6"/>
      <c r="CI1894" s="6"/>
      <c r="CJ1894" s="6"/>
      <c r="CK1894" s="6"/>
      <c r="CL1894" s="6"/>
      <c r="CM1894" s="6"/>
      <c r="CN1894" s="6"/>
      <c r="CO1894" s="6"/>
      <c r="CP1894" s="6"/>
      <c r="CQ1894" s="6"/>
      <c r="CR1894" s="6"/>
      <c r="CS1894" s="6"/>
      <c r="CT1894" s="6"/>
      <c r="CU1894" s="6"/>
      <c r="CV1894" s="6"/>
      <c r="CW1894" s="6"/>
      <c r="CX1894" s="6"/>
      <c r="CY1894" s="6"/>
      <c r="CZ1894" s="6"/>
      <c r="DA1894" s="6"/>
      <c r="DB1894" s="6"/>
      <c r="DC1894" s="6"/>
      <c r="DD1894" s="6"/>
      <c r="DE1894" s="6"/>
      <c r="DF1894" s="6"/>
      <c r="DG1894" s="6"/>
      <c r="DH1894" s="6"/>
      <c r="DI1894" s="6"/>
      <c r="DJ1894" s="6"/>
      <c r="DK1894" s="6"/>
      <c r="DL1894" s="6"/>
      <c r="DM1894" s="6"/>
      <c r="DN1894" s="6"/>
      <c r="DO1894" s="6"/>
      <c r="DP1894" s="6"/>
      <c r="DQ1894" s="6"/>
      <c r="DR1894" s="6"/>
      <c r="DS1894" s="6"/>
      <c r="DT1894" s="6"/>
      <c r="DU1894" s="6"/>
      <c r="DV1894" s="6"/>
      <c r="DW1894" s="6"/>
      <c r="DX1894" s="6"/>
      <c r="DY1894" s="6"/>
      <c r="DZ1894" s="6"/>
      <c r="EA1894" s="6"/>
      <c r="EB1894" s="6"/>
      <c r="EC1894" s="6"/>
      <c r="ED1894" s="6"/>
      <c r="EE1894" s="6"/>
      <c r="EF1894" s="6"/>
      <c r="EG1894" s="6"/>
      <c r="EH1894" s="6"/>
      <c r="EI1894" s="6"/>
      <c r="EJ1894" s="6"/>
      <c r="EK1894" s="6"/>
      <c r="EL1894" s="6"/>
      <c r="EM1894" s="6"/>
      <c r="EN1894" s="6"/>
      <c r="EO1894" s="6"/>
      <c r="EP1894" s="6"/>
      <c r="EQ1894" s="6"/>
      <c r="ER1894" s="6"/>
      <c r="ES1894" s="6"/>
      <c r="ET1894" s="6"/>
      <c r="EU1894" s="6"/>
      <c r="EV1894" s="6"/>
      <c r="EW1894" s="6"/>
      <c r="EX1894" s="6"/>
      <c r="EY1894" s="6"/>
      <c r="EZ1894" s="6"/>
      <c r="FA1894" s="6"/>
      <c r="FB1894" s="6"/>
      <c r="FC1894" s="6"/>
      <c r="FD1894" s="6"/>
      <c r="FE1894" s="6"/>
      <c r="FF1894" s="6"/>
      <c r="FG1894" s="6"/>
      <c r="FH1894" s="6"/>
      <c r="FI1894" s="6"/>
      <c r="FJ1894" s="6"/>
      <c r="FK1894" s="6"/>
      <c r="FL1894" s="6"/>
      <c r="FM1894" s="6"/>
      <c r="FN1894" s="6"/>
      <c r="FO1894" s="6"/>
      <c r="FP1894" s="6"/>
      <c r="FQ1894" s="6"/>
      <c r="FR1894" s="6"/>
      <c r="FS1894" s="6"/>
      <c r="FT1894" s="6"/>
      <c r="FU1894" s="6"/>
      <c r="FV1894" s="6"/>
      <c r="FW1894" s="6"/>
      <c r="FX1894" s="6"/>
      <c r="FY1894" s="6"/>
      <c r="FZ1894" s="6"/>
      <c r="GA1894" s="6"/>
      <c r="GB1894" s="6"/>
      <c r="GC1894" s="6"/>
      <c r="GD1894" s="6"/>
      <c r="GE1894" s="6"/>
      <c r="GF1894" s="6"/>
      <c r="GG1894" s="6"/>
      <c r="GH1894" s="6"/>
      <c r="GI1894" s="6"/>
      <c r="GJ1894" s="6"/>
      <c r="GK1894" s="6"/>
      <c r="GL1894" s="6"/>
      <c r="GM1894" s="6"/>
      <c r="GN1894" s="6"/>
      <c r="GO1894" s="6"/>
      <c r="GP1894" s="6"/>
      <c r="GQ1894" s="6"/>
      <c r="GR1894" s="6"/>
      <c r="GS1894" s="6"/>
      <c r="GT1894" s="6"/>
      <c r="GU1894" s="6"/>
      <c r="GV1894" s="6"/>
      <c r="GW1894" s="6"/>
      <c r="GX1894" s="6"/>
      <c r="GY1894" s="6"/>
      <c r="GZ1894" s="6"/>
      <c r="HA1894" s="6"/>
      <c r="HB1894" s="6"/>
      <c r="HC1894" s="6"/>
      <c r="HD1894" s="6"/>
      <c r="HE1894" s="6"/>
      <c r="HF1894" s="6"/>
      <c r="HG1894" s="6"/>
      <c r="HH1894" s="6"/>
    </row>
    <row r="1895" spans="1:216" x14ac:dyDescent="0.3">
      <c r="A1895" s="8"/>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6"/>
      <c r="AR1895" s="6"/>
      <c r="AS1895" s="6"/>
      <c r="AT1895" s="6"/>
      <c r="AU1895" s="6"/>
      <c r="AV1895" s="6"/>
      <c r="AW1895" s="6"/>
      <c r="AX1895" s="6"/>
      <c r="AY1895" s="6"/>
      <c r="AZ1895" s="6"/>
      <c r="BA1895" s="6"/>
      <c r="BB1895" s="6"/>
      <c r="BC1895" s="6"/>
      <c r="BD1895" s="6"/>
      <c r="BE1895" s="6"/>
      <c r="BF1895" s="6"/>
      <c r="BG1895" s="6"/>
      <c r="BH1895" s="6"/>
      <c r="BI1895" s="6"/>
      <c r="BJ1895" s="6"/>
      <c r="BK1895" s="6"/>
      <c r="BL1895" s="6"/>
      <c r="BM1895" s="6"/>
      <c r="BN1895" s="6"/>
      <c r="BO1895" s="6"/>
      <c r="BP1895" s="6"/>
      <c r="BQ1895" s="6"/>
      <c r="BR1895" s="6"/>
      <c r="BS1895" s="6"/>
      <c r="BT1895" s="6"/>
      <c r="BU1895" s="6"/>
      <c r="BV1895" s="6"/>
      <c r="BW1895" s="6"/>
      <c r="BX1895" s="6"/>
      <c r="BY1895" s="6"/>
      <c r="BZ1895" s="6"/>
      <c r="CA1895" s="6"/>
      <c r="CB1895" s="6"/>
      <c r="CC1895" s="6"/>
      <c r="CD1895" s="6"/>
      <c r="CE1895" s="6"/>
      <c r="CF1895" s="6"/>
      <c r="CG1895" s="6"/>
      <c r="CH1895" s="6"/>
      <c r="CI1895" s="6"/>
      <c r="CJ1895" s="6"/>
      <c r="CK1895" s="6"/>
      <c r="CL1895" s="6"/>
      <c r="CM1895" s="6"/>
      <c r="CN1895" s="6"/>
      <c r="CO1895" s="6"/>
      <c r="CP1895" s="6"/>
      <c r="CQ1895" s="6"/>
      <c r="CR1895" s="6"/>
      <c r="CS1895" s="6"/>
      <c r="CT1895" s="6"/>
      <c r="CU1895" s="6"/>
      <c r="CV1895" s="6"/>
      <c r="CW1895" s="6"/>
      <c r="CX1895" s="6"/>
      <c r="CY1895" s="6"/>
      <c r="CZ1895" s="6"/>
      <c r="DA1895" s="6"/>
      <c r="DB1895" s="6"/>
      <c r="DC1895" s="6"/>
      <c r="DD1895" s="6"/>
      <c r="DE1895" s="6"/>
      <c r="DF1895" s="6"/>
      <c r="DG1895" s="6"/>
      <c r="DH1895" s="6"/>
      <c r="DI1895" s="6"/>
      <c r="DJ1895" s="6"/>
      <c r="DK1895" s="6"/>
      <c r="DL1895" s="6"/>
      <c r="DM1895" s="6"/>
      <c r="DN1895" s="6"/>
      <c r="DO1895" s="6"/>
      <c r="DP1895" s="6"/>
      <c r="DQ1895" s="6"/>
      <c r="DR1895" s="6"/>
      <c r="DS1895" s="6"/>
      <c r="DT1895" s="6"/>
      <c r="DU1895" s="6"/>
      <c r="DV1895" s="6"/>
      <c r="DW1895" s="6"/>
      <c r="DX1895" s="6"/>
      <c r="DY1895" s="6"/>
      <c r="DZ1895" s="6"/>
      <c r="EA1895" s="6"/>
      <c r="EB1895" s="6"/>
      <c r="EC1895" s="6"/>
      <c r="ED1895" s="6"/>
      <c r="EE1895" s="6"/>
      <c r="EF1895" s="6"/>
      <c r="EG1895" s="6"/>
      <c r="EH1895" s="6"/>
      <c r="EI1895" s="6"/>
      <c r="EJ1895" s="6"/>
      <c r="EK1895" s="6"/>
      <c r="EL1895" s="6"/>
      <c r="EM1895" s="6"/>
      <c r="EN1895" s="6"/>
      <c r="EO1895" s="6"/>
      <c r="EP1895" s="6"/>
      <c r="EQ1895" s="6"/>
      <c r="ER1895" s="6"/>
      <c r="ES1895" s="6"/>
      <c r="ET1895" s="6"/>
      <c r="EU1895" s="6"/>
      <c r="EV1895" s="6"/>
      <c r="EW1895" s="6"/>
      <c r="EX1895" s="6"/>
      <c r="EY1895" s="6"/>
      <c r="EZ1895" s="6"/>
      <c r="FA1895" s="6"/>
      <c r="FB1895" s="6"/>
      <c r="FC1895" s="6"/>
      <c r="FD1895" s="6"/>
      <c r="FE1895" s="6"/>
      <c r="FF1895" s="6"/>
      <c r="FG1895" s="6"/>
      <c r="FH1895" s="6"/>
      <c r="FI1895" s="6"/>
      <c r="FJ1895" s="6"/>
      <c r="FK1895" s="6"/>
      <c r="FL1895" s="6"/>
      <c r="FM1895" s="6"/>
      <c r="FN1895" s="6"/>
      <c r="FO1895" s="6"/>
      <c r="FP1895" s="6"/>
      <c r="FQ1895" s="6"/>
      <c r="FR1895" s="6"/>
      <c r="FS1895" s="6"/>
      <c r="FT1895" s="6"/>
      <c r="FU1895" s="6"/>
      <c r="FV1895" s="6"/>
      <c r="FW1895" s="6"/>
      <c r="FX1895" s="6"/>
      <c r="FY1895" s="6"/>
      <c r="FZ1895" s="6"/>
      <c r="GA1895" s="6"/>
      <c r="GB1895" s="6"/>
      <c r="GC1895" s="6"/>
      <c r="GD1895" s="6"/>
      <c r="GE1895" s="6"/>
      <c r="GF1895" s="6"/>
      <c r="GG1895" s="6"/>
      <c r="GH1895" s="6"/>
      <c r="GI1895" s="6"/>
      <c r="GJ1895" s="6"/>
      <c r="GK1895" s="6"/>
      <c r="GL1895" s="6"/>
      <c r="GM1895" s="6"/>
      <c r="GN1895" s="6"/>
      <c r="GO1895" s="6"/>
      <c r="GP1895" s="6"/>
      <c r="GQ1895" s="6"/>
      <c r="GR1895" s="6"/>
      <c r="GS1895" s="6"/>
      <c r="GT1895" s="6"/>
      <c r="GU1895" s="6"/>
      <c r="GV1895" s="6"/>
      <c r="GW1895" s="6"/>
      <c r="GX1895" s="6"/>
      <c r="GY1895" s="6"/>
      <c r="GZ1895" s="6"/>
      <c r="HA1895" s="6"/>
      <c r="HB1895" s="6"/>
      <c r="HC1895" s="6"/>
      <c r="HD1895" s="6"/>
      <c r="HE1895" s="6"/>
      <c r="HF1895" s="6"/>
      <c r="HG1895" s="6"/>
      <c r="HH1895" s="6"/>
    </row>
    <row r="1896" spans="1:216" x14ac:dyDescent="0.3">
      <c r="A1896" s="8"/>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c r="DX1896" s="6"/>
      <c r="DY1896" s="6"/>
      <c r="DZ1896" s="6"/>
      <c r="EA1896" s="6"/>
      <c r="EB1896" s="6"/>
      <c r="EC1896" s="6"/>
      <c r="ED1896" s="6"/>
      <c r="EE1896" s="6"/>
      <c r="EF1896" s="6"/>
      <c r="EG1896" s="6"/>
      <c r="EH1896" s="6"/>
      <c r="EI1896" s="6"/>
      <c r="EJ1896" s="6"/>
      <c r="EK1896" s="6"/>
      <c r="EL1896" s="6"/>
      <c r="EM1896" s="6"/>
      <c r="EN1896" s="6"/>
      <c r="EO1896" s="6"/>
      <c r="EP1896" s="6"/>
      <c r="EQ1896" s="6"/>
      <c r="ER1896" s="6"/>
      <c r="ES1896" s="6"/>
      <c r="ET1896" s="6"/>
      <c r="EU1896" s="6"/>
      <c r="EV1896" s="6"/>
      <c r="EW1896" s="6"/>
      <c r="EX1896" s="6"/>
      <c r="EY1896" s="6"/>
      <c r="EZ1896" s="6"/>
      <c r="FA1896" s="6"/>
      <c r="FB1896" s="6"/>
      <c r="FC1896" s="6"/>
      <c r="FD1896" s="6"/>
      <c r="FE1896" s="6"/>
      <c r="FF1896" s="6"/>
      <c r="FG1896" s="6"/>
      <c r="FH1896" s="6"/>
      <c r="FI1896" s="6"/>
      <c r="FJ1896" s="6"/>
      <c r="FK1896" s="6"/>
      <c r="FL1896" s="6"/>
      <c r="FM1896" s="6"/>
      <c r="FN1896" s="6"/>
      <c r="FO1896" s="6"/>
      <c r="FP1896" s="6"/>
      <c r="FQ1896" s="6"/>
      <c r="FR1896" s="6"/>
      <c r="FS1896" s="6"/>
      <c r="FT1896" s="6"/>
      <c r="FU1896" s="6"/>
      <c r="FV1896" s="6"/>
      <c r="FW1896" s="6"/>
      <c r="FX1896" s="6"/>
      <c r="FY1896" s="6"/>
      <c r="FZ1896" s="6"/>
      <c r="GA1896" s="6"/>
      <c r="GB1896" s="6"/>
      <c r="GC1896" s="6"/>
      <c r="GD1896" s="6"/>
      <c r="GE1896" s="6"/>
      <c r="GF1896" s="6"/>
      <c r="GG1896" s="6"/>
      <c r="GH1896" s="6"/>
      <c r="GI1896" s="6"/>
      <c r="GJ1896" s="6"/>
      <c r="GK1896" s="6"/>
      <c r="GL1896" s="6"/>
      <c r="GM1896" s="6"/>
      <c r="GN1896" s="6"/>
      <c r="GO1896" s="6"/>
      <c r="GP1896" s="6"/>
      <c r="GQ1896" s="6"/>
      <c r="GR1896" s="6"/>
      <c r="GS1896" s="6"/>
      <c r="GT1896" s="6"/>
      <c r="GU1896" s="6"/>
      <c r="GV1896" s="6"/>
      <c r="GW1896" s="6"/>
      <c r="GX1896" s="6"/>
      <c r="GY1896" s="6"/>
      <c r="GZ1896" s="6"/>
      <c r="HA1896" s="6"/>
      <c r="HB1896" s="6"/>
      <c r="HC1896" s="6"/>
      <c r="HD1896" s="6"/>
      <c r="HE1896" s="6"/>
      <c r="HF1896" s="6"/>
      <c r="HG1896" s="6"/>
      <c r="HH1896" s="6"/>
    </row>
    <row r="1897" spans="1:216" x14ac:dyDescent="0.3">
      <c r="A1897" s="8"/>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c r="DX1897" s="6"/>
      <c r="DY1897" s="6"/>
      <c r="DZ1897" s="6"/>
      <c r="EA1897" s="6"/>
      <c r="EB1897" s="6"/>
      <c r="EC1897" s="6"/>
      <c r="ED1897" s="6"/>
      <c r="EE1897" s="6"/>
      <c r="EF1897" s="6"/>
      <c r="EG1897" s="6"/>
      <c r="EH1897" s="6"/>
      <c r="EI1897" s="6"/>
      <c r="EJ1897" s="6"/>
      <c r="EK1897" s="6"/>
      <c r="EL1897" s="6"/>
      <c r="EM1897" s="6"/>
      <c r="EN1897" s="6"/>
      <c r="EO1897" s="6"/>
      <c r="EP1897" s="6"/>
      <c r="EQ1897" s="6"/>
      <c r="ER1897" s="6"/>
      <c r="ES1897" s="6"/>
      <c r="ET1897" s="6"/>
      <c r="EU1897" s="6"/>
      <c r="EV1897" s="6"/>
      <c r="EW1897" s="6"/>
      <c r="EX1897" s="6"/>
      <c r="EY1897" s="6"/>
      <c r="EZ1897" s="6"/>
      <c r="FA1897" s="6"/>
      <c r="FB1897" s="6"/>
      <c r="FC1897" s="6"/>
      <c r="FD1897" s="6"/>
      <c r="FE1897" s="6"/>
      <c r="FF1897" s="6"/>
      <c r="FG1897" s="6"/>
      <c r="FH1897" s="6"/>
      <c r="FI1897" s="6"/>
      <c r="FJ1897" s="6"/>
      <c r="FK1897" s="6"/>
      <c r="FL1897" s="6"/>
      <c r="FM1897" s="6"/>
      <c r="FN1897" s="6"/>
      <c r="FO1897" s="6"/>
      <c r="FP1897" s="6"/>
      <c r="FQ1897" s="6"/>
      <c r="FR1897" s="6"/>
      <c r="FS1897" s="6"/>
      <c r="FT1897" s="6"/>
      <c r="FU1897" s="6"/>
      <c r="FV1897" s="6"/>
      <c r="FW1897" s="6"/>
      <c r="FX1897" s="6"/>
      <c r="FY1897" s="6"/>
      <c r="FZ1897" s="6"/>
      <c r="GA1897" s="6"/>
      <c r="GB1897" s="6"/>
      <c r="GC1897" s="6"/>
      <c r="GD1897" s="6"/>
      <c r="GE1897" s="6"/>
      <c r="GF1897" s="6"/>
      <c r="GG1897" s="6"/>
      <c r="GH1897" s="6"/>
      <c r="GI1897" s="6"/>
      <c r="GJ1897" s="6"/>
      <c r="GK1897" s="6"/>
      <c r="GL1897" s="6"/>
      <c r="GM1897" s="6"/>
      <c r="GN1897" s="6"/>
      <c r="GO1897" s="6"/>
      <c r="GP1897" s="6"/>
      <c r="GQ1897" s="6"/>
      <c r="GR1897" s="6"/>
      <c r="GS1897" s="6"/>
      <c r="GT1897" s="6"/>
      <c r="GU1897" s="6"/>
      <c r="GV1897" s="6"/>
      <c r="GW1897" s="6"/>
      <c r="GX1897" s="6"/>
      <c r="GY1897" s="6"/>
      <c r="GZ1897" s="6"/>
      <c r="HA1897" s="6"/>
      <c r="HB1897" s="6"/>
      <c r="HC1897" s="6"/>
      <c r="HD1897" s="6"/>
      <c r="HE1897" s="6"/>
      <c r="HF1897" s="6"/>
      <c r="HG1897" s="6"/>
      <c r="HH1897" s="6"/>
    </row>
    <row r="1898" spans="1:216" x14ac:dyDescent="0.3">
      <c r="A1898" s="8"/>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6"/>
      <c r="AR1898" s="6"/>
      <c r="AS1898" s="6"/>
      <c r="AT1898" s="6"/>
      <c r="AU1898" s="6"/>
      <c r="AV1898" s="6"/>
      <c r="AW1898" s="6"/>
      <c r="AX1898" s="6"/>
      <c r="AY1898" s="6"/>
      <c r="AZ1898" s="6"/>
      <c r="BA1898" s="6"/>
      <c r="BB1898" s="6"/>
      <c r="BC1898" s="6"/>
      <c r="BD1898" s="6"/>
      <c r="BE1898" s="6"/>
      <c r="BF1898" s="6"/>
      <c r="BG1898" s="6"/>
      <c r="BH1898" s="6"/>
      <c r="BI1898" s="6"/>
      <c r="BJ1898" s="6"/>
      <c r="BK1898" s="6"/>
      <c r="BL1898" s="6"/>
      <c r="BM1898" s="6"/>
      <c r="BN1898" s="6"/>
      <c r="BO1898" s="6"/>
      <c r="BP1898" s="6"/>
      <c r="BQ1898" s="6"/>
      <c r="BR1898" s="6"/>
      <c r="BS1898" s="6"/>
      <c r="BT1898" s="6"/>
      <c r="BU1898" s="6"/>
      <c r="BV1898" s="6"/>
      <c r="BW1898" s="6"/>
      <c r="BX1898" s="6"/>
      <c r="BY1898" s="6"/>
      <c r="BZ1898" s="6"/>
      <c r="CA1898" s="6"/>
      <c r="CB1898" s="6"/>
      <c r="CC1898" s="6"/>
      <c r="CD1898" s="6"/>
      <c r="CE1898" s="6"/>
      <c r="CF1898" s="6"/>
      <c r="CG1898" s="6"/>
      <c r="CH1898" s="6"/>
      <c r="CI1898" s="6"/>
      <c r="CJ1898" s="6"/>
      <c r="CK1898" s="6"/>
      <c r="CL1898" s="6"/>
      <c r="CM1898" s="6"/>
      <c r="CN1898" s="6"/>
      <c r="CO1898" s="6"/>
      <c r="CP1898" s="6"/>
      <c r="CQ1898" s="6"/>
      <c r="CR1898" s="6"/>
      <c r="CS1898" s="6"/>
      <c r="CT1898" s="6"/>
      <c r="CU1898" s="6"/>
      <c r="CV1898" s="6"/>
      <c r="CW1898" s="6"/>
      <c r="CX1898" s="6"/>
      <c r="CY1898" s="6"/>
      <c r="CZ1898" s="6"/>
      <c r="DA1898" s="6"/>
      <c r="DB1898" s="6"/>
      <c r="DC1898" s="6"/>
      <c r="DD1898" s="6"/>
      <c r="DE1898" s="6"/>
      <c r="DF1898" s="6"/>
      <c r="DG1898" s="6"/>
      <c r="DH1898" s="6"/>
      <c r="DI1898" s="6"/>
      <c r="DJ1898" s="6"/>
      <c r="DK1898" s="6"/>
      <c r="DL1898" s="6"/>
      <c r="DM1898" s="6"/>
      <c r="DN1898" s="6"/>
      <c r="DO1898" s="6"/>
      <c r="DP1898" s="6"/>
      <c r="DQ1898" s="6"/>
      <c r="DR1898" s="6"/>
      <c r="DS1898" s="6"/>
      <c r="DT1898" s="6"/>
      <c r="DU1898" s="6"/>
      <c r="DV1898" s="6"/>
      <c r="DW1898" s="6"/>
      <c r="DX1898" s="6"/>
      <c r="DY1898" s="6"/>
      <c r="DZ1898" s="6"/>
      <c r="EA1898" s="6"/>
      <c r="EB1898" s="6"/>
      <c r="EC1898" s="6"/>
      <c r="ED1898" s="6"/>
      <c r="EE1898" s="6"/>
      <c r="EF1898" s="6"/>
      <c r="EG1898" s="6"/>
      <c r="EH1898" s="6"/>
      <c r="EI1898" s="6"/>
      <c r="EJ1898" s="6"/>
      <c r="EK1898" s="6"/>
      <c r="EL1898" s="6"/>
      <c r="EM1898" s="6"/>
      <c r="EN1898" s="6"/>
      <c r="EO1898" s="6"/>
      <c r="EP1898" s="6"/>
      <c r="EQ1898" s="6"/>
      <c r="ER1898" s="6"/>
      <c r="ES1898" s="6"/>
      <c r="ET1898" s="6"/>
      <c r="EU1898" s="6"/>
      <c r="EV1898" s="6"/>
      <c r="EW1898" s="6"/>
      <c r="EX1898" s="6"/>
      <c r="EY1898" s="6"/>
      <c r="EZ1898" s="6"/>
      <c r="FA1898" s="6"/>
      <c r="FB1898" s="6"/>
      <c r="FC1898" s="6"/>
      <c r="FD1898" s="6"/>
      <c r="FE1898" s="6"/>
      <c r="FF1898" s="6"/>
      <c r="FG1898" s="6"/>
      <c r="FH1898" s="6"/>
      <c r="FI1898" s="6"/>
      <c r="FJ1898" s="6"/>
      <c r="FK1898" s="6"/>
      <c r="FL1898" s="6"/>
      <c r="FM1898" s="6"/>
      <c r="FN1898" s="6"/>
      <c r="FO1898" s="6"/>
      <c r="FP1898" s="6"/>
      <c r="FQ1898" s="6"/>
      <c r="FR1898" s="6"/>
      <c r="FS1898" s="6"/>
      <c r="FT1898" s="6"/>
      <c r="FU1898" s="6"/>
      <c r="FV1898" s="6"/>
      <c r="FW1898" s="6"/>
      <c r="FX1898" s="6"/>
      <c r="FY1898" s="6"/>
      <c r="FZ1898" s="6"/>
      <c r="GA1898" s="6"/>
      <c r="GB1898" s="6"/>
      <c r="GC1898" s="6"/>
      <c r="GD1898" s="6"/>
      <c r="GE1898" s="6"/>
      <c r="GF1898" s="6"/>
      <c r="GG1898" s="6"/>
      <c r="GH1898" s="6"/>
      <c r="GI1898" s="6"/>
      <c r="GJ1898" s="6"/>
      <c r="GK1898" s="6"/>
      <c r="GL1898" s="6"/>
      <c r="GM1898" s="6"/>
      <c r="GN1898" s="6"/>
      <c r="GO1898" s="6"/>
      <c r="GP1898" s="6"/>
      <c r="GQ1898" s="6"/>
      <c r="GR1898" s="6"/>
      <c r="GS1898" s="6"/>
      <c r="GT1898" s="6"/>
      <c r="GU1898" s="6"/>
      <c r="GV1898" s="6"/>
      <c r="GW1898" s="6"/>
      <c r="GX1898" s="6"/>
      <c r="GY1898" s="6"/>
      <c r="GZ1898" s="6"/>
      <c r="HA1898" s="6"/>
      <c r="HB1898" s="6"/>
      <c r="HC1898" s="6"/>
      <c r="HD1898" s="6"/>
      <c r="HE1898" s="6"/>
      <c r="HF1898" s="6"/>
      <c r="HG1898" s="6"/>
      <c r="HH1898" s="6"/>
    </row>
    <row r="1899" spans="1:216" x14ac:dyDescent="0.3">
      <c r="A1899" s="8"/>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6"/>
      <c r="AR1899" s="6"/>
      <c r="AS1899" s="6"/>
      <c r="AT1899" s="6"/>
      <c r="AU1899" s="6"/>
      <c r="AV1899" s="6"/>
      <c r="AW1899" s="6"/>
      <c r="AX1899" s="6"/>
      <c r="AY1899" s="6"/>
      <c r="AZ1899" s="6"/>
      <c r="BA1899" s="6"/>
      <c r="BB1899" s="6"/>
      <c r="BC1899" s="6"/>
      <c r="BD1899" s="6"/>
      <c r="BE1899" s="6"/>
      <c r="BF1899" s="6"/>
      <c r="BG1899" s="6"/>
      <c r="BH1899" s="6"/>
      <c r="BI1899" s="6"/>
      <c r="BJ1899" s="6"/>
      <c r="BK1899" s="6"/>
      <c r="BL1899" s="6"/>
      <c r="BM1899" s="6"/>
      <c r="BN1899" s="6"/>
      <c r="BO1899" s="6"/>
      <c r="BP1899" s="6"/>
      <c r="BQ1899" s="6"/>
      <c r="BR1899" s="6"/>
      <c r="BS1899" s="6"/>
      <c r="BT1899" s="6"/>
      <c r="BU1899" s="6"/>
      <c r="BV1899" s="6"/>
      <c r="BW1899" s="6"/>
      <c r="BX1899" s="6"/>
      <c r="BY1899" s="6"/>
      <c r="BZ1899" s="6"/>
      <c r="CA1899" s="6"/>
      <c r="CB1899" s="6"/>
      <c r="CC1899" s="6"/>
      <c r="CD1899" s="6"/>
      <c r="CE1899" s="6"/>
      <c r="CF1899" s="6"/>
      <c r="CG1899" s="6"/>
      <c r="CH1899" s="6"/>
      <c r="CI1899" s="6"/>
      <c r="CJ1899" s="6"/>
      <c r="CK1899" s="6"/>
      <c r="CL1899" s="6"/>
      <c r="CM1899" s="6"/>
      <c r="CN1899" s="6"/>
      <c r="CO1899" s="6"/>
      <c r="CP1899" s="6"/>
      <c r="CQ1899" s="6"/>
      <c r="CR1899" s="6"/>
      <c r="CS1899" s="6"/>
      <c r="CT1899" s="6"/>
      <c r="CU1899" s="6"/>
      <c r="CV1899" s="6"/>
      <c r="CW1899" s="6"/>
      <c r="CX1899" s="6"/>
      <c r="CY1899" s="6"/>
      <c r="CZ1899" s="6"/>
      <c r="DA1899" s="6"/>
      <c r="DB1899" s="6"/>
      <c r="DC1899" s="6"/>
      <c r="DD1899" s="6"/>
      <c r="DE1899" s="6"/>
      <c r="DF1899" s="6"/>
      <c r="DG1899" s="6"/>
      <c r="DH1899" s="6"/>
      <c r="DI1899" s="6"/>
      <c r="DJ1899" s="6"/>
      <c r="DK1899" s="6"/>
      <c r="DL1899" s="6"/>
      <c r="DM1899" s="6"/>
      <c r="DN1899" s="6"/>
      <c r="DO1899" s="6"/>
      <c r="DP1899" s="6"/>
      <c r="DQ1899" s="6"/>
      <c r="DR1899" s="6"/>
      <c r="DS1899" s="6"/>
      <c r="DT1899" s="6"/>
      <c r="DU1899" s="6"/>
      <c r="DV1899" s="6"/>
      <c r="DW1899" s="6"/>
      <c r="DX1899" s="6"/>
      <c r="DY1899" s="6"/>
      <c r="DZ1899" s="6"/>
      <c r="EA1899" s="6"/>
      <c r="EB1899" s="6"/>
      <c r="EC1899" s="6"/>
      <c r="ED1899" s="6"/>
      <c r="EE1899" s="6"/>
      <c r="EF1899" s="6"/>
      <c r="EG1899" s="6"/>
      <c r="EH1899" s="6"/>
      <c r="EI1899" s="6"/>
      <c r="EJ1899" s="6"/>
      <c r="EK1899" s="6"/>
      <c r="EL1899" s="6"/>
      <c r="EM1899" s="6"/>
      <c r="EN1899" s="6"/>
      <c r="EO1899" s="6"/>
      <c r="EP1899" s="6"/>
      <c r="EQ1899" s="6"/>
      <c r="ER1899" s="6"/>
      <c r="ES1899" s="6"/>
      <c r="ET1899" s="6"/>
      <c r="EU1899" s="6"/>
      <c r="EV1899" s="6"/>
      <c r="EW1899" s="6"/>
      <c r="EX1899" s="6"/>
      <c r="EY1899" s="6"/>
      <c r="EZ1899" s="6"/>
      <c r="FA1899" s="6"/>
      <c r="FB1899" s="6"/>
      <c r="FC1899" s="6"/>
      <c r="FD1899" s="6"/>
      <c r="FE1899" s="6"/>
      <c r="FF1899" s="6"/>
      <c r="FG1899" s="6"/>
      <c r="FH1899" s="6"/>
      <c r="FI1899" s="6"/>
      <c r="FJ1899" s="6"/>
      <c r="FK1899" s="6"/>
      <c r="FL1899" s="6"/>
      <c r="FM1899" s="6"/>
      <c r="FN1899" s="6"/>
      <c r="FO1899" s="6"/>
      <c r="FP1899" s="6"/>
      <c r="FQ1899" s="6"/>
      <c r="FR1899" s="6"/>
      <c r="FS1899" s="6"/>
      <c r="FT1899" s="6"/>
      <c r="FU1899" s="6"/>
      <c r="FV1899" s="6"/>
      <c r="FW1899" s="6"/>
      <c r="FX1899" s="6"/>
      <c r="FY1899" s="6"/>
      <c r="FZ1899" s="6"/>
      <c r="GA1899" s="6"/>
      <c r="GB1899" s="6"/>
      <c r="GC1899" s="6"/>
      <c r="GD1899" s="6"/>
      <c r="GE1899" s="6"/>
      <c r="GF1899" s="6"/>
      <c r="GG1899" s="6"/>
      <c r="GH1899" s="6"/>
      <c r="GI1899" s="6"/>
      <c r="GJ1899" s="6"/>
      <c r="GK1899" s="6"/>
      <c r="GL1899" s="6"/>
      <c r="GM1899" s="6"/>
      <c r="GN1899" s="6"/>
      <c r="GO1899" s="6"/>
      <c r="GP1899" s="6"/>
      <c r="GQ1899" s="6"/>
      <c r="GR1899" s="6"/>
      <c r="GS1899" s="6"/>
      <c r="GT1899" s="6"/>
      <c r="GU1899" s="6"/>
      <c r="GV1899" s="6"/>
      <c r="GW1899" s="6"/>
      <c r="GX1899" s="6"/>
      <c r="GY1899" s="6"/>
      <c r="GZ1899" s="6"/>
      <c r="HA1899" s="6"/>
      <c r="HB1899" s="6"/>
      <c r="HC1899" s="6"/>
      <c r="HD1899" s="6"/>
      <c r="HE1899" s="6"/>
      <c r="HF1899" s="6"/>
      <c r="HG1899" s="6"/>
      <c r="HH1899" s="6"/>
    </row>
    <row r="1900" spans="1:216" x14ac:dyDescent="0.3">
      <c r="A1900" s="8"/>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6"/>
      <c r="AR1900" s="6"/>
      <c r="AS1900" s="6"/>
      <c r="AT1900" s="6"/>
      <c r="AU1900" s="6"/>
      <c r="AV1900" s="6"/>
      <c r="AW1900" s="6"/>
      <c r="AX1900" s="6"/>
      <c r="AY1900" s="6"/>
      <c r="AZ1900" s="6"/>
      <c r="BA1900" s="6"/>
      <c r="BB1900" s="6"/>
      <c r="BC1900" s="6"/>
      <c r="BD1900" s="6"/>
      <c r="BE1900" s="6"/>
      <c r="BF1900" s="6"/>
      <c r="BG1900" s="6"/>
      <c r="BH1900" s="6"/>
      <c r="BI1900" s="6"/>
      <c r="BJ1900" s="6"/>
      <c r="BK1900" s="6"/>
      <c r="BL1900" s="6"/>
      <c r="BM1900" s="6"/>
      <c r="BN1900" s="6"/>
      <c r="BO1900" s="6"/>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6"/>
      <c r="CL1900" s="6"/>
      <c r="CM1900" s="6"/>
      <c r="CN1900" s="6"/>
      <c r="CO1900" s="6"/>
      <c r="CP1900" s="6"/>
      <c r="CQ1900" s="6"/>
      <c r="CR1900" s="6"/>
      <c r="CS1900" s="6"/>
      <c r="CT1900" s="6"/>
      <c r="CU1900" s="6"/>
      <c r="CV1900" s="6"/>
      <c r="CW1900" s="6"/>
      <c r="CX1900" s="6"/>
      <c r="CY1900" s="6"/>
      <c r="CZ1900" s="6"/>
      <c r="DA1900" s="6"/>
      <c r="DB1900" s="6"/>
      <c r="DC1900" s="6"/>
      <c r="DD1900" s="6"/>
      <c r="DE1900" s="6"/>
      <c r="DF1900" s="6"/>
      <c r="DG1900" s="6"/>
      <c r="DH1900" s="6"/>
      <c r="DI1900" s="6"/>
      <c r="DJ1900" s="6"/>
      <c r="DK1900" s="6"/>
      <c r="DL1900" s="6"/>
      <c r="DM1900" s="6"/>
      <c r="DN1900" s="6"/>
      <c r="DO1900" s="6"/>
      <c r="DP1900" s="6"/>
      <c r="DQ1900" s="6"/>
      <c r="DR1900" s="6"/>
      <c r="DS1900" s="6"/>
      <c r="DT1900" s="6"/>
      <c r="DU1900" s="6"/>
      <c r="DV1900" s="6"/>
      <c r="DW1900" s="6"/>
      <c r="DX1900" s="6"/>
      <c r="DY1900" s="6"/>
      <c r="DZ1900" s="6"/>
      <c r="EA1900" s="6"/>
      <c r="EB1900" s="6"/>
      <c r="EC1900" s="6"/>
      <c r="ED1900" s="6"/>
      <c r="EE1900" s="6"/>
      <c r="EF1900" s="6"/>
      <c r="EG1900" s="6"/>
      <c r="EH1900" s="6"/>
      <c r="EI1900" s="6"/>
      <c r="EJ1900" s="6"/>
      <c r="EK1900" s="6"/>
      <c r="EL1900" s="6"/>
      <c r="EM1900" s="6"/>
      <c r="EN1900" s="6"/>
      <c r="EO1900" s="6"/>
      <c r="EP1900" s="6"/>
      <c r="EQ1900" s="6"/>
      <c r="ER1900" s="6"/>
      <c r="ES1900" s="6"/>
      <c r="ET1900" s="6"/>
      <c r="EU1900" s="6"/>
      <c r="EV1900" s="6"/>
      <c r="EW1900" s="6"/>
      <c r="EX1900" s="6"/>
      <c r="EY1900" s="6"/>
      <c r="EZ1900" s="6"/>
      <c r="FA1900" s="6"/>
      <c r="FB1900" s="6"/>
      <c r="FC1900" s="6"/>
      <c r="FD1900" s="6"/>
      <c r="FE1900" s="6"/>
      <c r="FF1900" s="6"/>
      <c r="FG1900" s="6"/>
      <c r="FH1900" s="6"/>
      <c r="FI1900" s="6"/>
      <c r="FJ1900" s="6"/>
      <c r="FK1900" s="6"/>
      <c r="FL1900" s="6"/>
      <c r="FM1900" s="6"/>
      <c r="FN1900" s="6"/>
      <c r="FO1900" s="6"/>
      <c r="FP1900" s="6"/>
      <c r="FQ1900" s="6"/>
      <c r="FR1900" s="6"/>
      <c r="FS1900" s="6"/>
      <c r="FT1900" s="6"/>
      <c r="FU1900" s="6"/>
      <c r="FV1900" s="6"/>
      <c r="FW1900" s="6"/>
      <c r="FX1900" s="6"/>
      <c r="FY1900" s="6"/>
      <c r="FZ1900" s="6"/>
      <c r="GA1900" s="6"/>
      <c r="GB1900" s="6"/>
      <c r="GC1900" s="6"/>
      <c r="GD1900" s="6"/>
      <c r="GE1900" s="6"/>
      <c r="GF1900" s="6"/>
      <c r="GG1900" s="6"/>
      <c r="GH1900" s="6"/>
      <c r="GI1900" s="6"/>
      <c r="GJ1900" s="6"/>
      <c r="GK1900" s="6"/>
      <c r="GL1900" s="6"/>
      <c r="GM1900" s="6"/>
      <c r="GN1900" s="6"/>
      <c r="GO1900" s="6"/>
      <c r="GP1900" s="6"/>
      <c r="GQ1900" s="6"/>
      <c r="GR1900" s="6"/>
      <c r="GS1900" s="6"/>
      <c r="GT1900" s="6"/>
      <c r="GU1900" s="6"/>
      <c r="GV1900" s="6"/>
      <c r="GW1900" s="6"/>
      <c r="GX1900" s="6"/>
      <c r="GY1900" s="6"/>
      <c r="GZ1900" s="6"/>
      <c r="HA1900" s="6"/>
      <c r="HB1900" s="6"/>
      <c r="HC1900" s="6"/>
      <c r="HD1900" s="6"/>
      <c r="HE1900" s="6"/>
      <c r="HF1900" s="6"/>
      <c r="HG1900" s="6"/>
      <c r="HH1900" s="6"/>
    </row>
    <row r="1901" spans="1:216" x14ac:dyDescent="0.3">
      <c r="A1901" s="8"/>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6"/>
      <c r="AR1901" s="6"/>
      <c r="AS1901" s="6"/>
      <c r="AT1901" s="6"/>
      <c r="AU1901" s="6"/>
      <c r="AV1901" s="6"/>
      <c r="AW1901" s="6"/>
      <c r="AX1901" s="6"/>
      <c r="AY1901" s="6"/>
      <c r="AZ1901" s="6"/>
      <c r="BA1901" s="6"/>
      <c r="BB1901" s="6"/>
      <c r="BC1901" s="6"/>
      <c r="BD1901" s="6"/>
      <c r="BE1901" s="6"/>
      <c r="BF1901" s="6"/>
      <c r="BG1901" s="6"/>
      <c r="BH1901" s="6"/>
      <c r="BI1901" s="6"/>
      <c r="BJ1901" s="6"/>
      <c r="BK1901" s="6"/>
      <c r="BL1901" s="6"/>
      <c r="BM1901" s="6"/>
      <c r="BN1901" s="6"/>
      <c r="BO1901" s="6"/>
      <c r="BP1901" s="6"/>
      <c r="BQ1901" s="6"/>
      <c r="BR1901" s="6"/>
      <c r="BS1901" s="6"/>
      <c r="BT1901" s="6"/>
      <c r="BU1901" s="6"/>
      <c r="BV1901" s="6"/>
      <c r="BW1901" s="6"/>
      <c r="BX1901" s="6"/>
      <c r="BY1901" s="6"/>
      <c r="BZ1901" s="6"/>
      <c r="CA1901" s="6"/>
      <c r="CB1901" s="6"/>
      <c r="CC1901" s="6"/>
      <c r="CD1901" s="6"/>
      <c r="CE1901" s="6"/>
      <c r="CF1901" s="6"/>
      <c r="CG1901" s="6"/>
      <c r="CH1901" s="6"/>
      <c r="CI1901" s="6"/>
      <c r="CJ1901" s="6"/>
      <c r="CK1901" s="6"/>
      <c r="CL1901" s="6"/>
      <c r="CM1901" s="6"/>
      <c r="CN1901" s="6"/>
      <c r="CO1901" s="6"/>
      <c r="CP1901" s="6"/>
      <c r="CQ1901" s="6"/>
      <c r="CR1901" s="6"/>
      <c r="CS1901" s="6"/>
      <c r="CT1901" s="6"/>
      <c r="CU1901" s="6"/>
      <c r="CV1901" s="6"/>
      <c r="CW1901" s="6"/>
      <c r="CX1901" s="6"/>
      <c r="CY1901" s="6"/>
      <c r="CZ1901" s="6"/>
      <c r="DA1901" s="6"/>
      <c r="DB1901" s="6"/>
      <c r="DC1901" s="6"/>
      <c r="DD1901" s="6"/>
      <c r="DE1901" s="6"/>
      <c r="DF1901" s="6"/>
      <c r="DG1901" s="6"/>
      <c r="DH1901" s="6"/>
      <c r="DI1901" s="6"/>
      <c r="DJ1901" s="6"/>
      <c r="DK1901" s="6"/>
      <c r="DL1901" s="6"/>
      <c r="DM1901" s="6"/>
      <c r="DN1901" s="6"/>
      <c r="DO1901" s="6"/>
      <c r="DP1901" s="6"/>
      <c r="DQ1901" s="6"/>
      <c r="DR1901" s="6"/>
      <c r="DS1901" s="6"/>
      <c r="DT1901" s="6"/>
      <c r="DU1901" s="6"/>
      <c r="DV1901" s="6"/>
      <c r="DW1901" s="6"/>
      <c r="DX1901" s="6"/>
      <c r="DY1901" s="6"/>
      <c r="DZ1901" s="6"/>
      <c r="EA1901" s="6"/>
      <c r="EB1901" s="6"/>
      <c r="EC1901" s="6"/>
      <c r="ED1901" s="6"/>
      <c r="EE1901" s="6"/>
      <c r="EF1901" s="6"/>
      <c r="EG1901" s="6"/>
      <c r="EH1901" s="6"/>
      <c r="EI1901" s="6"/>
      <c r="EJ1901" s="6"/>
      <c r="EK1901" s="6"/>
      <c r="EL1901" s="6"/>
      <c r="EM1901" s="6"/>
      <c r="EN1901" s="6"/>
      <c r="EO1901" s="6"/>
      <c r="EP1901" s="6"/>
      <c r="EQ1901" s="6"/>
      <c r="ER1901" s="6"/>
      <c r="ES1901" s="6"/>
      <c r="ET1901" s="6"/>
      <c r="EU1901" s="6"/>
      <c r="EV1901" s="6"/>
      <c r="EW1901" s="6"/>
      <c r="EX1901" s="6"/>
      <c r="EY1901" s="6"/>
      <c r="EZ1901" s="6"/>
      <c r="FA1901" s="6"/>
      <c r="FB1901" s="6"/>
      <c r="FC1901" s="6"/>
      <c r="FD1901" s="6"/>
      <c r="FE1901" s="6"/>
      <c r="FF1901" s="6"/>
      <c r="FG1901" s="6"/>
      <c r="FH1901" s="6"/>
      <c r="FI1901" s="6"/>
      <c r="FJ1901" s="6"/>
      <c r="FK1901" s="6"/>
      <c r="FL1901" s="6"/>
      <c r="FM1901" s="6"/>
      <c r="FN1901" s="6"/>
      <c r="FO1901" s="6"/>
      <c r="FP1901" s="6"/>
      <c r="FQ1901" s="6"/>
      <c r="FR1901" s="6"/>
      <c r="FS1901" s="6"/>
      <c r="FT1901" s="6"/>
      <c r="FU1901" s="6"/>
      <c r="FV1901" s="6"/>
      <c r="FW1901" s="6"/>
      <c r="FX1901" s="6"/>
      <c r="FY1901" s="6"/>
      <c r="FZ1901" s="6"/>
      <c r="GA1901" s="6"/>
      <c r="GB1901" s="6"/>
      <c r="GC1901" s="6"/>
      <c r="GD1901" s="6"/>
      <c r="GE1901" s="6"/>
      <c r="GF1901" s="6"/>
      <c r="GG1901" s="6"/>
      <c r="GH1901" s="6"/>
      <c r="GI1901" s="6"/>
      <c r="GJ1901" s="6"/>
      <c r="GK1901" s="6"/>
      <c r="GL1901" s="6"/>
      <c r="GM1901" s="6"/>
      <c r="GN1901" s="6"/>
      <c r="GO1901" s="6"/>
      <c r="GP1901" s="6"/>
      <c r="GQ1901" s="6"/>
      <c r="GR1901" s="6"/>
      <c r="GS1901" s="6"/>
      <c r="GT1901" s="6"/>
      <c r="GU1901" s="6"/>
      <c r="GV1901" s="6"/>
      <c r="GW1901" s="6"/>
      <c r="GX1901" s="6"/>
      <c r="GY1901" s="6"/>
      <c r="GZ1901" s="6"/>
      <c r="HA1901" s="6"/>
      <c r="HB1901" s="6"/>
      <c r="HC1901" s="6"/>
      <c r="HD1901" s="6"/>
      <c r="HE1901" s="6"/>
      <c r="HF1901" s="6"/>
      <c r="HG1901" s="6"/>
      <c r="HH1901" s="6"/>
    </row>
    <row r="1902" spans="1:216" x14ac:dyDescent="0.3">
      <c r="A1902" s="8"/>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6"/>
      <c r="AR1902" s="6"/>
      <c r="AS1902" s="6"/>
      <c r="AT1902" s="6"/>
      <c r="AU1902" s="6"/>
      <c r="AV1902" s="6"/>
      <c r="AW1902" s="6"/>
      <c r="AX1902" s="6"/>
      <c r="AY1902" s="6"/>
      <c r="AZ1902" s="6"/>
      <c r="BA1902" s="6"/>
      <c r="BB1902" s="6"/>
      <c r="BC1902" s="6"/>
      <c r="BD1902" s="6"/>
      <c r="BE1902" s="6"/>
      <c r="BF1902" s="6"/>
      <c r="BG1902" s="6"/>
      <c r="BH1902" s="6"/>
      <c r="BI1902" s="6"/>
      <c r="BJ1902" s="6"/>
      <c r="BK1902" s="6"/>
      <c r="BL1902" s="6"/>
      <c r="BM1902" s="6"/>
      <c r="BN1902" s="6"/>
      <c r="BO1902" s="6"/>
      <c r="BP1902" s="6"/>
      <c r="BQ1902" s="6"/>
      <c r="BR1902" s="6"/>
      <c r="BS1902" s="6"/>
      <c r="BT1902" s="6"/>
      <c r="BU1902" s="6"/>
      <c r="BV1902" s="6"/>
      <c r="BW1902" s="6"/>
      <c r="BX1902" s="6"/>
      <c r="BY1902" s="6"/>
      <c r="BZ1902" s="6"/>
      <c r="CA1902" s="6"/>
      <c r="CB1902" s="6"/>
      <c r="CC1902" s="6"/>
      <c r="CD1902" s="6"/>
      <c r="CE1902" s="6"/>
      <c r="CF1902" s="6"/>
      <c r="CG1902" s="6"/>
      <c r="CH1902" s="6"/>
      <c r="CI1902" s="6"/>
      <c r="CJ1902" s="6"/>
      <c r="CK1902" s="6"/>
      <c r="CL1902" s="6"/>
      <c r="CM1902" s="6"/>
      <c r="CN1902" s="6"/>
      <c r="CO1902" s="6"/>
      <c r="CP1902" s="6"/>
      <c r="CQ1902" s="6"/>
      <c r="CR1902" s="6"/>
      <c r="CS1902" s="6"/>
      <c r="CT1902" s="6"/>
      <c r="CU1902" s="6"/>
      <c r="CV1902" s="6"/>
      <c r="CW1902" s="6"/>
      <c r="CX1902" s="6"/>
      <c r="CY1902" s="6"/>
      <c r="CZ1902" s="6"/>
      <c r="DA1902" s="6"/>
      <c r="DB1902" s="6"/>
      <c r="DC1902" s="6"/>
      <c r="DD1902" s="6"/>
      <c r="DE1902" s="6"/>
      <c r="DF1902" s="6"/>
      <c r="DG1902" s="6"/>
      <c r="DH1902" s="6"/>
      <c r="DI1902" s="6"/>
      <c r="DJ1902" s="6"/>
      <c r="DK1902" s="6"/>
      <c r="DL1902" s="6"/>
      <c r="DM1902" s="6"/>
      <c r="DN1902" s="6"/>
      <c r="DO1902" s="6"/>
      <c r="DP1902" s="6"/>
      <c r="DQ1902" s="6"/>
      <c r="DR1902" s="6"/>
      <c r="DS1902" s="6"/>
      <c r="DT1902" s="6"/>
      <c r="DU1902" s="6"/>
      <c r="DV1902" s="6"/>
      <c r="DW1902" s="6"/>
      <c r="DX1902" s="6"/>
      <c r="DY1902" s="6"/>
      <c r="DZ1902" s="6"/>
      <c r="EA1902" s="6"/>
      <c r="EB1902" s="6"/>
      <c r="EC1902" s="6"/>
      <c r="ED1902" s="6"/>
      <c r="EE1902" s="6"/>
      <c r="EF1902" s="6"/>
      <c r="EG1902" s="6"/>
      <c r="EH1902" s="6"/>
      <c r="EI1902" s="6"/>
      <c r="EJ1902" s="6"/>
      <c r="EK1902" s="6"/>
      <c r="EL1902" s="6"/>
      <c r="EM1902" s="6"/>
      <c r="EN1902" s="6"/>
      <c r="EO1902" s="6"/>
      <c r="EP1902" s="6"/>
      <c r="EQ1902" s="6"/>
      <c r="ER1902" s="6"/>
      <c r="ES1902" s="6"/>
      <c r="ET1902" s="6"/>
      <c r="EU1902" s="6"/>
      <c r="EV1902" s="6"/>
      <c r="EW1902" s="6"/>
      <c r="EX1902" s="6"/>
      <c r="EY1902" s="6"/>
      <c r="EZ1902" s="6"/>
      <c r="FA1902" s="6"/>
      <c r="FB1902" s="6"/>
      <c r="FC1902" s="6"/>
      <c r="FD1902" s="6"/>
      <c r="FE1902" s="6"/>
      <c r="FF1902" s="6"/>
      <c r="FG1902" s="6"/>
      <c r="FH1902" s="6"/>
      <c r="FI1902" s="6"/>
      <c r="FJ1902" s="6"/>
      <c r="FK1902" s="6"/>
      <c r="FL1902" s="6"/>
      <c r="FM1902" s="6"/>
      <c r="FN1902" s="6"/>
      <c r="FO1902" s="6"/>
      <c r="FP1902" s="6"/>
      <c r="FQ1902" s="6"/>
      <c r="FR1902" s="6"/>
      <c r="FS1902" s="6"/>
      <c r="FT1902" s="6"/>
      <c r="FU1902" s="6"/>
      <c r="FV1902" s="6"/>
      <c r="FW1902" s="6"/>
      <c r="FX1902" s="6"/>
      <c r="FY1902" s="6"/>
      <c r="FZ1902" s="6"/>
      <c r="GA1902" s="6"/>
      <c r="GB1902" s="6"/>
      <c r="GC1902" s="6"/>
      <c r="GD1902" s="6"/>
      <c r="GE1902" s="6"/>
      <c r="GF1902" s="6"/>
      <c r="GG1902" s="6"/>
      <c r="GH1902" s="6"/>
      <c r="GI1902" s="6"/>
      <c r="GJ1902" s="6"/>
      <c r="GK1902" s="6"/>
      <c r="GL1902" s="6"/>
      <c r="GM1902" s="6"/>
      <c r="GN1902" s="6"/>
      <c r="GO1902" s="6"/>
      <c r="GP1902" s="6"/>
      <c r="GQ1902" s="6"/>
      <c r="GR1902" s="6"/>
      <c r="GS1902" s="6"/>
      <c r="GT1902" s="6"/>
      <c r="GU1902" s="6"/>
      <c r="GV1902" s="6"/>
      <c r="GW1902" s="6"/>
      <c r="GX1902" s="6"/>
      <c r="GY1902" s="6"/>
      <c r="GZ1902" s="6"/>
      <c r="HA1902" s="6"/>
      <c r="HB1902" s="6"/>
      <c r="HC1902" s="6"/>
      <c r="HD1902" s="6"/>
      <c r="HE1902" s="6"/>
      <c r="HF1902" s="6"/>
      <c r="HG1902" s="6"/>
      <c r="HH1902" s="6"/>
    </row>
    <row r="1903" spans="1:216" x14ac:dyDescent="0.3">
      <c r="A1903" s="8"/>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6"/>
      <c r="AR1903" s="6"/>
      <c r="AS1903" s="6"/>
      <c r="AT1903" s="6"/>
      <c r="AU1903" s="6"/>
      <c r="AV1903" s="6"/>
      <c r="AW1903" s="6"/>
      <c r="AX1903" s="6"/>
      <c r="AY1903" s="6"/>
      <c r="AZ1903" s="6"/>
      <c r="BA1903" s="6"/>
      <c r="BB1903" s="6"/>
      <c r="BC1903" s="6"/>
      <c r="BD1903" s="6"/>
      <c r="BE1903" s="6"/>
      <c r="BF1903" s="6"/>
      <c r="BG1903" s="6"/>
      <c r="BH1903" s="6"/>
      <c r="BI1903" s="6"/>
      <c r="BJ1903" s="6"/>
      <c r="BK1903" s="6"/>
      <c r="BL1903" s="6"/>
      <c r="BM1903" s="6"/>
      <c r="BN1903" s="6"/>
      <c r="BO1903" s="6"/>
      <c r="BP1903" s="6"/>
      <c r="BQ1903" s="6"/>
      <c r="BR1903" s="6"/>
      <c r="BS1903" s="6"/>
      <c r="BT1903" s="6"/>
      <c r="BU1903" s="6"/>
      <c r="BV1903" s="6"/>
      <c r="BW1903" s="6"/>
      <c r="BX1903" s="6"/>
      <c r="BY1903" s="6"/>
      <c r="BZ1903" s="6"/>
      <c r="CA1903" s="6"/>
      <c r="CB1903" s="6"/>
      <c r="CC1903" s="6"/>
      <c r="CD1903" s="6"/>
      <c r="CE1903" s="6"/>
      <c r="CF1903" s="6"/>
      <c r="CG1903" s="6"/>
      <c r="CH1903" s="6"/>
      <c r="CI1903" s="6"/>
      <c r="CJ1903" s="6"/>
      <c r="CK1903" s="6"/>
      <c r="CL1903" s="6"/>
      <c r="CM1903" s="6"/>
      <c r="CN1903" s="6"/>
      <c r="CO1903" s="6"/>
      <c r="CP1903" s="6"/>
      <c r="CQ1903" s="6"/>
      <c r="CR1903" s="6"/>
      <c r="CS1903" s="6"/>
      <c r="CT1903" s="6"/>
      <c r="CU1903" s="6"/>
      <c r="CV1903" s="6"/>
      <c r="CW1903" s="6"/>
      <c r="CX1903" s="6"/>
      <c r="CY1903" s="6"/>
      <c r="CZ1903" s="6"/>
      <c r="DA1903" s="6"/>
      <c r="DB1903" s="6"/>
      <c r="DC1903" s="6"/>
      <c r="DD1903" s="6"/>
      <c r="DE1903" s="6"/>
      <c r="DF1903" s="6"/>
      <c r="DG1903" s="6"/>
      <c r="DH1903" s="6"/>
      <c r="DI1903" s="6"/>
      <c r="DJ1903" s="6"/>
      <c r="DK1903" s="6"/>
      <c r="DL1903" s="6"/>
      <c r="DM1903" s="6"/>
      <c r="DN1903" s="6"/>
      <c r="DO1903" s="6"/>
      <c r="DP1903" s="6"/>
      <c r="DQ1903" s="6"/>
      <c r="DR1903" s="6"/>
      <c r="DS1903" s="6"/>
      <c r="DT1903" s="6"/>
      <c r="DU1903" s="6"/>
      <c r="DV1903" s="6"/>
      <c r="DW1903" s="6"/>
      <c r="DX1903" s="6"/>
      <c r="DY1903" s="6"/>
      <c r="DZ1903" s="6"/>
      <c r="EA1903" s="6"/>
      <c r="EB1903" s="6"/>
      <c r="EC1903" s="6"/>
      <c r="ED1903" s="6"/>
      <c r="EE1903" s="6"/>
      <c r="EF1903" s="6"/>
      <c r="EG1903" s="6"/>
      <c r="EH1903" s="6"/>
      <c r="EI1903" s="6"/>
      <c r="EJ1903" s="6"/>
      <c r="EK1903" s="6"/>
      <c r="EL1903" s="6"/>
      <c r="EM1903" s="6"/>
      <c r="EN1903" s="6"/>
      <c r="EO1903" s="6"/>
      <c r="EP1903" s="6"/>
      <c r="EQ1903" s="6"/>
      <c r="ER1903" s="6"/>
      <c r="ES1903" s="6"/>
      <c r="ET1903" s="6"/>
      <c r="EU1903" s="6"/>
      <c r="EV1903" s="6"/>
      <c r="EW1903" s="6"/>
      <c r="EX1903" s="6"/>
      <c r="EY1903" s="6"/>
      <c r="EZ1903" s="6"/>
      <c r="FA1903" s="6"/>
      <c r="FB1903" s="6"/>
      <c r="FC1903" s="6"/>
      <c r="FD1903" s="6"/>
      <c r="FE1903" s="6"/>
      <c r="FF1903" s="6"/>
      <c r="FG1903" s="6"/>
      <c r="FH1903" s="6"/>
      <c r="FI1903" s="6"/>
      <c r="FJ1903" s="6"/>
      <c r="FK1903" s="6"/>
      <c r="FL1903" s="6"/>
      <c r="FM1903" s="6"/>
      <c r="FN1903" s="6"/>
      <c r="FO1903" s="6"/>
      <c r="FP1903" s="6"/>
      <c r="FQ1903" s="6"/>
      <c r="FR1903" s="6"/>
      <c r="FS1903" s="6"/>
      <c r="FT1903" s="6"/>
      <c r="FU1903" s="6"/>
      <c r="FV1903" s="6"/>
      <c r="FW1903" s="6"/>
      <c r="FX1903" s="6"/>
      <c r="FY1903" s="6"/>
      <c r="FZ1903" s="6"/>
      <c r="GA1903" s="6"/>
      <c r="GB1903" s="6"/>
      <c r="GC1903" s="6"/>
      <c r="GD1903" s="6"/>
      <c r="GE1903" s="6"/>
      <c r="GF1903" s="6"/>
      <c r="GG1903" s="6"/>
      <c r="GH1903" s="6"/>
      <c r="GI1903" s="6"/>
      <c r="GJ1903" s="6"/>
      <c r="GK1903" s="6"/>
      <c r="GL1903" s="6"/>
      <c r="GM1903" s="6"/>
      <c r="GN1903" s="6"/>
      <c r="GO1903" s="6"/>
      <c r="GP1903" s="6"/>
      <c r="GQ1903" s="6"/>
      <c r="GR1903" s="6"/>
      <c r="GS1903" s="6"/>
      <c r="GT1903" s="6"/>
      <c r="GU1903" s="6"/>
      <c r="GV1903" s="6"/>
      <c r="GW1903" s="6"/>
      <c r="GX1903" s="6"/>
      <c r="GY1903" s="6"/>
      <c r="GZ1903" s="6"/>
      <c r="HA1903" s="6"/>
      <c r="HB1903" s="6"/>
      <c r="HC1903" s="6"/>
      <c r="HD1903" s="6"/>
      <c r="HE1903" s="6"/>
      <c r="HF1903" s="6"/>
      <c r="HG1903" s="6"/>
      <c r="HH1903" s="6"/>
    </row>
    <row r="1904" spans="1:216" x14ac:dyDescent="0.3">
      <c r="A1904" s="8"/>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6"/>
      <c r="AR1904" s="6"/>
      <c r="AS1904" s="6"/>
      <c r="AT1904" s="6"/>
      <c r="AU1904" s="6"/>
      <c r="AV1904" s="6"/>
      <c r="AW1904" s="6"/>
      <c r="AX1904" s="6"/>
      <c r="AY1904" s="6"/>
      <c r="AZ1904" s="6"/>
      <c r="BA1904" s="6"/>
      <c r="BB1904" s="6"/>
      <c r="BC1904" s="6"/>
      <c r="BD1904" s="6"/>
      <c r="BE1904" s="6"/>
      <c r="BF1904" s="6"/>
      <c r="BG1904" s="6"/>
      <c r="BH1904" s="6"/>
      <c r="BI1904" s="6"/>
      <c r="BJ1904" s="6"/>
      <c r="BK1904" s="6"/>
      <c r="BL1904" s="6"/>
      <c r="BM1904" s="6"/>
      <c r="BN1904" s="6"/>
      <c r="BO1904" s="6"/>
      <c r="BP1904" s="6"/>
      <c r="BQ1904" s="6"/>
      <c r="BR1904" s="6"/>
      <c r="BS1904" s="6"/>
      <c r="BT1904" s="6"/>
      <c r="BU1904" s="6"/>
      <c r="BV1904" s="6"/>
      <c r="BW1904" s="6"/>
      <c r="BX1904" s="6"/>
      <c r="BY1904" s="6"/>
      <c r="BZ1904" s="6"/>
      <c r="CA1904" s="6"/>
      <c r="CB1904" s="6"/>
      <c r="CC1904" s="6"/>
      <c r="CD1904" s="6"/>
      <c r="CE1904" s="6"/>
      <c r="CF1904" s="6"/>
      <c r="CG1904" s="6"/>
      <c r="CH1904" s="6"/>
      <c r="CI1904" s="6"/>
      <c r="CJ1904" s="6"/>
      <c r="CK1904" s="6"/>
      <c r="CL1904" s="6"/>
      <c r="CM1904" s="6"/>
      <c r="CN1904" s="6"/>
      <c r="CO1904" s="6"/>
      <c r="CP1904" s="6"/>
      <c r="CQ1904" s="6"/>
      <c r="CR1904" s="6"/>
      <c r="CS1904" s="6"/>
      <c r="CT1904" s="6"/>
      <c r="CU1904" s="6"/>
      <c r="CV1904" s="6"/>
      <c r="CW1904" s="6"/>
      <c r="CX1904" s="6"/>
      <c r="CY1904" s="6"/>
      <c r="CZ1904" s="6"/>
      <c r="DA1904" s="6"/>
      <c r="DB1904" s="6"/>
      <c r="DC1904" s="6"/>
      <c r="DD1904" s="6"/>
      <c r="DE1904" s="6"/>
      <c r="DF1904" s="6"/>
      <c r="DG1904" s="6"/>
      <c r="DH1904" s="6"/>
      <c r="DI1904" s="6"/>
      <c r="DJ1904" s="6"/>
      <c r="DK1904" s="6"/>
      <c r="DL1904" s="6"/>
      <c r="DM1904" s="6"/>
      <c r="DN1904" s="6"/>
      <c r="DO1904" s="6"/>
      <c r="DP1904" s="6"/>
      <c r="DQ1904" s="6"/>
      <c r="DR1904" s="6"/>
      <c r="DS1904" s="6"/>
      <c r="DT1904" s="6"/>
      <c r="DU1904" s="6"/>
      <c r="DV1904" s="6"/>
      <c r="DW1904" s="6"/>
      <c r="DX1904" s="6"/>
      <c r="DY1904" s="6"/>
      <c r="DZ1904" s="6"/>
      <c r="EA1904" s="6"/>
      <c r="EB1904" s="6"/>
      <c r="EC1904" s="6"/>
      <c r="ED1904" s="6"/>
      <c r="EE1904" s="6"/>
      <c r="EF1904" s="6"/>
      <c r="EG1904" s="6"/>
      <c r="EH1904" s="6"/>
      <c r="EI1904" s="6"/>
      <c r="EJ1904" s="6"/>
      <c r="EK1904" s="6"/>
      <c r="EL1904" s="6"/>
      <c r="EM1904" s="6"/>
      <c r="EN1904" s="6"/>
      <c r="EO1904" s="6"/>
      <c r="EP1904" s="6"/>
      <c r="EQ1904" s="6"/>
      <c r="ER1904" s="6"/>
      <c r="ES1904" s="6"/>
      <c r="ET1904" s="6"/>
      <c r="EU1904" s="6"/>
      <c r="EV1904" s="6"/>
      <c r="EW1904" s="6"/>
      <c r="EX1904" s="6"/>
      <c r="EY1904" s="6"/>
      <c r="EZ1904" s="6"/>
      <c r="FA1904" s="6"/>
      <c r="FB1904" s="6"/>
      <c r="FC1904" s="6"/>
      <c r="FD1904" s="6"/>
      <c r="FE1904" s="6"/>
      <c r="FF1904" s="6"/>
      <c r="FG1904" s="6"/>
      <c r="FH1904" s="6"/>
      <c r="FI1904" s="6"/>
      <c r="FJ1904" s="6"/>
      <c r="FK1904" s="6"/>
      <c r="FL1904" s="6"/>
      <c r="FM1904" s="6"/>
      <c r="FN1904" s="6"/>
      <c r="FO1904" s="6"/>
      <c r="FP1904" s="6"/>
      <c r="FQ1904" s="6"/>
      <c r="FR1904" s="6"/>
      <c r="FS1904" s="6"/>
      <c r="FT1904" s="6"/>
      <c r="FU1904" s="6"/>
      <c r="FV1904" s="6"/>
      <c r="FW1904" s="6"/>
      <c r="FX1904" s="6"/>
      <c r="FY1904" s="6"/>
      <c r="FZ1904" s="6"/>
      <c r="GA1904" s="6"/>
      <c r="GB1904" s="6"/>
      <c r="GC1904" s="6"/>
      <c r="GD1904" s="6"/>
      <c r="GE1904" s="6"/>
      <c r="GF1904" s="6"/>
      <c r="GG1904" s="6"/>
      <c r="GH1904" s="6"/>
      <c r="GI1904" s="6"/>
      <c r="GJ1904" s="6"/>
      <c r="GK1904" s="6"/>
      <c r="GL1904" s="6"/>
      <c r="GM1904" s="6"/>
      <c r="GN1904" s="6"/>
      <c r="GO1904" s="6"/>
      <c r="GP1904" s="6"/>
      <c r="GQ1904" s="6"/>
      <c r="GR1904" s="6"/>
      <c r="GS1904" s="6"/>
      <c r="GT1904" s="6"/>
      <c r="GU1904" s="6"/>
      <c r="GV1904" s="6"/>
      <c r="GW1904" s="6"/>
      <c r="GX1904" s="6"/>
      <c r="GY1904" s="6"/>
      <c r="GZ1904" s="6"/>
      <c r="HA1904" s="6"/>
      <c r="HB1904" s="6"/>
      <c r="HC1904" s="6"/>
      <c r="HD1904" s="6"/>
      <c r="HE1904" s="6"/>
      <c r="HF1904" s="6"/>
      <c r="HG1904" s="6"/>
      <c r="HH1904" s="6"/>
    </row>
    <row r="1905" spans="1:216" x14ac:dyDescent="0.3">
      <c r="A1905" s="8"/>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6"/>
      <c r="AR1905" s="6"/>
      <c r="AS1905" s="6"/>
      <c r="AT1905" s="6"/>
      <c r="AU1905" s="6"/>
      <c r="AV1905" s="6"/>
      <c r="AW1905" s="6"/>
      <c r="AX1905" s="6"/>
      <c r="AY1905" s="6"/>
      <c r="AZ1905" s="6"/>
      <c r="BA1905" s="6"/>
      <c r="BB1905" s="6"/>
      <c r="BC1905" s="6"/>
      <c r="BD1905" s="6"/>
      <c r="BE1905" s="6"/>
      <c r="BF1905" s="6"/>
      <c r="BG1905" s="6"/>
      <c r="BH1905" s="6"/>
      <c r="BI1905" s="6"/>
      <c r="BJ1905" s="6"/>
      <c r="BK1905" s="6"/>
      <c r="BL1905" s="6"/>
      <c r="BM1905" s="6"/>
      <c r="BN1905" s="6"/>
      <c r="BO1905" s="6"/>
      <c r="BP1905" s="6"/>
      <c r="BQ1905" s="6"/>
      <c r="BR1905" s="6"/>
      <c r="BS1905" s="6"/>
      <c r="BT1905" s="6"/>
      <c r="BU1905" s="6"/>
      <c r="BV1905" s="6"/>
      <c r="BW1905" s="6"/>
      <c r="BX1905" s="6"/>
      <c r="BY1905" s="6"/>
      <c r="BZ1905" s="6"/>
      <c r="CA1905" s="6"/>
      <c r="CB1905" s="6"/>
      <c r="CC1905" s="6"/>
      <c r="CD1905" s="6"/>
      <c r="CE1905" s="6"/>
      <c r="CF1905" s="6"/>
      <c r="CG1905" s="6"/>
      <c r="CH1905" s="6"/>
      <c r="CI1905" s="6"/>
      <c r="CJ1905" s="6"/>
      <c r="CK1905" s="6"/>
      <c r="CL1905" s="6"/>
      <c r="CM1905" s="6"/>
      <c r="CN1905" s="6"/>
      <c r="CO1905" s="6"/>
      <c r="CP1905" s="6"/>
      <c r="CQ1905" s="6"/>
      <c r="CR1905" s="6"/>
      <c r="CS1905" s="6"/>
      <c r="CT1905" s="6"/>
      <c r="CU1905" s="6"/>
      <c r="CV1905" s="6"/>
      <c r="CW1905" s="6"/>
      <c r="CX1905" s="6"/>
      <c r="CY1905" s="6"/>
      <c r="CZ1905" s="6"/>
      <c r="DA1905" s="6"/>
      <c r="DB1905" s="6"/>
      <c r="DC1905" s="6"/>
      <c r="DD1905" s="6"/>
      <c r="DE1905" s="6"/>
      <c r="DF1905" s="6"/>
      <c r="DG1905" s="6"/>
      <c r="DH1905" s="6"/>
      <c r="DI1905" s="6"/>
      <c r="DJ1905" s="6"/>
      <c r="DK1905" s="6"/>
      <c r="DL1905" s="6"/>
      <c r="DM1905" s="6"/>
      <c r="DN1905" s="6"/>
      <c r="DO1905" s="6"/>
      <c r="DP1905" s="6"/>
      <c r="DQ1905" s="6"/>
      <c r="DR1905" s="6"/>
      <c r="DS1905" s="6"/>
      <c r="DT1905" s="6"/>
      <c r="DU1905" s="6"/>
      <c r="DV1905" s="6"/>
      <c r="DW1905" s="6"/>
      <c r="DX1905" s="6"/>
      <c r="DY1905" s="6"/>
      <c r="DZ1905" s="6"/>
      <c r="EA1905" s="6"/>
      <c r="EB1905" s="6"/>
      <c r="EC1905" s="6"/>
      <c r="ED1905" s="6"/>
      <c r="EE1905" s="6"/>
      <c r="EF1905" s="6"/>
      <c r="EG1905" s="6"/>
      <c r="EH1905" s="6"/>
      <c r="EI1905" s="6"/>
      <c r="EJ1905" s="6"/>
      <c r="EK1905" s="6"/>
      <c r="EL1905" s="6"/>
      <c r="EM1905" s="6"/>
      <c r="EN1905" s="6"/>
      <c r="EO1905" s="6"/>
      <c r="EP1905" s="6"/>
      <c r="EQ1905" s="6"/>
      <c r="ER1905" s="6"/>
      <c r="ES1905" s="6"/>
      <c r="ET1905" s="6"/>
      <c r="EU1905" s="6"/>
      <c r="EV1905" s="6"/>
      <c r="EW1905" s="6"/>
      <c r="EX1905" s="6"/>
      <c r="EY1905" s="6"/>
      <c r="EZ1905" s="6"/>
      <c r="FA1905" s="6"/>
      <c r="FB1905" s="6"/>
      <c r="FC1905" s="6"/>
      <c r="FD1905" s="6"/>
      <c r="FE1905" s="6"/>
      <c r="FF1905" s="6"/>
      <c r="FG1905" s="6"/>
      <c r="FH1905" s="6"/>
      <c r="FI1905" s="6"/>
      <c r="FJ1905" s="6"/>
      <c r="FK1905" s="6"/>
      <c r="FL1905" s="6"/>
      <c r="FM1905" s="6"/>
      <c r="FN1905" s="6"/>
      <c r="FO1905" s="6"/>
      <c r="FP1905" s="6"/>
      <c r="FQ1905" s="6"/>
      <c r="FR1905" s="6"/>
      <c r="FS1905" s="6"/>
      <c r="FT1905" s="6"/>
      <c r="FU1905" s="6"/>
      <c r="FV1905" s="6"/>
      <c r="FW1905" s="6"/>
      <c r="FX1905" s="6"/>
      <c r="FY1905" s="6"/>
      <c r="FZ1905" s="6"/>
      <c r="GA1905" s="6"/>
      <c r="GB1905" s="6"/>
      <c r="GC1905" s="6"/>
      <c r="GD1905" s="6"/>
      <c r="GE1905" s="6"/>
      <c r="GF1905" s="6"/>
      <c r="GG1905" s="6"/>
      <c r="GH1905" s="6"/>
      <c r="GI1905" s="6"/>
      <c r="GJ1905" s="6"/>
      <c r="GK1905" s="6"/>
      <c r="GL1905" s="6"/>
      <c r="GM1905" s="6"/>
      <c r="GN1905" s="6"/>
      <c r="GO1905" s="6"/>
      <c r="GP1905" s="6"/>
      <c r="GQ1905" s="6"/>
      <c r="GR1905" s="6"/>
      <c r="GS1905" s="6"/>
      <c r="GT1905" s="6"/>
      <c r="GU1905" s="6"/>
      <c r="GV1905" s="6"/>
      <c r="GW1905" s="6"/>
      <c r="GX1905" s="6"/>
      <c r="GY1905" s="6"/>
      <c r="GZ1905" s="6"/>
      <c r="HA1905" s="6"/>
      <c r="HB1905" s="6"/>
      <c r="HC1905" s="6"/>
      <c r="HD1905" s="6"/>
      <c r="HE1905" s="6"/>
      <c r="HF1905" s="6"/>
      <c r="HG1905" s="6"/>
      <c r="HH1905" s="6"/>
    </row>
    <row r="1906" spans="1:216" x14ac:dyDescent="0.3">
      <c r="A1906" s="8"/>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c r="DX1906" s="6"/>
      <c r="DY1906" s="6"/>
      <c r="DZ1906" s="6"/>
      <c r="EA1906" s="6"/>
      <c r="EB1906" s="6"/>
      <c r="EC1906" s="6"/>
      <c r="ED1906" s="6"/>
      <c r="EE1906" s="6"/>
      <c r="EF1906" s="6"/>
      <c r="EG1906" s="6"/>
      <c r="EH1906" s="6"/>
      <c r="EI1906" s="6"/>
      <c r="EJ1906" s="6"/>
      <c r="EK1906" s="6"/>
      <c r="EL1906" s="6"/>
      <c r="EM1906" s="6"/>
      <c r="EN1906" s="6"/>
      <c r="EO1906" s="6"/>
      <c r="EP1906" s="6"/>
      <c r="EQ1906" s="6"/>
      <c r="ER1906" s="6"/>
      <c r="ES1906" s="6"/>
      <c r="ET1906" s="6"/>
      <c r="EU1906" s="6"/>
      <c r="EV1906" s="6"/>
      <c r="EW1906" s="6"/>
      <c r="EX1906" s="6"/>
      <c r="EY1906" s="6"/>
      <c r="EZ1906" s="6"/>
      <c r="FA1906" s="6"/>
      <c r="FB1906" s="6"/>
      <c r="FC1906" s="6"/>
      <c r="FD1906" s="6"/>
      <c r="FE1906" s="6"/>
      <c r="FF1906" s="6"/>
      <c r="FG1906" s="6"/>
      <c r="FH1906" s="6"/>
      <c r="FI1906" s="6"/>
      <c r="FJ1906" s="6"/>
      <c r="FK1906" s="6"/>
      <c r="FL1906" s="6"/>
      <c r="FM1906" s="6"/>
      <c r="FN1906" s="6"/>
      <c r="FO1906" s="6"/>
      <c r="FP1906" s="6"/>
      <c r="FQ1906" s="6"/>
      <c r="FR1906" s="6"/>
      <c r="FS1906" s="6"/>
      <c r="FT1906" s="6"/>
      <c r="FU1906" s="6"/>
      <c r="FV1906" s="6"/>
      <c r="FW1906" s="6"/>
      <c r="FX1906" s="6"/>
      <c r="FY1906" s="6"/>
      <c r="FZ1906" s="6"/>
      <c r="GA1906" s="6"/>
      <c r="GB1906" s="6"/>
      <c r="GC1906" s="6"/>
      <c r="GD1906" s="6"/>
      <c r="GE1906" s="6"/>
      <c r="GF1906" s="6"/>
      <c r="GG1906" s="6"/>
      <c r="GH1906" s="6"/>
      <c r="GI1906" s="6"/>
      <c r="GJ1906" s="6"/>
      <c r="GK1906" s="6"/>
      <c r="GL1906" s="6"/>
      <c r="GM1906" s="6"/>
      <c r="GN1906" s="6"/>
      <c r="GO1906" s="6"/>
      <c r="GP1906" s="6"/>
      <c r="GQ1906" s="6"/>
      <c r="GR1906" s="6"/>
      <c r="GS1906" s="6"/>
      <c r="GT1906" s="6"/>
      <c r="GU1906" s="6"/>
      <c r="GV1906" s="6"/>
      <c r="GW1906" s="6"/>
      <c r="GX1906" s="6"/>
      <c r="GY1906" s="6"/>
      <c r="GZ1906" s="6"/>
      <c r="HA1906" s="6"/>
      <c r="HB1906" s="6"/>
      <c r="HC1906" s="6"/>
      <c r="HD1906" s="6"/>
      <c r="HE1906" s="6"/>
      <c r="HF1906" s="6"/>
      <c r="HG1906" s="6"/>
      <c r="HH1906" s="6"/>
    </row>
    <row r="1907" spans="1:216" x14ac:dyDescent="0.3">
      <c r="A1907" s="8"/>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6"/>
      <c r="AR1907" s="6"/>
      <c r="AS1907" s="6"/>
      <c r="AT1907" s="6"/>
      <c r="AU1907" s="6"/>
      <c r="AV1907" s="6"/>
      <c r="AW1907" s="6"/>
      <c r="AX1907" s="6"/>
      <c r="AY1907" s="6"/>
      <c r="AZ1907" s="6"/>
      <c r="BA1907" s="6"/>
      <c r="BB1907" s="6"/>
      <c r="BC1907" s="6"/>
      <c r="BD1907" s="6"/>
      <c r="BE1907" s="6"/>
      <c r="BF1907" s="6"/>
      <c r="BG1907" s="6"/>
      <c r="BH1907" s="6"/>
      <c r="BI1907" s="6"/>
      <c r="BJ1907" s="6"/>
      <c r="BK1907" s="6"/>
      <c r="BL1907" s="6"/>
      <c r="BM1907" s="6"/>
      <c r="BN1907" s="6"/>
      <c r="BO1907" s="6"/>
      <c r="BP1907" s="6"/>
      <c r="BQ1907" s="6"/>
      <c r="BR1907" s="6"/>
      <c r="BS1907" s="6"/>
      <c r="BT1907" s="6"/>
      <c r="BU1907" s="6"/>
      <c r="BV1907" s="6"/>
      <c r="BW1907" s="6"/>
      <c r="BX1907" s="6"/>
      <c r="BY1907" s="6"/>
      <c r="BZ1907" s="6"/>
      <c r="CA1907" s="6"/>
      <c r="CB1907" s="6"/>
      <c r="CC1907" s="6"/>
      <c r="CD1907" s="6"/>
      <c r="CE1907" s="6"/>
      <c r="CF1907" s="6"/>
      <c r="CG1907" s="6"/>
      <c r="CH1907" s="6"/>
      <c r="CI1907" s="6"/>
      <c r="CJ1907" s="6"/>
      <c r="CK1907" s="6"/>
      <c r="CL1907" s="6"/>
      <c r="CM1907" s="6"/>
      <c r="CN1907" s="6"/>
      <c r="CO1907" s="6"/>
      <c r="CP1907" s="6"/>
      <c r="CQ1907" s="6"/>
      <c r="CR1907" s="6"/>
      <c r="CS1907" s="6"/>
      <c r="CT1907" s="6"/>
      <c r="CU1907" s="6"/>
      <c r="CV1907" s="6"/>
      <c r="CW1907" s="6"/>
      <c r="CX1907" s="6"/>
      <c r="CY1907" s="6"/>
      <c r="CZ1907" s="6"/>
      <c r="DA1907" s="6"/>
      <c r="DB1907" s="6"/>
      <c r="DC1907" s="6"/>
      <c r="DD1907" s="6"/>
      <c r="DE1907" s="6"/>
      <c r="DF1907" s="6"/>
      <c r="DG1907" s="6"/>
      <c r="DH1907" s="6"/>
      <c r="DI1907" s="6"/>
      <c r="DJ1907" s="6"/>
      <c r="DK1907" s="6"/>
      <c r="DL1907" s="6"/>
      <c r="DM1907" s="6"/>
      <c r="DN1907" s="6"/>
      <c r="DO1907" s="6"/>
      <c r="DP1907" s="6"/>
      <c r="DQ1907" s="6"/>
      <c r="DR1907" s="6"/>
      <c r="DS1907" s="6"/>
      <c r="DT1907" s="6"/>
      <c r="DU1907" s="6"/>
      <c r="DV1907" s="6"/>
      <c r="DW1907" s="6"/>
      <c r="DX1907" s="6"/>
      <c r="DY1907" s="6"/>
      <c r="DZ1907" s="6"/>
      <c r="EA1907" s="6"/>
      <c r="EB1907" s="6"/>
      <c r="EC1907" s="6"/>
      <c r="ED1907" s="6"/>
      <c r="EE1907" s="6"/>
      <c r="EF1907" s="6"/>
      <c r="EG1907" s="6"/>
      <c r="EH1907" s="6"/>
      <c r="EI1907" s="6"/>
      <c r="EJ1907" s="6"/>
      <c r="EK1907" s="6"/>
      <c r="EL1907" s="6"/>
      <c r="EM1907" s="6"/>
      <c r="EN1907" s="6"/>
      <c r="EO1907" s="6"/>
      <c r="EP1907" s="6"/>
      <c r="EQ1907" s="6"/>
      <c r="ER1907" s="6"/>
      <c r="ES1907" s="6"/>
      <c r="ET1907" s="6"/>
      <c r="EU1907" s="6"/>
      <c r="EV1907" s="6"/>
      <c r="EW1907" s="6"/>
      <c r="EX1907" s="6"/>
      <c r="EY1907" s="6"/>
      <c r="EZ1907" s="6"/>
      <c r="FA1907" s="6"/>
      <c r="FB1907" s="6"/>
      <c r="FC1907" s="6"/>
      <c r="FD1907" s="6"/>
      <c r="FE1907" s="6"/>
      <c r="FF1907" s="6"/>
      <c r="FG1907" s="6"/>
      <c r="FH1907" s="6"/>
      <c r="FI1907" s="6"/>
      <c r="FJ1907" s="6"/>
      <c r="FK1907" s="6"/>
      <c r="FL1907" s="6"/>
      <c r="FM1907" s="6"/>
      <c r="FN1907" s="6"/>
      <c r="FO1907" s="6"/>
      <c r="FP1907" s="6"/>
      <c r="FQ1907" s="6"/>
      <c r="FR1907" s="6"/>
      <c r="FS1907" s="6"/>
      <c r="FT1907" s="6"/>
      <c r="FU1907" s="6"/>
      <c r="FV1907" s="6"/>
      <c r="FW1907" s="6"/>
      <c r="FX1907" s="6"/>
      <c r="FY1907" s="6"/>
      <c r="FZ1907" s="6"/>
      <c r="GA1907" s="6"/>
      <c r="GB1907" s="6"/>
      <c r="GC1907" s="6"/>
      <c r="GD1907" s="6"/>
      <c r="GE1907" s="6"/>
      <c r="GF1907" s="6"/>
      <c r="GG1907" s="6"/>
      <c r="GH1907" s="6"/>
      <c r="GI1907" s="6"/>
      <c r="GJ1907" s="6"/>
      <c r="GK1907" s="6"/>
      <c r="GL1907" s="6"/>
      <c r="GM1907" s="6"/>
      <c r="GN1907" s="6"/>
      <c r="GO1907" s="6"/>
      <c r="GP1907" s="6"/>
      <c r="GQ1907" s="6"/>
      <c r="GR1907" s="6"/>
      <c r="GS1907" s="6"/>
      <c r="GT1907" s="6"/>
      <c r="GU1907" s="6"/>
      <c r="GV1907" s="6"/>
      <c r="GW1907" s="6"/>
      <c r="GX1907" s="6"/>
      <c r="GY1907" s="6"/>
      <c r="GZ1907" s="6"/>
      <c r="HA1907" s="6"/>
      <c r="HB1907" s="6"/>
      <c r="HC1907" s="6"/>
      <c r="HD1907" s="6"/>
      <c r="HE1907" s="6"/>
      <c r="HF1907" s="6"/>
      <c r="HG1907" s="6"/>
      <c r="HH1907" s="6"/>
    </row>
    <row r="1908" spans="1:216" x14ac:dyDescent="0.3">
      <c r="A1908" s="8"/>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6"/>
      <c r="AR1908" s="6"/>
      <c r="AS1908" s="6"/>
      <c r="AT1908" s="6"/>
      <c r="AU1908" s="6"/>
      <c r="AV1908" s="6"/>
      <c r="AW1908" s="6"/>
      <c r="AX1908" s="6"/>
      <c r="AY1908" s="6"/>
      <c r="AZ1908" s="6"/>
      <c r="BA1908" s="6"/>
      <c r="BB1908" s="6"/>
      <c r="BC1908" s="6"/>
      <c r="BD1908" s="6"/>
      <c r="BE1908" s="6"/>
      <c r="BF1908" s="6"/>
      <c r="BG1908" s="6"/>
      <c r="BH1908" s="6"/>
      <c r="BI1908" s="6"/>
      <c r="BJ1908" s="6"/>
      <c r="BK1908" s="6"/>
      <c r="BL1908" s="6"/>
      <c r="BM1908" s="6"/>
      <c r="BN1908" s="6"/>
      <c r="BO1908" s="6"/>
      <c r="BP1908" s="6"/>
      <c r="BQ1908" s="6"/>
      <c r="BR1908" s="6"/>
      <c r="BS1908" s="6"/>
      <c r="BT1908" s="6"/>
      <c r="BU1908" s="6"/>
      <c r="BV1908" s="6"/>
      <c r="BW1908" s="6"/>
      <c r="BX1908" s="6"/>
      <c r="BY1908" s="6"/>
      <c r="BZ1908" s="6"/>
      <c r="CA1908" s="6"/>
      <c r="CB1908" s="6"/>
      <c r="CC1908" s="6"/>
      <c r="CD1908" s="6"/>
      <c r="CE1908" s="6"/>
      <c r="CF1908" s="6"/>
      <c r="CG1908" s="6"/>
      <c r="CH1908" s="6"/>
      <c r="CI1908" s="6"/>
      <c r="CJ1908" s="6"/>
      <c r="CK1908" s="6"/>
      <c r="CL1908" s="6"/>
      <c r="CM1908" s="6"/>
      <c r="CN1908" s="6"/>
      <c r="CO1908" s="6"/>
      <c r="CP1908" s="6"/>
      <c r="CQ1908" s="6"/>
      <c r="CR1908" s="6"/>
      <c r="CS1908" s="6"/>
      <c r="CT1908" s="6"/>
      <c r="CU1908" s="6"/>
      <c r="CV1908" s="6"/>
      <c r="CW1908" s="6"/>
      <c r="CX1908" s="6"/>
      <c r="CY1908" s="6"/>
      <c r="CZ1908" s="6"/>
      <c r="DA1908" s="6"/>
      <c r="DB1908" s="6"/>
      <c r="DC1908" s="6"/>
      <c r="DD1908" s="6"/>
      <c r="DE1908" s="6"/>
      <c r="DF1908" s="6"/>
      <c r="DG1908" s="6"/>
      <c r="DH1908" s="6"/>
      <c r="DI1908" s="6"/>
      <c r="DJ1908" s="6"/>
      <c r="DK1908" s="6"/>
      <c r="DL1908" s="6"/>
      <c r="DM1908" s="6"/>
      <c r="DN1908" s="6"/>
      <c r="DO1908" s="6"/>
      <c r="DP1908" s="6"/>
      <c r="DQ1908" s="6"/>
      <c r="DR1908" s="6"/>
      <c r="DS1908" s="6"/>
      <c r="DT1908" s="6"/>
      <c r="DU1908" s="6"/>
      <c r="DV1908" s="6"/>
      <c r="DW1908" s="6"/>
      <c r="DX1908" s="6"/>
      <c r="DY1908" s="6"/>
      <c r="DZ1908" s="6"/>
      <c r="EA1908" s="6"/>
      <c r="EB1908" s="6"/>
      <c r="EC1908" s="6"/>
      <c r="ED1908" s="6"/>
      <c r="EE1908" s="6"/>
      <c r="EF1908" s="6"/>
      <c r="EG1908" s="6"/>
      <c r="EH1908" s="6"/>
      <c r="EI1908" s="6"/>
      <c r="EJ1908" s="6"/>
      <c r="EK1908" s="6"/>
      <c r="EL1908" s="6"/>
      <c r="EM1908" s="6"/>
      <c r="EN1908" s="6"/>
      <c r="EO1908" s="6"/>
      <c r="EP1908" s="6"/>
      <c r="EQ1908" s="6"/>
      <c r="ER1908" s="6"/>
      <c r="ES1908" s="6"/>
      <c r="ET1908" s="6"/>
      <c r="EU1908" s="6"/>
      <c r="EV1908" s="6"/>
      <c r="EW1908" s="6"/>
      <c r="EX1908" s="6"/>
      <c r="EY1908" s="6"/>
      <c r="EZ1908" s="6"/>
      <c r="FA1908" s="6"/>
      <c r="FB1908" s="6"/>
      <c r="FC1908" s="6"/>
      <c r="FD1908" s="6"/>
      <c r="FE1908" s="6"/>
      <c r="FF1908" s="6"/>
      <c r="FG1908" s="6"/>
      <c r="FH1908" s="6"/>
      <c r="FI1908" s="6"/>
      <c r="FJ1908" s="6"/>
      <c r="FK1908" s="6"/>
      <c r="FL1908" s="6"/>
      <c r="FM1908" s="6"/>
      <c r="FN1908" s="6"/>
      <c r="FO1908" s="6"/>
      <c r="FP1908" s="6"/>
      <c r="FQ1908" s="6"/>
      <c r="FR1908" s="6"/>
      <c r="FS1908" s="6"/>
      <c r="FT1908" s="6"/>
      <c r="FU1908" s="6"/>
      <c r="FV1908" s="6"/>
      <c r="FW1908" s="6"/>
      <c r="FX1908" s="6"/>
      <c r="FY1908" s="6"/>
      <c r="FZ1908" s="6"/>
      <c r="GA1908" s="6"/>
      <c r="GB1908" s="6"/>
      <c r="GC1908" s="6"/>
      <c r="GD1908" s="6"/>
      <c r="GE1908" s="6"/>
      <c r="GF1908" s="6"/>
      <c r="GG1908" s="6"/>
      <c r="GH1908" s="6"/>
      <c r="GI1908" s="6"/>
      <c r="GJ1908" s="6"/>
      <c r="GK1908" s="6"/>
      <c r="GL1908" s="6"/>
      <c r="GM1908" s="6"/>
      <c r="GN1908" s="6"/>
      <c r="GO1908" s="6"/>
      <c r="GP1908" s="6"/>
      <c r="GQ1908" s="6"/>
      <c r="GR1908" s="6"/>
      <c r="GS1908" s="6"/>
      <c r="GT1908" s="6"/>
      <c r="GU1908" s="6"/>
      <c r="GV1908" s="6"/>
      <c r="GW1908" s="6"/>
      <c r="GX1908" s="6"/>
      <c r="GY1908" s="6"/>
      <c r="GZ1908" s="6"/>
      <c r="HA1908" s="6"/>
      <c r="HB1908" s="6"/>
      <c r="HC1908" s="6"/>
      <c r="HD1908" s="6"/>
      <c r="HE1908" s="6"/>
      <c r="HF1908" s="6"/>
      <c r="HG1908" s="6"/>
      <c r="HH1908" s="6"/>
    </row>
    <row r="1909" spans="1:216" x14ac:dyDescent="0.3">
      <c r="A1909" s="8"/>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c r="DX1909" s="6"/>
      <c r="DY1909" s="6"/>
      <c r="DZ1909" s="6"/>
      <c r="EA1909" s="6"/>
      <c r="EB1909" s="6"/>
      <c r="EC1909" s="6"/>
      <c r="ED1909" s="6"/>
      <c r="EE1909" s="6"/>
      <c r="EF1909" s="6"/>
      <c r="EG1909" s="6"/>
      <c r="EH1909" s="6"/>
      <c r="EI1909" s="6"/>
      <c r="EJ1909" s="6"/>
      <c r="EK1909" s="6"/>
      <c r="EL1909" s="6"/>
      <c r="EM1909" s="6"/>
      <c r="EN1909" s="6"/>
      <c r="EO1909" s="6"/>
      <c r="EP1909" s="6"/>
      <c r="EQ1909" s="6"/>
      <c r="ER1909" s="6"/>
      <c r="ES1909" s="6"/>
      <c r="ET1909" s="6"/>
      <c r="EU1909" s="6"/>
      <c r="EV1909" s="6"/>
      <c r="EW1909" s="6"/>
      <c r="EX1909" s="6"/>
      <c r="EY1909" s="6"/>
      <c r="EZ1909" s="6"/>
      <c r="FA1909" s="6"/>
      <c r="FB1909" s="6"/>
      <c r="FC1909" s="6"/>
      <c r="FD1909" s="6"/>
      <c r="FE1909" s="6"/>
      <c r="FF1909" s="6"/>
      <c r="FG1909" s="6"/>
      <c r="FH1909" s="6"/>
      <c r="FI1909" s="6"/>
      <c r="FJ1909" s="6"/>
      <c r="FK1909" s="6"/>
      <c r="FL1909" s="6"/>
      <c r="FM1909" s="6"/>
      <c r="FN1909" s="6"/>
      <c r="FO1909" s="6"/>
      <c r="FP1909" s="6"/>
      <c r="FQ1909" s="6"/>
      <c r="FR1909" s="6"/>
      <c r="FS1909" s="6"/>
      <c r="FT1909" s="6"/>
      <c r="FU1909" s="6"/>
      <c r="FV1909" s="6"/>
      <c r="FW1909" s="6"/>
      <c r="FX1909" s="6"/>
      <c r="FY1909" s="6"/>
      <c r="FZ1909" s="6"/>
      <c r="GA1909" s="6"/>
      <c r="GB1909" s="6"/>
      <c r="GC1909" s="6"/>
      <c r="GD1909" s="6"/>
      <c r="GE1909" s="6"/>
      <c r="GF1909" s="6"/>
      <c r="GG1909" s="6"/>
      <c r="GH1909" s="6"/>
      <c r="GI1909" s="6"/>
      <c r="GJ1909" s="6"/>
      <c r="GK1909" s="6"/>
      <c r="GL1909" s="6"/>
      <c r="GM1909" s="6"/>
      <c r="GN1909" s="6"/>
      <c r="GO1909" s="6"/>
      <c r="GP1909" s="6"/>
      <c r="GQ1909" s="6"/>
      <c r="GR1909" s="6"/>
      <c r="GS1909" s="6"/>
      <c r="GT1909" s="6"/>
      <c r="GU1909" s="6"/>
      <c r="GV1909" s="6"/>
      <c r="GW1909" s="6"/>
      <c r="GX1909" s="6"/>
      <c r="GY1909" s="6"/>
      <c r="GZ1909" s="6"/>
      <c r="HA1909" s="6"/>
      <c r="HB1909" s="6"/>
      <c r="HC1909" s="6"/>
      <c r="HD1909" s="6"/>
      <c r="HE1909" s="6"/>
      <c r="HF1909" s="6"/>
      <c r="HG1909" s="6"/>
      <c r="HH1909" s="6"/>
    </row>
    <row r="1910" spans="1:216" x14ac:dyDescent="0.3">
      <c r="A1910" s="8"/>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6"/>
      <c r="AR1910" s="6"/>
      <c r="AS1910" s="6"/>
      <c r="AT1910" s="6"/>
      <c r="AU1910" s="6"/>
      <c r="AV1910" s="6"/>
      <c r="AW1910" s="6"/>
      <c r="AX1910" s="6"/>
      <c r="AY1910" s="6"/>
      <c r="AZ1910" s="6"/>
      <c r="BA1910" s="6"/>
      <c r="BB1910" s="6"/>
      <c r="BC1910" s="6"/>
      <c r="BD1910" s="6"/>
      <c r="BE1910" s="6"/>
      <c r="BF1910" s="6"/>
      <c r="BG1910" s="6"/>
      <c r="BH1910" s="6"/>
      <c r="BI1910" s="6"/>
      <c r="BJ1910" s="6"/>
      <c r="BK1910" s="6"/>
      <c r="BL1910" s="6"/>
      <c r="BM1910" s="6"/>
      <c r="BN1910" s="6"/>
      <c r="BO1910" s="6"/>
      <c r="BP1910" s="6"/>
      <c r="BQ1910" s="6"/>
      <c r="BR1910" s="6"/>
      <c r="BS1910" s="6"/>
      <c r="BT1910" s="6"/>
      <c r="BU1910" s="6"/>
      <c r="BV1910" s="6"/>
      <c r="BW1910" s="6"/>
      <c r="BX1910" s="6"/>
      <c r="BY1910" s="6"/>
      <c r="BZ1910" s="6"/>
      <c r="CA1910" s="6"/>
      <c r="CB1910" s="6"/>
      <c r="CC1910" s="6"/>
      <c r="CD1910" s="6"/>
      <c r="CE1910" s="6"/>
      <c r="CF1910" s="6"/>
      <c r="CG1910" s="6"/>
      <c r="CH1910" s="6"/>
      <c r="CI1910" s="6"/>
      <c r="CJ1910" s="6"/>
      <c r="CK1910" s="6"/>
      <c r="CL1910" s="6"/>
      <c r="CM1910" s="6"/>
      <c r="CN1910" s="6"/>
      <c r="CO1910" s="6"/>
      <c r="CP1910" s="6"/>
      <c r="CQ1910" s="6"/>
      <c r="CR1910" s="6"/>
      <c r="CS1910" s="6"/>
      <c r="CT1910" s="6"/>
      <c r="CU1910" s="6"/>
      <c r="CV1910" s="6"/>
      <c r="CW1910" s="6"/>
      <c r="CX1910" s="6"/>
      <c r="CY1910" s="6"/>
      <c r="CZ1910" s="6"/>
      <c r="DA1910" s="6"/>
      <c r="DB1910" s="6"/>
      <c r="DC1910" s="6"/>
      <c r="DD1910" s="6"/>
      <c r="DE1910" s="6"/>
      <c r="DF1910" s="6"/>
      <c r="DG1910" s="6"/>
      <c r="DH1910" s="6"/>
      <c r="DI1910" s="6"/>
      <c r="DJ1910" s="6"/>
      <c r="DK1910" s="6"/>
      <c r="DL1910" s="6"/>
      <c r="DM1910" s="6"/>
      <c r="DN1910" s="6"/>
      <c r="DO1910" s="6"/>
      <c r="DP1910" s="6"/>
      <c r="DQ1910" s="6"/>
      <c r="DR1910" s="6"/>
      <c r="DS1910" s="6"/>
      <c r="DT1910" s="6"/>
      <c r="DU1910" s="6"/>
      <c r="DV1910" s="6"/>
      <c r="DW1910" s="6"/>
      <c r="DX1910" s="6"/>
      <c r="DY1910" s="6"/>
      <c r="DZ1910" s="6"/>
      <c r="EA1910" s="6"/>
      <c r="EB1910" s="6"/>
      <c r="EC1910" s="6"/>
      <c r="ED1910" s="6"/>
      <c r="EE1910" s="6"/>
      <c r="EF1910" s="6"/>
      <c r="EG1910" s="6"/>
      <c r="EH1910" s="6"/>
      <c r="EI1910" s="6"/>
      <c r="EJ1910" s="6"/>
      <c r="EK1910" s="6"/>
      <c r="EL1910" s="6"/>
      <c r="EM1910" s="6"/>
      <c r="EN1910" s="6"/>
      <c r="EO1910" s="6"/>
      <c r="EP1910" s="6"/>
      <c r="EQ1910" s="6"/>
      <c r="ER1910" s="6"/>
      <c r="ES1910" s="6"/>
      <c r="ET1910" s="6"/>
      <c r="EU1910" s="6"/>
      <c r="EV1910" s="6"/>
      <c r="EW1910" s="6"/>
      <c r="EX1910" s="6"/>
      <c r="EY1910" s="6"/>
      <c r="EZ1910" s="6"/>
      <c r="FA1910" s="6"/>
      <c r="FB1910" s="6"/>
      <c r="FC1910" s="6"/>
      <c r="FD1910" s="6"/>
      <c r="FE1910" s="6"/>
      <c r="FF1910" s="6"/>
      <c r="FG1910" s="6"/>
      <c r="FH1910" s="6"/>
      <c r="FI1910" s="6"/>
      <c r="FJ1910" s="6"/>
      <c r="FK1910" s="6"/>
      <c r="FL1910" s="6"/>
      <c r="FM1910" s="6"/>
      <c r="FN1910" s="6"/>
      <c r="FO1910" s="6"/>
      <c r="FP1910" s="6"/>
      <c r="FQ1910" s="6"/>
      <c r="FR1910" s="6"/>
      <c r="FS1910" s="6"/>
      <c r="FT1910" s="6"/>
      <c r="FU1910" s="6"/>
      <c r="FV1910" s="6"/>
      <c r="FW1910" s="6"/>
      <c r="FX1910" s="6"/>
      <c r="FY1910" s="6"/>
      <c r="FZ1910" s="6"/>
      <c r="GA1910" s="6"/>
      <c r="GB1910" s="6"/>
      <c r="GC1910" s="6"/>
      <c r="GD1910" s="6"/>
      <c r="GE1910" s="6"/>
      <c r="GF1910" s="6"/>
      <c r="GG1910" s="6"/>
      <c r="GH1910" s="6"/>
      <c r="GI1910" s="6"/>
      <c r="GJ1910" s="6"/>
      <c r="GK1910" s="6"/>
      <c r="GL1910" s="6"/>
      <c r="GM1910" s="6"/>
      <c r="GN1910" s="6"/>
      <c r="GO1910" s="6"/>
      <c r="GP1910" s="6"/>
      <c r="GQ1910" s="6"/>
      <c r="GR1910" s="6"/>
      <c r="GS1910" s="6"/>
      <c r="GT1910" s="6"/>
      <c r="GU1910" s="6"/>
      <c r="GV1910" s="6"/>
      <c r="GW1910" s="6"/>
      <c r="GX1910" s="6"/>
      <c r="GY1910" s="6"/>
      <c r="GZ1910" s="6"/>
      <c r="HA1910" s="6"/>
      <c r="HB1910" s="6"/>
      <c r="HC1910" s="6"/>
      <c r="HD1910" s="6"/>
      <c r="HE1910" s="6"/>
      <c r="HF1910" s="6"/>
      <c r="HG1910" s="6"/>
      <c r="HH1910" s="6"/>
    </row>
    <row r="1911" spans="1:216" x14ac:dyDescent="0.3">
      <c r="A1911" s="8"/>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c r="DX1911" s="6"/>
      <c r="DY1911" s="6"/>
      <c r="DZ1911" s="6"/>
      <c r="EA1911" s="6"/>
      <c r="EB1911" s="6"/>
      <c r="EC1911" s="6"/>
      <c r="ED1911" s="6"/>
      <c r="EE1911" s="6"/>
      <c r="EF1911" s="6"/>
      <c r="EG1911" s="6"/>
      <c r="EH1911" s="6"/>
      <c r="EI1911" s="6"/>
      <c r="EJ1911" s="6"/>
      <c r="EK1911" s="6"/>
      <c r="EL1911" s="6"/>
      <c r="EM1911" s="6"/>
      <c r="EN1911" s="6"/>
      <c r="EO1911" s="6"/>
      <c r="EP1911" s="6"/>
      <c r="EQ1911" s="6"/>
      <c r="ER1911" s="6"/>
      <c r="ES1911" s="6"/>
      <c r="ET1911" s="6"/>
      <c r="EU1911" s="6"/>
      <c r="EV1911" s="6"/>
      <c r="EW1911" s="6"/>
      <c r="EX1911" s="6"/>
      <c r="EY1911" s="6"/>
      <c r="EZ1911" s="6"/>
      <c r="FA1911" s="6"/>
      <c r="FB1911" s="6"/>
      <c r="FC1911" s="6"/>
      <c r="FD1911" s="6"/>
      <c r="FE1911" s="6"/>
      <c r="FF1911" s="6"/>
      <c r="FG1911" s="6"/>
      <c r="FH1911" s="6"/>
      <c r="FI1911" s="6"/>
      <c r="FJ1911" s="6"/>
      <c r="FK1911" s="6"/>
      <c r="FL1911" s="6"/>
      <c r="FM1911" s="6"/>
      <c r="FN1911" s="6"/>
      <c r="FO1911" s="6"/>
      <c r="FP1911" s="6"/>
      <c r="FQ1911" s="6"/>
      <c r="FR1911" s="6"/>
      <c r="FS1911" s="6"/>
      <c r="FT1911" s="6"/>
      <c r="FU1911" s="6"/>
      <c r="FV1911" s="6"/>
      <c r="FW1911" s="6"/>
      <c r="FX1911" s="6"/>
      <c r="FY1911" s="6"/>
      <c r="FZ1911" s="6"/>
      <c r="GA1911" s="6"/>
      <c r="GB1911" s="6"/>
      <c r="GC1911" s="6"/>
      <c r="GD1911" s="6"/>
      <c r="GE1911" s="6"/>
      <c r="GF1911" s="6"/>
      <c r="GG1911" s="6"/>
      <c r="GH1911" s="6"/>
      <c r="GI1911" s="6"/>
      <c r="GJ1911" s="6"/>
      <c r="GK1911" s="6"/>
      <c r="GL1911" s="6"/>
      <c r="GM1911" s="6"/>
      <c r="GN1911" s="6"/>
      <c r="GO1911" s="6"/>
      <c r="GP1911" s="6"/>
      <c r="GQ1911" s="6"/>
      <c r="GR1911" s="6"/>
      <c r="GS1911" s="6"/>
      <c r="GT1911" s="6"/>
      <c r="GU1911" s="6"/>
      <c r="GV1911" s="6"/>
      <c r="GW1911" s="6"/>
      <c r="GX1911" s="6"/>
      <c r="GY1911" s="6"/>
      <c r="GZ1911" s="6"/>
      <c r="HA1911" s="6"/>
      <c r="HB1911" s="6"/>
      <c r="HC1911" s="6"/>
      <c r="HD1911" s="6"/>
      <c r="HE1911" s="6"/>
      <c r="HF1911" s="6"/>
      <c r="HG1911" s="6"/>
      <c r="HH1911" s="6"/>
    </row>
    <row r="1912" spans="1:216" x14ac:dyDescent="0.3">
      <c r="A1912" s="8"/>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c r="DX1912" s="6"/>
      <c r="DY1912" s="6"/>
      <c r="DZ1912" s="6"/>
      <c r="EA1912" s="6"/>
      <c r="EB1912" s="6"/>
      <c r="EC1912" s="6"/>
      <c r="ED1912" s="6"/>
      <c r="EE1912" s="6"/>
      <c r="EF1912" s="6"/>
      <c r="EG1912" s="6"/>
      <c r="EH1912" s="6"/>
      <c r="EI1912" s="6"/>
      <c r="EJ1912" s="6"/>
      <c r="EK1912" s="6"/>
      <c r="EL1912" s="6"/>
      <c r="EM1912" s="6"/>
      <c r="EN1912" s="6"/>
      <c r="EO1912" s="6"/>
      <c r="EP1912" s="6"/>
      <c r="EQ1912" s="6"/>
      <c r="ER1912" s="6"/>
      <c r="ES1912" s="6"/>
      <c r="ET1912" s="6"/>
      <c r="EU1912" s="6"/>
      <c r="EV1912" s="6"/>
      <c r="EW1912" s="6"/>
      <c r="EX1912" s="6"/>
      <c r="EY1912" s="6"/>
      <c r="EZ1912" s="6"/>
      <c r="FA1912" s="6"/>
      <c r="FB1912" s="6"/>
      <c r="FC1912" s="6"/>
      <c r="FD1912" s="6"/>
      <c r="FE1912" s="6"/>
      <c r="FF1912" s="6"/>
      <c r="FG1912" s="6"/>
      <c r="FH1912" s="6"/>
      <c r="FI1912" s="6"/>
      <c r="FJ1912" s="6"/>
      <c r="FK1912" s="6"/>
      <c r="FL1912" s="6"/>
      <c r="FM1912" s="6"/>
      <c r="FN1912" s="6"/>
      <c r="FO1912" s="6"/>
      <c r="FP1912" s="6"/>
      <c r="FQ1912" s="6"/>
      <c r="FR1912" s="6"/>
      <c r="FS1912" s="6"/>
      <c r="FT1912" s="6"/>
      <c r="FU1912" s="6"/>
      <c r="FV1912" s="6"/>
      <c r="FW1912" s="6"/>
      <c r="FX1912" s="6"/>
      <c r="FY1912" s="6"/>
      <c r="FZ1912" s="6"/>
      <c r="GA1912" s="6"/>
      <c r="GB1912" s="6"/>
      <c r="GC1912" s="6"/>
      <c r="GD1912" s="6"/>
      <c r="GE1912" s="6"/>
      <c r="GF1912" s="6"/>
      <c r="GG1912" s="6"/>
      <c r="GH1912" s="6"/>
      <c r="GI1912" s="6"/>
      <c r="GJ1912" s="6"/>
      <c r="GK1912" s="6"/>
      <c r="GL1912" s="6"/>
      <c r="GM1912" s="6"/>
      <c r="GN1912" s="6"/>
      <c r="GO1912" s="6"/>
      <c r="GP1912" s="6"/>
      <c r="GQ1912" s="6"/>
      <c r="GR1912" s="6"/>
      <c r="GS1912" s="6"/>
      <c r="GT1912" s="6"/>
      <c r="GU1912" s="6"/>
      <c r="GV1912" s="6"/>
      <c r="GW1912" s="6"/>
      <c r="GX1912" s="6"/>
      <c r="GY1912" s="6"/>
      <c r="GZ1912" s="6"/>
      <c r="HA1912" s="6"/>
      <c r="HB1912" s="6"/>
      <c r="HC1912" s="6"/>
      <c r="HD1912" s="6"/>
      <c r="HE1912" s="6"/>
      <c r="HF1912" s="6"/>
      <c r="HG1912" s="6"/>
      <c r="HH1912" s="6"/>
    </row>
    <row r="1913" spans="1:216" x14ac:dyDescent="0.3">
      <c r="A1913" s="8"/>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c r="DX1913" s="6"/>
      <c r="DY1913" s="6"/>
      <c r="DZ1913" s="6"/>
      <c r="EA1913" s="6"/>
      <c r="EB1913" s="6"/>
      <c r="EC1913" s="6"/>
      <c r="ED1913" s="6"/>
      <c r="EE1913" s="6"/>
      <c r="EF1913" s="6"/>
      <c r="EG1913" s="6"/>
      <c r="EH1913" s="6"/>
      <c r="EI1913" s="6"/>
      <c r="EJ1913" s="6"/>
      <c r="EK1913" s="6"/>
      <c r="EL1913" s="6"/>
      <c r="EM1913" s="6"/>
      <c r="EN1913" s="6"/>
      <c r="EO1913" s="6"/>
      <c r="EP1913" s="6"/>
      <c r="EQ1913" s="6"/>
      <c r="ER1913" s="6"/>
      <c r="ES1913" s="6"/>
      <c r="ET1913" s="6"/>
      <c r="EU1913" s="6"/>
      <c r="EV1913" s="6"/>
      <c r="EW1913" s="6"/>
      <c r="EX1913" s="6"/>
      <c r="EY1913" s="6"/>
      <c r="EZ1913" s="6"/>
      <c r="FA1913" s="6"/>
      <c r="FB1913" s="6"/>
      <c r="FC1913" s="6"/>
      <c r="FD1913" s="6"/>
      <c r="FE1913" s="6"/>
      <c r="FF1913" s="6"/>
      <c r="FG1913" s="6"/>
      <c r="FH1913" s="6"/>
      <c r="FI1913" s="6"/>
      <c r="FJ1913" s="6"/>
      <c r="FK1913" s="6"/>
      <c r="FL1913" s="6"/>
      <c r="FM1913" s="6"/>
      <c r="FN1913" s="6"/>
      <c r="FO1913" s="6"/>
      <c r="FP1913" s="6"/>
      <c r="FQ1913" s="6"/>
      <c r="FR1913" s="6"/>
      <c r="FS1913" s="6"/>
      <c r="FT1913" s="6"/>
      <c r="FU1913" s="6"/>
      <c r="FV1913" s="6"/>
      <c r="FW1913" s="6"/>
      <c r="FX1913" s="6"/>
      <c r="FY1913" s="6"/>
      <c r="FZ1913" s="6"/>
      <c r="GA1913" s="6"/>
      <c r="GB1913" s="6"/>
      <c r="GC1913" s="6"/>
      <c r="GD1913" s="6"/>
      <c r="GE1913" s="6"/>
      <c r="GF1913" s="6"/>
      <c r="GG1913" s="6"/>
      <c r="GH1913" s="6"/>
      <c r="GI1913" s="6"/>
      <c r="GJ1913" s="6"/>
      <c r="GK1913" s="6"/>
      <c r="GL1913" s="6"/>
      <c r="GM1913" s="6"/>
      <c r="GN1913" s="6"/>
      <c r="GO1913" s="6"/>
      <c r="GP1913" s="6"/>
      <c r="GQ1913" s="6"/>
      <c r="GR1913" s="6"/>
      <c r="GS1913" s="6"/>
      <c r="GT1913" s="6"/>
      <c r="GU1913" s="6"/>
      <c r="GV1913" s="6"/>
      <c r="GW1913" s="6"/>
      <c r="GX1913" s="6"/>
      <c r="GY1913" s="6"/>
      <c r="GZ1913" s="6"/>
      <c r="HA1913" s="6"/>
      <c r="HB1913" s="6"/>
      <c r="HC1913" s="6"/>
      <c r="HD1913" s="6"/>
      <c r="HE1913" s="6"/>
      <c r="HF1913" s="6"/>
      <c r="HG1913" s="6"/>
      <c r="HH1913" s="6"/>
    </row>
    <row r="1914" spans="1:216" x14ac:dyDescent="0.3">
      <c r="A1914" s="8"/>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row>
    <row r="1915" spans="1:216" x14ac:dyDescent="0.3">
      <c r="A1915" s="8"/>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6"/>
      <c r="AR1915" s="6"/>
      <c r="AS1915" s="6"/>
      <c r="AT1915" s="6"/>
      <c r="AU1915" s="6"/>
      <c r="AV1915" s="6"/>
      <c r="AW1915" s="6"/>
      <c r="AX1915" s="6"/>
      <c r="AY1915" s="6"/>
      <c r="AZ1915" s="6"/>
      <c r="BA1915" s="6"/>
      <c r="BB1915" s="6"/>
      <c r="BC1915" s="6"/>
      <c r="BD1915" s="6"/>
      <c r="BE1915" s="6"/>
      <c r="BF1915" s="6"/>
      <c r="BG1915" s="6"/>
      <c r="BH1915" s="6"/>
      <c r="BI1915" s="6"/>
      <c r="BJ1915" s="6"/>
      <c r="BK1915" s="6"/>
      <c r="BL1915" s="6"/>
      <c r="BM1915" s="6"/>
      <c r="BN1915" s="6"/>
      <c r="BO1915" s="6"/>
      <c r="BP1915" s="6"/>
      <c r="BQ1915" s="6"/>
      <c r="BR1915" s="6"/>
      <c r="BS1915" s="6"/>
      <c r="BT1915" s="6"/>
      <c r="BU1915" s="6"/>
      <c r="BV1915" s="6"/>
      <c r="BW1915" s="6"/>
      <c r="BX1915" s="6"/>
      <c r="BY1915" s="6"/>
      <c r="BZ1915" s="6"/>
      <c r="CA1915" s="6"/>
      <c r="CB1915" s="6"/>
      <c r="CC1915" s="6"/>
      <c r="CD1915" s="6"/>
      <c r="CE1915" s="6"/>
      <c r="CF1915" s="6"/>
      <c r="CG1915" s="6"/>
      <c r="CH1915" s="6"/>
      <c r="CI1915" s="6"/>
      <c r="CJ1915" s="6"/>
      <c r="CK1915" s="6"/>
      <c r="CL1915" s="6"/>
      <c r="CM1915" s="6"/>
      <c r="CN1915" s="6"/>
      <c r="CO1915" s="6"/>
      <c r="CP1915" s="6"/>
      <c r="CQ1915" s="6"/>
      <c r="CR1915" s="6"/>
      <c r="CS1915" s="6"/>
      <c r="CT1915" s="6"/>
      <c r="CU1915" s="6"/>
      <c r="CV1915" s="6"/>
      <c r="CW1915" s="6"/>
      <c r="CX1915" s="6"/>
      <c r="CY1915" s="6"/>
      <c r="CZ1915" s="6"/>
      <c r="DA1915" s="6"/>
      <c r="DB1915" s="6"/>
      <c r="DC1915" s="6"/>
      <c r="DD1915" s="6"/>
      <c r="DE1915" s="6"/>
      <c r="DF1915" s="6"/>
      <c r="DG1915" s="6"/>
      <c r="DH1915" s="6"/>
      <c r="DI1915" s="6"/>
      <c r="DJ1915" s="6"/>
      <c r="DK1915" s="6"/>
      <c r="DL1915" s="6"/>
      <c r="DM1915" s="6"/>
      <c r="DN1915" s="6"/>
      <c r="DO1915" s="6"/>
      <c r="DP1915" s="6"/>
      <c r="DQ1915" s="6"/>
      <c r="DR1915" s="6"/>
      <c r="DS1915" s="6"/>
      <c r="DT1915" s="6"/>
      <c r="DU1915" s="6"/>
      <c r="DV1915" s="6"/>
      <c r="DW1915" s="6"/>
      <c r="DX1915" s="6"/>
      <c r="DY1915" s="6"/>
      <c r="DZ1915" s="6"/>
      <c r="EA1915" s="6"/>
      <c r="EB1915" s="6"/>
      <c r="EC1915" s="6"/>
      <c r="ED1915" s="6"/>
      <c r="EE1915" s="6"/>
      <c r="EF1915" s="6"/>
      <c r="EG1915" s="6"/>
      <c r="EH1915" s="6"/>
      <c r="EI1915" s="6"/>
      <c r="EJ1915" s="6"/>
      <c r="EK1915" s="6"/>
      <c r="EL1915" s="6"/>
      <c r="EM1915" s="6"/>
      <c r="EN1915" s="6"/>
      <c r="EO1915" s="6"/>
      <c r="EP1915" s="6"/>
      <c r="EQ1915" s="6"/>
      <c r="ER1915" s="6"/>
      <c r="ES1915" s="6"/>
      <c r="ET1915" s="6"/>
      <c r="EU1915" s="6"/>
      <c r="EV1915" s="6"/>
      <c r="EW1915" s="6"/>
      <c r="EX1915" s="6"/>
      <c r="EY1915" s="6"/>
      <c r="EZ1915" s="6"/>
      <c r="FA1915" s="6"/>
      <c r="FB1915" s="6"/>
      <c r="FC1915" s="6"/>
      <c r="FD1915" s="6"/>
      <c r="FE1915" s="6"/>
      <c r="FF1915" s="6"/>
      <c r="FG1915" s="6"/>
      <c r="FH1915" s="6"/>
      <c r="FI1915" s="6"/>
      <c r="FJ1915" s="6"/>
      <c r="FK1915" s="6"/>
      <c r="FL1915" s="6"/>
      <c r="FM1915" s="6"/>
      <c r="FN1915" s="6"/>
      <c r="FO1915" s="6"/>
      <c r="FP1915" s="6"/>
      <c r="FQ1915" s="6"/>
      <c r="FR1915" s="6"/>
      <c r="FS1915" s="6"/>
      <c r="FT1915" s="6"/>
      <c r="FU1915" s="6"/>
      <c r="FV1915" s="6"/>
      <c r="FW1915" s="6"/>
      <c r="FX1915" s="6"/>
      <c r="FY1915" s="6"/>
      <c r="FZ1915" s="6"/>
      <c r="GA1915" s="6"/>
      <c r="GB1915" s="6"/>
      <c r="GC1915" s="6"/>
      <c r="GD1915" s="6"/>
      <c r="GE1915" s="6"/>
      <c r="GF1915" s="6"/>
      <c r="GG1915" s="6"/>
      <c r="GH1915" s="6"/>
      <c r="GI1915" s="6"/>
      <c r="GJ1915" s="6"/>
      <c r="GK1915" s="6"/>
      <c r="GL1915" s="6"/>
      <c r="GM1915" s="6"/>
      <c r="GN1915" s="6"/>
      <c r="GO1915" s="6"/>
      <c r="GP1915" s="6"/>
      <c r="GQ1915" s="6"/>
      <c r="GR1915" s="6"/>
      <c r="GS1915" s="6"/>
      <c r="GT1915" s="6"/>
      <c r="GU1915" s="6"/>
      <c r="GV1915" s="6"/>
      <c r="GW1915" s="6"/>
      <c r="GX1915" s="6"/>
      <c r="GY1915" s="6"/>
      <c r="GZ1915" s="6"/>
      <c r="HA1915" s="6"/>
      <c r="HB1915" s="6"/>
      <c r="HC1915" s="6"/>
      <c r="HD1915" s="6"/>
      <c r="HE1915" s="6"/>
      <c r="HF1915" s="6"/>
      <c r="HG1915" s="6"/>
      <c r="HH1915" s="6"/>
    </row>
    <row r="1916" spans="1:216" x14ac:dyDescent="0.3">
      <c r="A1916" s="8"/>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c r="DX1916" s="6"/>
      <c r="DY1916" s="6"/>
      <c r="DZ1916" s="6"/>
      <c r="EA1916" s="6"/>
      <c r="EB1916" s="6"/>
      <c r="EC1916" s="6"/>
      <c r="ED1916" s="6"/>
      <c r="EE1916" s="6"/>
      <c r="EF1916" s="6"/>
      <c r="EG1916" s="6"/>
      <c r="EH1916" s="6"/>
      <c r="EI1916" s="6"/>
      <c r="EJ1916" s="6"/>
      <c r="EK1916" s="6"/>
      <c r="EL1916" s="6"/>
      <c r="EM1916" s="6"/>
      <c r="EN1916" s="6"/>
      <c r="EO1916" s="6"/>
      <c r="EP1916" s="6"/>
      <c r="EQ1916" s="6"/>
      <c r="ER1916" s="6"/>
      <c r="ES1916" s="6"/>
      <c r="ET1916" s="6"/>
      <c r="EU1916" s="6"/>
      <c r="EV1916" s="6"/>
      <c r="EW1916" s="6"/>
      <c r="EX1916" s="6"/>
      <c r="EY1916" s="6"/>
      <c r="EZ1916" s="6"/>
      <c r="FA1916" s="6"/>
      <c r="FB1916" s="6"/>
      <c r="FC1916" s="6"/>
      <c r="FD1916" s="6"/>
      <c r="FE1916" s="6"/>
      <c r="FF1916" s="6"/>
      <c r="FG1916" s="6"/>
      <c r="FH1916" s="6"/>
      <c r="FI1916" s="6"/>
      <c r="FJ1916" s="6"/>
      <c r="FK1916" s="6"/>
      <c r="FL1916" s="6"/>
      <c r="FM1916" s="6"/>
      <c r="FN1916" s="6"/>
      <c r="FO1916" s="6"/>
      <c r="FP1916" s="6"/>
      <c r="FQ1916" s="6"/>
      <c r="FR1916" s="6"/>
      <c r="FS1916" s="6"/>
      <c r="FT1916" s="6"/>
      <c r="FU1916" s="6"/>
      <c r="FV1916" s="6"/>
      <c r="FW1916" s="6"/>
      <c r="FX1916" s="6"/>
      <c r="FY1916" s="6"/>
      <c r="FZ1916" s="6"/>
      <c r="GA1916" s="6"/>
      <c r="GB1916" s="6"/>
      <c r="GC1916" s="6"/>
      <c r="GD1916" s="6"/>
      <c r="GE1916" s="6"/>
      <c r="GF1916" s="6"/>
      <c r="GG1916" s="6"/>
      <c r="GH1916" s="6"/>
      <c r="GI1916" s="6"/>
      <c r="GJ1916" s="6"/>
      <c r="GK1916" s="6"/>
      <c r="GL1916" s="6"/>
      <c r="GM1916" s="6"/>
      <c r="GN1916" s="6"/>
      <c r="GO1916" s="6"/>
      <c r="GP1916" s="6"/>
      <c r="GQ1916" s="6"/>
      <c r="GR1916" s="6"/>
      <c r="GS1916" s="6"/>
      <c r="GT1916" s="6"/>
      <c r="GU1916" s="6"/>
      <c r="GV1916" s="6"/>
      <c r="GW1916" s="6"/>
      <c r="GX1916" s="6"/>
      <c r="GY1916" s="6"/>
      <c r="GZ1916" s="6"/>
      <c r="HA1916" s="6"/>
      <c r="HB1916" s="6"/>
      <c r="HC1916" s="6"/>
      <c r="HD1916" s="6"/>
      <c r="HE1916" s="6"/>
      <c r="HF1916" s="6"/>
      <c r="HG1916" s="6"/>
      <c r="HH1916" s="6"/>
    </row>
    <row r="1917" spans="1:216" x14ac:dyDescent="0.3">
      <c r="A1917" s="8"/>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6"/>
      <c r="AR1917" s="6"/>
      <c r="AS1917" s="6"/>
      <c r="AT1917" s="6"/>
      <c r="AU1917" s="6"/>
      <c r="AV1917" s="6"/>
      <c r="AW1917" s="6"/>
      <c r="AX1917" s="6"/>
      <c r="AY1917" s="6"/>
      <c r="AZ1917" s="6"/>
      <c r="BA1917" s="6"/>
      <c r="BB1917" s="6"/>
      <c r="BC1917" s="6"/>
      <c r="BD1917" s="6"/>
      <c r="BE1917" s="6"/>
      <c r="BF1917" s="6"/>
      <c r="BG1917" s="6"/>
      <c r="BH1917" s="6"/>
      <c r="BI1917" s="6"/>
      <c r="BJ1917" s="6"/>
      <c r="BK1917" s="6"/>
      <c r="BL1917" s="6"/>
      <c r="BM1917" s="6"/>
      <c r="BN1917" s="6"/>
      <c r="BO1917" s="6"/>
      <c r="BP1917" s="6"/>
      <c r="BQ1917" s="6"/>
      <c r="BR1917" s="6"/>
      <c r="BS1917" s="6"/>
      <c r="BT1917" s="6"/>
      <c r="BU1917" s="6"/>
      <c r="BV1917" s="6"/>
      <c r="BW1917" s="6"/>
      <c r="BX1917" s="6"/>
      <c r="BY1917" s="6"/>
      <c r="BZ1917" s="6"/>
      <c r="CA1917" s="6"/>
      <c r="CB1917" s="6"/>
      <c r="CC1917" s="6"/>
      <c r="CD1917" s="6"/>
      <c r="CE1917" s="6"/>
      <c r="CF1917" s="6"/>
      <c r="CG1917" s="6"/>
      <c r="CH1917" s="6"/>
      <c r="CI1917" s="6"/>
      <c r="CJ1917" s="6"/>
      <c r="CK1917" s="6"/>
      <c r="CL1917" s="6"/>
      <c r="CM1917" s="6"/>
      <c r="CN1917" s="6"/>
      <c r="CO1917" s="6"/>
      <c r="CP1917" s="6"/>
      <c r="CQ1917" s="6"/>
      <c r="CR1917" s="6"/>
      <c r="CS1917" s="6"/>
      <c r="CT1917" s="6"/>
      <c r="CU1917" s="6"/>
      <c r="CV1917" s="6"/>
      <c r="CW1917" s="6"/>
      <c r="CX1917" s="6"/>
      <c r="CY1917" s="6"/>
      <c r="CZ1917" s="6"/>
      <c r="DA1917" s="6"/>
      <c r="DB1917" s="6"/>
      <c r="DC1917" s="6"/>
      <c r="DD1917" s="6"/>
      <c r="DE1917" s="6"/>
      <c r="DF1917" s="6"/>
      <c r="DG1917" s="6"/>
      <c r="DH1917" s="6"/>
      <c r="DI1917" s="6"/>
      <c r="DJ1917" s="6"/>
      <c r="DK1917" s="6"/>
      <c r="DL1917" s="6"/>
      <c r="DM1917" s="6"/>
      <c r="DN1917" s="6"/>
      <c r="DO1917" s="6"/>
      <c r="DP1917" s="6"/>
      <c r="DQ1917" s="6"/>
      <c r="DR1917" s="6"/>
      <c r="DS1917" s="6"/>
      <c r="DT1917" s="6"/>
      <c r="DU1917" s="6"/>
      <c r="DV1917" s="6"/>
      <c r="DW1917" s="6"/>
      <c r="DX1917" s="6"/>
      <c r="DY1917" s="6"/>
      <c r="DZ1917" s="6"/>
      <c r="EA1917" s="6"/>
      <c r="EB1917" s="6"/>
      <c r="EC1917" s="6"/>
      <c r="ED1917" s="6"/>
      <c r="EE1917" s="6"/>
      <c r="EF1917" s="6"/>
      <c r="EG1917" s="6"/>
      <c r="EH1917" s="6"/>
      <c r="EI1917" s="6"/>
      <c r="EJ1917" s="6"/>
      <c r="EK1917" s="6"/>
      <c r="EL1917" s="6"/>
      <c r="EM1917" s="6"/>
      <c r="EN1917" s="6"/>
      <c r="EO1917" s="6"/>
      <c r="EP1917" s="6"/>
      <c r="EQ1917" s="6"/>
      <c r="ER1917" s="6"/>
      <c r="ES1917" s="6"/>
      <c r="ET1917" s="6"/>
      <c r="EU1917" s="6"/>
      <c r="EV1917" s="6"/>
      <c r="EW1917" s="6"/>
      <c r="EX1917" s="6"/>
      <c r="EY1917" s="6"/>
      <c r="EZ1917" s="6"/>
      <c r="FA1917" s="6"/>
      <c r="FB1917" s="6"/>
      <c r="FC1917" s="6"/>
      <c r="FD1917" s="6"/>
      <c r="FE1917" s="6"/>
      <c r="FF1917" s="6"/>
      <c r="FG1917" s="6"/>
      <c r="FH1917" s="6"/>
      <c r="FI1917" s="6"/>
      <c r="FJ1917" s="6"/>
      <c r="FK1917" s="6"/>
      <c r="FL1917" s="6"/>
      <c r="FM1917" s="6"/>
      <c r="FN1917" s="6"/>
      <c r="FO1917" s="6"/>
      <c r="FP1917" s="6"/>
      <c r="FQ1917" s="6"/>
      <c r="FR1917" s="6"/>
      <c r="FS1917" s="6"/>
      <c r="FT1917" s="6"/>
      <c r="FU1917" s="6"/>
      <c r="FV1917" s="6"/>
      <c r="FW1917" s="6"/>
      <c r="FX1917" s="6"/>
      <c r="FY1917" s="6"/>
      <c r="FZ1917" s="6"/>
      <c r="GA1917" s="6"/>
      <c r="GB1917" s="6"/>
      <c r="GC1917" s="6"/>
      <c r="GD1917" s="6"/>
      <c r="GE1917" s="6"/>
      <c r="GF1917" s="6"/>
      <c r="GG1917" s="6"/>
      <c r="GH1917" s="6"/>
      <c r="GI1917" s="6"/>
      <c r="GJ1917" s="6"/>
      <c r="GK1917" s="6"/>
      <c r="GL1917" s="6"/>
      <c r="GM1917" s="6"/>
      <c r="GN1917" s="6"/>
      <c r="GO1917" s="6"/>
      <c r="GP1917" s="6"/>
      <c r="GQ1917" s="6"/>
      <c r="GR1917" s="6"/>
      <c r="GS1917" s="6"/>
      <c r="GT1917" s="6"/>
      <c r="GU1917" s="6"/>
      <c r="GV1917" s="6"/>
      <c r="GW1917" s="6"/>
      <c r="GX1917" s="6"/>
      <c r="GY1917" s="6"/>
      <c r="GZ1917" s="6"/>
      <c r="HA1917" s="6"/>
      <c r="HB1917" s="6"/>
      <c r="HC1917" s="6"/>
      <c r="HD1917" s="6"/>
      <c r="HE1917" s="6"/>
      <c r="HF1917" s="6"/>
      <c r="HG1917" s="6"/>
      <c r="HH1917" s="6"/>
    </row>
    <row r="1918" spans="1:216" x14ac:dyDescent="0.3">
      <c r="A1918" s="8"/>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6"/>
      <c r="AR1918" s="6"/>
      <c r="AS1918" s="6"/>
      <c r="AT1918" s="6"/>
      <c r="AU1918" s="6"/>
      <c r="AV1918" s="6"/>
      <c r="AW1918" s="6"/>
      <c r="AX1918" s="6"/>
      <c r="AY1918" s="6"/>
      <c r="AZ1918" s="6"/>
      <c r="BA1918" s="6"/>
      <c r="BB1918" s="6"/>
      <c r="BC1918" s="6"/>
      <c r="BD1918" s="6"/>
      <c r="BE1918" s="6"/>
      <c r="BF1918" s="6"/>
      <c r="BG1918" s="6"/>
      <c r="BH1918" s="6"/>
      <c r="BI1918" s="6"/>
      <c r="BJ1918" s="6"/>
      <c r="BK1918" s="6"/>
      <c r="BL1918" s="6"/>
      <c r="BM1918" s="6"/>
      <c r="BN1918" s="6"/>
      <c r="BO1918" s="6"/>
      <c r="BP1918" s="6"/>
      <c r="BQ1918" s="6"/>
      <c r="BR1918" s="6"/>
      <c r="BS1918" s="6"/>
      <c r="BT1918" s="6"/>
      <c r="BU1918" s="6"/>
      <c r="BV1918" s="6"/>
      <c r="BW1918" s="6"/>
      <c r="BX1918" s="6"/>
      <c r="BY1918" s="6"/>
      <c r="BZ1918" s="6"/>
      <c r="CA1918" s="6"/>
      <c r="CB1918" s="6"/>
      <c r="CC1918" s="6"/>
      <c r="CD1918" s="6"/>
      <c r="CE1918" s="6"/>
      <c r="CF1918" s="6"/>
      <c r="CG1918" s="6"/>
      <c r="CH1918" s="6"/>
      <c r="CI1918" s="6"/>
      <c r="CJ1918" s="6"/>
      <c r="CK1918" s="6"/>
      <c r="CL1918" s="6"/>
      <c r="CM1918" s="6"/>
      <c r="CN1918" s="6"/>
      <c r="CO1918" s="6"/>
      <c r="CP1918" s="6"/>
      <c r="CQ1918" s="6"/>
      <c r="CR1918" s="6"/>
      <c r="CS1918" s="6"/>
      <c r="CT1918" s="6"/>
      <c r="CU1918" s="6"/>
      <c r="CV1918" s="6"/>
      <c r="CW1918" s="6"/>
      <c r="CX1918" s="6"/>
      <c r="CY1918" s="6"/>
      <c r="CZ1918" s="6"/>
      <c r="DA1918" s="6"/>
      <c r="DB1918" s="6"/>
      <c r="DC1918" s="6"/>
      <c r="DD1918" s="6"/>
      <c r="DE1918" s="6"/>
      <c r="DF1918" s="6"/>
      <c r="DG1918" s="6"/>
      <c r="DH1918" s="6"/>
      <c r="DI1918" s="6"/>
      <c r="DJ1918" s="6"/>
      <c r="DK1918" s="6"/>
      <c r="DL1918" s="6"/>
      <c r="DM1918" s="6"/>
      <c r="DN1918" s="6"/>
      <c r="DO1918" s="6"/>
      <c r="DP1918" s="6"/>
      <c r="DQ1918" s="6"/>
      <c r="DR1918" s="6"/>
      <c r="DS1918" s="6"/>
      <c r="DT1918" s="6"/>
      <c r="DU1918" s="6"/>
      <c r="DV1918" s="6"/>
      <c r="DW1918" s="6"/>
      <c r="DX1918" s="6"/>
      <c r="DY1918" s="6"/>
      <c r="DZ1918" s="6"/>
      <c r="EA1918" s="6"/>
      <c r="EB1918" s="6"/>
      <c r="EC1918" s="6"/>
      <c r="ED1918" s="6"/>
      <c r="EE1918" s="6"/>
      <c r="EF1918" s="6"/>
      <c r="EG1918" s="6"/>
      <c r="EH1918" s="6"/>
      <c r="EI1918" s="6"/>
      <c r="EJ1918" s="6"/>
      <c r="EK1918" s="6"/>
      <c r="EL1918" s="6"/>
      <c r="EM1918" s="6"/>
      <c r="EN1918" s="6"/>
      <c r="EO1918" s="6"/>
      <c r="EP1918" s="6"/>
      <c r="EQ1918" s="6"/>
      <c r="ER1918" s="6"/>
      <c r="ES1918" s="6"/>
      <c r="ET1918" s="6"/>
      <c r="EU1918" s="6"/>
      <c r="EV1918" s="6"/>
      <c r="EW1918" s="6"/>
      <c r="EX1918" s="6"/>
      <c r="EY1918" s="6"/>
      <c r="EZ1918" s="6"/>
      <c r="FA1918" s="6"/>
      <c r="FB1918" s="6"/>
      <c r="FC1918" s="6"/>
      <c r="FD1918" s="6"/>
      <c r="FE1918" s="6"/>
      <c r="FF1918" s="6"/>
      <c r="FG1918" s="6"/>
      <c r="FH1918" s="6"/>
      <c r="FI1918" s="6"/>
      <c r="FJ1918" s="6"/>
      <c r="FK1918" s="6"/>
      <c r="FL1918" s="6"/>
      <c r="FM1918" s="6"/>
      <c r="FN1918" s="6"/>
      <c r="FO1918" s="6"/>
      <c r="FP1918" s="6"/>
      <c r="FQ1918" s="6"/>
      <c r="FR1918" s="6"/>
      <c r="FS1918" s="6"/>
      <c r="FT1918" s="6"/>
      <c r="FU1918" s="6"/>
      <c r="FV1918" s="6"/>
      <c r="FW1918" s="6"/>
      <c r="FX1918" s="6"/>
      <c r="FY1918" s="6"/>
      <c r="FZ1918" s="6"/>
      <c r="GA1918" s="6"/>
      <c r="GB1918" s="6"/>
      <c r="GC1918" s="6"/>
      <c r="GD1918" s="6"/>
      <c r="GE1918" s="6"/>
      <c r="GF1918" s="6"/>
      <c r="GG1918" s="6"/>
      <c r="GH1918" s="6"/>
      <c r="GI1918" s="6"/>
      <c r="GJ1918" s="6"/>
      <c r="GK1918" s="6"/>
      <c r="GL1918" s="6"/>
      <c r="GM1918" s="6"/>
      <c r="GN1918" s="6"/>
      <c r="GO1918" s="6"/>
      <c r="GP1918" s="6"/>
      <c r="GQ1918" s="6"/>
      <c r="GR1918" s="6"/>
      <c r="GS1918" s="6"/>
      <c r="GT1918" s="6"/>
      <c r="GU1918" s="6"/>
      <c r="GV1918" s="6"/>
      <c r="GW1918" s="6"/>
      <c r="GX1918" s="6"/>
      <c r="GY1918" s="6"/>
      <c r="GZ1918" s="6"/>
      <c r="HA1918" s="6"/>
      <c r="HB1918" s="6"/>
      <c r="HC1918" s="6"/>
      <c r="HD1918" s="6"/>
      <c r="HE1918" s="6"/>
      <c r="HF1918" s="6"/>
      <c r="HG1918" s="6"/>
      <c r="HH1918" s="6"/>
    </row>
    <row r="1919" spans="1:216" x14ac:dyDescent="0.3">
      <c r="A1919" s="8"/>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6"/>
      <c r="AR1919" s="6"/>
      <c r="AS1919" s="6"/>
      <c r="AT1919" s="6"/>
      <c r="AU1919" s="6"/>
      <c r="AV1919" s="6"/>
      <c r="AW1919" s="6"/>
      <c r="AX1919" s="6"/>
      <c r="AY1919" s="6"/>
      <c r="AZ1919" s="6"/>
      <c r="BA1919" s="6"/>
      <c r="BB1919" s="6"/>
      <c r="BC1919" s="6"/>
      <c r="BD1919" s="6"/>
      <c r="BE1919" s="6"/>
      <c r="BF1919" s="6"/>
      <c r="BG1919" s="6"/>
      <c r="BH1919" s="6"/>
      <c r="BI1919" s="6"/>
      <c r="BJ1919" s="6"/>
      <c r="BK1919" s="6"/>
      <c r="BL1919" s="6"/>
      <c r="BM1919" s="6"/>
      <c r="BN1919" s="6"/>
      <c r="BO1919" s="6"/>
      <c r="BP1919" s="6"/>
      <c r="BQ1919" s="6"/>
      <c r="BR1919" s="6"/>
      <c r="BS1919" s="6"/>
      <c r="BT1919" s="6"/>
      <c r="BU1919" s="6"/>
      <c r="BV1919" s="6"/>
      <c r="BW1919" s="6"/>
      <c r="BX1919" s="6"/>
      <c r="BY1919" s="6"/>
      <c r="BZ1919" s="6"/>
      <c r="CA1919" s="6"/>
      <c r="CB1919" s="6"/>
      <c r="CC1919" s="6"/>
      <c r="CD1919" s="6"/>
      <c r="CE1919" s="6"/>
      <c r="CF1919" s="6"/>
      <c r="CG1919" s="6"/>
      <c r="CH1919" s="6"/>
      <c r="CI1919" s="6"/>
      <c r="CJ1919" s="6"/>
      <c r="CK1919" s="6"/>
      <c r="CL1919" s="6"/>
      <c r="CM1919" s="6"/>
      <c r="CN1919" s="6"/>
      <c r="CO1919" s="6"/>
      <c r="CP1919" s="6"/>
      <c r="CQ1919" s="6"/>
      <c r="CR1919" s="6"/>
      <c r="CS1919" s="6"/>
      <c r="CT1919" s="6"/>
      <c r="CU1919" s="6"/>
      <c r="CV1919" s="6"/>
      <c r="CW1919" s="6"/>
      <c r="CX1919" s="6"/>
      <c r="CY1919" s="6"/>
      <c r="CZ1919" s="6"/>
      <c r="DA1919" s="6"/>
      <c r="DB1919" s="6"/>
      <c r="DC1919" s="6"/>
      <c r="DD1919" s="6"/>
      <c r="DE1919" s="6"/>
      <c r="DF1919" s="6"/>
      <c r="DG1919" s="6"/>
      <c r="DH1919" s="6"/>
      <c r="DI1919" s="6"/>
      <c r="DJ1919" s="6"/>
      <c r="DK1919" s="6"/>
      <c r="DL1919" s="6"/>
      <c r="DM1919" s="6"/>
      <c r="DN1919" s="6"/>
      <c r="DO1919" s="6"/>
      <c r="DP1919" s="6"/>
      <c r="DQ1919" s="6"/>
      <c r="DR1919" s="6"/>
      <c r="DS1919" s="6"/>
      <c r="DT1919" s="6"/>
      <c r="DU1919" s="6"/>
      <c r="DV1919" s="6"/>
      <c r="DW1919" s="6"/>
      <c r="DX1919" s="6"/>
      <c r="DY1919" s="6"/>
      <c r="DZ1919" s="6"/>
      <c r="EA1919" s="6"/>
      <c r="EB1919" s="6"/>
      <c r="EC1919" s="6"/>
      <c r="ED1919" s="6"/>
      <c r="EE1919" s="6"/>
      <c r="EF1919" s="6"/>
      <c r="EG1919" s="6"/>
      <c r="EH1919" s="6"/>
      <c r="EI1919" s="6"/>
      <c r="EJ1919" s="6"/>
      <c r="EK1919" s="6"/>
      <c r="EL1919" s="6"/>
      <c r="EM1919" s="6"/>
      <c r="EN1919" s="6"/>
      <c r="EO1919" s="6"/>
      <c r="EP1919" s="6"/>
      <c r="EQ1919" s="6"/>
      <c r="ER1919" s="6"/>
      <c r="ES1919" s="6"/>
      <c r="ET1919" s="6"/>
      <c r="EU1919" s="6"/>
      <c r="EV1919" s="6"/>
      <c r="EW1919" s="6"/>
      <c r="EX1919" s="6"/>
      <c r="EY1919" s="6"/>
      <c r="EZ1919" s="6"/>
      <c r="FA1919" s="6"/>
      <c r="FB1919" s="6"/>
      <c r="FC1919" s="6"/>
      <c r="FD1919" s="6"/>
      <c r="FE1919" s="6"/>
      <c r="FF1919" s="6"/>
      <c r="FG1919" s="6"/>
      <c r="FH1919" s="6"/>
      <c r="FI1919" s="6"/>
      <c r="FJ1919" s="6"/>
      <c r="FK1919" s="6"/>
      <c r="FL1919" s="6"/>
      <c r="FM1919" s="6"/>
      <c r="FN1919" s="6"/>
      <c r="FO1919" s="6"/>
      <c r="FP1919" s="6"/>
      <c r="FQ1919" s="6"/>
      <c r="FR1919" s="6"/>
      <c r="FS1919" s="6"/>
      <c r="FT1919" s="6"/>
      <c r="FU1919" s="6"/>
      <c r="FV1919" s="6"/>
      <c r="FW1919" s="6"/>
      <c r="FX1919" s="6"/>
      <c r="FY1919" s="6"/>
      <c r="FZ1919" s="6"/>
      <c r="GA1919" s="6"/>
      <c r="GB1919" s="6"/>
      <c r="GC1919" s="6"/>
      <c r="GD1919" s="6"/>
      <c r="GE1919" s="6"/>
      <c r="GF1919" s="6"/>
      <c r="GG1919" s="6"/>
      <c r="GH1919" s="6"/>
      <c r="GI1919" s="6"/>
      <c r="GJ1919" s="6"/>
      <c r="GK1919" s="6"/>
      <c r="GL1919" s="6"/>
      <c r="GM1919" s="6"/>
      <c r="GN1919" s="6"/>
      <c r="GO1919" s="6"/>
      <c r="GP1919" s="6"/>
      <c r="GQ1919" s="6"/>
      <c r="GR1919" s="6"/>
      <c r="GS1919" s="6"/>
      <c r="GT1919" s="6"/>
      <c r="GU1919" s="6"/>
      <c r="GV1919" s="6"/>
      <c r="GW1919" s="6"/>
      <c r="GX1919" s="6"/>
      <c r="GY1919" s="6"/>
      <c r="GZ1919" s="6"/>
      <c r="HA1919" s="6"/>
      <c r="HB1919" s="6"/>
      <c r="HC1919" s="6"/>
      <c r="HD1919" s="6"/>
      <c r="HE1919" s="6"/>
      <c r="HF1919" s="6"/>
      <c r="HG1919" s="6"/>
      <c r="HH1919" s="6"/>
    </row>
    <row r="1920" spans="1:216" x14ac:dyDescent="0.3">
      <c r="A1920" s="8"/>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c r="DX1920" s="6"/>
      <c r="DY1920" s="6"/>
      <c r="DZ1920" s="6"/>
      <c r="EA1920" s="6"/>
      <c r="EB1920" s="6"/>
      <c r="EC1920" s="6"/>
      <c r="ED1920" s="6"/>
      <c r="EE1920" s="6"/>
      <c r="EF1920" s="6"/>
      <c r="EG1920" s="6"/>
      <c r="EH1920" s="6"/>
      <c r="EI1920" s="6"/>
      <c r="EJ1920" s="6"/>
      <c r="EK1920" s="6"/>
      <c r="EL1920" s="6"/>
      <c r="EM1920" s="6"/>
      <c r="EN1920" s="6"/>
      <c r="EO1920" s="6"/>
      <c r="EP1920" s="6"/>
      <c r="EQ1920" s="6"/>
      <c r="ER1920" s="6"/>
      <c r="ES1920" s="6"/>
      <c r="ET1920" s="6"/>
      <c r="EU1920" s="6"/>
      <c r="EV1920" s="6"/>
      <c r="EW1920" s="6"/>
      <c r="EX1920" s="6"/>
      <c r="EY1920" s="6"/>
      <c r="EZ1920" s="6"/>
      <c r="FA1920" s="6"/>
      <c r="FB1920" s="6"/>
      <c r="FC1920" s="6"/>
      <c r="FD1920" s="6"/>
      <c r="FE1920" s="6"/>
      <c r="FF1920" s="6"/>
      <c r="FG1920" s="6"/>
      <c r="FH1920" s="6"/>
      <c r="FI1920" s="6"/>
      <c r="FJ1920" s="6"/>
      <c r="FK1920" s="6"/>
      <c r="FL1920" s="6"/>
      <c r="FM1920" s="6"/>
      <c r="FN1920" s="6"/>
      <c r="FO1920" s="6"/>
      <c r="FP1920" s="6"/>
      <c r="FQ1920" s="6"/>
      <c r="FR1920" s="6"/>
      <c r="FS1920" s="6"/>
      <c r="FT1920" s="6"/>
      <c r="FU1920" s="6"/>
      <c r="FV1920" s="6"/>
      <c r="FW1920" s="6"/>
      <c r="FX1920" s="6"/>
      <c r="FY1920" s="6"/>
      <c r="FZ1920" s="6"/>
      <c r="GA1920" s="6"/>
      <c r="GB1920" s="6"/>
      <c r="GC1920" s="6"/>
      <c r="GD1920" s="6"/>
      <c r="GE1920" s="6"/>
      <c r="GF1920" s="6"/>
      <c r="GG1920" s="6"/>
      <c r="GH1920" s="6"/>
      <c r="GI1920" s="6"/>
      <c r="GJ1920" s="6"/>
      <c r="GK1920" s="6"/>
      <c r="GL1920" s="6"/>
      <c r="GM1920" s="6"/>
      <c r="GN1920" s="6"/>
      <c r="GO1920" s="6"/>
      <c r="GP1920" s="6"/>
      <c r="GQ1920" s="6"/>
      <c r="GR1920" s="6"/>
      <c r="GS1920" s="6"/>
      <c r="GT1920" s="6"/>
      <c r="GU1920" s="6"/>
      <c r="GV1920" s="6"/>
      <c r="GW1920" s="6"/>
      <c r="GX1920" s="6"/>
      <c r="GY1920" s="6"/>
      <c r="GZ1920" s="6"/>
      <c r="HA1920" s="6"/>
      <c r="HB1920" s="6"/>
      <c r="HC1920" s="6"/>
      <c r="HD1920" s="6"/>
      <c r="HE1920" s="6"/>
      <c r="HF1920" s="6"/>
      <c r="HG1920" s="6"/>
      <c r="HH1920" s="6"/>
    </row>
    <row r="1921" spans="1:216" x14ac:dyDescent="0.3">
      <c r="A1921" s="8"/>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6"/>
      <c r="AR1921" s="6"/>
      <c r="AS1921" s="6"/>
      <c r="AT1921" s="6"/>
      <c r="AU1921" s="6"/>
      <c r="AV1921" s="6"/>
      <c r="AW1921" s="6"/>
      <c r="AX1921" s="6"/>
      <c r="AY1921" s="6"/>
      <c r="AZ1921" s="6"/>
      <c r="BA1921" s="6"/>
      <c r="BB1921" s="6"/>
      <c r="BC1921" s="6"/>
      <c r="BD1921" s="6"/>
      <c r="BE1921" s="6"/>
      <c r="BF1921" s="6"/>
      <c r="BG1921" s="6"/>
      <c r="BH1921" s="6"/>
      <c r="BI1921" s="6"/>
      <c r="BJ1921" s="6"/>
      <c r="BK1921" s="6"/>
      <c r="BL1921" s="6"/>
      <c r="BM1921" s="6"/>
      <c r="BN1921" s="6"/>
      <c r="BO1921" s="6"/>
      <c r="BP1921" s="6"/>
      <c r="BQ1921" s="6"/>
      <c r="BR1921" s="6"/>
      <c r="BS1921" s="6"/>
      <c r="BT1921" s="6"/>
      <c r="BU1921" s="6"/>
      <c r="BV1921" s="6"/>
      <c r="BW1921" s="6"/>
      <c r="BX1921" s="6"/>
      <c r="BY1921" s="6"/>
      <c r="BZ1921" s="6"/>
      <c r="CA1921" s="6"/>
      <c r="CB1921" s="6"/>
      <c r="CC1921" s="6"/>
      <c r="CD1921" s="6"/>
      <c r="CE1921" s="6"/>
      <c r="CF1921" s="6"/>
      <c r="CG1921" s="6"/>
      <c r="CH1921" s="6"/>
      <c r="CI1921" s="6"/>
      <c r="CJ1921" s="6"/>
      <c r="CK1921" s="6"/>
      <c r="CL1921" s="6"/>
      <c r="CM1921" s="6"/>
      <c r="CN1921" s="6"/>
      <c r="CO1921" s="6"/>
      <c r="CP1921" s="6"/>
      <c r="CQ1921" s="6"/>
      <c r="CR1921" s="6"/>
      <c r="CS1921" s="6"/>
      <c r="CT1921" s="6"/>
      <c r="CU1921" s="6"/>
      <c r="CV1921" s="6"/>
      <c r="CW1921" s="6"/>
      <c r="CX1921" s="6"/>
      <c r="CY1921" s="6"/>
      <c r="CZ1921" s="6"/>
      <c r="DA1921" s="6"/>
      <c r="DB1921" s="6"/>
      <c r="DC1921" s="6"/>
      <c r="DD1921" s="6"/>
      <c r="DE1921" s="6"/>
      <c r="DF1921" s="6"/>
      <c r="DG1921" s="6"/>
      <c r="DH1921" s="6"/>
      <c r="DI1921" s="6"/>
      <c r="DJ1921" s="6"/>
      <c r="DK1921" s="6"/>
      <c r="DL1921" s="6"/>
      <c r="DM1921" s="6"/>
      <c r="DN1921" s="6"/>
      <c r="DO1921" s="6"/>
      <c r="DP1921" s="6"/>
      <c r="DQ1921" s="6"/>
      <c r="DR1921" s="6"/>
      <c r="DS1921" s="6"/>
      <c r="DT1921" s="6"/>
      <c r="DU1921" s="6"/>
      <c r="DV1921" s="6"/>
      <c r="DW1921" s="6"/>
      <c r="DX1921" s="6"/>
      <c r="DY1921" s="6"/>
      <c r="DZ1921" s="6"/>
      <c r="EA1921" s="6"/>
      <c r="EB1921" s="6"/>
      <c r="EC1921" s="6"/>
      <c r="ED1921" s="6"/>
      <c r="EE1921" s="6"/>
      <c r="EF1921" s="6"/>
      <c r="EG1921" s="6"/>
      <c r="EH1921" s="6"/>
      <c r="EI1921" s="6"/>
      <c r="EJ1921" s="6"/>
      <c r="EK1921" s="6"/>
      <c r="EL1921" s="6"/>
      <c r="EM1921" s="6"/>
      <c r="EN1921" s="6"/>
      <c r="EO1921" s="6"/>
      <c r="EP1921" s="6"/>
      <c r="EQ1921" s="6"/>
      <c r="ER1921" s="6"/>
      <c r="ES1921" s="6"/>
      <c r="ET1921" s="6"/>
      <c r="EU1921" s="6"/>
      <c r="EV1921" s="6"/>
      <c r="EW1921" s="6"/>
      <c r="EX1921" s="6"/>
      <c r="EY1921" s="6"/>
      <c r="EZ1921" s="6"/>
      <c r="FA1921" s="6"/>
      <c r="FB1921" s="6"/>
      <c r="FC1921" s="6"/>
      <c r="FD1921" s="6"/>
      <c r="FE1921" s="6"/>
      <c r="FF1921" s="6"/>
      <c r="FG1921" s="6"/>
      <c r="FH1921" s="6"/>
      <c r="FI1921" s="6"/>
      <c r="FJ1921" s="6"/>
      <c r="FK1921" s="6"/>
      <c r="FL1921" s="6"/>
      <c r="FM1921" s="6"/>
      <c r="FN1921" s="6"/>
      <c r="FO1921" s="6"/>
      <c r="FP1921" s="6"/>
      <c r="FQ1921" s="6"/>
      <c r="FR1921" s="6"/>
      <c r="FS1921" s="6"/>
      <c r="FT1921" s="6"/>
      <c r="FU1921" s="6"/>
      <c r="FV1921" s="6"/>
      <c r="FW1921" s="6"/>
      <c r="FX1921" s="6"/>
      <c r="FY1921" s="6"/>
      <c r="FZ1921" s="6"/>
      <c r="GA1921" s="6"/>
      <c r="GB1921" s="6"/>
      <c r="GC1921" s="6"/>
      <c r="GD1921" s="6"/>
      <c r="GE1921" s="6"/>
      <c r="GF1921" s="6"/>
      <c r="GG1921" s="6"/>
      <c r="GH1921" s="6"/>
      <c r="GI1921" s="6"/>
      <c r="GJ1921" s="6"/>
      <c r="GK1921" s="6"/>
      <c r="GL1921" s="6"/>
      <c r="GM1921" s="6"/>
      <c r="GN1921" s="6"/>
      <c r="GO1921" s="6"/>
      <c r="GP1921" s="6"/>
      <c r="GQ1921" s="6"/>
      <c r="GR1921" s="6"/>
      <c r="GS1921" s="6"/>
      <c r="GT1921" s="6"/>
      <c r="GU1921" s="6"/>
      <c r="GV1921" s="6"/>
      <c r="GW1921" s="6"/>
      <c r="GX1921" s="6"/>
      <c r="GY1921" s="6"/>
      <c r="GZ1921" s="6"/>
      <c r="HA1921" s="6"/>
      <c r="HB1921" s="6"/>
      <c r="HC1921" s="6"/>
      <c r="HD1921" s="6"/>
      <c r="HE1921" s="6"/>
      <c r="HF1921" s="6"/>
      <c r="HG1921" s="6"/>
      <c r="HH1921" s="6"/>
    </row>
    <row r="1922" spans="1:216" x14ac:dyDescent="0.3">
      <c r="A1922" s="8"/>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c r="DX1922" s="6"/>
      <c r="DY1922" s="6"/>
      <c r="DZ1922" s="6"/>
      <c r="EA1922" s="6"/>
      <c r="EB1922" s="6"/>
      <c r="EC1922" s="6"/>
      <c r="ED1922" s="6"/>
      <c r="EE1922" s="6"/>
      <c r="EF1922" s="6"/>
      <c r="EG1922" s="6"/>
      <c r="EH1922" s="6"/>
      <c r="EI1922" s="6"/>
      <c r="EJ1922" s="6"/>
      <c r="EK1922" s="6"/>
      <c r="EL1922" s="6"/>
      <c r="EM1922" s="6"/>
      <c r="EN1922" s="6"/>
      <c r="EO1922" s="6"/>
      <c r="EP1922" s="6"/>
      <c r="EQ1922" s="6"/>
      <c r="ER1922" s="6"/>
      <c r="ES1922" s="6"/>
      <c r="ET1922" s="6"/>
      <c r="EU1922" s="6"/>
      <c r="EV1922" s="6"/>
      <c r="EW1922" s="6"/>
      <c r="EX1922" s="6"/>
      <c r="EY1922" s="6"/>
      <c r="EZ1922" s="6"/>
      <c r="FA1922" s="6"/>
      <c r="FB1922" s="6"/>
      <c r="FC1922" s="6"/>
      <c r="FD1922" s="6"/>
      <c r="FE1922" s="6"/>
      <c r="FF1922" s="6"/>
      <c r="FG1922" s="6"/>
      <c r="FH1922" s="6"/>
      <c r="FI1922" s="6"/>
      <c r="FJ1922" s="6"/>
      <c r="FK1922" s="6"/>
      <c r="FL1922" s="6"/>
      <c r="FM1922" s="6"/>
      <c r="FN1922" s="6"/>
      <c r="FO1922" s="6"/>
      <c r="FP1922" s="6"/>
      <c r="FQ1922" s="6"/>
      <c r="FR1922" s="6"/>
      <c r="FS1922" s="6"/>
      <c r="FT1922" s="6"/>
      <c r="FU1922" s="6"/>
      <c r="FV1922" s="6"/>
      <c r="FW1922" s="6"/>
      <c r="FX1922" s="6"/>
      <c r="FY1922" s="6"/>
      <c r="FZ1922" s="6"/>
      <c r="GA1922" s="6"/>
      <c r="GB1922" s="6"/>
      <c r="GC1922" s="6"/>
      <c r="GD1922" s="6"/>
      <c r="GE1922" s="6"/>
      <c r="GF1922" s="6"/>
      <c r="GG1922" s="6"/>
      <c r="GH1922" s="6"/>
      <c r="GI1922" s="6"/>
      <c r="GJ1922" s="6"/>
      <c r="GK1922" s="6"/>
      <c r="GL1922" s="6"/>
      <c r="GM1922" s="6"/>
      <c r="GN1922" s="6"/>
      <c r="GO1922" s="6"/>
      <c r="GP1922" s="6"/>
      <c r="GQ1922" s="6"/>
      <c r="GR1922" s="6"/>
      <c r="GS1922" s="6"/>
      <c r="GT1922" s="6"/>
      <c r="GU1922" s="6"/>
      <c r="GV1922" s="6"/>
      <c r="GW1922" s="6"/>
      <c r="GX1922" s="6"/>
      <c r="GY1922" s="6"/>
      <c r="GZ1922" s="6"/>
      <c r="HA1922" s="6"/>
      <c r="HB1922" s="6"/>
      <c r="HC1922" s="6"/>
      <c r="HD1922" s="6"/>
      <c r="HE1922" s="6"/>
      <c r="HF1922" s="6"/>
      <c r="HG1922" s="6"/>
      <c r="HH1922" s="6"/>
    </row>
    <row r="1923" spans="1:216" x14ac:dyDescent="0.3">
      <c r="A1923" s="8"/>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6"/>
      <c r="AR1923" s="6"/>
      <c r="AS1923" s="6"/>
      <c r="AT1923" s="6"/>
      <c r="AU1923" s="6"/>
      <c r="AV1923" s="6"/>
      <c r="AW1923" s="6"/>
      <c r="AX1923" s="6"/>
      <c r="AY1923" s="6"/>
      <c r="AZ1923" s="6"/>
      <c r="BA1923" s="6"/>
      <c r="BB1923" s="6"/>
      <c r="BC1923" s="6"/>
      <c r="BD1923" s="6"/>
      <c r="BE1923" s="6"/>
      <c r="BF1923" s="6"/>
      <c r="BG1923" s="6"/>
      <c r="BH1923" s="6"/>
      <c r="BI1923" s="6"/>
      <c r="BJ1923" s="6"/>
      <c r="BK1923" s="6"/>
      <c r="BL1923" s="6"/>
      <c r="BM1923" s="6"/>
      <c r="BN1923" s="6"/>
      <c r="BO1923" s="6"/>
      <c r="BP1923" s="6"/>
      <c r="BQ1923" s="6"/>
      <c r="BR1923" s="6"/>
      <c r="BS1923" s="6"/>
      <c r="BT1923" s="6"/>
      <c r="BU1923" s="6"/>
      <c r="BV1923" s="6"/>
      <c r="BW1923" s="6"/>
      <c r="BX1923" s="6"/>
      <c r="BY1923" s="6"/>
      <c r="BZ1923" s="6"/>
      <c r="CA1923" s="6"/>
      <c r="CB1923" s="6"/>
      <c r="CC1923" s="6"/>
      <c r="CD1923" s="6"/>
      <c r="CE1923" s="6"/>
      <c r="CF1923" s="6"/>
      <c r="CG1923" s="6"/>
      <c r="CH1923" s="6"/>
      <c r="CI1923" s="6"/>
      <c r="CJ1923" s="6"/>
      <c r="CK1923" s="6"/>
      <c r="CL1923" s="6"/>
      <c r="CM1923" s="6"/>
      <c r="CN1923" s="6"/>
      <c r="CO1923" s="6"/>
      <c r="CP1923" s="6"/>
      <c r="CQ1923" s="6"/>
      <c r="CR1923" s="6"/>
      <c r="CS1923" s="6"/>
      <c r="CT1923" s="6"/>
      <c r="CU1923" s="6"/>
      <c r="CV1923" s="6"/>
      <c r="CW1923" s="6"/>
      <c r="CX1923" s="6"/>
      <c r="CY1923" s="6"/>
      <c r="CZ1923" s="6"/>
      <c r="DA1923" s="6"/>
      <c r="DB1923" s="6"/>
      <c r="DC1923" s="6"/>
      <c r="DD1923" s="6"/>
      <c r="DE1923" s="6"/>
      <c r="DF1923" s="6"/>
      <c r="DG1923" s="6"/>
      <c r="DH1923" s="6"/>
      <c r="DI1923" s="6"/>
      <c r="DJ1923" s="6"/>
      <c r="DK1923" s="6"/>
      <c r="DL1923" s="6"/>
      <c r="DM1923" s="6"/>
      <c r="DN1923" s="6"/>
      <c r="DO1923" s="6"/>
      <c r="DP1923" s="6"/>
      <c r="DQ1923" s="6"/>
      <c r="DR1923" s="6"/>
      <c r="DS1923" s="6"/>
      <c r="DT1923" s="6"/>
      <c r="DU1923" s="6"/>
      <c r="DV1923" s="6"/>
      <c r="DW1923" s="6"/>
      <c r="DX1923" s="6"/>
      <c r="DY1923" s="6"/>
      <c r="DZ1923" s="6"/>
      <c r="EA1923" s="6"/>
      <c r="EB1923" s="6"/>
      <c r="EC1923" s="6"/>
      <c r="ED1923" s="6"/>
      <c r="EE1923" s="6"/>
      <c r="EF1923" s="6"/>
      <c r="EG1923" s="6"/>
      <c r="EH1923" s="6"/>
      <c r="EI1923" s="6"/>
      <c r="EJ1923" s="6"/>
      <c r="EK1923" s="6"/>
      <c r="EL1923" s="6"/>
      <c r="EM1923" s="6"/>
      <c r="EN1923" s="6"/>
      <c r="EO1923" s="6"/>
      <c r="EP1923" s="6"/>
      <c r="EQ1923" s="6"/>
      <c r="ER1923" s="6"/>
      <c r="ES1923" s="6"/>
      <c r="ET1923" s="6"/>
      <c r="EU1923" s="6"/>
      <c r="EV1923" s="6"/>
      <c r="EW1923" s="6"/>
      <c r="EX1923" s="6"/>
      <c r="EY1923" s="6"/>
      <c r="EZ1923" s="6"/>
      <c r="FA1923" s="6"/>
      <c r="FB1923" s="6"/>
      <c r="FC1923" s="6"/>
      <c r="FD1923" s="6"/>
      <c r="FE1923" s="6"/>
      <c r="FF1923" s="6"/>
      <c r="FG1923" s="6"/>
      <c r="FH1923" s="6"/>
      <c r="FI1923" s="6"/>
      <c r="FJ1923" s="6"/>
      <c r="FK1923" s="6"/>
      <c r="FL1923" s="6"/>
      <c r="FM1923" s="6"/>
      <c r="FN1923" s="6"/>
      <c r="FO1923" s="6"/>
      <c r="FP1923" s="6"/>
      <c r="FQ1923" s="6"/>
      <c r="FR1923" s="6"/>
      <c r="FS1923" s="6"/>
      <c r="FT1923" s="6"/>
      <c r="FU1923" s="6"/>
      <c r="FV1923" s="6"/>
      <c r="FW1923" s="6"/>
      <c r="FX1923" s="6"/>
      <c r="FY1923" s="6"/>
      <c r="FZ1923" s="6"/>
      <c r="GA1923" s="6"/>
      <c r="GB1923" s="6"/>
      <c r="GC1923" s="6"/>
      <c r="GD1923" s="6"/>
      <c r="GE1923" s="6"/>
      <c r="GF1923" s="6"/>
      <c r="GG1923" s="6"/>
      <c r="GH1923" s="6"/>
      <c r="GI1923" s="6"/>
      <c r="GJ1923" s="6"/>
      <c r="GK1923" s="6"/>
      <c r="GL1923" s="6"/>
      <c r="GM1923" s="6"/>
      <c r="GN1923" s="6"/>
      <c r="GO1923" s="6"/>
      <c r="GP1923" s="6"/>
      <c r="GQ1923" s="6"/>
      <c r="GR1923" s="6"/>
      <c r="GS1923" s="6"/>
      <c r="GT1923" s="6"/>
      <c r="GU1923" s="6"/>
      <c r="GV1923" s="6"/>
      <c r="GW1923" s="6"/>
      <c r="GX1923" s="6"/>
      <c r="GY1923" s="6"/>
      <c r="GZ1923" s="6"/>
      <c r="HA1923" s="6"/>
      <c r="HB1923" s="6"/>
      <c r="HC1923" s="6"/>
      <c r="HD1923" s="6"/>
      <c r="HE1923" s="6"/>
      <c r="HF1923" s="6"/>
      <c r="HG1923" s="6"/>
      <c r="HH1923" s="6"/>
    </row>
    <row r="1924" spans="1:216" x14ac:dyDescent="0.3">
      <c r="A1924" s="8"/>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c r="DX1924" s="6"/>
      <c r="DY1924" s="6"/>
      <c r="DZ1924" s="6"/>
      <c r="EA1924" s="6"/>
      <c r="EB1924" s="6"/>
      <c r="EC1924" s="6"/>
      <c r="ED1924" s="6"/>
      <c r="EE1924" s="6"/>
      <c r="EF1924" s="6"/>
      <c r="EG1924" s="6"/>
      <c r="EH1924" s="6"/>
      <c r="EI1924" s="6"/>
      <c r="EJ1924" s="6"/>
      <c r="EK1924" s="6"/>
      <c r="EL1924" s="6"/>
      <c r="EM1924" s="6"/>
      <c r="EN1924" s="6"/>
      <c r="EO1924" s="6"/>
      <c r="EP1924" s="6"/>
      <c r="EQ1924" s="6"/>
      <c r="ER1924" s="6"/>
      <c r="ES1924" s="6"/>
      <c r="ET1924" s="6"/>
      <c r="EU1924" s="6"/>
      <c r="EV1924" s="6"/>
      <c r="EW1924" s="6"/>
      <c r="EX1924" s="6"/>
      <c r="EY1924" s="6"/>
      <c r="EZ1924" s="6"/>
      <c r="FA1924" s="6"/>
      <c r="FB1924" s="6"/>
      <c r="FC1924" s="6"/>
      <c r="FD1924" s="6"/>
      <c r="FE1924" s="6"/>
      <c r="FF1924" s="6"/>
      <c r="FG1924" s="6"/>
      <c r="FH1924" s="6"/>
      <c r="FI1924" s="6"/>
      <c r="FJ1924" s="6"/>
      <c r="FK1924" s="6"/>
      <c r="FL1924" s="6"/>
      <c r="FM1924" s="6"/>
      <c r="FN1924" s="6"/>
      <c r="FO1924" s="6"/>
      <c r="FP1924" s="6"/>
      <c r="FQ1924" s="6"/>
      <c r="FR1924" s="6"/>
      <c r="FS1924" s="6"/>
      <c r="FT1924" s="6"/>
      <c r="FU1924" s="6"/>
      <c r="FV1924" s="6"/>
      <c r="FW1924" s="6"/>
      <c r="FX1924" s="6"/>
      <c r="FY1924" s="6"/>
      <c r="FZ1924" s="6"/>
      <c r="GA1924" s="6"/>
      <c r="GB1924" s="6"/>
      <c r="GC1924" s="6"/>
      <c r="GD1924" s="6"/>
      <c r="GE1924" s="6"/>
      <c r="GF1924" s="6"/>
      <c r="GG1924" s="6"/>
      <c r="GH1924" s="6"/>
      <c r="GI1924" s="6"/>
      <c r="GJ1924" s="6"/>
      <c r="GK1924" s="6"/>
      <c r="GL1924" s="6"/>
      <c r="GM1924" s="6"/>
      <c r="GN1924" s="6"/>
      <c r="GO1924" s="6"/>
      <c r="GP1924" s="6"/>
      <c r="GQ1924" s="6"/>
      <c r="GR1924" s="6"/>
      <c r="GS1924" s="6"/>
      <c r="GT1924" s="6"/>
      <c r="GU1924" s="6"/>
      <c r="GV1924" s="6"/>
      <c r="GW1924" s="6"/>
      <c r="GX1924" s="6"/>
      <c r="GY1924" s="6"/>
      <c r="GZ1924" s="6"/>
      <c r="HA1924" s="6"/>
      <c r="HB1924" s="6"/>
      <c r="HC1924" s="6"/>
      <c r="HD1924" s="6"/>
      <c r="HE1924" s="6"/>
      <c r="HF1924" s="6"/>
      <c r="HG1924" s="6"/>
      <c r="HH1924" s="6"/>
    </row>
    <row r="1925" spans="1:216" x14ac:dyDescent="0.3">
      <c r="A1925" s="8"/>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6"/>
      <c r="AR1925" s="6"/>
      <c r="AS1925" s="6"/>
      <c r="AT1925" s="6"/>
      <c r="AU1925" s="6"/>
      <c r="AV1925" s="6"/>
      <c r="AW1925" s="6"/>
      <c r="AX1925" s="6"/>
      <c r="AY1925" s="6"/>
      <c r="AZ1925" s="6"/>
      <c r="BA1925" s="6"/>
      <c r="BB1925" s="6"/>
      <c r="BC1925" s="6"/>
      <c r="BD1925" s="6"/>
      <c r="BE1925" s="6"/>
      <c r="BF1925" s="6"/>
      <c r="BG1925" s="6"/>
      <c r="BH1925" s="6"/>
      <c r="BI1925" s="6"/>
      <c r="BJ1925" s="6"/>
      <c r="BK1925" s="6"/>
      <c r="BL1925" s="6"/>
      <c r="BM1925" s="6"/>
      <c r="BN1925" s="6"/>
      <c r="BO1925" s="6"/>
      <c r="BP1925" s="6"/>
      <c r="BQ1925" s="6"/>
      <c r="BR1925" s="6"/>
      <c r="BS1925" s="6"/>
      <c r="BT1925" s="6"/>
      <c r="BU1925" s="6"/>
      <c r="BV1925" s="6"/>
      <c r="BW1925" s="6"/>
      <c r="BX1925" s="6"/>
      <c r="BY1925" s="6"/>
      <c r="BZ1925" s="6"/>
      <c r="CA1925" s="6"/>
      <c r="CB1925" s="6"/>
      <c r="CC1925" s="6"/>
      <c r="CD1925" s="6"/>
      <c r="CE1925" s="6"/>
      <c r="CF1925" s="6"/>
      <c r="CG1925" s="6"/>
      <c r="CH1925" s="6"/>
      <c r="CI1925" s="6"/>
      <c r="CJ1925" s="6"/>
      <c r="CK1925" s="6"/>
      <c r="CL1925" s="6"/>
      <c r="CM1925" s="6"/>
      <c r="CN1925" s="6"/>
      <c r="CO1925" s="6"/>
      <c r="CP1925" s="6"/>
      <c r="CQ1925" s="6"/>
      <c r="CR1925" s="6"/>
      <c r="CS1925" s="6"/>
      <c r="CT1925" s="6"/>
      <c r="CU1925" s="6"/>
      <c r="CV1925" s="6"/>
      <c r="CW1925" s="6"/>
      <c r="CX1925" s="6"/>
      <c r="CY1925" s="6"/>
      <c r="CZ1925" s="6"/>
      <c r="DA1925" s="6"/>
      <c r="DB1925" s="6"/>
      <c r="DC1925" s="6"/>
      <c r="DD1925" s="6"/>
      <c r="DE1925" s="6"/>
      <c r="DF1925" s="6"/>
      <c r="DG1925" s="6"/>
      <c r="DH1925" s="6"/>
      <c r="DI1925" s="6"/>
      <c r="DJ1925" s="6"/>
      <c r="DK1925" s="6"/>
      <c r="DL1925" s="6"/>
      <c r="DM1925" s="6"/>
      <c r="DN1925" s="6"/>
      <c r="DO1925" s="6"/>
      <c r="DP1925" s="6"/>
      <c r="DQ1925" s="6"/>
      <c r="DR1925" s="6"/>
      <c r="DS1925" s="6"/>
      <c r="DT1925" s="6"/>
      <c r="DU1925" s="6"/>
      <c r="DV1925" s="6"/>
      <c r="DW1925" s="6"/>
      <c r="DX1925" s="6"/>
      <c r="DY1925" s="6"/>
      <c r="DZ1925" s="6"/>
      <c r="EA1925" s="6"/>
      <c r="EB1925" s="6"/>
      <c r="EC1925" s="6"/>
      <c r="ED1925" s="6"/>
      <c r="EE1925" s="6"/>
      <c r="EF1925" s="6"/>
      <c r="EG1925" s="6"/>
      <c r="EH1925" s="6"/>
      <c r="EI1925" s="6"/>
      <c r="EJ1925" s="6"/>
      <c r="EK1925" s="6"/>
      <c r="EL1925" s="6"/>
      <c r="EM1925" s="6"/>
      <c r="EN1925" s="6"/>
      <c r="EO1925" s="6"/>
      <c r="EP1925" s="6"/>
      <c r="EQ1925" s="6"/>
      <c r="ER1925" s="6"/>
      <c r="ES1925" s="6"/>
      <c r="ET1925" s="6"/>
      <c r="EU1925" s="6"/>
      <c r="EV1925" s="6"/>
      <c r="EW1925" s="6"/>
      <c r="EX1925" s="6"/>
      <c r="EY1925" s="6"/>
      <c r="EZ1925" s="6"/>
      <c r="FA1925" s="6"/>
      <c r="FB1925" s="6"/>
      <c r="FC1925" s="6"/>
      <c r="FD1925" s="6"/>
      <c r="FE1925" s="6"/>
      <c r="FF1925" s="6"/>
      <c r="FG1925" s="6"/>
      <c r="FH1925" s="6"/>
      <c r="FI1925" s="6"/>
      <c r="FJ1925" s="6"/>
      <c r="FK1925" s="6"/>
      <c r="FL1925" s="6"/>
      <c r="FM1925" s="6"/>
      <c r="FN1925" s="6"/>
      <c r="FO1925" s="6"/>
      <c r="FP1925" s="6"/>
      <c r="FQ1925" s="6"/>
      <c r="FR1925" s="6"/>
      <c r="FS1925" s="6"/>
      <c r="FT1925" s="6"/>
      <c r="FU1925" s="6"/>
      <c r="FV1925" s="6"/>
      <c r="FW1925" s="6"/>
      <c r="FX1925" s="6"/>
      <c r="FY1925" s="6"/>
      <c r="FZ1925" s="6"/>
      <c r="GA1925" s="6"/>
      <c r="GB1925" s="6"/>
      <c r="GC1925" s="6"/>
      <c r="GD1925" s="6"/>
      <c r="GE1925" s="6"/>
      <c r="GF1925" s="6"/>
      <c r="GG1925" s="6"/>
      <c r="GH1925" s="6"/>
      <c r="GI1925" s="6"/>
      <c r="GJ1925" s="6"/>
      <c r="GK1925" s="6"/>
      <c r="GL1925" s="6"/>
      <c r="GM1925" s="6"/>
      <c r="GN1925" s="6"/>
      <c r="GO1925" s="6"/>
      <c r="GP1925" s="6"/>
      <c r="GQ1925" s="6"/>
      <c r="GR1925" s="6"/>
      <c r="GS1925" s="6"/>
      <c r="GT1925" s="6"/>
      <c r="GU1925" s="6"/>
      <c r="GV1925" s="6"/>
      <c r="GW1925" s="6"/>
      <c r="GX1925" s="6"/>
      <c r="GY1925" s="6"/>
      <c r="GZ1925" s="6"/>
      <c r="HA1925" s="6"/>
      <c r="HB1925" s="6"/>
      <c r="HC1925" s="6"/>
      <c r="HD1925" s="6"/>
      <c r="HE1925" s="6"/>
      <c r="HF1925" s="6"/>
      <c r="HG1925" s="6"/>
      <c r="HH1925" s="6"/>
    </row>
    <row r="1926" spans="1:216" x14ac:dyDescent="0.3">
      <c r="A1926" s="8"/>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c r="DX1926" s="6"/>
      <c r="DY1926" s="6"/>
      <c r="DZ1926" s="6"/>
      <c r="EA1926" s="6"/>
      <c r="EB1926" s="6"/>
      <c r="EC1926" s="6"/>
      <c r="ED1926" s="6"/>
      <c r="EE1926" s="6"/>
      <c r="EF1926" s="6"/>
      <c r="EG1926" s="6"/>
      <c r="EH1926" s="6"/>
      <c r="EI1926" s="6"/>
      <c r="EJ1926" s="6"/>
      <c r="EK1926" s="6"/>
      <c r="EL1926" s="6"/>
      <c r="EM1926" s="6"/>
      <c r="EN1926" s="6"/>
      <c r="EO1926" s="6"/>
      <c r="EP1926" s="6"/>
      <c r="EQ1926" s="6"/>
      <c r="ER1926" s="6"/>
      <c r="ES1926" s="6"/>
      <c r="ET1926" s="6"/>
      <c r="EU1926" s="6"/>
      <c r="EV1926" s="6"/>
      <c r="EW1926" s="6"/>
      <c r="EX1926" s="6"/>
      <c r="EY1926" s="6"/>
      <c r="EZ1926" s="6"/>
      <c r="FA1926" s="6"/>
      <c r="FB1926" s="6"/>
      <c r="FC1926" s="6"/>
      <c r="FD1926" s="6"/>
      <c r="FE1926" s="6"/>
      <c r="FF1926" s="6"/>
      <c r="FG1926" s="6"/>
      <c r="FH1926" s="6"/>
      <c r="FI1926" s="6"/>
      <c r="FJ1926" s="6"/>
      <c r="FK1926" s="6"/>
      <c r="FL1926" s="6"/>
      <c r="FM1926" s="6"/>
      <c r="FN1926" s="6"/>
      <c r="FO1926" s="6"/>
      <c r="FP1926" s="6"/>
      <c r="FQ1926" s="6"/>
      <c r="FR1926" s="6"/>
      <c r="FS1926" s="6"/>
      <c r="FT1926" s="6"/>
      <c r="FU1926" s="6"/>
      <c r="FV1926" s="6"/>
      <c r="FW1926" s="6"/>
      <c r="FX1926" s="6"/>
      <c r="FY1926" s="6"/>
      <c r="FZ1926" s="6"/>
      <c r="GA1926" s="6"/>
      <c r="GB1926" s="6"/>
      <c r="GC1926" s="6"/>
      <c r="GD1926" s="6"/>
      <c r="GE1926" s="6"/>
      <c r="GF1926" s="6"/>
      <c r="GG1926" s="6"/>
      <c r="GH1926" s="6"/>
      <c r="GI1926" s="6"/>
      <c r="GJ1926" s="6"/>
      <c r="GK1926" s="6"/>
      <c r="GL1926" s="6"/>
      <c r="GM1926" s="6"/>
      <c r="GN1926" s="6"/>
      <c r="GO1926" s="6"/>
      <c r="GP1926" s="6"/>
      <c r="GQ1926" s="6"/>
      <c r="GR1926" s="6"/>
      <c r="GS1926" s="6"/>
      <c r="GT1926" s="6"/>
      <c r="GU1926" s="6"/>
      <c r="GV1926" s="6"/>
      <c r="GW1926" s="6"/>
      <c r="GX1926" s="6"/>
      <c r="GY1926" s="6"/>
      <c r="GZ1926" s="6"/>
      <c r="HA1926" s="6"/>
      <c r="HB1926" s="6"/>
      <c r="HC1926" s="6"/>
      <c r="HD1926" s="6"/>
      <c r="HE1926" s="6"/>
      <c r="HF1926" s="6"/>
      <c r="HG1926" s="6"/>
      <c r="HH1926" s="6"/>
    </row>
    <row r="1927" spans="1:216" x14ac:dyDescent="0.3">
      <c r="A1927" s="8"/>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6"/>
      <c r="AR1927" s="6"/>
      <c r="AS1927" s="6"/>
      <c r="AT1927" s="6"/>
      <c r="AU1927" s="6"/>
      <c r="AV1927" s="6"/>
      <c r="AW1927" s="6"/>
      <c r="AX1927" s="6"/>
      <c r="AY1927" s="6"/>
      <c r="AZ1927" s="6"/>
      <c r="BA1927" s="6"/>
      <c r="BB1927" s="6"/>
      <c r="BC1927" s="6"/>
      <c r="BD1927" s="6"/>
      <c r="BE1927" s="6"/>
      <c r="BF1927" s="6"/>
      <c r="BG1927" s="6"/>
      <c r="BH1927" s="6"/>
      <c r="BI1927" s="6"/>
      <c r="BJ1927" s="6"/>
      <c r="BK1927" s="6"/>
      <c r="BL1927" s="6"/>
      <c r="BM1927" s="6"/>
      <c r="BN1927" s="6"/>
      <c r="BO1927" s="6"/>
      <c r="BP1927" s="6"/>
      <c r="BQ1927" s="6"/>
      <c r="BR1927" s="6"/>
      <c r="BS1927" s="6"/>
      <c r="BT1927" s="6"/>
      <c r="BU1927" s="6"/>
      <c r="BV1927" s="6"/>
      <c r="BW1927" s="6"/>
      <c r="BX1927" s="6"/>
      <c r="BY1927" s="6"/>
      <c r="BZ1927" s="6"/>
      <c r="CA1927" s="6"/>
      <c r="CB1927" s="6"/>
      <c r="CC1927" s="6"/>
      <c r="CD1927" s="6"/>
      <c r="CE1927" s="6"/>
      <c r="CF1927" s="6"/>
      <c r="CG1927" s="6"/>
      <c r="CH1927" s="6"/>
      <c r="CI1927" s="6"/>
      <c r="CJ1927" s="6"/>
      <c r="CK1927" s="6"/>
      <c r="CL1927" s="6"/>
      <c r="CM1927" s="6"/>
      <c r="CN1927" s="6"/>
      <c r="CO1927" s="6"/>
      <c r="CP1927" s="6"/>
      <c r="CQ1927" s="6"/>
      <c r="CR1927" s="6"/>
      <c r="CS1927" s="6"/>
      <c r="CT1927" s="6"/>
      <c r="CU1927" s="6"/>
      <c r="CV1927" s="6"/>
      <c r="CW1927" s="6"/>
      <c r="CX1927" s="6"/>
      <c r="CY1927" s="6"/>
      <c r="CZ1927" s="6"/>
      <c r="DA1927" s="6"/>
      <c r="DB1927" s="6"/>
      <c r="DC1927" s="6"/>
      <c r="DD1927" s="6"/>
      <c r="DE1927" s="6"/>
      <c r="DF1927" s="6"/>
      <c r="DG1927" s="6"/>
      <c r="DH1927" s="6"/>
      <c r="DI1927" s="6"/>
      <c r="DJ1927" s="6"/>
      <c r="DK1927" s="6"/>
      <c r="DL1927" s="6"/>
      <c r="DM1927" s="6"/>
      <c r="DN1927" s="6"/>
      <c r="DO1927" s="6"/>
      <c r="DP1927" s="6"/>
      <c r="DQ1927" s="6"/>
      <c r="DR1927" s="6"/>
      <c r="DS1927" s="6"/>
      <c r="DT1927" s="6"/>
      <c r="DU1927" s="6"/>
      <c r="DV1927" s="6"/>
      <c r="DW1927" s="6"/>
      <c r="DX1927" s="6"/>
      <c r="DY1927" s="6"/>
      <c r="DZ1927" s="6"/>
      <c r="EA1927" s="6"/>
      <c r="EB1927" s="6"/>
      <c r="EC1927" s="6"/>
      <c r="ED1927" s="6"/>
      <c r="EE1927" s="6"/>
      <c r="EF1927" s="6"/>
      <c r="EG1927" s="6"/>
      <c r="EH1927" s="6"/>
      <c r="EI1927" s="6"/>
      <c r="EJ1927" s="6"/>
      <c r="EK1927" s="6"/>
      <c r="EL1927" s="6"/>
      <c r="EM1927" s="6"/>
      <c r="EN1927" s="6"/>
      <c r="EO1927" s="6"/>
      <c r="EP1927" s="6"/>
      <c r="EQ1927" s="6"/>
      <c r="ER1927" s="6"/>
      <c r="ES1927" s="6"/>
      <c r="ET1927" s="6"/>
      <c r="EU1927" s="6"/>
      <c r="EV1927" s="6"/>
      <c r="EW1927" s="6"/>
      <c r="EX1927" s="6"/>
      <c r="EY1927" s="6"/>
      <c r="EZ1927" s="6"/>
      <c r="FA1927" s="6"/>
      <c r="FB1927" s="6"/>
      <c r="FC1927" s="6"/>
      <c r="FD1927" s="6"/>
      <c r="FE1927" s="6"/>
      <c r="FF1927" s="6"/>
      <c r="FG1927" s="6"/>
      <c r="FH1927" s="6"/>
      <c r="FI1927" s="6"/>
      <c r="FJ1927" s="6"/>
      <c r="FK1927" s="6"/>
      <c r="FL1927" s="6"/>
      <c r="FM1927" s="6"/>
      <c r="FN1927" s="6"/>
      <c r="FO1927" s="6"/>
      <c r="FP1927" s="6"/>
      <c r="FQ1927" s="6"/>
      <c r="FR1927" s="6"/>
      <c r="FS1927" s="6"/>
      <c r="FT1927" s="6"/>
      <c r="FU1927" s="6"/>
      <c r="FV1927" s="6"/>
      <c r="FW1927" s="6"/>
      <c r="FX1927" s="6"/>
      <c r="FY1927" s="6"/>
      <c r="FZ1927" s="6"/>
      <c r="GA1927" s="6"/>
      <c r="GB1927" s="6"/>
      <c r="GC1927" s="6"/>
      <c r="GD1927" s="6"/>
      <c r="GE1927" s="6"/>
      <c r="GF1927" s="6"/>
      <c r="GG1927" s="6"/>
      <c r="GH1927" s="6"/>
      <c r="GI1927" s="6"/>
      <c r="GJ1927" s="6"/>
      <c r="GK1927" s="6"/>
      <c r="GL1927" s="6"/>
      <c r="GM1927" s="6"/>
      <c r="GN1927" s="6"/>
      <c r="GO1927" s="6"/>
      <c r="GP1927" s="6"/>
      <c r="GQ1927" s="6"/>
      <c r="GR1927" s="6"/>
      <c r="GS1927" s="6"/>
      <c r="GT1927" s="6"/>
      <c r="GU1927" s="6"/>
      <c r="GV1927" s="6"/>
      <c r="GW1927" s="6"/>
      <c r="GX1927" s="6"/>
      <c r="GY1927" s="6"/>
      <c r="GZ1927" s="6"/>
      <c r="HA1927" s="6"/>
      <c r="HB1927" s="6"/>
      <c r="HC1927" s="6"/>
      <c r="HD1927" s="6"/>
      <c r="HE1927" s="6"/>
      <c r="HF1927" s="6"/>
      <c r="HG1927" s="6"/>
      <c r="HH1927" s="6"/>
    </row>
    <row r="1928" spans="1:216" x14ac:dyDescent="0.3">
      <c r="A1928" s="8"/>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c r="DX1928" s="6"/>
      <c r="DY1928" s="6"/>
      <c r="DZ1928" s="6"/>
      <c r="EA1928" s="6"/>
      <c r="EB1928" s="6"/>
      <c r="EC1928" s="6"/>
      <c r="ED1928" s="6"/>
      <c r="EE1928" s="6"/>
      <c r="EF1928" s="6"/>
      <c r="EG1928" s="6"/>
      <c r="EH1928" s="6"/>
      <c r="EI1928" s="6"/>
      <c r="EJ1928" s="6"/>
      <c r="EK1928" s="6"/>
      <c r="EL1928" s="6"/>
      <c r="EM1928" s="6"/>
      <c r="EN1928" s="6"/>
      <c r="EO1928" s="6"/>
      <c r="EP1928" s="6"/>
      <c r="EQ1928" s="6"/>
      <c r="ER1928" s="6"/>
      <c r="ES1928" s="6"/>
      <c r="ET1928" s="6"/>
      <c r="EU1928" s="6"/>
      <c r="EV1928" s="6"/>
      <c r="EW1928" s="6"/>
      <c r="EX1928" s="6"/>
      <c r="EY1928" s="6"/>
      <c r="EZ1928" s="6"/>
      <c r="FA1928" s="6"/>
      <c r="FB1928" s="6"/>
      <c r="FC1928" s="6"/>
      <c r="FD1928" s="6"/>
      <c r="FE1928" s="6"/>
      <c r="FF1928" s="6"/>
      <c r="FG1928" s="6"/>
      <c r="FH1928" s="6"/>
      <c r="FI1928" s="6"/>
      <c r="FJ1928" s="6"/>
      <c r="FK1928" s="6"/>
      <c r="FL1928" s="6"/>
      <c r="FM1928" s="6"/>
      <c r="FN1928" s="6"/>
      <c r="FO1928" s="6"/>
      <c r="FP1928" s="6"/>
      <c r="FQ1928" s="6"/>
      <c r="FR1928" s="6"/>
      <c r="FS1928" s="6"/>
      <c r="FT1928" s="6"/>
      <c r="FU1928" s="6"/>
      <c r="FV1928" s="6"/>
      <c r="FW1928" s="6"/>
      <c r="FX1928" s="6"/>
      <c r="FY1928" s="6"/>
      <c r="FZ1928" s="6"/>
      <c r="GA1928" s="6"/>
      <c r="GB1928" s="6"/>
      <c r="GC1928" s="6"/>
      <c r="GD1928" s="6"/>
      <c r="GE1928" s="6"/>
      <c r="GF1928" s="6"/>
      <c r="GG1928" s="6"/>
      <c r="GH1928" s="6"/>
      <c r="GI1928" s="6"/>
      <c r="GJ1928" s="6"/>
      <c r="GK1928" s="6"/>
      <c r="GL1928" s="6"/>
      <c r="GM1928" s="6"/>
      <c r="GN1928" s="6"/>
      <c r="GO1928" s="6"/>
      <c r="GP1928" s="6"/>
      <c r="GQ1928" s="6"/>
      <c r="GR1928" s="6"/>
      <c r="GS1928" s="6"/>
      <c r="GT1928" s="6"/>
      <c r="GU1928" s="6"/>
      <c r="GV1928" s="6"/>
      <c r="GW1928" s="6"/>
      <c r="GX1928" s="6"/>
      <c r="GY1928" s="6"/>
      <c r="GZ1928" s="6"/>
      <c r="HA1928" s="6"/>
      <c r="HB1928" s="6"/>
      <c r="HC1928" s="6"/>
      <c r="HD1928" s="6"/>
      <c r="HE1928" s="6"/>
      <c r="HF1928" s="6"/>
      <c r="HG1928" s="6"/>
      <c r="HH1928" s="6"/>
    </row>
    <row r="1929" spans="1:216" x14ac:dyDescent="0.3">
      <c r="A1929" s="8"/>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6"/>
      <c r="AR1929" s="6"/>
      <c r="AS1929" s="6"/>
      <c r="AT1929" s="6"/>
      <c r="AU1929" s="6"/>
      <c r="AV1929" s="6"/>
      <c r="AW1929" s="6"/>
      <c r="AX1929" s="6"/>
      <c r="AY1929" s="6"/>
      <c r="AZ1929" s="6"/>
      <c r="BA1929" s="6"/>
      <c r="BB1929" s="6"/>
      <c r="BC1929" s="6"/>
      <c r="BD1929" s="6"/>
      <c r="BE1929" s="6"/>
      <c r="BF1929" s="6"/>
      <c r="BG1929" s="6"/>
      <c r="BH1929" s="6"/>
      <c r="BI1929" s="6"/>
      <c r="BJ1929" s="6"/>
      <c r="BK1929" s="6"/>
      <c r="BL1929" s="6"/>
      <c r="BM1929" s="6"/>
      <c r="BN1929" s="6"/>
      <c r="BO1929" s="6"/>
      <c r="BP1929" s="6"/>
      <c r="BQ1929" s="6"/>
      <c r="BR1929" s="6"/>
      <c r="BS1929" s="6"/>
      <c r="BT1929" s="6"/>
      <c r="BU1929" s="6"/>
      <c r="BV1929" s="6"/>
      <c r="BW1929" s="6"/>
      <c r="BX1929" s="6"/>
      <c r="BY1929" s="6"/>
      <c r="BZ1929" s="6"/>
      <c r="CA1929" s="6"/>
      <c r="CB1929" s="6"/>
      <c r="CC1929" s="6"/>
      <c r="CD1929" s="6"/>
      <c r="CE1929" s="6"/>
      <c r="CF1929" s="6"/>
      <c r="CG1929" s="6"/>
      <c r="CH1929" s="6"/>
      <c r="CI1929" s="6"/>
      <c r="CJ1929" s="6"/>
      <c r="CK1929" s="6"/>
      <c r="CL1929" s="6"/>
      <c r="CM1929" s="6"/>
      <c r="CN1929" s="6"/>
      <c r="CO1929" s="6"/>
      <c r="CP1929" s="6"/>
      <c r="CQ1929" s="6"/>
      <c r="CR1929" s="6"/>
      <c r="CS1929" s="6"/>
      <c r="CT1929" s="6"/>
      <c r="CU1929" s="6"/>
      <c r="CV1929" s="6"/>
      <c r="CW1929" s="6"/>
      <c r="CX1929" s="6"/>
      <c r="CY1929" s="6"/>
      <c r="CZ1929" s="6"/>
      <c r="DA1929" s="6"/>
      <c r="DB1929" s="6"/>
      <c r="DC1929" s="6"/>
      <c r="DD1929" s="6"/>
      <c r="DE1929" s="6"/>
      <c r="DF1929" s="6"/>
      <c r="DG1929" s="6"/>
      <c r="DH1929" s="6"/>
      <c r="DI1929" s="6"/>
      <c r="DJ1929" s="6"/>
      <c r="DK1929" s="6"/>
      <c r="DL1929" s="6"/>
      <c r="DM1929" s="6"/>
      <c r="DN1929" s="6"/>
      <c r="DO1929" s="6"/>
      <c r="DP1929" s="6"/>
      <c r="DQ1929" s="6"/>
      <c r="DR1929" s="6"/>
      <c r="DS1929" s="6"/>
      <c r="DT1929" s="6"/>
      <c r="DU1929" s="6"/>
      <c r="DV1929" s="6"/>
      <c r="DW1929" s="6"/>
      <c r="DX1929" s="6"/>
      <c r="DY1929" s="6"/>
      <c r="DZ1929" s="6"/>
      <c r="EA1929" s="6"/>
      <c r="EB1929" s="6"/>
      <c r="EC1929" s="6"/>
      <c r="ED1929" s="6"/>
      <c r="EE1929" s="6"/>
      <c r="EF1929" s="6"/>
      <c r="EG1929" s="6"/>
      <c r="EH1929" s="6"/>
      <c r="EI1929" s="6"/>
      <c r="EJ1929" s="6"/>
      <c r="EK1929" s="6"/>
      <c r="EL1929" s="6"/>
      <c r="EM1929" s="6"/>
      <c r="EN1929" s="6"/>
      <c r="EO1929" s="6"/>
      <c r="EP1929" s="6"/>
      <c r="EQ1929" s="6"/>
      <c r="ER1929" s="6"/>
      <c r="ES1929" s="6"/>
      <c r="ET1929" s="6"/>
      <c r="EU1929" s="6"/>
      <c r="EV1929" s="6"/>
      <c r="EW1929" s="6"/>
      <c r="EX1929" s="6"/>
      <c r="EY1929" s="6"/>
      <c r="EZ1929" s="6"/>
      <c r="FA1929" s="6"/>
      <c r="FB1929" s="6"/>
      <c r="FC1929" s="6"/>
      <c r="FD1929" s="6"/>
      <c r="FE1929" s="6"/>
      <c r="FF1929" s="6"/>
      <c r="FG1929" s="6"/>
      <c r="FH1929" s="6"/>
      <c r="FI1929" s="6"/>
      <c r="FJ1929" s="6"/>
      <c r="FK1929" s="6"/>
      <c r="FL1929" s="6"/>
      <c r="FM1929" s="6"/>
      <c r="FN1929" s="6"/>
      <c r="FO1929" s="6"/>
      <c r="FP1929" s="6"/>
      <c r="FQ1929" s="6"/>
      <c r="FR1929" s="6"/>
      <c r="FS1929" s="6"/>
      <c r="FT1929" s="6"/>
      <c r="FU1929" s="6"/>
      <c r="FV1929" s="6"/>
      <c r="FW1929" s="6"/>
      <c r="FX1929" s="6"/>
      <c r="FY1929" s="6"/>
      <c r="FZ1929" s="6"/>
      <c r="GA1929" s="6"/>
      <c r="GB1929" s="6"/>
      <c r="GC1929" s="6"/>
      <c r="GD1929" s="6"/>
      <c r="GE1929" s="6"/>
      <c r="GF1929" s="6"/>
      <c r="GG1929" s="6"/>
      <c r="GH1929" s="6"/>
      <c r="GI1929" s="6"/>
      <c r="GJ1929" s="6"/>
      <c r="GK1929" s="6"/>
      <c r="GL1929" s="6"/>
      <c r="GM1929" s="6"/>
      <c r="GN1929" s="6"/>
      <c r="GO1929" s="6"/>
      <c r="GP1929" s="6"/>
      <c r="GQ1929" s="6"/>
      <c r="GR1929" s="6"/>
      <c r="GS1929" s="6"/>
      <c r="GT1929" s="6"/>
      <c r="GU1929" s="6"/>
      <c r="GV1929" s="6"/>
      <c r="GW1929" s="6"/>
      <c r="GX1929" s="6"/>
      <c r="GY1929" s="6"/>
      <c r="GZ1929" s="6"/>
      <c r="HA1929" s="6"/>
      <c r="HB1929" s="6"/>
      <c r="HC1929" s="6"/>
      <c r="HD1929" s="6"/>
      <c r="HE1929" s="6"/>
      <c r="HF1929" s="6"/>
      <c r="HG1929" s="6"/>
      <c r="HH1929" s="6"/>
    </row>
    <row r="1930" spans="1:216" x14ac:dyDescent="0.3">
      <c r="A1930" s="8"/>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6"/>
      <c r="AR1930" s="6"/>
      <c r="AS1930" s="6"/>
      <c r="AT1930" s="6"/>
      <c r="AU1930" s="6"/>
      <c r="AV1930" s="6"/>
      <c r="AW1930" s="6"/>
      <c r="AX1930" s="6"/>
      <c r="AY1930" s="6"/>
      <c r="AZ1930" s="6"/>
      <c r="BA1930" s="6"/>
      <c r="BB1930" s="6"/>
      <c r="BC1930" s="6"/>
      <c r="BD1930" s="6"/>
      <c r="BE1930" s="6"/>
      <c r="BF1930" s="6"/>
      <c r="BG1930" s="6"/>
      <c r="BH1930" s="6"/>
      <c r="BI1930" s="6"/>
      <c r="BJ1930" s="6"/>
      <c r="BK1930" s="6"/>
      <c r="BL1930" s="6"/>
      <c r="BM1930" s="6"/>
      <c r="BN1930" s="6"/>
      <c r="BO1930" s="6"/>
      <c r="BP1930" s="6"/>
      <c r="BQ1930" s="6"/>
      <c r="BR1930" s="6"/>
      <c r="BS1930" s="6"/>
      <c r="BT1930" s="6"/>
      <c r="BU1930" s="6"/>
      <c r="BV1930" s="6"/>
      <c r="BW1930" s="6"/>
      <c r="BX1930" s="6"/>
      <c r="BY1930" s="6"/>
      <c r="BZ1930" s="6"/>
      <c r="CA1930" s="6"/>
      <c r="CB1930" s="6"/>
      <c r="CC1930" s="6"/>
      <c r="CD1930" s="6"/>
      <c r="CE1930" s="6"/>
      <c r="CF1930" s="6"/>
      <c r="CG1930" s="6"/>
      <c r="CH1930" s="6"/>
      <c r="CI1930" s="6"/>
      <c r="CJ1930" s="6"/>
      <c r="CK1930" s="6"/>
      <c r="CL1930" s="6"/>
      <c r="CM1930" s="6"/>
      <c r="CN1930" s="6"/>
      <c r="CO1930" s="6"/>
      <c r="CP1930" s="6"/>
      <c r="CQ1930" s="6"/>
      <c r="CR1930" s="6"/>
      <c r="CS1930" s="6"/>
      <c r="CT1930" s="6"/>
      <c r="CU1930" s="6"/>
      <c r="CV1930" s="6"/>
      <c r="CW1930" s="6"/>
      <c r="CX1930" s="6"/>
      <c r="CY1930" s="6"/>
      <c r="CZ1930" s="6"/>
      <c r="DA1930" s="6"/>
      <c r="DB1930" s="6"/>
      <c r="DC1930" s="6"/>
      <c r="DD1930" s="6"/>
      <c r="DE1930" s="6"/>
      <c r="DF1930" s="6"/>
      <c r="DG1930" s="6"/>
      <c r="DH1930" s="6"/>
      <c r="DI1930" s="6"/>
      <c r="DJ1930" s="6"/>
      <c r="DK1930" s="6"/>
      <c r="DL1930" s="6"/>
      <c r="DM1930" s="6"/>
      <c r="DN1930" s="6"/>
      <c r="DO1930" s="6"/>
      <c r="DP1930" s="6"/>
      <c r="DQ1930" s="6"/>
      <c r="DR1930" s="6"/>
      <c r="DS1930" s="6"/>
      <c r="DT1930" s="6"/>
      <c r="DU1930" s="6"/>
      <c r="DV1930" s="6"/>
      <c r="DW1930" s="6"/>
      <c r="DX1930" s="6"/>
      <c r="DY1930" s="6"/>
      <c r="DZ1930" s="6"/>
      <c r="EA1930" s="6"/>
      <c r="EB1930" s="6"/>
      <c r="EC1930" s="6"/>
      <c r="ED1930" s="6"/>
      <c r="EE1930" s="6"/>
      <c r="EF1930" s="6"/>
      <c r="EG1930" s="6"/>
      <c r="EH1930" s="6"/>
      <c r="EI1930" s="6"/>
      <c r="EJ1930" s="6"/>
      <c r="EK1930" s="6"/>
      <c r="EL1930" s="6"/>
      <c r="EM1930" s="6"/>
      <c r="EN1930" s="6"/>
      <c r="EO1930" s="6"/>
      <c r="EP1930" s="6"/>
      <c r="EQ1930" s="6"/>
      <c r="ER1930" s="6"/>
      <c r="ES1930" s="6"/>
      <c r="ET1930" s="6"/>
      <c r="EU1930" s="6"/>
      <c r="EV1930" s="6"/>
      <c r="EW1930" s="6"/>
      <c r="EX1930" s="6"/>
      <c r="EY1930" s="6"/>
      <c r="EZ1930" s="6"/>
      <c r="FA1930" s="6"/>
      <c r="FB1930" s="6"/>
      <c r="FC1930" s="6"/>
      <c r="FD1930" s="6"/>
      <c r="FE1930" s="6"/>
      <c r="FF1930" s="6"/>
      <c r="FG1930" s="6"/>
      <c r="FH1930" s="6"/>
      <c r="FI1930" s="6"/>
      <c r="FJ1930" s="6"/>
      <c r="FK1930" s="6"/>
      <c r="FL1930" s="6"/>
      <c r="FM1930" s="6"/>
      <c r="FN1930" s="6"/>
      <c r="FO1930" s="6"/>
      <c r="FP1930" s="6"/>
      <c r="FQ1930" s="6"/>
      <c r="FR1930" s="6"/>
      <c r="FS1930" s="6"/>
      <c r="FT1930" s="6"/>
      <c r="FU1930" s="6"/>
      <c r="FV1930" s="6"/>
      <c r="FW1930" s="6"/>
      <c r="FX1930" s="6"/>
      <c r="FY1930" s="6"/>
      <c r="FZ1930" s="6"/>
      <c r="GA1930" s="6"/>
      <c r="GB1930" s="6"/>
      <c r="GC1930" s="6"/>
      <c r="GD1930" s="6"/>
      <c r="GE1930" s="6"/>
      <c r="GF1930" s="6"/>
      <c r="GG1930" s="6"/>
      <c r="GH1930" s="6"/>
      <c r="GI1930" s="6"/>
      <c r="GJ1930" s="6"/>
      <c r="GK1930" s="6"/>
      <c r="GL1930" s="6"/>
      <c r="GM1930" s="6"/>
      <c r="GN1930" s="6"/>
      <c r="GO1930" s="6"/>
      <c r="GP1930" s="6"/>
      <c r="GQ1930" s="6"/>
      <c r="GR1930" s="6"/>
      <c r="GS1930" s="6"/>
      <c r="GT1930" s="6"/>
      <c r="GU1930" s="6"/>
      <c r="GV1930" s="6"/>
      <c r="GW1930" s="6"/>
      <c r="GX1930" s="6"/>
      <c r="GY1930" s="6"/>
      <c r="GZ1930" s="6"/>
      <c r="HA1930" s="6"/>
      <c r="HB1930" s="6"/>
      <c r="HC1930" s="6"/>
      <c r="HD1930" s="6"/>
      <c r="HE1930" s="6"/>
      <c r="HF1930" s="6"/>
      <c r="HG1930" s="6"/>
      <c r="HH1930" s="6"/>
    </row>
    <row r="1931" spans="1:216" x14ac:dyDescent="0.3">
      <c r="A1931" s="8"/>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row>
    <row r="1932" spans="1:216" x14ac:dyDescent="0.3">
      <c r="A1932" s="8"/>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row>
    <row r="1933" spans="1:216" x14ac:dyDescent="0.3">
      <c r="A1933" s="8"/>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row>
    <row r="1934" spans="1:216" x14ac:dyDescent="0.3">
      <c r="A1934" s="8"/>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row>
    <row r="1935" spans="1:216" x14ac:dyDescent="0.3">
      <c r="A1935" s="8"/>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row>
    <row r="1936" spans="1:216" x14ac:dyDescent="0.3">
      <c r="A1936" s="8"/>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row>
    <row r="1937" spans="1:216" x14ac:dyDescent="0.3">
      <c r="A1937" s="8"/>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row>
    <row r="1938" spans="1:216" x14ac:dyDescent="0.3">
      <c r="A1938" s="8"/>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row>
    <row r="1939" spans="1:216" x14ac:dyDescent="0.3">
      <c r="A1939" s="8"/>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row>
    <row r="1940" spans="1:216" x14ac:dyDescent="0.3">
      <c r="A1940" s="8"/>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row>
    <row r="1941" spans="1:216" x14ac:dyDescent="0.3">
      <c r="A1941" s="8"/>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row>
    <row r="1942" spans="1:216" x14ac:dyDescent="0.3">
      <c r="A1942" s="8"/>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row>
    <row r="1943" spans="1:216" x14ac:dyDescent="0.3">
      <c r="A1943" s="8"/>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c r="DX1943" s="6"/>
      <c r="DY1943" s="6"/>
      <c r="DZ1943" s="6"/>
      <c r="EA1943" s="6"/>
      <c r="EB1943" s="6"/>
      <c r="EC1943" s="6"/>
      <c r="ED1943" s="6"/>
      <c r="EE1943" s="6"/>
      <c r="EF1943" s="6"/>
      <c r="EG1943" s="6"/>
      <c r="EH1943" s="6"/>
      <c r="EI1943" s="6"/>
      <c r="EJ1943" s="6"/>
      <c r="EK1943" s="6"/>
      <c r="EL1943" s="6"/>
      <c r="EM1943" s="6"/>
      <c r="EN1943" s="6"/>
      <c r="EO1943" s="6"/>
      <c r="EP1943" s="6"/>
      <c r="EQ1943" s="6"/>
      <c r="ER1943" s="6"/>
      <c r="ES1943" s="6"/>
      <c r="ET1943" s="6"/>
      <c r="EU1943" s="6"/>
      <c r="EV1943" s="6"/>
      <c r="EW1943" s="6"/>
      <c r="EX1943" s="6"/>
      <c r="EY1943" s="6"/>
      <c r="EZ1943" s="6"/>
      <c r="FA1943" s="6"/>
      <c r="FB1943" s="6"/>
      <c r="FC1943" s="6"/>
      <c r="FD1943" s="6"/>
      <c r="FE1943" s="6"/>
      <c r="FF1943" s="6"/>
      <c r="FG1943" s="6"/>
      <c r="FH1943" s="6"/>
      <c r="FI1943" s="6"/>
      <c r="FJ1943" s="6"/>
      <c r="FK1943" s="6"/>
      <c r="FL1943" s="6"/>
      <c r="FM1943" s="6"/>
      <c r="FN1943" s="6"/>
      <c r="FO1943" s="6"/>
      <c r="FP1943" s="6"/>
      <c r="FQ1943" s="6"/>
      <c r="FR1943" s="6"/>
      <c r="FS1943" s="6"/>
      <c r="FT1943" s="6"/>
      <c r="FU1943" s="6"/>
      <c r="FV1943" s="6"/>
      <c r="FW1943" s="6"/>
      <c r="FX1943" s="6"/>
      <c r="FY1943" s="6"/>
      <c r="FZ1943" s="6"/>
      <c r="GA1943" s="6"/>
      <c r="GB1943" s="6"/>
      <c r="GC1943" s="6"/>
      <c r="GD1943" s="6"/>
      <c r="GE1943" s="6"/>
      <c r="GF1943" s="6"/>
      <c r="GG1943" s="6"/>
      <c r="GH1943" s="6"/>
      <c r="GI1943" s="6"/>
      <c r="GJ1943" s="6"/>
      <c r="GK1943" s="6"/>
      <c r="GL1943" s="6"/>
      <c r="GM1943" s="6"/>
      <c r="GN1943" s="6"/>
      <c r="GO1943" s="6"/>
      <c r="GP1943" s="6"/>
      <c r="GQ1943" s="6"/>
      <c r="GR1943" s="6"/>
      <c r="GS1943" s="6"/>
      <c r="GT1943" s="6"/>
      <c r="GU1943" s="6"/>
      <c r="GV1943" s="6"/>
      <c r="GW1943" s="6"/>
      <c r="GX1943" s="6"/>
      <c r="GY1943" s="6"/>
      <c r="GZ1943" s="6"/>
      <c r="HA1943" s="6"/>
      <c r="HB1943" s="6"/>
      <c r="HC1943" s="6"/>
      <c r="HD1943" s="6"/>
      <c r="HE1943" s="6"/>
      <c r="HF1943" s="6"/>
      <c r="HG1943" s="6"/>
      <c r="HH1943" s="6"/>
    </row>
    <row r="1944" spans="1:216" x14ac:dyDescent="0.3">
      <c r="A1944" s="8"/>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c r="DX1944" s="6"/>
      <c r="DY1944" s="6"/>
      <c r="DZ1944" s="6"/>
      <c r="EA1944" s="6"/>
      <c r="EB1944" s="6"/>
      <c r="EC1944" s="6"/>
      <c r="ED1944" s="6"/>
      <c r="EE1944" s="6"/>
      <c r="EF1944" s="6"/>
      <c r="EG1944" s="6"/>
      <c r="EH1944" s="6"/>
      <c r="EI1944" s="6"/>
      <c r="EJ1944" s="6"/>
      <c r="EK1944" s="6"/>
      <c r="EL1944" s="6"/>
      <c r="EM1944" s="6"/>
      <c r="EN1944" s="6"/>
      <c r="EO1944" s="6"/>
      <c r="EP1944" s="6"/>
      <c r="EQ1944" s="6"/>
      <c r="ER1944" s="6"/>
      <c r="ES1944" s="6"/>
      <c r="ET1944" s="6"/>
      <c r="EU1944" s="6"/>
      <c r="EV1944" s="6"/>
      <c r="EW1944" s="6"/>
      <c r="EX1944" s="6"/>
      <c r="EY1944" s="6"/>
      <c r="EZ1944" s="6"/>
      <c r="FA1944" s="6"/>
      <c r="FB1944" s="6"/>
      <c r="FC1944" s="6"/>
      <c r="FD1944" s="6"/>
      <c r="FE1944" s="6"/>
      <c r="FF1944" s="6"/>
      <c r="FG1944" s="6"/>
      <c r="FH1944" s="6"/>
      <c r="FI1944" s="6"/>
      <c r="FJ1944" s="6"/>
      <c r="FK1944" s="6"/>
      <c r="FL1944" s="6"/>
      <c r="FM1944" s="6"/>
      <c r="FN1944" s="6"/>
      <c r="FO1944" s="6"/>
      <c r="FP1944" s="6"/>
      <c r="FQ1944" s="6"/>
      <c r="FR1944" s="6"/>
      <c r="FS1944" s="6"/>
      <c r="FT1944" s="6"/>
      <c r="FU1944" s="6"/>
      <c r="FV1944" s="6"/>
      <c r="FW1944" s="6"/>
      <c r="FX1944" s="6"/>
      <c r="FY1944" s="6"/>
      <c r="FZ1944" s="6"/>
      <c r="GA1944" s="6"/>
      <c r="GB1944" s="6"/>
      <c r="GC1944" s="6"/>
      <c r="GD1944" s="6"/>
      <c r="GE1944" s="6"/>
      <c r="GF1944" s="6"/>
      <c r="GG1944" s="6"/>
      <c r="GH1944" s="6"/>
      <c r="GI1944" s="6"/>
      <c r="GJ1944" s="6"/>
      <c r="GK1944" s="6"/>
      <c r="GL1944" s="6"/>
      <c r="GM1944" s="6"/>
      <c r="GN1944" s="6"/>
      <c r="GO1944" s="6"/>
      <c r="GP1944" s="6"/>
      <c r="GQ1944" s="6"/>
      <c r="GR1944" s="6"/>
      <c r="GS1944" s="6"/>
      <c r="GT1944" s="6"/>
      <c r="GU1944" s="6"/>
      <c r="GV1944" s="6"/>
      <c r="GW1944" s="6"/>
      <c r="GX1944" s="6"/>
      <c r="GY1944" s="6"/>
      <c r="GZ1944" s="6"/>
      <c r="HA1944" s="6"/>
      <c r="HB1944" s="6"/>
      <c r="HC1944" s="6"/>
      <c r="HD1944" s="6"/>
      <c r="HE1944" s="6"/>
      <c r="HF1944" s="6"/>
      <c r="HG1944" s="6"/>
      <c r="HH1944" s="6"/>
    </row>
    <row r="1945" spans="1:216" x14ac:dyDescent="0.3">
      <c r="A1945" s="8"/>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c r="DX1945" s="6"/>
      <c r="DY1945" s="6"/>
      <c r="DZ1945" s="6"/>
      <c r="EA1945" s="6"/>
      <c r="EB1945" s="6"/>
      <c r="EC1945" s="6"/>
      <c r="ED1945" s="6"/>
      <c r="EE1945" s="6"/>
      <c r="EF1945" s="6"/>
      <c r="EG1945" s="6"/>
      <c r="EH1945" s="6"/>
      <c r="EI1945" s="6"/>
      <c r="EJ1945" s="6"/>
      <c r="EK1945" s="6"/>
      <c r="EL1945" s="6"/>
      <c r="EM1945" s="6"/>
      <c r="EN1945" s="6"/>
      <c r="EO1945" s="6"/>
      <c r="EP1945" s="6"/>
      <c r="EQ1945" s="6"/>
      <c r="ER1945" s="6"/>
      <c r="ES1945" s="6"/>
      <c r="ET1945" s="6"/>
      <c r="EU1945" s="6"/>
      <c r="EV1945" s="6"/>
      <c r="EW1945" s="6"/>
      <c r="EX1945" s="6"/>
      <c r="EY1945" s="6"/>
      <c r="EZ1945" s="6"/>
      <c r="FA1945" s="6"/>
      <c r="FB1945" s="6"/>
      <c r="FC1945" s="6"/>
      <c r="FD1945" s="6"/>
      <c r="FE1945" s="6"/>
      <c r="FF1945" s="6"/>
      <c r="FG1945" s="6"/>
      <c r="FH1945" s="6"/>
      <c r="FI1945" s="6"/>
      <c r="FJ1945" s="6"/>
      <c r="FK1945" s="6"/>
      <c r="FL1945" s="6"/>
      <c r="FM1945" s="6"/>
      <c r="FN1945" s="6"/>
      <c r="FO1945" s="6"/>
      <c r="FP1945" s="6"/>
      <c r="FQ1945" s="6"/>
      <c r="FR1945" s="6"/>
      <c r="FS1945" s="6"/>
      <c r="FT1945" s="6"/>
      <c r="FU1945" s="6"/>
      <c r="FV1945" s="6"/>
      <c r="FW1945" s="6"/>
      <c r="FX1945" s="6"/>
      <c r="FY1945" s="6"/>
      <c r="FZ1945" s="6"/>
      <c r="GA1945" s="6"/>
      <c r="GB1945" s="6"/>
      <c r="GC1945" s="6"/>
      <c r="GD1945" s="6"/>
      <c r="GE1945" s="6"/>
      <c r="GF1945" s="6"/>
      <c r="GG1945" s="6"/>
      <c r="GH1945" s="6"/>
      <c r="GI1945" s="6"/>
      <c r="GJ1945" s="6"/>
      <c r="GK1945" s="6"/>
      <c r="GL1945" s="6"/>
      <c r="GM1945" s="6"/>
      <c r="GN1945" s="6"/>
      <c r="GO1945" s="6"/>
      <c r="GP1945" s="6"/>
      <c r="GQ1945" s="6"/>
      <c r="GR1945" s="6"/>
      <c r="GS1945" s="6"/>
      <c r="GT1945" s="6"/>
      <c r="GU1945" s="6"/>
      <c r="GV1945" s="6"/>
      <c r="GW1945" s="6"/>
      <c r="GX1945" s="6"/>
      <c r="GY1945" s="6"/>
      <c r="GZ1945" s="6"/>
      <c r="HA1945" s="6"/>
      <c r="HB1945" s="6"/>
      <c r="HC1945" s="6"/>
      <c r="HD1945" s="6"/>
      <c r="HE1945" s="6"/>
      <c r="HF1945" s="6"/>
      <c r="HG1945" s="6"/>
      <c r="HH1945" s="6"/>
    </row>
    <row r="1946" spans="1:216" x14ac:dyDescent="0.3">
      <c r="A1946" s="8"/>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c r="DX1946" s="6"/>
      <c r="DY1946" s="6"/>
      <c r="DZ1946" s="6"/>
      <c r="EA1946" s="6"/>
      <c r="EB1946" s="6"/>
      <c r="EC1946" s="6"/>
      <c r="ED1946" s="6"/>
      <c r="EE1946" s="6"/>
      <c r="EF1946" s="6"/>
      <c r="EG1946" s="6"/>
      <c r="EH1946" s="6"/>
      <c r="EI1946" s="6"/>
      <c r="EJ1946" s="6"/>
      <c r="EK1946" s="6"/>
      <c r="EL1946" s="6"/>
      <c r="EM1946" s="6"/>
      <c r="EN1946" s="6"/>
      <c r="EO1946" s="6"/>
      <c r="EP1946" s="6"/>
      <c r="EQ1946" s="6"/>
      <c r="ER1946" s="6"/>
      <c r="ES1946" s="6"/>
      <c r="ET1946" s="6"/>
      <c r="EU1946" s="6"/>
      <c r="EV1946" s="6"/>
      <c r="EW1946" s="6"/>
      <c r="EX1946" s="6"/>
      <c r="EY1946" s="6"/>
      <c r="EZ1946" s="6"/>
      <c r="FA1946" s="6"/>
      <c r="FB1946" s="6"/>
      <c r="FC1946" s="6"/>
      <c r="FD1946" s="6"/>
      <c r="FE1946" s="6"/>
      <c r="FF1946" s="6"/>
      <c r="FG1946" s="6"/>
      <c r="FH1946" s="6"/>
      <c r="FI1946" s="6"/>
      <c r="FJ1946" s="6"/>
      <c r="FK1946" s="6"/>
      <c r="FL1946" s="6"/>
      <c r="FM1946" s="6"/>
      <c r="FN1946" s="6"/>
      <c r="FO1946" s="6"/>
      <c r="FP1946" s="6"/>
      <c r="FQ1946" s="6"/>
      <c r="FR1946" s="6"/>
      <c r="FS1946" s="6"/>
      <c r="FT1946" s="6"/>
      <c r="FU1946" s="6"/>
      <c r="FV1946" s="6"/>
      <c r="FW1946" s="6"/>
      <c r="FX1946" s="6"/>
      <c r="FY1946" s="6"/>
      <c r="FZ1946" s="6"/>
      <c r="GA1946" s="6"/>
      <c r="GB1946" s="6"/>
      <c r="GC1946" s="6"/>
      <c r="GD1946" s="6"/>
      <c r="GE1946" s="6"/>
      <c r="GF1946" s="6"/>
      <c r="GG1946" s="6"/>
      <c r="GH1946" s="6"/>
      <c r="GI1946" s="6"/>
      <c r="GJ1946" s="6"/>
      <c r="GK1946" s="6"/>
      <c r="GL1946" s="6"/>
      <c r="GM1946" s="6"/>
      <c r="GN1946" s="6"/>
      <c r="GO1946" s="6"/>
      <c r="GP1946" s="6"/>
      <c r="GQ1946" s="6"/>
      <c r="GR1946" s="6"/>
      <c r="GS1946" s="6"/>
      <c r="GT1946" s="6"/>
      <c r="GU1946" s="6"/>
      <c r="GV1946" s="6"/>
      <c r="GW1946" s="6"/>
      <c r="GX1946" s="6"/>
      <c r="GY1946" s="6"/>
      <c r="GZ1946" s="6"/>
      <c r="HA1946" s="6"/>
      <c r="HB1946" s="6"/>
      <c r="HC1946" s="6"/>
      <c r="HD1946" s="6"/>
      <c r="HE1946" s="6"/>
      <c r="HF1946" s="6"/>
      <c r="HG1946" s="6"/>
      <c r="HH1946" s="6"/>
    </row>
    <row r="1947" spans="1:216" x14ac:dyDescent="0.3">
      <c r="A1947" s="8"/>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c r="DX1947" s="6"/>
      <c r="DY1947" s="6"/>
      <c r="DZ1947" s="6"/>
      <c r="EA1947" s="6"/>
      <c r="EB1947" s="6"/>
      <c r="EC1947" s="6"/>
      <c r="ED1947" s="6"/>
      <c r="EE1947" s="6"/>
      <c r="EF1947" s="6"/>
      <c r="EG1947" s="6"/>
      <c r="EH1947" s="6"/>
      <c r="EI1947" s="6"/>
      <c r="EJ1947" s="6"/>
      <c r="EK1947" s="6"/>
      <c r="EL1947" s="6"/>
      <c r="EM1947" s="6"/>
      <c r="EN1947" s="6"/>
      <c r="EO1947" s="6"/>
      <c r="EP1947" s="6"/>
      <c r="EQ1947" s="6"/>
      <c r="ER1947" s="6"/>
      <c r="ES1947" s="6"/>
      <c r="ET1947" s="6"/>
      <c r="EU1947" s="6"/>
      <c r="EV1947" s="6"/>
      <c r="EW1947" s="6"/>
      <c r="EX1947" s="6"/>
      <c r="EY1947" s="6"/>
      <c r="EZ1947" s="6"/>
      <c r="FA1947" s="6"/>
      <c r="FB1947" s="6"/>
      <c r="FC1947" s="6"/>
      <c r="FD1947" s="6"/>
      <c r="FE1947" s="6"/>
      <c r="FF1947" s="6"/>
      <c r="FG1947" s="6"/>
      <c r="FH1947" s="6"/>
      <c r="FI1947" s="6"/>
      <c r="FJ1947" s="6"/>
      <c r="FK1947" s="6"/>
      <c r="FL1947" s="6"/>
      <c r="FM1947" s="6"/>
      <c r="FN1947" s="6"/>
      <c r="FO1947" s="6"/>
      <c r="FP1947" s="6"/>
      <c r="FQ1947" s="6"/>
      <c r="FR1947" s="6"/>
      <c r="FS1947" s="6"/>
      <c r="FT1947" s="6"/>
      <c r="FU1947" s="6"/>
      <c r="FV1947" s="6"/>
      <c r="FW1947" s="6"/>
      <c r="FX1947" s="6"/>
      <c r="FY1947" s="6"/>
      <c r="FZ1947" s="6"/>
      <c r="GA1947" s="6"/>
      <c r="GB1947" s="6"/>
      <c r="GC1947" s="6"/>
      <c r="GD1947" s="6"/>
      <c r="GE1947" s="6"/>
      <c r="GF1947" s="6"/>
      <c r="GG1947" s="6"/>
      <c r="GH1947" s="6"/>
      <c r="GI1947" s="6"/>
      <c r="GJ1947" s="6"/>
      <c r="GK1947" s="6"/>
      <c r="GL1947" s="6"/>
      <c r="GM1947" s="6"/>
      <c r="GN1947" s="6"/>
      <c r="GO1947" s="6"/>
      <c r="GP1947" s="6"/>
      <c r="GQ1947" s="6"/>
      <c r="GR1947" s="6"/>
      <c r="GS1947" s="6"/>
      <c r="GT1947" s="6"/>
      <c r="GU1947" s="6"/>
      <c r="GV1947" s="6"/>
      <c r="GW1947" s="6"/>
      <c r="GX1947" s="6"/>
      <c r="GY1947" s="6"/>
      <c r="GZ1947" s="6"/>
      <c r="HA1947" s="6"/>
      <c r="HB1947" s="6"/>
      <c r="HC1947" s="6"/>
      <c r="HD1947" s="6"/>
      <c r="HE1947" s="6"/>
      <c r="HF1947" s="6"/>
      <c r="HG1947" s="6"/>
      <c r="HH1947" s="6"/>
    </row>
    <row r="1948" spans="1:216" x14ac:dyDescent="0.3">
      <c r="A1948" s="8"/>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c r="DX1948" s="6"/>
      <c r="DY1948" s="6"/>
      <c r="DZ1948" s="6"/>
      <c r="EA1948" s="6"/>
      <c r="EB1948" s="6"/>
      <c r="EC1948" s="6"/>
      <c r="ED1948" s="6"/>
      <c r="EE1948" s="6"/>
      <c r="EF1948" s="6"/>
      <c r="EG1948" s="6"/>
      <c r="EH1948" s="6"/>
      <c r="EI1948" s="6"/>
      <c r="EJ1948" s="6"/>
      <c r="EK1948" s="6"/>
      <c r="EL1948" s="6"/>
      <c r="EM1948" s="6"/>
      <c r="EN1948" s="6"/>
      <c r="EO1948" s="6"/>
      <c r="EP1948" s="6"/>
      <c r="EQ1948" s="6"/>
      <c r="ER1948" s="6"/>
      <c r="ES1948" s="6"/>
      <c r="ET1948" s="6"/>
      <c r="EU1948" s="6"/>
      <c r="EV1948" s="6"/>
      <c r="EW1948" s="6"/>
      <c r="EX1948" s="6"/>
      <c r="EY1948" s="6"/>
      <c r="EZ1948" s="6"/>
      <c r="FA1948" s="6"/>
      <c r="FB1948" s="6"/>
      <c r="FC1948" s="6"/>
      <c r="FD1948" s="6"/>
      <c r="FE1948" s="6"/>
      <c r="FF1948" s="6"/>
      <c r="FG1948" s="6"/>
      <c r="FH1948" s="6"/>
      <c r="FI1948" s="6"/>
      <c r="FJ1948" s="6"/>
      <c r="FK1948" s="6"/>
      <c r="FL1948" s="6"/>
      <c r="FM1948" s="6"/>
      <c r="FN1948" s="6"/>
      <c r="FO1948" s="6"/>
      <c r="FP1948" s="6"/>
      <c r="FQ1948" s="6"/>
      <c r="FR1948" s="6"/>
      <c r="FS1948" s="6"/>
      <c r="FT1948" s="6"/>
      <c r="FU1948" s="6"/>
      <c r="FV1948" s="6"/>
      <c r="FW1948" s="6"/>
      <c r="FX1948" s="6"/>
      <c r="FY1948" s="6"/>
      <c r="FZ1948" s="6"/>
      <c r="GA1948" s="6"/>
      <c r="GB1948" s="6"/>
      <c r="GC1948" s="6"/>
      <c r="GD1948" s="6"/>
      <c r="GE1948" s="6"/>
      <c r="GF1948" s="6"/>
      <c r="GG1948" s="6"/>
      <c r="GH1948" s="6"/>
      <c r="GI1948" s="6"/>
      <c r="GJ1948" s="6"/>
      <c r="GK1948" s="6"/>
      <c r="GL1948" s="6"/>
      <c r="GM1948" s="6"/>
      <c r="GN1948" s="6"/>
      <c r="GO1948" s="6"/>
      <c r="GP1948" s="6"/>
      <c r="GQ1948" s="6"/>
      <c r="GR1948" s="6"/>
      <c r="GS1948" s="6"/>
      <c r="GT1948" s="6"/>
      <c r="GU1948" s="6"/>
      <c r="GV1948" s="6"/>
      <c r="GW1948" s="6"/>
      <c r="GX1948" s="6"/>
      <c r="GY1948" s="6"/>
      <c r="GZ1948" s="6"/>
      <c r="HA1948" s="6"/>
      <c r="HB1948" s="6"/>
      <c r="HC1948" s="6"/>
      <c r="HD1948" s="6"/>
      <c r="HE1948" s="6"/>
      <c r="HF1948" s="6"/>
      <c r="HG1948" s="6"/>
      <c r="HH1948" s="6"/>
    </row>
    <row r="1949" spans="1:216" x14ac:dyDescent="0.3">
      <c r="A1949" s="8"/>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c r="DX1949" s="6"/>
      <c r="DY1949" s="6"/>
      <c r="DZ1949" s="6"/>
      <c r="EA1949" s="6"/>
      <c r="EB1949" s="6"/>
      <c r="EC1949" s="6"/>
      <c r="ED1949" s="6"/>
      <c r="EE1949" s="6"/>
      <c r="EF1949" s="6"/>
      <c r="EG1949" s="6"/>
      <c r="EH1949" s="6"/>
      <c r="EI1949" s="6"/>
      <c r="EJ1949" s="6"/>
      <c r="EK1949" s="6"/>
      <c r="EL1949" s="6"/>
      <c r="EM1949" s="6"/>
      <c r="EN1949" s="6"/>
      <c r="EO1949" s="6"/>
      <c r="EP1949" s="6"/>
      <c r="EQ1949" s="6"/>
      <c r="ER1949" s="6"/>
      <c r="ES1949" s="6"/>
      <c r="ET1949" s="6"/>
      <c r="EU1949" s="6"/>
      <c r="EV1949" s="6"/>
      <c r="EW1949" s="6"/>
      <c r="EX1949" s="6"/>
      <c r="EY1949" s="6"/>
      <c r="EZ1949" s="6"/>
      <c r="FA1949" s="6"/>
      <c r="FB1949" s="6"/>
      <c r="FC1949" s="6"/>
      <c r="FD1949" s="6"/>
      <c r="FE1949" s="6"/>
      <c r="FF1949" s="6"/>
      <c r="FG1949" s="6"/>
      <c r="FH1949" s="6"/>
      <c r="FI1949" s="6"/>
      <c r="FJ1949" s="6"/>
      <c r="FK1949" s="6"/>
      <c r="FL1949" s="6"/>
      <c r="FM1949" s="6"/>
      <c r="FN1949" s="6"/>
      <c r="FO1949" s="6"/>
      <c r="FP1949" s="6"/>
      <c r="FQ1949" s="6"/>
      <c r="FR1949" s="6"/>
      <c r="FS1949" s="6"/>
      <c r="FT1949" s="6"/>
      <c r="FU1949" s="6"/>
      <c r="FV1949" s="6"/>
      <c r="FW1949" s="6"/>
      <c r="FX1949" s="6"/>
      <c r="FY1949" s="6"/>
      <c r="FZ1949" s="6"/>
      <c r="GA1949" s="6"/>
      <c r="GB1949" s="6"/>
      <c r="GC1949" s="6"/>
      <c r="GD1949" s="6"/>
      <c r="GE1949" s="6"/>
      <c r="GF1949" s="6"/>
      <c r="GG1949" s="6"/>
      <c r="GH1949" s="6"/>
      <c r="GI1949" s="6"/>
      <c r="GJ1949" s="6"/>
      <c r="GK1949" s="6"/>
      <c r="GL1949" s="6"/>
      <c r="GM1949" s="6"/>
      <c r="GN1949" s="6"/>
      <c r="GO1949" s="6"/>
      <c r="GP1949" s="6"/>
      <c r="GQ1949" s="6"/>
      <c r="GR1949" s="6"/>
      <c r="GS1949" s="6"/>
      <c r="GT1949" s="6"/>
      <c r="GU1949" s="6"/>
      <c r="GV1949" s="6"/>
      <c r="GW1949" s="6"/>
      <c r="GX1949" s="6"/>
      <c r="GY1949" s="6"/>
      <c r="GZ1949" s="6"/>
      <c r="HA1949" s="6"/>
      <c r="HB1949" s="6"/>
      <c r="HC1949" s="6"/>
      <c r="HD1949" s="6"/>
      <c r="HE1949" s="6"/>
      <c r="HF1949" s="6"/>
      <c r="HG1949" s="6"/>
      <c r="HH1949" s="6"/>
    </row>
    <row r="1950" spans="1:216" x14ac:dyDescent="0.3">
      <c r="A1950" s="8"/>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6"/>
      <c r="AR1950" s="6"/>
      <c r="AS1950" s="6"/>
      <c r="AT1950" s="6"/>
      <c r="AU1950" s="6"/>
      <c r="AV1950" s="6"/>
      <c r="AW1950" s="6"/>
      <c r="AX1950" s="6"/>
      <c r="AY1950" s="6"/>
      <c r="AZ1950" s="6"/>
      <c r="BA1950" s="6"/>
      <c r="BB1950" s="6"/>
      <c r="BC1950" s="6"/>
      <c r="BD1950" s="6"/>
      <c r="BE1950" s="6"/>
      <c r="BF1950" s="6"/>
      <c r="BG1950" s="6"/>
      <c r="BH1950" s="6"/>
      <c r="BI1950" s="6"/>
      <c r="BJ1950" s="6"/>
      <c r="BK1950" s="6"/>
      <c r="BL1950" s="6"/>
      <c r="BM1950" s="6"/>
      <c r="BN1950" s="6"/>
      <c r="BO1950" s="6"/>
      <c r="BP1950" s="6"/>
      <c r="BQ1950" s="6"/>
      <c r="BR1950" s="6"/>
      <c r="BS1950" s="6"/>
      <c r="BT1950" s="6"/>
      <c r="BU1950" s="6"/>
      <c r="BV1950" s="6"/>
      <c r="BW1950" s="6"/>
      <c r="BX1950" s="6"/>
      <c r="BY1950" s="6"/>
      <c r="BZ1950" s="6"/>
      <c r="CA1950" s="6"/>
      <c r="CB1950" s="6"/>
      <c r="CC1950" s="6"/>
      <c r="CD1950" s="6"/>
      <c r="CE1950" s="6"/>
      <c r="CF1950" s="6"/>
      <c r="CG1950" s="6"/>
      <c r="CH1950" s="6"/>
      <c r="CI1950" s="6"/>
      <c r="CJ1950" s="6"/>
      <c r="CK1950" s="6"/>
      <c r="CL1950" s="6"/>
      <c r="CM1950" s="6"/>
      <c r="CN1950" s="6"/>
      <c r="CO1950" s="6"/>
      <c r="CP1950" s="6"/>
      <c r="CQ1950" s="6"/>
      <c r="CR1950" s="6"/>
      <c r="CS1950" s="6"/>
      <c r="CT1950" s="6"/>
      <c r="CU1950" s="6"/>
      <c r="CV1950" s="6"/>
      <c r="CW1950" s="6"/>
      <c r="CX1950" s="6"/>
      <c r="CY1950" s="6"/>
      <c r="CZ1950" s="6"/>
      <c r="DA1950" s="6"/>
      <c r="DB1950" s="6"/>
      <c r="DC1950" s="6"/>
      <c r="DD1950" s="6"/>
      <c r="DE1950" s="6"/>
      <c r="DF1950" s="6"/>
      <c r="DG1950" s="6"/>
      <c r="DH1950" s="6"/>
      <c r="DI1950" s="6"/>
      <c r="DJ1950" s="6"/>
      <c r="DK1950" s="6"/>
      <c r="DL1950" s="6"/>
      <c r="DM1950" s="6"/>
      <c r="DN1950" s="6"/>
      <c r="DO1950" s="6"/>
      <c r="DP1950" s="6"/>
      <c r="DQ1950" s="6"/>
      <c r="DR1950" s="6"/>
      <c r="DS1950" s="6"/>
      <c r="DT1950" s="6"/>
      <c r="DU1950" s="6"/>
      <c r="DV1950" s="6"/>
      <c r="DW1950" s="6"/>
      <c r="DX1950" s="6"/>
      <c r="DY1950" s="6"/>
      <c r="DZ1950" s="6"/>
      <c r="EA1950" s="6"/>
      <c r="EB1950" s="6"/>
      <c r="EC1950" s="6"/>
      <c r="ED1950" s="6"/>
      <c r="EE1950" s="6"/>
      <c r="EF1950" s="6"/>
      <c r="EG1950" s="6"/>
      <c r="EH1950" s="6"/>
      <c r="EI1950" s="6"/>
      <c r="EJ1950" s="6"/>
      <c r="EK1950" s="6"/>
      <c r="EL1950" s="6"/>
      <c r="EM1950" s="6"/>
      <c r="EN1950" s="6"/>
      <c r="EO1950" s="6"/>
      <c r="EP1950" s="6"/>
      <c r="EQ1950" s="6"/>
      <c r="ER1950" s="6"/>
      <c r="ES1950" s="6"/>
      <c r="ET1950" s="6"/>
      <c r="EU1950" s="6"/>
      <c r="EV1950" s="6"/>
      <c r="EW1950" s="6"/>
      <c r="EX1950" s="6"/>
      <c r="EY1950" s="6"/>
      <c r="EZ1950" s="6"/>
      <c r="FA1950" s="6"/>
      <c r="FB1950" s="6"/>
      <c r="FC1950" s="6"/>
      <c r="FD1950" s="6"/>
      <c r="FE1950" s="6"/>
      <c r="FF1950" s="6"/>
      <c r="FG1950" s="6"/>
      <c r="FH1950" s="6"/>
      <c r="FI1950" s="6"/>
      <c r="FJ1950" s="6"/>
      <c r="FK1950" s="6"/>
      <c r="FL1950" s="6"/>
      <c r="FM1950" s="6"/>
      <c r="FN1950" s="6"/>
      <c r="FO1950" s="6"/>
      <c r="FP1950" s="6"/>
      <c r="FQ1950" s="6"/>
      <c r="FR1950" s="6"/>
      <c r="FS1950" s="6"/>
      <c r="FT1950" s="6"/>
      <c r="FU1950" s="6"/>
      <c r="FV1950" s="6"/>
      <c r="FW1950" s="6"/>
      <c r="FX1950" s="6"/>
      <c r="FY1950" s="6"/>
      <c r="FZ1950" s="6"/>
      <c r="GA1950" s="6"/>
      <c r="GB1950" s="6"/>
      <c r="GC1950" s="6"/>
      <c r="GD1950" s="6"/>
      <c r="GE1950" s="6"/>
      <c r="GF1950" s="6"/>
      <c r="GG1950" s="6"/>
      <c r="GH1950" s="6"/>
      <c r="GI1950" s="6"/>
      <c r="GJ1950" s="6"/>
      <c r="GK1950" s="6"/>
      <c r="GL1950" s="6"/>
      <c r="GM1950" s="6"/>
      <c r="GN1950" s="6"/>
      <c r="GO1950" s="6"/>
      <c r="GP1950" s="6"/>
      <c r="GQ1950" s="6"/>
      <c r="GR1950" s="6"/>
      <c r="GS1950" s="6"/>
      <c r="GT1950" s="6"/>
      <c r="GU1950" s="6"/>
      <c r="GV1950" s="6"/>
      <c r="GW1950" s="6"/>
      <c r="GX1950" s="6"/>
      <c r="GY1950" s="6"/>
      <c r="GZ1950" s="6"/>
      <c r="HA1950" s="6"/>
      <c r="HB1950" s="6"/>
      <c r="HC1950" s="6"/>
      <c r="HD1950" s="6"/>
      <c r="HE1950" s="6"/>
      <c r="HF1950" s="6"/>
      <c r="HG1950" s="6"/>
      <c r="HH1950" s="6"/>
    </row>
    <row r="1951" spans="1:216" x14ac:dyDescent="0.3">
      <c r="A1951" s="8"/>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c r="DX1951" s="6"/>
      <c r="DY1951" s="6"/>
      <c r="DZ1951" s="6"/>
      <c r="EA1951" s="6"/>
      <c r="EB1951" s="6"/>
      <c r="EC1951" s="6"/>
      <c r="ED1951" s="6"/>
      <c r="EE1951" s="6"/>
      <c r="EF1951" s="6"/>
      <c r="EG1951" s="6"/>
      <c r="EH1951" s="6"/>
      <c r="EI1951" s="6"/>
      <c r="EJ1951" s="6"/>
      <c r="EK1951" s="6"/>
      <c r="EL1951" s="6"/>
      <c r="EM1951" s="6"/>
      <c r="EN1951" s="6"/>
      <c r="EO1951" s="6"/>
      <c r="EP1951" s="6"/>
      <c r="EQ1951" s="6"/>
      <c r="ER1951" s="6"/>
      <c r="ES1951" s="6"/>
      <c r="ET1951" s="6"/>
      <c r="EU1951" s="6"/>
      <c r="EV1951" s="6"/>
      <c r="EW1951" s="6"/>
      <c r="EX1951" s="6"/>
      <c r="EY1951" s="6"/>
      <c r="EZ1951" s="6"/>
      <c r="FA1951" s="6"/>
      <c r="FB1951" s="6"/>
      <c r="FC1951" s="6"/>
      <c r="FD1951" s="6"/>
      <c r="FE1951" s="6"/>
      <c r="FF1951" s="6"/>
      <c r="FG1951" s="6"/>
      <c r="FH1951" s="6"/>
      <c r="FI1951" s="6"/>
      <c r="FJ1951" s="6"/>
      <c r="FK1951" s="6"/>
      <c r="FL1951" s="6"/>
      <c r="FM1951" s="6"/>
      <c r="FN1951" s="6"/>
      <c r="FO1951" s="6"/>
      <c r="FP1951" s="6"/>
      <c r="FQ1951" s="6"/>
      <c r="FR1951" s="6"/>
      <c r="FS1951" s="6"/>
      <c r="FT1951" s="6"/>
      <c r="FU1951" s="6"/>
      <c r="FV1951" s="6"/>
      <c r="FW1951" s="6"/>
      <c r="FX1951" s="6"/>
      <c r="FY1951" s="6"/>
      <c r="FZ1951" s="6"/>
      <c r="GA1951" s="6"/>
      <c r="GB1951" s="6"/>
      <c r="GC1951" s="6"/>
      <c r="GD1951" s="6"/>
      <c r="GE1951" s="6"/>
      <c r="GF1951" s="6"/>
      <c r="GG1951" s="6"/>
      <c r="GH1951" s="6"/>
      <c r="GI1951" s="6"/>
      <c r="GJ1951" s="6"/>
      <c r="GK1951" s="6"/>
      <c r="GL1951" s="6"/>
      <c r="GM1951" s="6"/>
      <c r="GN1951" s="6"/>
      <c r="GO1951" s="6"/>
      <c r="GP1951" s="6"/>
      <c r="GQ1951" s="6"/>
      <c r="GR1951" s="6"/>
      <c r="GS1951" s="6"/>
      <c r="GT1951" s="6"/>
      <c r="GU1951" s="6"/>
      <c r="GV1951" s="6"/>
      <c r="GW1951" s="6"/>
      <c r="GX1951" s="6"/>
      <c r="GY1951" s="6"/>
      <c r="GZ1951" s="6"/>
      <c r="HA1951" s="6"/>
      <c r="HB1951" s="6"/>
      <c r="HC1951" s="6"/>
      <c r="HD1951" s="6"/>
      <c r="HE1951" s="6"/>
      <c r="HF1951" s="6"/>
      <c r="HG1951" s="6"/>
      <c r="HH1951" s="6"/>
    </row>
    <row r="1952" spans="1:216" x14ac:dyDescent="0.3">
      <c r="A1952" s="8"/>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6"/>
      <c r="AR1952" s="6"/>
      <c r="AS1952" s="6"/>
      <c r="AT1952" s="6"/>
      <c r="AU1952" s="6"/>
      <c r="AV1952" s="6"/>
      <c r="AW1952" s="6"/>
      <c r="AX1952" s="6"/>
      <c r="AY1952" s="6"/>
      <c r="AZ1952" s="6"/>
      <c r="BA1952" s="6"/>
      <c r="BB1952" s="6"/>
      <c r="BC1952" s="6"/>
      <c r="BD1952" s="6"/>
      <c r="BE1952" s="6"/>
      <c r="BF1952" s="6"/>
      <c r="BG1952" s="6"/>
      <c r="BH1952" s="6"/>
      <c r="BI1952" s="6"/>
      <c r="BJ1952" s="6"/>
      <c r="BK1952" s="6"/>
      <c r="BL1952" s="6"/>
      <c r="BM1952" s="6"/>
      <c r="BN1952" s="6"/>
      <c r="BO1952" s="6"/>
      <c r="BP1952" s="6"/>
      <c r="BQ1952" s="6"/>
      <c r="BR1952" s="6"/>
      <c r="BS1952" s="6"/>
      <c r="BT1952" s="6"/>
      <c r="BU1952" s="6"/>
      <c r="BV1952" s="6"/>
      <c r="BW1952" s="6"/>
      <c r="BX1952" s="6"/>
      <c r="BY1952" s="6"/>
      <c r="BZ1952" s="6"/>
      <c r="CA1952" s="6"/>
      <c r="CB1952" s="6"/>
      <c r="CC1952" s="6"/>
      <c r="CD1952" s="6"/>
      <c r="CE1952" s="6"/>
      <c r="CF1952" s="6"/>
      <c r="CG1952" s="6"/>
      <c r="CH1952" s="6"/>
      <c r="CI1952" s="6"/>
      <c r="CJ1952" s="6"/>
      <c r="CK1952" s="6"/>
      <c r="CL1952" s="6"/>
      <c r="CM1952" s="6"/>
      <c r="CN1952" s="6"/>
      <c r="CO1952" s="6"/>
      <c r="CP1952" s="6"/>
      <c r="CQ1952" s="6"/>
      <c r="CR1952" s="6"/>
      <c r="CS1952" s="6"/>
      <c r="CT1952" s="6"/>
      <c r="CU1952" s="6"/>
      <c r="CV1952" s="6"/>
      <c r="CW1952" s="6"/>
      <c r="CX1952" s="6"/>
      <c r="CY1952" s="6"/>
      <c r="CZ1952" s="6"/>
      <c r="DA1952" s="6"/>
      <c r="DB1952" s="6"/>
      <c r="DC1952" s="6"/>
      <c r="DD1952" s="6"/>
      <c r="DE1952" s="6"/>
      <c r="DF1952" s="6"/>
      <c r="DG1952" s="6"/>
      <c r="DH1952" s="6"/>
      <c r="DI1952" s="6"/>
      <c r="DJ1952" s="6"/>
      <c r="DK1952" s="6"/>
      <c r="DL1952" s="6"/>
      <c r="DM1952" s="6"/>
      <c r="DN1952" s="6"/>
      <c r="DO1952" s="6"/>
      <c r="DP1952" s="6"/>
      <c r="DQ1952" s="6"/>
      <c r="DR1952" s="6"/>
      <c r="DS1952" s="6"/>
      <c r="DT1952" s="6"/>
      <c r="DU1952" s="6"/>
      <c r="DV1952" s="6"/>
      <c r="DW1952" s="6"/>
      <c r="DX1952" s="6"/>
      <c r="DY1952" s="6"/>
      <c r="DZ1952" s="6"/>
      <c r="EA1952" s="6"/>
      <c r="EB1952" s="6"/>
      <c r="EC1952" s="6"/>
      <c r="ED1952" s="6"/>
      <c r="EE1952" s="6"/>
      <c r="EF1952" s="6"/>
      <c r="EG1952" s="6"/>
      <c r="EH1952" s="6"/>
      <c r="EI1952" s="6"/>
      <c r="EJ1952" s="6"/>
      <c r="EK1952" s="6"/>
      <c r="EL1952" s="6"/>
      <c r="EM1952" s="6"/>
      <c r="EN1952" s="6"/>
      <c r="EO1952" s="6"/>
      <c r="EP1952" s="6"/>
      <c r="EQ1952" s="6"/>
      <c r="ER1952" s="6"/>
      <c r="ES1952" s="6"/>
      <c r="ET1952" s="6"/>
      <c r="EU1952" s="6"/>
      <c r="EV1952" s="6"/>
      <c r="EW1952" s="6"/>
      <c r="EX1952" s="6"/>
      <c r="EY1952" s="6"/>
      <c r="EZ1952" s="6"/>
      <c r="FA1952" s="6"/>
      <c r="FB1952" s="6"/>
      <c r="FC1952" s="6"/>
      <c r="FD1952" s="6"/>
      <c r="FE1952" s="6"/>
      <c r="FF1952" s="6"/>
      <c r="FG1952" s="6"/>
      <c r="FH1952" s="6"/>
      <c r="FI1952" s="6"/>
      <c r="FJ1952" s="6"/>
      <c r="FK1952" s="6"/>
      <c r="FL1952" s="6"/>
      <c r="FM1952" s="6"/>
      <c r="FN1952" s="6"/>
      <c r="FO1952" s="6"/>
      <c r="FP1952" s="6"/>
      <c r="FQ1952" s="6"/>
      <c r="FR1952" s="6"/>
      <c r="FS1952" s="6"/>
      <c r="FT1952" s="6"/>
      <c r="FU1952" s="6"/>
      <c r="FV1952" s="6"/>
      <c r="FW1952" s="6"/>
      <c r="FX1952" s="6"/>
      <c r="FY1952" s="6"/>
      <c r="FZ1952" s="6"/>
      <c r="GA1952" s="6"/>
      <c r="GB1952" s="6"/>
      <c r="GC1952" s="6"/>
      <c r="GD1952" s="6"/>
      <c r="GE1952" s="6"/>
      <c r="GF1952" s="6"/>
      <c r="GG1952" s="6"/>
      <c r="GH1952" s="6"/>
      <c r="GI1952" s="6"/>
      <c r="GJ1952" s="6"/>
      <c r="GK1952" s="6"/>
      <c r="GL1952" s="6"/>
      <c r="GM1952" s="6"/>
      <c r="GN1952" s="6"/>
      <c r="GO1952" s="6"/>
      <c r="GP1952" s="6"/>
      <c r="GQ1952" s="6"/>
      <c r="GR1952" s="6"/>
      <c r="GS1952" s="6"/>
      <c r="GT1952" s="6"/>
      <c r="GU1952" s="6"/>
      <c r="GV1952" s="6"/>
      <c r="GW1952" s="6"/>
      <c r="GX1952" s="6"/>
      <c r="GY1952" s="6"/>
      <c r="GZ1952" s="6"/>
      <c r="HA1952" s="6"/>
      <c r="HB1952" s="6"/>
      <c r="HC1952" s="6"/>
      <c r="HD1952" s="6"/>
      <c r="HE1952" s="6"/>
      <c r="HF1952" s="6"/>
      <c r="HG1952" s="6"/>
      <c r="HH1952" s="6"/>
    </row>
    <row r="1953" spans="1:216" x14ac:dyDescent="0.3">
      <c r="A1953" s="8"/>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6"/>
      <c r="AR1953" s="6"/>
      <c r="AS1953" s="6"/>
      <c r="AT1953" s="6"/>
      <c r="AU1953" s="6"/>
      <c r="AV1953" s="6"/>
      <c r="AW1953" s="6"/>
      <c r="AX1953" s="6"/>
      <c r="AY1953" s="6"/>
      <c r="AZ1953" s="6"/>
      <c r="BA1953" s="6"/>
      <c r="BB1953" s="6"/>
      <c r="BC1953" s="6"/>
      <c r="BD1953" s="6"/>
      <c r="BE1953" s="6"/>
      <c r="BF1953" s="6"/>
      <c r="BG1953" s="6"/>
      <c r="BH1953" s="6"/>
      <c r="BI1953" s="6"/>
      <c r="BJ1953" s="6"/>
      <c r="BK1953" s="6"/>
      <c r="BL1953" s="6"/>
      <c r="BM1953" s="6"/>
      <c r="BN1953" s="6"/>
      <c r="BO1953" s="6"/>
      <c r="BP1953" s="6"/>
      <c r="BQ1953" s="6"/>
      <c r="BR1953" s="6"/>
      <c r="BS1953" s="6"/>
      <c r="BT1953" s="6"/>
      <c r="BU1953" s="6"/>
      <c r="BV1953" s="6"/>
      <c r="BW1953" s="6"/>
      <c r="BX1953" s="6"/>
      <c r="BY1953" s="6"/>
      <c r="BZ1953" s="6"/>
      <c r="CA1953" s="6"/>
      <c r="CB1953" s="6"/>
      <c r="CC1953" s="6"/>
      <c r="CD1953" s="6"/>
      <c r="CE1953" s="6"/>
      <c r="CF1953" s="6"/>
      <c r="CG1953" s="6"/>
      <c r="CH1953" s="6"/>
      <c r="CI1953" s="6"/>
      <c r="CJ1953" s="6"/>
      <c r="CK1953" s="6"/>
      <c r="CL1953" s="6"/>
      <c r="CM1953" s="6"/>
      <c r="CN1953" s="6"/>
      <c r="CO1953" s="6"/>
      <c r="CP1953" s="6"/>
      <c r="CQ1953" s="6"/>
      <c r="CR1953" s="6"/>
      <c r="CS1953" s="6"/>
      <c r="CT1953" s="6"/>
      <c r="CU1953" s="6"/>
      <c r="CV1953" s="6"/>
      <c r="CW1953" s="6"/>
      <c r="CX1953" s="6"/>
      <c r="CY1953" s="6"/>
      <c r="CZ1953" s="6"/>
      <c r="DA1953" s="6"/>
      <c r="DB1953" s="6"/>
      <c r="DC1953" s="6"/>
      <c r="DD1953" s="6"/>
      <c r="DE1953" s="6"/>
      <c r="DF1953" s="6"/>
      <c r="DG1953" s="6"/>
      <c r="DH1953" s="6"/>
      <c r="DI1953" s="6"/>
      <c r="DJ1953" s="6"/>
      <c r="DK1953" s="6"/>
      <c r="DL1953" s="6"/>
      <c r="DM1953" s="6"/>
      <c r="DN1953" s="6"/>
      <c r="DO1953" s="6"/>
      <c r="DP1953" s="6"/>
      <c r="DQ1953" s="6"/>
      <c r="DR1953" s="6"/>
      <c r="DS1953" s="6"/>
      <c r="DT1953" s="6"/>
      <c r="DU1953" s="6"/>
      <c r="DV1953" s="6"/>
      <c r="DW1953" s="6"/>
      <c r="DX1953" s="6"/>
      <c r="DY1953" s="6"/>
      <c r="DZ1953" s="6"/>
      <c r="EA1953" s="6"/>
      <c r="EB1953" s="6"/>
      <c r="EC1953" s="6"/>
      <c r="ED1953" s="6"/>
      <c r="EE1953" s="6"/>
      <c r="EF1953" s="6"/>
      <c r="EG1953" s="6"/>
      <c r="EH1953" s="6"/>
      <c r="EI1953" s="6"/>
      <c r="EJ1953" s="6"/>
      <c r="EK1953" s="6"/>
      <c r="EL1953" s="6"/>
      <c r="EM1953" s="6"/>
      <c r="EN1953" s="6"/>
      <c r="EO1953" s="6"/>
      <c r="EP1953" s="6"/>
      <c r="EQ1953" s="6"/>
      <c r="ER1953" s="6"/>
      <c r="ES1953" s="6"/>
      <c r="ET1953" s="6"/>
      <c r="EU1953" s="6"/>
      <c r="EV1953" s="6"/>
      <c r="EW1953" s="6"/>
      <c r="EX1953" s="6"/>
      <c r="EY1953" s="6"/>
      <c r="EZ1953" s="6"/>
      <c r="FA1953" s="6"/>
      <c r="FB1953" s="6"/>
      <c r="FC1953" s="6"/>
      <c r="FD1953" s="6"/>
      <c r="FE1953" s="6"/>
      <c r="FF1953" s="6"/>
      <c r="FG1953" s="6"/>
      <c r="FH1953" s="6"/>
      <c r="FI1953" s="6"/>
      <c r="FJ1953" s="6"/>
      <c r="FK1953" s="6"/>
      <c r="FL1953" s="6"/>
      <c r="FM1953" s="6"/>
      <c r="FN1953" s="6"/>
      <c r="FO1953" s="6"/>
      <c r="FP1953" s="6"/>
      <c r="FQ1953" s="6"/>
      <c r="FR1953" s="6"/>
      <c r="FS1953" s="6"/>
      <c r="FT1953" s="6"/>
      <c r="FU1953" s="6"/>
      <c r="FV1953" s="6"/>
      <c r="FW1953" s="6"/>
      <c r="FX1953" s="6"/>
      <c r="FY1953" s="6"/>
      <c r="FZ1953" s="6"/>
      <c r="GA1953" s="6"/>
      <c r="GB1953" s="6"/>
      <c r="GC1953" s="6"/>
      <c r="GD1953" s="6"/>
      <c r="GE1953" s="6"/>
      <c r="GF1953" s="6"/>
      <c r="GG1953" s="6"/>
      <c r="GH1953" s="6"/>
      <c r="GI1953" s="6"/>
      <c r="GJ1953" s="6"/>
      <c r="GK1953" s="6"/>
      <c r="GL1953" s="6"/>
      <c r="GM1953" s="6"/>
      <c r="GN1953" s="6"/>
      <c r="GO1953" s="6"/>
      <c r="GP1953" s="6"/>
      <c r="GQ1953" s="6"/>
      <c r="GR1953" s="6"/>
      <c r="GS1953" s="6"/>
      <c r="GT1953" s="6"/>
      <c r="GU1953" s="6"/>
      <c r="GV1953" s="6"/>
      <c r="GW1953" s="6"/>
      <c r="GX1953" s="6"/>
      <c r="GY1953" s="6"/>
      <c r="GZ1953" s="6"/>
      <c r="HA1953" s="6"/>
      <c r="HB1953" s="6"/>
      <c r="HC1953" s="6"/>
      <c r="HD1953" s="6"/>
      <c r="HE1953" s="6"/>
      <c r="HF1953" s="6"/>
      <c r="HG1953" s="6"/>
      <c r="HH1953" s="6"/>
    </row>
    <row r="1954" spans="1:216" x14ac:dyDescent="0.3">
      <c r="A1954" s="8"/>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6"/>
      <c r="AR1954" s="6"/>
      <c r="AS1954" s="6"/>
      <c r="AT1954" s="6"/>
      <c r="AU1954" s="6"/>
      <c r="AV1954" s="6"/>
      <c r="AW1954" s="6"/>
      <c r="AX1954" s="6"/>
      <c r="AY1954" s="6"/>
      <c r="AZ1954" s="6"/>
      <c r="BA1954" s="6"/>
      <c r="BB1954" s="6"/>
      <c r="BC1954" s="6"/>
      <c r="BD1954" s="6"/>
      <c r="BE1954" s="6"/>
      <c r="BF1954" s="6"/>
      <c r="BG1954" s="6"/>
      <c r="BH1954" s="6"/>
      <c r="BI1954" s="6"/>
      <c r="BJ1954" s="6"/>
      <c r="BK1954" s="6"/>
      <c r="BL1954" s="6"/>
      <c r="BM1954" s="6"/>
      <c r="BN1954" s="6"/>
      <c r="BO1954" s="6"/>
      <c r="BP1954" s="6"/>
      <c r="BQ1954" s="6"/>
      <c r="BR1954" s="6"/>
      <c r="BS1954" s="6"/>
      <c r="BT1954" s="6"/>
      <c r="BU1954" s="6"/>
      <c r="BV1954" s="6"/>
      <c r="BW1954" s="6"/>
      <c r="BX1954" s="6"/>
      <c r="BY1954" s="6"/>
      <c r="BZ1954" s="6"/>
      <c r="CA1954" s="6"/>
      <c r="CB1954" s="6"/>
      <c r="CC1954" s="6"/>
      <c r="CD1954" s="6"/>
      <c r="CE1954" s="6"/>
      <c r="CF1954" s="6"/>
      <c r="CG1954" s="6"/>
      <c r="CH1954" s="6"/>
      <c r="CI1954" s="6"/>
      <c r="CJ1954" s="6"/>
      <c r="CK1954" s="6"/>
      <c r="CL1954" s="6"/>
      <c r="CM1954" s="6"/>
      <c r="CN1954" s="6"/>
      <c r="CO1954" s="6"/>
      <c r="CP1954" s="6"/>
      <c r="CQ1954" s="6"/>
      <c r="CR1954" s="6"/>
      <c r="CS1954" s="6"/>
      <c r="CT1954" s="6"/>
      <c r="CU1954" s="6"/>
      <c r="CV1954" s="6"/>
      <c r="CW1954" s="6"/>
      <c r="CX1954" s="6"/>
      <c r="CY1954" s="6"/>
      <c r="CZ1954" s="6"/>
      <c r="DA1954" s="6"/>
      <c r="DB1954" s="6"/>
      <c r="DC1954" s="6"/>
      <c r="DD1954" s="6"/>
      <c r="DE1954" s="6"/>
      <c r="DF1954" s="6"/>
      <c r="DG1954" s="6"/>
      <c r="DH1954" s="6"/>
      <c r="DI1954" s="6"/>
      <c r="DJ1954" s="6"/>
      <c r="DK1954" s="6"/>
      <c r="DL1954" s="6"/>
      <c r="DM1954" s="6"/>
      <c r="DN1954" s="6"/>
      <c r="DO1954" s="6"/>
      <c r="DP1954" s="6"/>
      <c r="DQ1954" s="6"/>
      <c r="DR1954" s="6"/>
      <c r="DS1954" s="6"/>
      <c r="DT1954" s="6"/>
      <c r="DU1954" s="6"/>
      <c r="DV1954" s="6"/>
      <c r="DW1954" s="6"/>
      <c r="DX1954" s="6"/>
      <c r="DY1954" s="6"/>
      <c r="DZ1954" s="6"/>
      <c r="EA1954" s="6"/>
      <c r="EB1954" s="6"/>
      <c r="EC1954" s="6"/>
      <c r="ED1954" s="6"/>
      <c r="EE1954" s="6"/>
      <c r="EF1954" s="6"/>
      <c r="EG1954" s="6"/>
      <c r="EH1954" s="6"/>
      <c r="EI1954" s="6"/>
      <c r="EJ1954" s="6"/>
      <c r="EK1954" s="6"/>
      <c r="EL1954" s="6"/>
      <c r="EM1954" s="6"/>
      <c r="EN1954" s="6"/>
      <c r="EO1954" s="6"/>
      <c r="EP1954" s="6"/>
      <c r="EQ1954" s="6"/>
      <c r="ER1954" s="6"/>
      <c r="ES1954" s="6"/>
      <c r="ET1954" s="6"/>
      <c r="EU1954" s="6"/>
      <c r="EV1954" s="6"/>
      <c r="EW1954" s="6"/>
      <c r="EX1954" s="6"/>
      <c r="EY1954" s="6"/>
      <c r="EZ1954" s="6"/>
      <c r="FA1954" s="6"/>
      <c r="FB1954" s="6"/>
      <c r="FC1954" s="6"/>
      <c r="FD1954" s="6"/>
      <c r="FE1954" s="6"/>
      <c r="FF1954" s="6"/>
      <c r="FG1954" s="6"/>
      <c r="FH1954" s="6"/>
      <c r="FI1954" s="6"/>
      <c r="FJ1954" s="6"/>
      <c r="FK1954" s="6"/>
      <c r="FL1954" s="6"/>
      <c r="FM1954" s="6"/>
      <c r="FN1954" s="6"/>
      <c r="FO1954" s="6"/>
      <c r="FP1954" s="6"/>
      <c r="FQ1954" s="6"/>
      <c r="FR1954" s="6"/>
      <c r="FS1954" s="6"/>
      <c r="FT1954" s="6"/>
      <c r="FU1954" s="6"/>
      <c r="FV1954" s="6"/>
      <c r="FW1954" s="6"/>
      <c r="FX1954" s="6"/>
      <c r="FY1954" s="6"/>
      <c r="FZ1954" s="6"/>
      <c r="GA1954" s="6"/>
      <c r="GB1954" s="6"/>
      <c r="GC1954" s="6"/>
      <c r="GD1954" s="6"/>
      <c r="GE1954" s="6"/>
      <c r="GF1954" s="6"/>
      <c r="GG1954" s="6"/>
      <c r="GH1954" s="6"/>
      <c r="GI1954" s="6"/>
      <c r="GJ1954" s="6"/>
      <c r="GK1954" s="6"/>
      <c r="GL1954" s="6"/>
      <c r="GM1954" s="6"/>
      <c r="GN1954" s="6"/>
      <c r="GO1954" s="6"/>
      <c r="GP1954" s="6"/>
      <c r="GQ1954" s="6"/>
      <c r="GR1954" s="6"/>
      <c r="GS1954" s="6"/>
      <c r="GT1954" s="6"/>
      <c r="GU1954" s="6"/>
      <c r="GV1954" s="6"/>
      <c r="GW1954" s="6"/>
      <c r="GX1954" s="6"/>
      <c r="GY1954" s="6"/>
      <c r="GZ1954" s="6"/>
      <c r="HA1954" s="6"/>
      <c r="HB1954" s="6"/>
      <c r="HC1954" s="6"/>
      <c r="HD1954" s="6"/>
      <c r="HE1954" s="6"/>
      <c r="HF1954" s="6"/>
      <c r="HG1954" s="6"/>
      <c r="HH1954" s="6"/>
    </row>
    <row r="1955" spans="1:216" x14ac:dyDescent="0.3">
      <c r="A1955" s="8"/>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6"/>
      <c r="AR1955" s="6"/>
      <c r="AS1955" s="6"/>
      <c r="AT1955" s="6"/>
      <c r="AU1955" s="6"/>
      <c r="AV1955" s="6"/>
      <c r="AW1955" s="6"/>
      <c r="AX1955" s="6"/>
      <c r="AY1955" s="6"/>
      <c r="AZ1955" s="6"/>
      <c r="BA1955" s="6"/>
      <c r="BB1955" s="6"/>
      <c r="BC1955" s="6"/>
      <c r="BD1955" s="6"/>
      <c r="BE1955" s="6"/>
      <c r="BF1955" s="6"/>
      <c r="BG1955" s="6"/>
      <c r="BH1955" s="6"/>
      <c r="BI1955" s="6"/>
      <c r="BJ1955" s="6"/>
      <c r="BK1955" s="6"/>
      <c r="BL1955" s="6"/>
      <c r="BM1955" s="6"/>
      <c r="BN1955" s="6"/>
      <c r="BO1955" s="6"/>
      <c r="BP1955" s="6"/>
      <c r="BQ1955" s="6"/>
      <c r="BR1955" s="6"/>
      <c r="BS1955" s="6"/>
      <c r="BT1955" s="6"/>
      <c r="BU1955" s="6"/>
      <c r="BV1955" s="6"/>
      <c r="BW1955" s="6"/>
      <c r="BX1955" s="6"/>
      <c r="BY1955" s="6"/>
      <c r="BZ1955" s="6"/>
      <c r="CA1955" s="6"/>
      <c r="CB1955" s="6"/>
      <c r="CC1955" s="6"/>
      <c r="CD1955" s="6"/>
      <c r="CE1955" s="6"/>
      <c r="CF1955" s="6"/>
      <c r="CG1955" s="6"/>
      <c r="CH1955" s="6"/>
      <c r="CI1955" s="6"/>
      <c r="CJ1955" s="6"/>
      <c r="CK1955" s="6"/>
      <c r="CL1955" s="6"/>
      <c r="CM1955" s="6"/>
      <c r="CN1955" s="6"/>
      <c r="CO1955" s="6"/>
      <c r="CP1955" s="6"/>
      <c r="CQ1955" s="6"/>
      <c r="CR1955" s="6"/>
      <c r="CS1955" s="6"/>
      <c r="CT1955" s="6"/>
      <c r="CU1955" s="6"/>
      <c r="CV1955" s="6"/>
      <c r="CW1955" s="6"/>
      <c r="CX1955" s="6"/>
      <c r="CY1955" s="6"/>
      <c r="CZ1955" s="6"/>
      <c r="DA1955" s="6"/>
      <c r="DB1955" s="6"/>
      <c r="DC1955" s="6"/>
      <c r="DD1955" s="6"/>
      <c r="DE1955" s="6"/>
      <c r="DF1955" s="6"/>
      <c r="DG1955" s="6"/>
      <c r="DH1955" s="6"/>
      <c r="DI1955" s="6"/>
      <c r="DJ1955" s="6"/>
      <c r="DK1955" s="6"/>
      <c r="DL1955" s="6"/>
      <c r="DM1955" s="6"/>
      <c r="DN1955" s="6"/>
      <c r="DO1955" s="6"/>
      <c r="DP1955" s="6"/>
      <c r="DQ1955" s="6"/>
      <c r="DR1955" s="6"/>
      <c r="DS1955" s="6"/>
      <c r="DT1955" s="6"/>
      <c r="DU1955" s="6"/>
      <c r="DV1955" s="6"/>
      <c r="DW1955" s="6"/>
      <c r="DX1955" s="6"/>
      <c r="DY1955" s="6"/>
      <c r="DZ1955" s="6"/>
      <c r="EA1955" s="6"/>
      <c r="EB1955" s="6"/>
      <c r="EC1955" s="6"/>
      <c r="ED1955" s="6"/>
      <c r="EE1955" s="6"/>
      <c r="EF1955" s="6"/>
      <c r="EG1955" s="6"/>
      <c r="EH1955" s="6"/>
      <c r="EI1955" s="6"/>
      <c r="EJ1955" s="6"/>
      <c r="EK1955" s="6"/>
      <c r="EL1955" s="6"/>
      <c r="EM1955" s="6"/>
      <c r="EN1955" s="6"/>
      <c r="EO1955" s="6"/>
      <c r="EP1955" s="6"/>
      <c r="EQ1955" s="6"/>
      <c r="ER1955" s="6"/>
      <c r="ES1955" s="6"/>
      <c r="ET1955" s="6"/>
      <c r="EU1955" s="6"/>
      <c r="EV1955" s="6"/>
      <c r="EW1955" s="6"/>
      <c r="EX1955" s="6"/>
      <c r="EY1955" s="6"/>
      <c r="EZ1955" s="6"/>
      <c r="FA1955" s="6"/>
      <c r="FB1955" s="6"/>
      <c r="FC1955" s="6"/>
      <c r="FD1955" s="6"/>
      <c r="FE1955" s="6"/>
      <c r="FF1955" s="6"/>
      <c r="FG1955" s="6"/>
      <c r="FH1955" s="6"/>
      <c r="FI1955" s="6"/>
      <c r="FJ1955" s="6"/>
      <c r="FK1955" s="6"/>
      <c r="FL1955" s="6"/>
      <c r="FM1955" s="6"/>
      <c r="FN1955" s="6"/>
      <c r="FO1955" s="6"/>
      <c r="FP1955" s="6"/>
      <c r="FQ1955" s="6"/>
      <c r="FR1955" s="6"/>
      <c r="FS1955" s="6"/>
      <c r="FT1955" s="6"/>
      <c r="FU1955" s="6"/>
      <c r="FV1955" s="6"/>
      <c r="FW1955" s="6"/>
      <c r="FX1955" s="6"/>
      <c r="FY1955" s="6"/>
      <c r="FZ1955" s="6"/>
      <c r="GA1955" s="6"/>
      <c r="GB1955" s="6"/>
      <c r="GC1955" s="6"/>
      <c r="GD1955" s="6"/>
      <c r="GE1955" s="6"/>
      <c r="GF1955" s="6"/>
      <c r="GG1955" s="6"/>
      <c r="GH1955" s="6"/>
      <c r="GI1955" s="6"/>
      <c r="GJ1955" s="6"/>
      <c r="GK1955" s="6"/>
      <c r="GL1955" s="6"/>
      <c r="GM1955" s="6"/>
      <c r="GN1955" s="6"/>
      <c r="GO1955" s="6"/>
      <c r="GP1955" s="6"/>
      <c r="GQ1955" s="6"/>
      <c r="GR1955" s="6"/>
      <c r="GS1955" s="6"/>
      <c r="GT1955" s="6"/>
      <c r="GU1955" s="6"/>
      <c r="GV1955" s="6"/>
      <c r="GW1955" s="6"/>
      <c r="GX1955" s="6"/>
      <c r="GY1955" s="6"/>
      <c r="GZ1955" s="6"/>
      <c r="HA1955" s="6"/>
      <c r="HB1955" s="6"/>
      <c r="HC1955" s="6"/>
      <c r="HD1955" s="6"/>
      <c r="HE1955" s="6"/>
      <c r="HF1955" s="6"/>
      <c r="HG1955" s="6"/>
      <c r="HH1955" s="6"/>
    </row>
    <row r="1956" spans="1:216" x14ac:dyDescent="0.3">
      <c r="A1956" s="8"/>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6"/>
      <c r="AR1956" s="6"/>
      <c r="AS1956" s="6"/>
      <c r="AT1956" s="6"/>
      <c r="AU1956" s="6"/>
      <c r="AV1956" s="6"/>
      <c r="AW1956" s="6"/>
      <c r="AX1956" s="6"/>
      <c r="AY1956" s="6"/>
      <c r="AZ1956" s="6"/>
      <c r="BA1956" s="6"/>
      <c r="BB1956" s="6"/>
      <c r="BC1956" s="6"/>
      <c r="BD1956" s="6"/>
      <c r="BE1956" s="6"/>
      <c r="BF1956" s="6"/>
      <c r="BG1956" s="6"/>
      <c r="BH1956" s="6"/>
      <c r="BI1956" s="6"/>
      <c r="BJ1956" s="6"/>
      <c r="BK1956" s="6"/>
      <c r="BL1956" s="6"/>
      <c r="BM1956" s="6"/>
      <c r="BN1956" s="6"/>
      <c r="BO1956" s="6"/>
      <c r="BP1956" s="6"/>
      <c r="BQ1956" s="6"/>
      <c r="BR1956" s="6"/>
      <c r="BS1956" s="6"/>
      <c r="BT1956" s="6"/>
      <c r="BU1956" s="6"/>
      <c r="BV1956" s="6"/>
      <c r="BW1956" s="6"/>
      <c r="BX1956" s="6"/>
      <c r="BY1956" s="6"/>
      <c r="BZ1956" s="6"/>
      <c r="CA1956" s="6"/>
      <c r="CB1956" s="6"/>
      <c r="CC1956" s="6"/>
      <c r="CD1956" s="6"/>
      <c r="CE1956" s="6"/>
      <c r="CF1956" s="6"/>
      <c r="CG1956" s="6"/>
      <c r="CH1956" s="6"/>
      <c r="CI1956" s="6"/>
      <c r="CJ1956" s="6"/>
      <c r="CK1956" s="6"/>
      <c r="CL1956" s="6"/>
      <c r="CM1956" s="6"/>
      <c r="CN1956" s="6"/>
      <c r="CO1956" s="6"/>
      <c r="CP1956" s="6"/>
      <c r="CQ1956" s="6"/>
      <c r="CR1956" s="6"/>
      <c r="CS1956" s="6"/>
      <c r="CT1956" s="6"/>
      <c r="CU1956" s="6"/>
      <c r="CV1956" s="6"/>
      <c r="CW1956" s="6"/>
      <c r="CX1956" s="6"/>
      <c r="CY1956" s="6"/>
      <c r="CZ1956" s="6"/>
      <c r="DA1956" s="6"/>
      <c r="DB1956" s="6"/>
      <c r="DC1956" s="6"/>
      <c r="DD1956" s="6"/>
      <c r="DE1956" s="6"/>
      <c r="DF1956" s="6"/>
      <c r="DG1956" s="6"/>
      <c r="DH1956" s="6"/>
      <c r="DI1956" s="6"/>
      <c r="DJ1956" s="6"/>
      <c r="DK1956" s="6"/>
      <c r="DL1956" s="6"/>
      <c r="DM1956" s="6"/>
      <c r="DN1956" s="6"/>
      <c r="DO1956" s="6"/>
      <c r="DP1956" s="6"/>
      <c r="DQ1956" s="6"/>
      <c r="DR1956" s="6"/>
      <c r="DS1956" s="6"/>
      <c r="DT1956" s="6"/>
      <c r="DU1956" s="6"/>
      <c r="DV1956" s="6"/>
      <c r="DW1956" s="6"/>
      <c r="DX1956" s="6"/>
      <c r="DY1956" s="6"/>
      <c r="DZ1956" s="6"/>
      <c r="EA1956" s="6"/>
      <c r="EB1956" s="6"/>
      <c r="EC1956" s="6"/>
      <c r="ED1956" s="6"/>
      <c r="EE1956" s="6"/>
      <c r="EF1956" s="6"/>
      <c r="EG1956" s="6"/>
      <c r="EH1956" s="6"/>
      <c r="EI1956" s="6"/>
      <c r="EJ1956" s="6"/>
      <c r="EK1956" s="6"/>
      <c r="EL1956" s="6"/>
      <c r="EM1956" s="6"/>
      <c r="EN1956" s="6"/>
      <c r="EO1956" s="6"/>
      <c r="EP1956" s="6"/>
      <c r="EQ1956" s="6"/>
      <c r="ER1956" s="6"/>
      <c r="ES1956" s="6"/>
      <c r="ET1956" s="6"/>
      <c r="EU1956" s="6"/>
      <c r="EV1956" s="6"/>
      <c r="EW1956" s="6"/>
      <c r="EX1956" s="6"/>
      <c r="EY1956" s="6"/>
      <c r="EZ1956" s="6"/>
      <c r="FA1956" s="6"/>
      <c r="FB1956" s="6"/>
      <c r="FC1956" s="6"/>
      <c r="FD1956" s="6"/>
      <c r="FE1956" s="6"/>
      <c r="FF1956" s="6"/>
      <c r="FG1956" s="6"/>
      <c r="FH1956" s="6"/>
      <c r="FI1956" s="6"/>
      <c r="FJ1956" s="6"/>
      <c r="FK1956" s="6"/>
      <c r="FL1956" s="6"/>
      <c r="FM1956" s="6"/>
      <c r="FN1956" s="6"/>
      <c r="FO1956" s="6"/>
      <c r="FP1956" s="6"/>
      <c r="FQ1956" s="6"/>
      <c r="FR1956" s="6"/>
      <c r="FS1956" s="6"/>
      <c r="FT1956" s="6"/>
      <c r="FU1956" s="6"/>
      <c r="FV1956" s="6"/>
      <c r="FW1956" s="6"/>
      <c r="FX1956" s="6"/>
      <c r="FY1956" s="6"/>
      <c r="FZ1956" s="6"/>
      <c r="GA1956" s="6"/>
      <c r="GB1956" s="6"/>
      <c r="GC1956" s="6"/>
      <c r="GD1956" s="6"/>
      <c r="GE1956" s="6"/>
      <c r="GF1956" s="6"/>
      <c r="GG1956" s="6"/>
      <c r="GH1956" s="6"/>
      <c r="GI1956" s="6"/>
      <c r="GJ1956" s="6"/>
      <c r="GK1956" s="6"/>
      <c r="GL1956" s="6"/>
      <c r="GM1956" s="6"/>
      <c r="GN1956" s="6"/>
      <c r="GO1956" s="6"/>
      <c r="GP1956" s="6"/>
      <c r="GQ1956" s="6"/>
      <c r="GR1956" s="6"/>
      <c r="GS1956" s="6"/>
      <c r="GT1956" s="6"/>
      <c r="GU1956" s="6"/>
      <c r="GV1956" s="6"/>
      <c r="GW1956" s="6"/>
      <c r="GX1956" s="6"/>
      <c r="GY1956" s="6"/>
      <c r="GZ1956" s="6"/>
      <c r="HA1956" s="6"/>
      <c r="HB1956" s="6"/>
      <c r="HC1956" s="6"/>
      <c r="HD1956" s="6"/>
      <c r="HE1956" s="6"/>
      <c r="HF1956" s="6"/>
      <c r="HG1956" s="6"/>
      <c r="HH1956" s="6"/>
    </row>
    <row r="1957" spans="1:216" x14ac:dyDescent="0.3">
      <c r="A1957" s="8"/>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c r="DX1957" s="6"/>
      <c r="DY1957" s="6"/>
      <c r="DZ1957" s="6"/>
      <c r="EA1957" s="6"/>
      <c r="EB1957" s="6"/>
      <c r="EC1957" s="6"/>
      <c r="ED1957" s="6"/>
      <c r="EE1957" s="6"/>
      <c r="EF1957" s="6"/>
      <c r="EG1957" s="6"/>
      <c r="EH1957" s="6"/>
      <c r="EI1957" s="6"/>
      <c r="EJ1957" s="6"/>
      <c r="EK1957" s="6"/>
      <c r="EL1957" s="6"/>
      <c r="EM1957" s="6"/>
      <c r="EN1957" s="6"/>
      <c r="EO1957" s="6"/>
      <c r="EP1957" s="6"/>
      <c r="EQ1957" s="6"/>
      <c r="ER1957" s="6"/>
      <c r="ES1957" s="6"/>
      <c r="ET1957" s="6"/>
      <c r="EU1957" s="6"/>
      <c r="EV1957" s="6"/>
      <c r="EW1957" s="6"/>
      <c r="EX1957" s="6"/>
      <c r="EY1957" s="6"/>
      <c r="EZ1957" s="6"/>
      <c r="FA1957" s="6"/>
      <c r="FB1957" s="6"/>
      <c r="FC1957" s="6"/>
      <c r="FD1957" s="6"/>
      <c r="FE1957" s="6"/>
      <c r="FF1957" s="6"/>
      <c r="FG1957" s="6"/>
      <c r="FH1957" s="6"/>
      <c r="FI1957" s="6"/>
      <c r="FJ1957" s="6"/>
      <c r="FK1957" s="6"/>
      <c r="FL1957" s="6"/>
      <c r="FM1957" s="6"/>
      <c r="FN1957" s="6"/>
      <c r="FO1957" s="6"/>
      <c r="FP1957" s="6"/>
      <c r="FQ1957" s="6"/>
      <c r="FR1957" s="6"/>
      <c r="FS1957" s="6"/>
      <c r="FT1957" s="6"/>
      <c r="FU1957" s="6"/>
      <c r="FV1957" s="6"/>
      <c r="FW1957" s="6"/>
      <c r="FX1957" s="6"/>
      <c r="FY1957" s="6"/>
      <c r="FZ1957" s="6"/>
      <c r="GA1957" s="6"/>
      <c r="GB1957" s="6"/>
      <c r="GC1957" s="6"/>
      <c r="GD1957" s="6"/>
      <c r="GE1957" s="6"/>
      <c r="GF1957" s="6"/>
      <c r="GG1957" s="6"/>
      <c r="GH1957" s="6"/>
      <c r="GI1957" s="6"/>
      <c r="GJ1957" s="6"/>
      <c r="GK1957" s="6"/>
      <c r="GL1957" s="6"/>
      <c r="GM1957" s="6"/>
      <c r="GN1957" s="6"/>
      <c r="GO1957" s="6"/>
      <c r="GP1957" s="6"/>
      <c r="GQ1957" s="6"/>
      <c r="GR1957" s="6"/>
      <c r="GS1957" s="6"/>
      <c r="GT1957" s="6"/>
      <c r="GU1957" s="6"/>
      <c r="GV1957" s="6"/>
      <c r="GW1957" s="6"/>
      <c r="GX1957" s="6"/>
      <c r="GY1957" s="6"/>
      <c r="GZ1957" s="6"/>
      <c r="HA1957" s="6"/>
      <c r="HB1957" s="6"/>
      <c r="HC1957" s="6"/>
      <c r="HD1957" s="6"/>
      <c r="HE1957" s="6"/>
      <c r="HF1957" s="6"/>
      <c r="HG1957" s="6"/>
      <c r="HH1957" s="6"/>
    </row>
    <row r="1958" spans="1:216" x14ac:dyDescent="0.3">
      <c r="A1958" s="8"/>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6"/>
      <c r="AR1958" s="6"/>
      <c r="AS1958" s="6"/>
      <c r="AT1958" s="6"/>
      <c r="AU1958" s="6"/>
      <c r="AV1958" s="6"/>
      <c r="AW1958" s="6"/>
      <c r="AX1958" s="6"/>
      <c r="AY1958" s="6"/>
      <c r="AZ1958" s="6"/>
      <c r="BA1958" s="6"/>
      <c r="BB1958" s="6"/>
      <c r="BC1958" s="6"/>
      <c r="BD1958" s="6"/>
      <c r="BE1958" s="6"/>
      <c r="BF1958" s="6"/>
      <c r="BG1958" s="6"/>
      <c r="BH1958" s="6"/>
      <c r="BI1958" s="6"/>
      <c r="BJ1958" s="6"/>
      <c r="BK1958" s="6"/>
      <c r="BL1958" s="6"/>
      <c r="BM1958" s="6"/>
      <c r="BN1958" s="6"/>
      <c r="BO1958" s="6"/>
      <c r="BP1958" s="6"/>
      <c r="BQ1958" s="6"/>
      <c r="BR1958" s="6"/>
      <c r="BS1958" s="6"/>
      <c r="BT1958" s="6"/>
      <c r="BU1958" s="6"/>
      <c r="BV1958" s="6"/>
      <c r="BW1958" s="6"/>
      <c r="BX1958" s="6"/>
      <c r="BY1958" s="6"/>
      <c r="BZ1958" s="6"/>
      <c r="CA1958" s="6"/>
      <c r="CB1958" s="6"/>
      <c r="CC1958" s="6"/>
      <c r="CD1958" s="6"/>
      <c r="CE1958" s="6"/>
      <c r="CF1958" s="6"/>
      <c r="CG1958" s="6"/>
      <c r="CH1958" s="6"/>
      <c r="CI1958" s="6"/>
      <c r="CJ1958" s="6"/>
      <c r="CK1958" s="6"/>
      <c r="CL1958" s="6"/>
      <c r="CM1958" s="6"/>
      <c r="CN1958" s="6"/>
      <c r="CO1958" s="6"/>
      <c r="CP1958" s="6"/>
      <c r="CQ1958" s="6"/>
      <c r="CR1958" s="6"/>
      <c r="CS1958" s="6"/>
      <c r="CT1958" s="6"/>
      <c r="CU1958" s="6"/>
      <c r="CV1958" s="6"/>
      <c r="CW1958" s="6"/>
      <c r="CX1958" s="6"/>
      <c r="CY1958" s="6"/>
      <c r="CZ1958" s="6"/>
      <c r="DA1958" s="6"/>
      <c r="DB1958" s="6"/>
      <c r="DC1958" s="6"/>
      <c r="DD1958" s="6"/>
      <c r="DE1958" s="6"/>
      <c r="DF1958" s="6"/>
      <c r="DG1958" s="6"/>
      <c r="DH1958" s="6"/>
      <c r="DI1958" s="6"/>
      <c r="DJ1958" s="6"/>
      <c r="DK1958" s="6"/>
      <c r="DL1958" s="6"/>
      <c r="DM1958" s="6"/>
      <c r="DN1958" s="6"/>
      <c r="DO1958" s="6"/>
      <c r="DP1958" s="6"/>
      <c r="DQ1958" s="6"/>
      <c r="DR1958" s="6"/>
      <c r="DS1958" s="6"/>
      <c r="DT1958" s="6"/>
      <c r="DU1958" s="6"/>
      <c r="DV1958" s="6"/>
      <c r="DW1958" s="6"/>
      <c r="DX1958" s="6"/>
      <c r="DY1958" s="6"/>
      <c r="DZ1958" s="6"/>
      <c r="EA1958" s="6"/>
      <c r="EB1958" s="6"/>
      <c r="EC1958" s="6"/>
      <c r="ED1958" s="6"/>
      <c r="EE1958" s="6"/>
      <c r="EF1958" s="6"/>
      <c r="EG1958" s="6"/>
      <c r="EH1958" s="6"/>
      <c r="EI1958" s="6"/>
      <c r="EJ1958" s="6"/>
      <c r="EK1958" s="6"/>
      <c r="EL1958" s="6"/>
      <c r="EM1958" s="6"/>
      <c r="EN1958" s="6"/>
      <c r="EO1958" s="6"/>
      <c r="EP1958" s="6"/>
      <c r="EQ1958" s="6"/>
      <c r="ER1958" s="6"/>
      <c r="ES1958" s="6"/>
      <c r="ET1958" s="6"/>
      <c r="EU1958" s="6"/>
      <c r="EV1958" s="6"/>
      <c r="EW1958" s="6"/>
      <c r="EX1958" s="6"/>
      <c r="EY1958" s="6"/>
      <c r="EZ1958" s="6"/>
      <c r="FA1958" s="6"/>
      <c r="FB1958" s="6"/>
      <c r="FC1958" s="6"/>
      <c r="FD1958" s="6"/>
      <c r="FE1958" s="6"/>
      <c r="FF1958" s="6"/>
      <c r="FG1958" s="6"/>
      <c r="FH1958" s="6"/>
      <c r="FI1958" s="6"/>
      <c r="FJ1958" s="6"/>
      <c r="FK1958" s="6"/>
      <c r="FL1958" s="6"/>
      <c r="FM1958" s="6"/>
      <c r="FN1958" s="6"/>
      <c r="FO1958" s="6"/>
      <c r="FP1958" s="6"/>
      <c r="FQ1958" s="6"/>
      <c r="FR1958" s="6"/>
      <c r="FS1958" s="6"/>
      <c r="FT1958" s="6"/>
      <c r="FU1958" s="6"/>
      <c r="FV1958" s="6"/>
      <c r="FW1958" s="6"/>
      <c r="FX1958" s="6"/>
      <c r="FY1958" s="6"/>
      <c r="FZ1958" s="6"/>
      <c r="GA1958" s="6"/>
      <c r="GB1958" s="6"/>
      <c r="GC1958" s="6"/>
      <c r="GD1958" s="6"/>
      <c r="GE1958" s="6"/>
      <c r="GF1958" s="6"/>
      <c r="GG1958" s="6"/>
      <c r="GH1958" s="6"/>
      <c r="GI1958" s="6"/>
      <c r="GJ1958" s="6"/>
      <c r="GK1958" s="6"/>
      <c r="GL1958" s="6"/>
      <c r="GM1958" s="6"/>
      <c r="GN1958" s="6"/>
      <c r="GO1958" s="6"/>
      <c r="GP1958" s="6"/>
      <c r="GQ1958" s="6"/>
      <c r="GR1958" s="6"/>
      <c r="GS1958" s="6"/>
      <c r="GT1958" s="6"/>
      <c r="GU1958" s="6"/>
      <c r="GV1958" s="6"/>
      <c r="GW1958" s="6"/>
      <c r="GX1958" s="6"/>
      <c r="GY1958" s="6"/>
      <c r="GZ1958" s="6"/>
      <c r="HA1958" s="6"/>
      <c r="HB1958" s="6"/>
      <c r="HC1958" s="6"/>
      <c r="HD1958" s="6"/>
      <c r="HE1958" s="6"/>
      <c r="HF1958" s="6"/>
      <c r="HG1958" s="6"/>
      <c r="HH1958" s="6"/>
    </row>
    <row r="1959" spans="1:216" x14ac:dyDescent="0.3">
      <c r="A1959" s="8"/>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row>
    <row r="1960" spans="1:216" x14ac:dyDescent="0.3">
      <c r="A1960" s="8"/>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row>
    <row r="1961" spans="1:216" x14ac:dyDescent="0.3">
      <c r="A1961" s="8"/>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row>
    <row r="1962" spans="1:216" x14ac:dyDescent="0.3">
      <c r="A1962" s="8"/>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row>
    <row r="1963" spans="1:216" x14ac:dyDescent="0.3">
      <c r="A1963" s="8"/>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6"/>
      <c r="AR1963" s="6"/>
      <c r="AS1963" s="6"/>
      <c r="AT1963" s="6"/>
      <c r="AU1963" s="6"/>
      <c r="AV1963" s="6"/>
      <c r="AW1963" s="6"/>
      <c r="AX1963" s="6"/>
      <c r="AY1963" s="6"/>
      <c r="AZ1963" s="6"/>
      <c r="BA1963" s="6"/>
      <c r="BB1963" s="6"/>
      <c r="BC1963" s="6"/>
      <c r="BD1963" s="6"/>
      <c r="BE1963" s="6"/>
      <c r="BF1963" s="6"/>
      <c r="BG1963" s="6"/>
      <c r="BH1963" s="6"/>
      <c r="BI1963" s="6"/>
      <c r="BJ1963" s="6"/>
      <c r="BK1963" s="6"/>
      <c r="BL1963" s="6"/>
      <c r="BM1963" s="6"/>
      <c r="BN1963" s="6"/>
      <c r="BO1963" s="6"/>
      <c r="BP1963" s="6"/>
      <c r="BQ1963" s="6"/>
      <c r="BR1963" s="6"/>
      <c r="BS1963" s="6"/>
      <c r="BT1963" s="6"/>
      <c r="BU1963" s="6"/>
      <c r="BV1963" s="6"/>
      <c r="BW1963" s="6"/>
      <c r="BX1963" s="6"/>
      <c r="BY1963" s="6"/>
      <c r="BZ1963" s="6"/>
      <c r="CA1963" s="6"/>
      <c r="CB1963" s="6"/>
      <c r="CC1963" s="6"/>
      <c r="CD1963" s="6"/>
      <c r="CE1963" s="6"/>
      <c r="CF1963" s="6"/>
      <c r="CG1963" s="6"/>
      <c r="CH1963" s="6"/>
      <c r="CI1963" s="6"/>
      <c r="CJ1963" s="6"/>
      <c r="CK1963" s="6"/>
      <c r="CL1963" s="6"/>
      <c r="CM1963" s="6"/>
      <c r="CN1963" s="6"/>
      <c r="CO1963" s="6"/>
      <c r="CP1963" s="6"/>
      <c r="CQ1963" s="6"/>
      <c r="CR1963" s="6"/>
      <c r="CS1963" s="6"/>
      <c r="CT1963" s="6"/>
      <c r="CU1963" s="6"/>
      <c r="CV1963" s="6"/>
      <c r="CW1963" s="6"/>
      <c r="CX1963" s="6"/>
      <c r="CY1963" s="6"/>
      <c r="CZ1963" s="6"/>
      <c r="DA1963" s="6"/>
      <c r="DB1963" s="6"/>
      <c r="DC1963" s="6"/>
      <c r="DD1963" s="6"/>
      <c r="DE1963" s="6"/>
      <c r="DF1963" s="6"/>
      <c r="DG1963" s="6"/>
      <c r="DH1963" s="6"/>
      <c r="DI1963" s="6"/>
      <c r="DJ1963" s="6"/>
      <c r="DK1963" s="6"/>
      <c r="DL1963" s="6"/>
      <c r="DM1963" s="6"/>
      <c r="DN1963" s="6"/>
      <c r="DO1963" s="6"/>
      <c r="DP1963" s="6"/>
      <c r="DQ1963" s="6"/>
      <c r="DR1963" s="6"/>
      <c r="DS1963" s="6"/>
      <c r="DT1963" s="6"/>
      <c r="DU1963" s="6"/>
      <c r="DV1963" s="6"/>
      <c r="DW1963" s="6"/>
      <c r="DX1963" s="6"/>
      <c r="DY1963" s="6"/>
      <c r="DZ1963" s="6"/>
      <c r="EA1963" s="6"/>
      <c r="EB1963" s="6"/>
      <c r="EC1963" s="6"/>
      <c r="ED1963" s="6"/>
      <c r="EE1963" s="6"/>
      <c r="EF1963" s="6"/>
      <c r="EG1963" s="6"/>
      <c r="EH1963" s="6"/>
      <c r="EI1963" s="6"/>
      <c r="EJ1963" s="6"/>
      <c r="EK1963" s="6"/>
      <c r="EL1963" s="6"/>
      <c r="EM1963" s="6"/>
      <c r="EN1963" s="6"/>
      <c r="EO1963" s="6"/>
      <c r="EP1963" s="6"/>
      <c r="EQ1963" s="6"/>
      <c r="ER1963" s="6"/>
      <c r="ES1963" s="6"/>
      <c r="ET1963" s="6"/>
      <c r="EU1963" s="6"/>
      <c r="EV1963" s="6"/>
      <c r="EW1963" s="6"/>
      <c r="EX1963" s="6"/>
      <c r="EY1963" s="6"/>
      <c r="EZ1963" s="6"/>
      <c r="FA1963" s="6"/>
      <c r="FB1963" s="6"/>
      <c r="FC1963" s="6"/>
      <c r="FD1963" s="6"/>
      <c r="FE1963" s="6"/>
      <c r="FF1963" s="6"/>
      <c r="FG1963" s="6"/>
      <c r="FH1963" s="6"/>
      <c r="FI1963" s="6"/>
      <c r="FJ1963" s="6"/>
      <c r="FK1963" s="6"/>
      <c r="FL1963" s="6"/>
      <c r="FM1963" s="6"/>
      <c r="FN1963" s="6"/>
      <c r="FO1963" s="6"/>
      <c r="FP1963" s="6"/>
      <c r="FQ1963" s="6"/>
      <c r="FR1963" s="6"/>
      <c r="FS1963" s="6"/>
      <c r="FT1963" s="6"/>
      <c r="FU1963" s="6"/>
      <c r="FV1963" s="6"/>
      <c r="FW1963" s="6"/>
      <c r="FX1963" s="6"/>
      <c r="FY1963" s="6"/>
      <c r="FZ1963" s="6"/>
      <c r="GA1963" s="6"/>
      <c r="GB1963" s="6"/>
      <c r="GC1963" s="6"/>
      <c r="GD1963" s="6"/>
      <c r="GE1963" s="6"/>
      <c r="GF1963" s="6"/>
      <c r="GG1963" s="6"/>
      <c r="GH1963" s="6"/>
      <c r="GI1963" s="6"/>
      <c r="GJ1963" s="6"/>
      <c r="GK1963" s="6"/>
      <c r="GL1963" s="6"/>
      <c r="GM1963" s="6"/>
      <c r="GN1963" s="6"/>
      <c r="GO1963" s="6"/>
      <c r="GP1963" s="6"/>
      <c r="GQ1963" s="6"/>
      <c r="GR1963" s="6"/>
      <c r="GS1963" s="6"/>
      <c r="GT1963" s="6"/>
      <c r="GU1963" s="6"/>
      <c r="GV1963" s="6"/>
      <c r="GW1963" s="6"/>
      <c r="GX1963" s="6"/>
      <c r="GY1963" s="6"/>
      <c r="GZ1963" s="6"/>
      <c r="HA1963" s="6"/>
      <c r="HB1963" s="6"/>
      <c r="HC1963" s="6"/>
      <c r="HD1963" s="6"/>
      <c r="HE1963" s="6"/>
      <c r="HF1963" s="6"/>
      <c r="HG1963" s="6"/>
      <c r="HH1963" s="6"/>
    </row>
    <row r="1964" spans="1:216" x14ac:dyDescent="0.3">
      <c r="A1964" s="8"/>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6"/>
      <c r="AR1964" s="6"/>
      <c r="AS1964" s="6"/>
      <c r="AT1964" s="6"/>
      <c r="AU1964" s="6"/>
      <c r="AV1964" s="6"/>
      <c r="AW1964" s="6"/>
      <c r="AX1964" s="6"/>
      <c r="AY1964" s="6"/>
      <c r="AZ1964" s="6"/>
      <c r="BA1964" s="6"/>
      <c r="BB1964" s="6"/>
      <c r="BC1964" s="6"/>
      <c r="BD1964" s="6"/>
      <c r="BE1964" s="6"/>
      <c r="BF1964" s="6"/>
      <c r="BG1964" s="6"/>
      <c r="BH1964" s="6"/>
      <c r="BI1964" s="6"/>
      <c r="BJ1964" s="6"/>
      <c r="BK1964" s="6"/>
      <c r="BL1964" s="6"/>
      <c r="BM1964" s="6"/>
      <c r="BN1964" s="6"/>
      <c r="BO1964" s="6"/>
      <c r="BP1964" s="6"/>
      <c r="BQ1964" s="6"/>
      <c r="BR1964" s="6"/>
      <c r="BS1964" s="6"/>
      <c r="BT1964" s="6"/>
      <c r="BU1964" s="6"/>
      <c r="BV1964" s="6"/>
      <c r="BW1964" s="6"/>
      <c r="BX1964" s="6"/>
      <c r="BY1964" s="6"/>
      <c r="BZ1964" s="6"/>
      <c r="CA1964" s="6"/>
      <c r="CB1964" s="6"/>
      <c r="CC1964" s="6"/>
      <c r="CD1964" s="6"/>
      <c r="CE1964" s="6"/>
      <c r="CF1964" s="6"/>
      <c r="CG1964" s="6"/>
      <c r="CH1964" s="6"/>
      <c r="CI1964" s="6"/>
      <c r="CJ1964" s="6"/>
      <c r="CK1964" s="6"/>
      <c r="CL1964" s="6"/>
      <c r="CM1964" s="6"/>
      <c r="CN1964" s="6"/>
      <c r="CO1964" s="6"/>
      <c r="CP1964" s="6"/>
      <c r="CQ1964" s="6"/>
      <c r="CR1964" s="6"/>
      <c r="CS1964" s="6"/>
      <c r="CT1964" s="6"/>
      <c r="CU1964" s="6"/>
      <c r="CV1964" s="6"/>
      <c r="CW1964" s="6"/>
      <c r="CX1964" s="6"/>
      <c r="CY1964" s="6"/>
      <c r="CZ1964" s="6"/>
      <c r="DA1964" s="6"/>
      <c r="DB1964" s="6"/>
      <c r="DC1964" s="6"/>
      <c r="DD1964" s="6"/>
      <c r="DE1964" s="6"/>
      <c r="DF1964" s="6"/>
      <c r="DG1964" s="6"/>
      <c r="DH1964" s="6"/>
      <c r="DI1964" s="6"/>
      <c r="DJ1964" s="6"/>
      <c r="DK1964" s="6"/>
      <c r="DL1964" s="6"/>
      <c r="DM1964" s="6"/>
      <c r="DN1964" s="6"/>
      <c r="DO1964" s="6"/>
      <c r="DP1964" s="6"/>
      <c r="DQ1964" s="6"/>
      <c r="DR1964" s="6"/>
      <c r="DS1964" s="6"/>
      <c r="DT1964" s="6"/>
      <c r="DU1964" s="6"/>
      <c r="DV1964" s="6"/>
      <c r="DW1964" s="6"/>
      <c r="DX1964" s="6"/>
      <c r="DY1964" s="6"/>
      <c r="DZ1964" s="6"/>
      <c r="EA1964" s="6"/>
      <c r="EB1964" s="6"/>
      <c r="EC1964" s="6"/>
      <c r="ED1964" s="6"/>
      <c r="EE1964" s="6"/>
      <c r="EF1964" s="6"/>
      <c r="EG1964" s="6"/>
      <c r="EH1964" s="6"/>
      <c r="EI1964" s="6"/>
      <c r="EJ1964" s="6"/>
      <c r="EK1964" s="6"/>
      <c r="EL1964" s="6"/>
      <c r="EM1964" s="6"/>
      <c r="EN1964" s="6"/>
      <c r="EO1964" s="6"/>
      <c r="EP1964" s="6"/>
      <c r="EQ1964" s="6"/>
      <c r="ER1964" s="6"/>
      <c r="ES1964" s="6"/>
      <c r="ET1964" s="6"/>
      <c r="EU1964" s="6"/>
      <c r="EV1964" s="6"/>
      <c r="EW1964" s="6"/>
      <c r="EX1964" s="6"/>
      <c r="EY1964" s="6"/>
      <c r="EZ1964" s="6"/>
      <c r="FA1964" s="6"/>
      <c r="FB1964" s="6"/>
      <c r="FC1964" s="6"/>
      <c r="FD1964" s="6"/>
      <c r="FE1964" s="6"/>
      <c r="FF1964" s="6"/>
      <c r="FG1964" s="6"/>
      <c r="FH1964" s="6"/>
      <c r="FI1964" s="6"/>
      <c r="FJ1964" s="6"/>
      <c r="FK1964" s="6"/>
      <c r="FL1964" s="6"/>
      <c r="FM1964" s="6"/>
      <c r="FN1964" s="6"/>
      <c r="FO1964" s="6"/>
      <c r="FP1964" s="6"/>
      <c r="FQ1964" s="6"/>
      <c r="FR1964" s="6"/>
      <c r="FS1964" s="6"/>
      <c r="FT1964" s="6"/>
      <c r="FU1964" s="6"/>
      <c r="FV1964" s="6"/>
      <c r="FW1964" s="6"/>
      <c r="FX1964" s="6"/>
      <c r="FY1964" s="6"/>
      <c r="FZ1964" s="6"/>
      <c r="GA1964" s="6"/>
      <c r="GB1964" s="6"/>
      <c r="GC1964" s="6"/>
      <c r="GD1964" s="6"/>
      <c r="GE1964" s="6"/>
      <c r="GF1964" s="6"/>
      <c r="GG1964" s="6"/>
      <c r="GH1964" s="6"/>
      <c r="GI1964" s="6"/>
      <c r="GJ1964" s="6"/>
      <c r="GK1964" s="6"/>
      <c r="GL1964" s="6"/>
      <c r="GM1964" s="6"/>
      <c r="GN1964" s="6"/>
      <c r="GO1964" s="6"/>
      <c r="GP1964" s="6"/>
      <c r="GQ1964" s="6"/>
      <c r="GR1964" s="6"/>
      <c r="GS1964" s="6"/>
      <c r="GT1964" s="6"/>
      <c r="GU1964" s="6"/>
      <c r="GV1964" s="6"/>
      <c r="GW1964" s="6"/>
      <c r="GX1964" s="6"/>
      <c r="GY1964" s="6"/>
      <c r="GZ1964" s="6"/>
      <c r="HA1964" s="6"/>
      <c r="HB1964" s="6"/>
      <c r="HC1964" s="6"/>
      <c r="HD1964" s="6"/>
      <c r="HE1964" s="6"/>
      <c r="HF1964" s="6"/>
      <c r="HG1964" s="6"/>
      <c r="HH1964" s="6"/>
    </row>
    <row r="1965" spans="1:216" x14ac:dyDescent="0.3">
      <c r="A1965" s="8"/>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c r="DX1965" s="6"/>
      <c r="DY1965" s="6"/>
      <c r="DZ1965" s="6"/>
      <c r="EA1965" s="6"/>
      <c r="EB1965" s="6"/>
      <c r="EC1965" s="6"/>
      <c r="ED1965" s="6"/>
      <c r="EE1965" s="6"/>
      <c r="EF1965" s="6"/>
      <c r="EG1965" s="6"/>
      <c r="EH1965" s="6"/>
      <c r="EI1965" s="6"/>
      <c r="EJ1965" s="6"/>
      <c r="EK1965" s="6"/>
      <c r="EL1965" s="6"/>
      <c r="EM1965" s="6"/>
      <c r="EN1965" s="6"/>
      <c r="EO1965" s="6"/>
      <c r="EP1965" s="6"/>
      <c r="EQ1965" s="6"/>
      <c r="ER1965" s="6"/>
      <c r="ES1965" s="6"/>
      <c r="ET1965" s="6"/>
      <c r="EU1965" s="6"/>
      <c r="EV1965" s="6"/>
      <c r="EW1965" s="6"/>
      <c r="EX1965" s="6"/>
      <c r="EY1965" s="6"/>
      <c r="EZ1965" s="6"/>
      <c r="FA1965" s="6"/>
      <c r="FB1965" s="6"/>
      <c r="FC1965" s="6"/>
      <c r="FD1965" s="6"/>
      <c r="FE1965" s="6"/>
      <c r="FF1965" s="6"/>
      <c r="FG1965" s="6"/>
      <c r="FH1965" s="6"/>
      <c r="FI1965" s="6"/>
      <c r="FJ1965" s="6"/>
      <c r="FK1965" s="6"/>
      <c r="FL1965" s="6"/>
      <c r="FM1965" s="6"/>
      <c r="FN1965" s="6"/>
      <c r="FO1965" s="6"/>
      <c r="FP1965" s="6"/>
      <c r="FQ1965" s="6"/>
      <c r="FR1965" s="6"/>
      <c r="FS1965" s="6"/>
      <c r="FT1965" s="6"/>
      <c r="FU1965" s="6"/>
      <c r="FV1965" s="6"/>
      <c r="FW1965" s="6"/>
      <c r="FX1965" s="6"/>
      <c r="FY1965" s="6"/>
      <c r="FZ1965" s="6"/>
      <c r="GA1965" s="6"/>
      <c r="GB1965" s="6"/>
      <c r="GC1965" s="6"/>
      <c r="GD1965" s="6"/>
      <c r="GE1965" s="6"/>
      <c r="GF1965" s="6"/>
      <c r="GG1965" s="6"/>
      <c r="GH1965" s="6"/>
      <c r="GI1965" s="6"/>
      <c r="GJ1965" s="6"/>
      <c r="GK1965" s="6"/>
      <c r="GL1965" s="6"/>
      <c r="GM1965" s="6"/>
      <c r="GN1965" s="6"/>
      <c r="GO1965" s="6"/>
      <c r="GP1965" s="6"/>
      <c r="GQ1965" s="6"/>
      <c r="GR1965" s="6"/>
      <c r="GS1965" s="6"/>
      <c r="GT1965" s="6"/>
      <c r="GU1965" s="6"/>
      <c r="GV1965" s="6"/>
      <c r="GW1965" s="6"/>
      <c r="GX1965" s="6"/>
      <c r="GY1965" s="6"/>
      <c r="GZ1965" s="6"/>
      <c r="HA1965" s="6"/>
      <c r="HB1965" s="6"/>
      <c r="HC1965" s="6"/>
      <c r="HD1965" s="6"/>
      <c r="HE1965" s="6"/>
      <c r="HF1965" s="6"/>
      <c r="HG1965" s="6"/>
      <c r="HH1965" s="6"/>
    </row>
    <row r="1966" spans="1:216" x14ac:dyDescent="0.3">
      <c r="A1966" s="8"/>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6"/>
      <c r="AR1966" s="6"/>
      <c r="AS1966" s="6"/>
      <c r="AT1966" s="6"/>
      <c r="AU1966" s="6"/>
      <c r="AV1966" s="6"/>
      <c r="AW1966" s="6"/>
      <c r="AX1966" s="6"/>
      <c r="AY1966" s="6"/>
      <c r="AZ1966" s="6"/>
      <c r="BA1966" s="6"/>
      <c r="BB1966" s="6"/>
      <c r="BC1966" s="6"/>
      <c r="BD1966" s="6"/>
      <c r="BE1966" s="6"/>
      <c r="BF1966" s="6"/>
      <c r="BG1966" s="6"/>
      <c r="BH1966" s="6"/>
      <c r="BI1966" s="6"/>
      <c r="BJ1966" s="6"/>
      <c r="BK1966" s="6"/>
      <c r="BL1966" s="6"/>
      <c r="BM1966" s="6"/>
      <c r="BN1966" s="6"/>
      <c r="BO1966" s="6"/>
      <c r="BP1966" s="6"/>
      <c r="BQ1966" s="6"/>
      <c r="BR1966" s="6"/>
      <c r="BS1966" s="6"/>
      <c r="BT1966" s="6"/>
      <c r="BU1966" s="6"/>
      <c r="BV1966" s="6"/>
      <c r="BW1966" s="6"/>
      <c r="BX1966" s="6"/>
      <c r="BY1966" s="6"/>
      <c r="BZ1966" s="6"/>
      <c r="CA1966" s="6"/>
      <c r="CB1966" s="6"/>
      <c r="CC1966" s="6"/>
      <c r="CD1966" s="6"/>
      <c r="CE1966" s="6"/>
      <c r="CF1966" s="6"/>
      <c r="CG1966" s="6"/>
      <c r="CH1966" s="6"/>
      <c r="CI1966" s="6"/>
      <c r="CJ1966" s="6"/>
      <c r="CK1966" s="6"/>
      <c r="CL1966" s="6"/>
      <c r="CM1966" s="6"/>
      <c r="CN1966" s="6"/>
      <c r="CO1966" s="6"/>
      <c r="CP1966" s="6"/>
      <c r="CQ1966" s="6"/>
      <c r="CR1966" s="6"/>
      <c r="CS1966" s="6"/>
      <c r="CT1966" s="6"/>
      <c r="CU1966" s="6"/>
      <c r="CV1966" s="6"/>
      <c r="CW1966" s="6"/>
      <c r="CX1966" s="6"/>
      <c r="CY1966" s="6"/>
      <c r="CZ1966" s="6"/>
      <c r="DA1966" s="6"/>
      <c r="DB1966" s="6"/>
      <c r="DC1966" s="6"/>
      <c r="DD1966" s="6"/>
      <c r="DE1966" s="6"/>
      <c r="DF1966" s="6"/>
      <c r="DG1966" s="6"/>
      <c r="DH1966" s="6"/>
      <c r="DI1966" s="6"/>
      <c r="DJ1966" s="6"/>
      <c r="DK1966" s="6"/>
      <c r="DL1966" s="6"/>
      <c r="DM1966" s="6"/>
      <c r="DN1966" s="6"/>
      <c r="DO1966" s="6"/>
      <c r="DP1966" s="6"/>
      <c r="DQ1966" s="6"/>
      <c r="DR1966" s="6"/>
      <c r="DS1966" s="6"/>
      <c r="DT1966" s="6"/>
      <c r="DU1966" s="6"/>
      <c r="DV1966" s="6"/>
      <c r="DW1966" s="6"/>
      <c r="DX1966" s="6"/>
      <c r="DY1966" s="6"/>
      <c r="DZ1966" s="6"/>
      <c r="EA1966" s="6"/>
      <c r="EB1966" s="6"/>
      <c r="EC1966" s="6"/>
      <c r="ED1966" s="6"/>
      <c r="EE1966" s="6"/>
      <c r="EF1966" s="6"/>
      <c r="EG1966" s="6"/>
      <c r="EH1966" s="6"/>
      <c r="EI1966" s="6"/>
      <c r="EJ1966" s="6"/>
      <c r="EK1966" s="6"/>
      <c r="EL1966" s="6"/>
      <c r="EM1966" s="6"/>
      <c r="EN1966" s="6"/>
      <c r="EO1966" s="6"/>
      <c r="EP1966" s="6"/>
      <c r="EQ1966" s="6"/>
      <c r="ER1966" s="6"/>
      <c r="ES1966" s="6"/>
      <c r="ET1966" s="6"/>
      <c r="EU1966" s="6"/>
      <c r="EV1966" s="6"/>
      <c r="EW1966" s="6"/>
      <c r="EX1966" s="6"/>
      <c r="EY1966" s="6"/>
      <c r="EZ1966" s="6"/>
      <c r="FA1966" s="6"/>
      <c r="FB1966" s="6"/>
      <c r="FC1966" s="6"/>
      <c r="FD1966" s="6"/>
      <c r="FE1966" s="6"/>
      <c r="FF1966" s="6"/>
      <c r="FG1966" s="6"/>
      <c r="FH1966" s="6"/>
      <c r="FI1966" s="6"/>
      <c r="FJ1966" s="6"/>
      <c r="FK1966" s="6"/>
      <c r="FL1966" s="6"/>
      <c r="FM1966" s="6"/>
      <c r="FN1966" s="6"/>
      <c r="FO1966" s="6"/>
      <c r="FP1966" s="6"/>
      <c r="FQ1966" s="6"/>
      <c r="FR1966" s="6"/>
      <c r="FS1966" s="6"/>
      <c r="FT1966" s="6"/>
      <c r="FU1966" s="6"/>
      <c r="FV1966" s="6"/>
      <c r="FW1966" s="6"/>
      <c r="FX1966" s="6"/>
      <c r="FY1966" s="6"/>
      <c r="FZ1966" s="6"/>
      <c r="GA1966" s="6"/>
      <c r="GB1966" s="6"/>
      <c r="GC1966" s="6"/>
      <c r="GD1966" s="6"/>
      <c r="GE1966" s="6"/>
      <c r="GF1966" s="6"/>
      <c r="GG1966" s="6"/>
      <c r="GH1966" s="6"/>
      <c r="GI1966" s="6"/>
      <c r="GJ1966" s="6"/>
      <c r="GK1966" s="6"/>
      <c r="GL1966" s="6"/>
      <c r="GM1966" s="6"/>
      <c r="GN1966" s="6"/>
      <c r="GO1966" s="6"/>
      <c r="GP1966" s="6"/>
      <c r="GQ1966" s="6"/>
      <c r="GR1966" s="6"/>
      <c r="GS1966" s="6"/>
      <c r="GT1966" s="6"/>
      <c r="GU1966" s="6"/>
      <c r="GV1966" s="6"/>
      <c r="GW1966" s="6"/>
      <c r="GX1966" s="6"/>
      <c r="GY1966" s="6"/>
      <c r="GZ1966" s="6"/>
      <c r="HA1966" s="6"/>
      <c r="HB1966" s="6"/>
      <c r="HC1966" s="6"/>
      <c r="HD1966" s="6"/>
      <c r="HE1966" s="6"/>
      <c r="HF1966" s="6"/>
      <c r="HG1966" s="6"/>
      <c r="HH1966" s="6"/>
    </row>
    <row r="1967" spans="1:216" x14ac:dyDescent="0.3">
      <c r="A1967" s="8"/>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6"/>
      <c r="AR1967" s="6"/>
      <c r="AS1967" s="6"/>
      <c r="AT1967" s="6"/>
      <c r="AU1967" s="6"/>
      <c r="AV1967" s="6"/>
      <c r="AW1967" s="6"/>
      <c r="AX1967" s="6"/>
      <c r="AY1967" s="6"/>
      <c r="AZ1967" s="6"/>
      <c r="BA1967" s="6"/>
      <c r="BB1967" s="6"/>
      <c r="BC1967" s="6"/>
      <c r="BD1967" s="6"/>
      <c r="BE1967" s="6"/>
      <c r="BF1967" s="6"/>
      <c r="BG1967" s="6"/>
      <c r="BH1967" s="6"/>
      <c r="BI1967" s="6"/>
      <c r="BJ1967" s="6"/>
      <c r="BK1967" s="6"/>
      <c r="BL1967" s="6"/>
      <c r="BM1967" s="6"/>
      <c r="BN1967" s="6"/>
      <c r="BO1967" s="6"/>
      <c r="BP1967" s="6"/>
      <c r="BQ1967" s="6"/>
      <c r="BR1967" s="6"/>
      <c r="BS1967" s="6"/>
      <c r="BT1967" s="6"/>
      <c r="BU1967" s="6"/>
      <c r="BV1967" s="6"/>
      <c r="BW1967" s="6"/>
      <c r="BX1967" s="6"/>
      <c r="BY1967" s="6"/>
      <c r="BZ1967" s="6"/>
      <c r="CA1967" s="6"/>
      <c r="CB1967" s="6"/>
      <c r="CC1967" s="6"/>
      <c r="CD1967" s="6"/>
      <c r="CE1967" s="6"/>
      <c r="CF1967" s="6"/>
      <c r="CG1967" s="6"/>
      <c r="CH1967" s="6"/>
      <c r="CI1967" s="6"/>
      <c r="CJ1967" s="6"/>
      <c r="CK1967" s="6"/>
      <c r="CL1967" s="6"/>
      <c r="CM1967" s="6"/>
      <c r="CN1967" s="6"/>
      <c r="CO1967" s="6"/>
      <c r="CP1967" s="6"/>
      <c r="CQ1967" s="6"/>
      <c r="CR1967" s="6"/>
      <c r="CS1967" s="6"/>
      <c r="CT1967" s="6"/>
      <c r="CU1967" s="6"/>
      <c r="CV1967" s="6"/>
      <c r="CW1967" s="6"/>
      <c r="CX1967" s="6"/>
      <c r="CY1967" s="6"/>
      <c r="CZ1967" s="6"/>
      <c r="DA1967" s="6"/>
      <c r="DB1967" s="6"/>
      <c r="DC1967" s="6"/>
      <c r="DD1967" s="6"/>
      <c r="DE1967" s="6"/>
      <c r="DF1967" s="6"/>
      <c r="DG1967" s="6"/>
      <c r="DH1967" s="6"/>
      <c r="DI1967" s="6"/>
      <c r="DJ1967" s="6"/>
      <c r="DK1967" s="6"/>
      <c r="DL1967" s="6"/>
      <c r="DM1967" s="6"/>
      <c r="DN1967" s="6"/>
      <c r="DO1967" s="6"/>
      <c r="DP1967" s="6"/>
      <c r="DQ1967" s="6"/>
      <c r="DR1967" s="6"/>
      <c r="DS1967" s="6"/>
      <c r="DT1967" s="6"/>
      <c r="DU1967" s="6"/>
      <c r="DV1967" s="6"/>
      <c r="DW1967" s="6"/>
      <c r="DX1967" s="6"/>
      <c r="DY1967" s="6"/>
      <c r="DZ1967" s="6"/>
      <c r="EA1967" s="6"/>
      <c r="EB1967" s="6"/>
      <c r="EC1967" s="6"/>
      <c r="ED1967" s="6"/>
      <c r="EE1967" s="6"/>
      <c r="EF1967" s="6"/>
      <c r="EG1967" s="6"/>
      <c r="EH1967" s="6"/>
      <c r="EI1967" s="6"/>
      <c r="EJ1967" s="6"/>
      <c r="EK1967" s="6"/>
      <c r="EL1967" s="6"/>
      <c r="EM1967" s="6"/>
      <c r="EN1967" s="6"/>
      <c r="EO1967" s="6"/>
      <c r="EP1967" s="6"/>
      <c r="EQ1967" s="6"/>
      <c r="ER1967" s="6"/>
      <c r="ES1967" s="6"/>
      <c r="ET1967" s="6"/>
      <c r="EU1967" s="6"/>
      <c r="EV1967" s="6"/>
      <c r="EW1967" s="6"/>
      <c r="EX1967" s="6"/>
      <c r="EY1967" s="6"/>
      <c r="EZ1967" s="6"/>
      <c r="FA1967" s="6"/>
      <c r="FB1967" s="6"/>
      <c r="FC1967" s="6"/>
      <c r="FD1967" s="6"/>
      <c r="FE1967" s="6"/>
      <c r="FF1967" s="6"/>
      <c r="FG1967" s="6"/>
      <c r="FH1967" s="6"/>
      <c r="FI1967" s="6"/>
      <c r="FJ1967" s="6"/>
      <c r="FK1967" s="6"/>
      <c r="FL1967" s="6"/>
      <c r="FM1967" s="6"/>
      <c r="FN1967" s="6"/>
      <c r="FO1967" s="6"/>
      <c r="FP1967" s="6"/>
      <c r="FQ1967" s="6"/>
      <c r="FR1967" s="6"/>
      <c r="FS1967" s="6"/>
      <c r="FT1967" s="6"/>
      <c r="FU1967" s="6"/>
      <c r="FV1967" s="6"/>
      <c r="FW1967" s="6"/>
      <c r="FX1967" s="6"/>
      <c r="FY1967" s="6"/>
      <c r="FZ1967" s="6"/>
      <c r="GA1967" s="6"/>
      <c r="GB1967" s="6"/>
      <c r="GC1967" s="6"/>
      <c r="GD1967" s="6"/>
      <c r="GE1967" s="6"/>
      <c r="GF1967" s="6"/>
      <c r="GG1967" s="6"/>
      <c r="GH1967" s="6"/>
      <c r="GI1967" s="6"/>
      <c r="GJ1967" s="6"/>
      <c r="GK1967" s="6"/>
      <c r="GL1967" s="6"/>
      <c r="GM1967" s="6"/>
      <c r="GN1967" s="6"/>
      <c r="GO1967" s="6"/>
      <c r="GP1967" s="6"/>
      <c r="GQ1967" s="6"/>
      <c r="GR1967" s="6"/>
      <c r="GS1967" s="6"/>
      <c r="GT1967" s="6"/>
      <c r="GU1967" s="6"/>
      <c r="GV1967" s="6"/>
      <c r="GW1967" s="6"/>
      <c r="GX1967" s="6"/>
      <c r="GY1967" s="6"/>
      <c r="GZ1967" s="6"/>
      <c r="HA1967" s="6"/>
      <c r="HB1967" s="6"/>
      <c r="HC1967" s="6"/>
      <c r="HD1967" s="6"/>
      <c r="HE1967" s="6"/>
      <c r="HF1967" s="6"/>
      <c r="HG1967" s="6"/>
      <c r="HH1967" s="6"/>
    </row>
    <row r="1968" spans="1:216" x14ac:dyDescent="0.3">
      <c r="A1968" s="8"/>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c r="DX1968" s="6"/>
      <c r="DY1968" s="6"/>
      <c r="DZ1968" s="6"/>
      <c r="EA1968" s="6"/>
      <c r="EB1968" s="6"/>
      <c r="EC1968" s="6"/>
      <c r="ED1968" s="6"/>
      <c r="EE1968" s="6"/>
      <c r="EF1968" s="6"/>
      <c r="EG1968" s="6"/>
      <c r="EH1968" s="6"/>
      <c r="EI1968" s="6"/>
      <c r="EJ1968" s="6"/>
      <c r="EK1968" s="6"/>
      <c r="EL1968" s="6"/>
      <c r="EM1968" s="6"/>
      <c r="EN1968" s="6"/>
      <c r="EO1968" s="6"/>
      <c r="EP1968" s="6"/>
      <c r="EQ1968" s="6"/>
      <c r="ER1968" s="6"/>
      <c r="ES1968" s="6"/>
      <c r="ET1968" s="6"/>
      <c r="EU1968" s="6"/>
      <c r="EV1968" s="6"/>
      <c r="EW1968" s="6"/>
      <c r="EX1968" s="6"/>
      <c r="EY1968" s="6"/>
      <c r="EZ1968" s="6"/>
      <c r="FA1968" s="6"/>
      <c r="FB1968" s="6"/>
      <c r="FC1968" s="6"/>
      <c r="FD1968" s="6"/>
      <c r="FE1968" s="6"/>
      <c r="FF1968" s="6"/>
      <c r="FG1968" s="6"/>
      <c r="FH1968" s="6"/>
      <c r="FI1968" s="6"/>
      <c r="FJ1968" s="6"/>
      <c r="FK1968" s="6"/>
      <c r="FL1968" s="6"/>
      <c r="FM1968" s="6"/>
      <c r="FN1968" s="6"/>
      <c r="FO1968" s="6"/>
      <c r="FP1968" s="6"/>
      <c r="FQ1968" s="6"/>
      <c r="FR1968" s="6"/>
      <c r="FS1968" s="6"/>
      <c r="FT1968" s="6"/>
      <c r="FU1968" s="6"/>
      <c r="FV1968" s="6"/>
      <c r="FW1968" s="6"/>
      <c r="FX1968" s="6"/>
      <c r="FY1968" s="6"/>
      <c r="FZ1968" s="6"/>
      <c r="GA1968" s="6"/>
      <c r="GB1968" s="6"/>
      <c r="GC1968" s="6"/>
      <c r="GD1968" s="6"/>
      <c r="GE1968" s="6"/>
      <c r="GF1968" s="6"/>
      <c r="GG1968" s="6"/>
      <c r="GH1968" s="6"/>
      <c r="GI1968" s="6"/>
      <c r="GJ1968" s="6"/>
      <c r="GK1968" s="6"/>
      <c r="GL1968" s="6"/>
      <c r="GM1968" s="6"/>
      <c r="GN1968" s="6"/>
      <c r="GO1968" s="6"/>
      <c r="GP1968" s="6"/>
      <c r="GQ1968" s="6"/>
      <c r="GR1968" s="6"/>
      <c r="GS1968" s="6"/>
      <c r="GT1968" s="6"/>
      <c r="GU1968" s="6"/>
      <c r="GV1968" s="6"/>
      <c r="GW1968" s="6"/>
      <c r="GX1968" s="6"/>
      <c r="GY1968" s="6"/>
      <c r="GZ1968" s="6"/>
      <c r="HA1968" s="6"/>
      <c r="HB1968" s="6"/>
      <c r="HC1968" s="6"/>
      <c r="HD1968" s="6"/>
      <c r="HE1968" s="6"/>
      <c r="HF1968" s="6"/>
      <c r="HG1968" s="6"/>
      <c r="HH1968" s="6"/>
    </row>
    <row r="1969" spans="1:216" x14ac:dyDescent="0.3">
      <c r="A1969" s="8"/>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c r="DX1969" s="6"/>
      <c r="DY1969" s="6"/>
      <c r="DZ1969" s="6"/>
      <c r="EA1969" s="6"/>
      <c r="EB1969" s="6"/>
      <c r="EC1969" s="6"/>
      <c r="ED1969" s="6"/>
      <c r="EE1969" s="6"/>
      <c r="EF1969" s="6"/>
      <c r="EG1969" s="6"/>
      <c r="EH1969" s="6"/>
      <c r="EI1969" s="6"/>
      <c r="EJ1969" s="6"/>
      <c r="EK1969" s="6"/>
      <c r="EL1969" s="6"/>
      <c r="EM1969" s="6"/>
      <c r="EN1969" s="6"/>
      <c r="EO1969" s="6"/>
      <c r="EP1969" s="6"/>
      <c r="EQ1969" s="6"/>
      <c r="ER1969" s="6"/>
      <c r="ES1969" s="6"/>
      <c r="ET1969" s="6"/>
      <c r="EU1969" s="6"/>
      <c r="EV1969" s="6"/>
      <c r="EW1969" s="6"/>
      <c r="EX1969" s="6"/>
      <c r="EY1969" s="6"/>
      <c r="EZ1969" s="6"/>
      <c r="FA1969" s="6"/>
      <c r="FB1969" s="6"/>
      <c r="FC1969" s="6"/>
      <c r="FD1969" s="6"/>
      <c r="FE1969" s="6"/>
      <c r="FF1969" s="6"/>
      <c r="FG1969" s="6"/>
      <c r="FH1969" s="6"/>
      <c r="FI1969" s="6"/>
      <c r="FJ1969" s="6"/>
      <c r="FK1969" s="6"/>
      <c r="FL1969" s="6"/>
      <c r="FM1969" s="6"/>
      <c r="FN1969" s="6"/>
      <c r="FO1969" s="6"/>
      <c r="FP1969" s="6"/>
      <c r="FQ1969" s="6"/>
      <c r="FR1969" s="6"/>
      <c r="FS1969" s="6"/>
      <c r="FT1969" s="6"/>
      <c r="FU1969" s="6"/>
      <c r="FV1969" s="6"/>
      <c r="FW1969" s="6"/>
      <c r="FX1969" s="6"/>
      <c r="FY1969" s="6"/>
      <c r="FZ1969" s="6"/>
      <c r="GA1969" s="6"/>
      <c r="GB1969" s="6"/>
      <c r="GC1969" s="6"/>
      <c r="GD1969" s="6"/>
      <c r="GE1969" s="6"/>
      <c r="GF1969" s="6"/>
      <c r="GG1969" s="6"/>
      <c r="GH1969" s="6"/>
      <c r="GI1969" s="6"/>
      <c r="GJ1969" s="6"/>
      <c r="GK1969" s="6"/>
      <c r="GL1969" s="6"/>
      <c r="GM1969" s="6"/>
      <c r="GN1969" s="6"/>
      <c r="GO1969" s="6"/>
      <c r="GP1969" s="6"/>
      <c r="GQ1969" s="6"/>
      <c r="GR1969" s="6"/>
      <c r="GS1969" s="6"/>
      <c r="GT1969" s="6"/>
      <c r="GU1969" s="6"/>
      <c r="GV1969" s="6"/>
      <c r="GW1969" s="6"/>
      <c r="GX1969" s="6"/>
      <c r="GY1969" s="6"/>
      <c r="GZ1969" s="6"/>
      <c r="HA1969" s="6"/>
      <c r="HB1969" s="6"/>
      <c r="HC1969" s="6"/>
      <c r="HD1969" s="6"/>
      <c r="HE1969" s="6"/>
      <c r="HF1969" s="6"/>
      <c r="HG1969" s="6"/>
      <c r="HH1969" s="6"/>
    </row>
    <row r="1970" spans="1:216" x14ac:dyDescent="0.3">
      <c r="A1970" s="8"/>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6"/>
      <c r="AR1970" s="6"/>
      <c r="AS1970" s="6"/>
      <c r="AT1970" s="6"/>
      <c r="AU1970" s="6"/>
      <c r="AV1970" s="6"/>
      <c r="AW1970" s="6"/>
      <c r="AX1970" s="6"/>
      <c r="AY1970" s="6"/>
      <c r="AZ1970" s="6"/>
      <c r="BA1970" s="6"/>
      <c r="BB1970" s="6"/>
      <c r="BC1970" s="6"/>
      <c r="BD1970" s="6"/>
      <c r="BE1970" s="6"/>
      <c r="BF1970" s="6"/>
      <c r="BG1970" s="6"/>
      <c r="BH1970" s="6"/>
      <c r="BI1970" s="6"/>
      <c r="BJ1970" s="6"/>
      <c r="BK1970" s="6"/>
      <c r="BL1970" s="6"/>
      <c r="BM1970" s="6"/>
      <c r="BN1970" s="6"/>
      <c r="BO1970" s="6"/>
      <c r="BP1970" s="6"/>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6"/>
      <c r="CO1970" s="6"/>
      <c r="CP1970" s="6"/>
      <c r="CQ1970" s="6"/>
      <c r="CR1970" s="6"/>
      <c r="CS1970" s="6"/>
      <c r="CT1970" s="6"/>
      <c r="CU1970" s="6"/>
      <c r="CV1970" s="6"/>
      <c r="CW1970" s="6"/>
      <c r="CX1970" s="6"/>
      <c r="CY1970" s="6"/>
      <c r="CZ1970" s="6"/>
      <c r="DA1970" s="6"/>
      <c r="DB1970" s="6"/>
      <c r="DC1970" s="6"/>
      <c r="DD1970" s="6"/>
      <c r="DE1970" s="6"/>
      <c r="DF1970" s="6"/>
      <c r="DG1970" s="6"/>
      <c r="DH1970" s="6"/>
      <c r="DI1970" s="6"/>
      <c r="DJ1970" s="6"/>
      <c r="DK1970" s="6"/>
      <c r="DL1970" s="6"/>
      <c r="DM1970" s="6"/>
      <c r="DN1970" s="6"/>
      <c r="DO1970" s="6"/>
      <c r="DP1970" s="6"/>
      <c r="DQ1970" s="6"/>
      <c r="DR1970" s="6"/>
      <c r="DS1970" s="6"/>
      <c r="DT1970" s="6"/>
      <c r="DU1970" s="6"/>
      <c r="DV1970" s="6"/>
      <c r="DW1970" s="6"/>
      <c r="DX1970" s="6"/>
      <c r="DY1970" s="6"/>
      <c r="DZ1970" s="6"/>
      <c r="EA1970" s="6"/>
      <c r="EB1970" s="6"/>
      <c r="EC1970" s="6"/>
      <c r="ED1970" s="6"/>
      <c r="EE1970" s="6"/>
      <c r="EF1970" s="6"/>
      <c r="EG1970" s="6"/>
      <c r="EH1970" s="6"/>
      <c r="EI1970" s="6"/>
      <c r="EJ1970" s="6"/>
      <c r="EK1970" s="6"/>
      <c r="EL1970" s="6"/>
      <c r="EM1970" s="6"/>
      <c r="EN1970" s="6"/>
      <c r="EO1970" s="6"/>
      <c r="EP1970" s="6"/>
      <c r="EQ1970" s="6"/>
      <c r="ER1970" s="6"/>
      <c r="ES1970" s="6"/>
      <c r="ET1970" s="6"/>
      <c r="EU1970" s="6"/>
      <c r="EV1970" s="6"/>
      <c r="EW1970" s="6"/>
      <c r="EX1970" s="6"/>
      <c r="EY1970" s="6"/>
      <c r="EZ1970" s="6"/>
      <c r="FA1970" s="6"/>
      <c r="FB1970" s="6"/>
      <c r="FC1970" s="6"/>
      <c r="FD1970" s="6"/>
      <c r="FE1970" s="6"/>
      <c r="FF1970" s="6"/>
      <c r="FG1970" s="6"/>
      <c r="FH1970" s="6"/>
      <c r="FI1970" s="6"/>
      <c r="FJ1970" s="6"/>
      <c r="FK1970" s="6"/>
      <c r="FL1970" s="6"/>
      <c r="FM1970" s="6"/>
      <c r="FN1970" s="6"/>
      <c r="FO1970" s="6"/>
      <c r="FP1970" s="6"/>
      <c r="FQ1970" s="6"/>
      <c r="FR1970" s="6"/>
      <c r="FS1970" s="6"/>
      <c r="FT1970" s="6"/>
      <c r="FU1970" s="6"/>
      <c r="FV1970" s="6"/>
      <c r="FW1970" s="6"/>
      <c r="FX1970" s="6"/>
      <c r="FY1970" s="6"/>
      <c r="FZ1970" s="6"/>
      <c r="GA1970" s="6"/>
      <c r="GB1970" s="6"/>
      <c r="GC1970" s="6"/>
      <c r="GD1970" s="6"/>
      <c r="GE1970" s="6"/>
      <c r="GF1970" s="6"/>
      <c r="GG1970" s="6"/>
      <c r="GH1970" s="6"/>
      <c r="GI1970" s="6"/>
      <c r="GJ1970" s="6"/>
      <c r="GK1970" s="6"/>
      <c r="GL1970" s="6"/>
      <c r="GM1970" s="6"/>
      <c r="GN1970" s="6"/>
      <c r="GO1970" s="6"/>
      <c r="GP1970" s="6"/>
      <c r="GQ1970" s="6"/>
      <c r="GR1970" s="6"/>
      <c r="GS1970" s="6"/>
      <c r="GT1970" s="6"/>
      <c r="GU1970" s="6"/>
      <c r="GV1970" s="6"/>
      <c r="GW1970" s="6"/>
      <c r="GX1970" s="6"/>
      <c r="GY1970" s="6"/>
      <c r="GZ1970" s="6"/>
      <c r="HA1970" s="6"/>
      <c r="HB1970" s="6"/>
      <c r="HC1970" s="6"/>
      <c r="HD1970" s="6"/>
      <c r="HE1970" s="6"/>
      <c r="HF1970" s="6"/>
      <c r="HG1970" s="6"/>
      <c r="HH1970" s="6"/>
    </row>
    <row r="1971" spans="1:216" x14ac:dyDescent="0.3">
      <c r="A1971" s="8"/>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c r="DX1971" s="6"/>
      <c r="DY1971" s="6"/>
      <c r="DZ1971" s="6"/>
      <c r="EA1971" s="6"/>
      <c r="EB1971" s="6"/>
      <c r="EC1971" s="6"/>
      <c r="ED1971" s="6"/>
      <c r="EE1971" s="6"/>
      <c r="EF1971" s="6"/>
      <c r="EG1971" s="6"/>
      <c r="EH1971" s="6"/>
      <c r="EI1971" s="6"/>
      <c r="EJ1971" s="6"/>
      <c r="EK1971" s="6"/>
      <c r="EL1971" s="6"/>
      <c r="EM1971" s="6"/>
      <c r="EN1971" s="6"/>
      <c r="EO1971" s="6"/>
      <c r="EP1971" s="6"/>
      <c r="EQ1971" s="6"/>
      <c r="ER1971" s="6"/>
      <c r="ES1971" s="6"/>
      <c r="ET1971" s="6"/>
      <c r="EU1971" s="6"/>
      <c r="EV1971" s="6"/>
      <c r="EW1971" s="6"/>
      <c r="EX1971" s="6"/>
      <c r="EY1971" s="6"/>
      <c r="EZ1971" s="6"/>
      <c r="FA1971" s="6"/>
      <c r="FB1971" s="6"/>
      <c r="FC1971" s="6"/>
      <c r="FD1971" s="6"/>
      <c r="FE1971" s="6"/>
      <c r="FF1971" s="6"/>
      <c r="FG1971" s="6"/>
      <c r="FH1971" s="6"/>
      <c r="FI1971" s="6"/>
      <c r="FJ1971" s="6"/>
      <c r="FK1971" s="6"/>
      <c r="FL1971" s="6"/>
      <c r="FM1971" s="6"/>
      <c r="FN1971" s="6"/>
      <c r="FO1971" s="6"/>
      <c r="FP1971" s="6"/>
      <c r="FQ1971" s="6"/>
      <c r="FR1971" s="6"/>
      <c r="FS1971" s="6"/>
      <c r="FT1971" s="6"/>
      <c r="FU1971" s="6"/>
      <c r="FV1971" s="6"/>
      <c r="FW1971" s="6"/>
      <c r="FX1971" s="6"/>
      <c r="FY1971" s="6"/>
      <c r="FZ1971" s="6"/>
      <c r="GA1971" s="6"/>
      <c r="GB1971" s="6"/>
      <c r="GC1971" s="6"/>
      <c r="GD1971" s="6"/>
      <c r="GE1971" s="6"/>
      <c r="GF1971" s="6"/>
      <c r="GG1971" s="6"/>
      <c r="GH1971" s="6"/>
      <c r="GI1971" s="6"/>
      <c r="GJ1971" s="6"/>
      <c r="GK1971" s="6"/>
      <c r="GL1971" s="6"/>
      <c r="GM1971" s="6"/>
      <c r="GN1971" s="6"/>
      <c r="GO1971" s="6"/>
      <c r="GP1971" s="6"/>
      <c r="GQ1971" s="6"/>
      <c r="GR1971" s="6"/>
      <c r="GS1971" s="6"/>
      <c r="GT1971" s="6"/>
      <c r="GU1971" s="6"/>
      <c r="GV1971" s="6"/>
      <c r="GW1971" s="6"/>
      <c r="GX1971" s="6"/>
      <c r="GY1971" s="6"/>
      <c r="GZ1971" s="6"/>
      <c r="HA1971" s="6"/>
      <c r="HB1971" s="6"/>
      <c r="HC1971" s="6"/>
      <c r="HD1971" s="6"/>
      <c r="HE1971" s="6"/>
      <c r="HF1971" s="6"/>
      <c r="HG1971" s="6"/>
      <c r="HH1971" s="6"/>
    </row>
    <row r="1972" spans="1:216" x14ac:dyDescent="0.3">
      <c r="A1972" s="8"/>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c r="DX1972" s="6"/>
      <c r="DY1972" s="6"/>
      <c r="DZ1972" s="6"/>
      <c r="EA1972" s="6"/>
      <c r="EB1972" s="6"/>
      <c r="EC1972" s="6"/>
      <c r="ED1972" s="6"/>
      <c r="EE1972" s="6"/>
      <c r="EF1972" s="6"/>
      <c r="EG1972" s="6"/>
      <c r="EH1972" s="6"/>
      <c r="EI1972" s="6"/>
      <c r="EJ1972" s="6"/>
      <c r="EK1972" s="6"/>
      <c r="EL1972" s="6"/>
      <c r="EM1972" s="6"/>
      <c r="EN1972" s="6"/>
      <c r="EO1972" s="6"/>
      <c r="EP1972" s="6"/>
      <c r="EQ1972" s="6"/>
      <c r="ER1972" s="6"/>
      <c r="ES1972" s="6"/>
      <c r="ET1972" s="6"/>
      <c r="EU1972" s="6"/>
      <c r="EV1972" s="6"/>
      <c r="EW1972" s="6"/>
      <c r="EX1972" s="6"/>
      <c r="EY1972" s="6"/>
      <c r="EZ1972" s="6"/>
      <c r="FA1972" s="6"/>
      <c r="FB1972" s="6"/>
      <c r="FC1972" s="6"/>
      <c r="FD1972" s="6"/>
      <c r="FE1972" s="6"/>
      <c r="FF1972" s="6"/>
      <c r="FG1972" s="6"/>
      <c r="FH1972" s="6"/>
      <c r="FI1972" s="6"/>
      <c r="FJ1972" s="6"/>
      <c r="FK1972" s="6"/>
      <c r="FL1972" s="6"/>
      <c r="FM1972" s="6"/>
      <c r="FN1972" s="6"/>
      <c r="FO1972" s="6"/>
      <c r="FP1972" s="6"/>
      <c r="FQ1972" s="6"/>
      <c r="FR1972" s="6"/>
      <c r="FS1972" s="6"/>
      <c r="FT1972" s="6"/>
      <c r="FU1972" s="6"/>
      <c r="FV1972" s="6"/>
      <c r="FW1972" s="6"/>
      <c r="FX1972" s="6"/>
      <c r="FY1972" s="6"/>
      <c r="FZ1972" s="6"/>
      <c r="GA1972" s="6"/>
      <c r="GB1972" s="6"/>
      <c r="GC1972" s="6"/>
      <c r="GD1972" s="6"/>
      <c r="GE1972" s="6"/>
      <c r="GF1972" s="6"/>
      <c r="GG1972" s="6"/>
      <c r="GH1972" s="6"/>
      <c r="GI1972" s="6"/>
      <c r="GJ1972" s="6"/>
      <c r="GK1972" s="6"/>
      <c r="GL1972" s="6"/>
      <c r="GM1972" s="6"/>
      <c r="GN1972" s="6"/>
      <c r="GO1972" s="6"/>
      <c r="GP1972" s="6"/>
      <c r="GQ1972" s="6"/>
      <c r="GR1972" s="6"/>
      <c r="GS1972" s="6"/>
      <c r="GT1972" s="6"/>
      <c r="GU1972" s="6"/>
      <c r="GV1972" s="6"/>
      <c r="GW1972" s="6"/>
      <c r="GX1972" s="6"/>
      <c r="GY1972" s="6"/>
      <c r="GZ1972" s="6"/>
      <c r="HA1972" s="6"/>
      <c r="HB1972" s="6"/>
      <c r="HC1972" s="6"/>
      <c r="HD1972" s="6"/>
      <c r="HE1972" s="6"/>
      <c r="HF1972" s="6"/>
      <c r="HG1972" s="6"/>
      <c r="HH1972" s="6"/>
    </row>
    <row r="1973" spans="1:216" x14ac:dyDescent="0.3">
      <c r="A1973" s="8"/>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c r="DX1973" s="6"/>
      <c r="DY1973" s="6"/>
      <c r="DZ1973" s="6"/>
      <c r="EA1973" s="6"/>
      <c r="EB1973" s="6"/>
      <c r="EC1973" s="6"/>
      <c r="ED1973" s="6"/>
      <c r="EE1973" s="6"/>
      <c r="EF1973" s="6"/>
      <c r="EG1973" s="6"/>
      <c r="EH1973" s="6"/>
      <c r="EI1973" s="6"/>
      <c r="EJ1973" s="6"/>
      <c r="EK1973" s="6"/>
      <c r="EL1973" s="6"/>
      <c r="EM1973" s="6"/>
      <c r="EN1973" s="6"/>
      <c r="EO1973" s="6"/>
      <c r="EP1973" s="6"/>
      <c r="EQ1973" s="6"/>
      <c r="ER1973" s="6"/>
      <c r="ES1973" s="6"/>
      <c r="ET1973" s="6"/>
      <c r="EU1973" s="6"/>
      <c r="EV1973" s="6"/>
      <c r="EW1973" s="6"/>
      <c r="EX1973" s="6"/>
      <c r="EY1973" s="6"/>
      <c r="EZ1973" s="6"/>
      <c r="FA1973" s="6"/>
      <c r="FB1973" s="6"/>
      <c r="FC1973" s="6"/>
      <c r="FD1973" s="6"/>
      <c r="FE1973" s="6"/>
      <c r="FF1973" s="6"/>
      <c r="FG1973" s="6"/>
      <c r="FH1973" s="6"/>
      <c r="FI1973" s="6"/>
      <c r="FJ1973" s="6"/>
      <c r="FK1973" s="6"/>
      <c r="FL1973" s="6"/>
      <c r="FM1973" s="6"/>
      <c r="FN1973" s="6"/>
      <c r="FO1973" s="6"/>
      <c r="FP1973" s="6"/>
      <c r="FQ1973" s="6"/>
      <c r="FR1973" s="6"/>
      <c r="FS1973" s="6"/>
      <c r="FT1973" s="6"/>
      <c r="FU1973" s="6"/>
      <c r="FV1973" s="6"/>
      <c r="FW1973" s="6"/>
      <c r="FX1973" s="6"/>
      <c r="FY1973" s="6"/>
      <c r="FZ1973" s="6"/>
      <c r="GA1973" s="6"/>
      <c r="GB1973" s="6"/>
      <c r="GC1973" s="6"/>
      <c r="GD1973" s="6"/>
      <c r="GE1973" s="6"/>
      <c r="GF1973" s="6"/>
      <c r="GG1973" s="6"/>
      <c r="GH1973" s="6"/>
      <c r="GI1973" s="6"/>
      <c r="GJ1973" s="6"/>
      <c r="GK1973" s="6"/>
      <c r="GL1973" s="6"/>
      <c r="GM1973" s="6"/>
      <c r="GN1973" s="6"/>
      <c r="GO1973" s="6"/>
      <c r="GP1973" s="6"/>
      <c r="GQ1973" s="6"/>
      <c r="GR1973" s="6"/>
      <c r="GS1973" s="6"/>
      <c r="GT1973" s="6"/>
      <c r="GU1973" s="6"/>
      <c r="GV1973" s="6"/>
      <c r="GW1973" s="6"/>
      <c r="GX1973" s="6"/>
      <c r="GY1973" s="6"/>
      <c r="GZ1973" s="6"/>
      <c r="HA1973" s="6"/>
      <c r="HB1973" s="6"/>
      <c r="HC1973" s="6"/>
      <c r="HD1973" s="6"/>
      <c r="HE1973" s="6"/>
      <c r="HF1973" s="6"/>
      <c r="HG1973" s="6"/>
      <c r="HH1973" s="6"/>
    </row>
    <row r="1974" spans="1:216" x14ac:dyDescent="0.3">
      <c r="A1974" s="8"/>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c r="DX1974" s="6"/>
      <c r="DY1974" s="6"/>
      <c r="DZ1974" s="6"/>
      <c r="EA1974" s="6"/>
      <c r="EB1974" s="6"/>
      <c r="EC1974" s="6"/>
      <c r="ED1974" s="6"/>
      <c r="EE1974" s="6"/>
      <c r="EF1974" s="6"/>
      <c r="EG1974" s="6"/>
      <c r="EH1974" s="6"/>
      <c r="EI1974" s="6"/>
      <c r="EJ1974" s="6"/>
      <c r="EK1974" s="6"/>
      <c r="EL1974" s="6"/>
      <c r="EM1974" s="6"/>
      <c r="EN1974" s="6"/>
      <c r="EO1974" s="6"/>
      <c r="EP1974" s="6"/>
      <c r="EQ1974" s="6"/>
      <c r="ER1974" s="6"/>
      <c r="ES1974" s="6"/>
      <c r="ET1974" s="6"/>
      <c r="EU1974" s="6"/>
      <c r="EV1974" s="6"/>
      <c r="EW1974" s="6"/>
      <c r="EX1974" s="6"/>
      <c r="EY1974" s="6"/>
      <c r="EZ1974" s="6"/>
      <c r="FA1974" s="6"/>
      <c r="FB1974" s="6"/>
      <c r="FC1974" s="6"/>
      <c r="FD1974" s="6"/>
      <c r="FE1974" s="6"/>
      <c r="FF1974" s="6"/>
      <c r="FG1974" s="6"/>
      <c r="FH1974" s="6"/>
      <c r="FI1974" s="6"/>
      <c r="FJ1974" s="6"/>
      <c r="FK1974" s="6"/>
      <c r="FL1974" s="6"/>
      <c r="FM1974" s="6"/>
      <c r="FN1974" s="6"/>
      <c r="FO1974" s="6"/>
      <c r="FP1974" s="6"/>
      <c r="FQ1974" s="6"/>
      <c r="FR1974" s="6"/>
      <c r="FS1974" s="6"/>
      <c r="FT1974" s="6"/>
      <c r="FU1974" s="6"/>
      <c r="FV1974" s="6"/>
      <c r="FW1974" s="6"/>
      <c r="FX1974" s="6"/>
      <c r="FY1974" s="6"/>
      <c r="FZ1974" s="6"/>
      <c r="GA1974" s="6"/>
      <c r="GB1974" s="6"/>
      <c r="GC1974" s="6"/>
      <c r="GD1974" s="6"/>
      <c r="GE1974" s="6"/>
      <c r="GF1974" s="6"/>
      <c r="GG1974" s="6"/>
      <c r="GH1974" s="6"/>
      <c r="GI1974" s="6"/>
      <c r="GJ1974" s="6"/>
      <c r="GK1974" s="6"/>
      <c r="GL1974" s="6"/>
      <c r="GM1974" s="6"/>
      <c r="GN1974" s="6"/>
      <c r="GO1974" s="6"/>
      <c r="GP1974" s="6"/>
      <c r="GQ1974" s="6"/>
      <c r="GR1974" s="6"/>
      <c r="GS1974" s="6"/>
      <c r="GT1974" s="6"/>
      <c r="GU1974" s="6"/>
      <c r="GV1974" s="6"/>
      <c r="GW1974" s="6"/>
      <c r="GX1974" s="6"/>
      <c r="GY1974" s="6"/>
      <c r="GZ1974" s="6"/>
      <c r="HA1974" s="6"/>
      <c r="HB1974" s="6"/>
      <c r="HC1974" s="6"/>
      <c r="HD1974" s="6"/>
      <c r="HE1974" s="6"/>
      <c r="HF1974" s="6"/>
      <c r="HG1974" s="6"/>
      <c r="HH1974" s="6"/>
    </row>
    <row r="1975" spans="1:216" x14ac:dyDescent="0.3">
      <c r="A1975" s="8"/>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6"/>
      <c r="AR1975" s="6"/>
      <c r="AS1975" s="6"/>
      <c r="AT1975" s="6"/>
      <c r="AU1975" s="6"/>
      <c r="AV1975" s="6"/>
      <c r="AW1975" s="6"/>
      <c r="AX1975" s="6"/>
      <c r="AY1975" s="6"/>
      <c r="AZ1975" s="6"/>
      <c r="BA1975" s="6"/>
      <c r="BB1975" s="6"/>
      <c r="BC1975" s="6"/>
      <c r="BD1975" s="6"/>
      <c r="BE1975" s="6"/>
      <c r="BF1975" s="6"/>
      <c r="BG1975" s="6"/>
      <c r="BH1975" s="6"/>
      <c r="BI1975" s="6"/>
      <c r="BJ1975" s="6"/>
      <c r="BK1975" s="6"/>
      <c r="BL1975" s="6"/>
      <c r="BM1975" s="6"/>
      <c r="BN1975" s="6"/>
      <c r="BO1975" s="6"/>
      <c r="BP1975" s="6"/>
      <c r="BQ1975" s="6"/>
      <c r="BR1975" s="6"/>
      <c r="BS1975" s="6"/>
      <c r="BT1975" s="6"/>
      <c r="BU1975" s="6"/>
      <c r="BV1975" s="6"/>
      <c r="BW1975" s="6"/>
      <c r="BX1975" s="6"/>
      <c r="BY1975" s="6"/>
      <c r="BZ1975" s="6"/>
      <c r="CA1975" s="6"/>
      <c r="CB1975" s="6"/>
      <c r="CC1975" s="6"/>
      <c r="CD1975" s="6"/>
      <c r="CE1975" s="6"/>
      <c r="CF1975" s="6"/>
      <c r="CG1975" s="6"/>
      <c r="CH1975" s="6"/>
      <c r="CI1975" s="6"/>
      <c r="CJ1975" s="6"/>
      <c r="CK1975" s="6"/>
      <c r="CL1975" s="6"/>
      <c r="CM1975" s="6"/>
      <c r="CN1975" s="6"/>
      <c r="CO1975" s="6"/>
      <c r="CP1975" s="6"/>
      <c r="CQ1975" s="6"/>
      <c r="CR1975" s="6"/>
      <c r="CS1975" s="6"/>
      <c r="CT1975" s="6"/>
      <c r="CU1975" s="6"/>
      <c r="CV1975" s="6"/>
      <c r="CW1975" s="6"/>
      <c r="CX1975" s="6"/>
      <c r="CY1975" s="6"/>
      <c r="CZ1975" s="6"/>
      <c r="DA1975" s="6"/>
      <c r="DB1975" s="6"/>
      <c r="DC1975" s="6"/>
      <c r="DD1975" s="6"/>
      <c r="DE1975" s="6"/>
      <c r="DF1975" s="6"/>
      <c r="DG1975" s="6"/>
      <c r="DH1975" s="6"/>
      <c r="DI1975" s="6"/>
      <c r="DJ1975" s="6"/>
      <c r="DK1975" s="6"/>
      <c r="DL1975" s="6"/>
      <c r="DM1975" s="6"/>
      <c r="DN1975" s="6"/>
      <c r="DO1975" s="6"/>
      <c r="DP1975" s="6"/>
      <c r="DQ1975" s="6"/>
      <c r="DR1975" s="6"/>
      <c r="DS1975" s="6"/>
      <c r="DT1975" s="6"/>
      <c r="DU1975" s="6"/>
      <c r="DV1975" s="6"/>
      <c r="DW1975" s="6"/>
      <c r="DX1975" s="6"/>
      <c r="DY1975" s="6"/>
      <c r="DZ1975" s="6"/>
      <c r="EA1975" s="6"/>
      <c r="EB1975" s="6"/>
      <c r="EC1975" s="6"/>
      <c r="ED1975" s="6"/>
      <c r="EE1975" s="6"/>
      <c r="EF1975" s="6"/>
      <c r="EG1975" s="6"/>
      <c r="EH1975" s="6"/>
      <c r="EI1975" s="6"/>
      <c r="EJ1975" s="6"/>
      <c r="EK1975" s="6"/>
      <c r="EL1975" s="6"/>
      <c r="EM1975" s="6"/>
      <c r="EN1975" s="6"/>
      <c r="EO1975" s="6"/>
      <c r="EP1975" s="6"/>
      <c r="EQ1975" s="6"/>
      <c r="ER1975" s="6"/>
      <c r="ES1975" s="6"/>
      <c r="ET1975" s="6"/>
      <c r="EU1975" s="6"/>
      <c r="EV1975" s="6"/>
      <c r="EW1975" s="6"/>
      <c r="EX1975" s="6"/>
      <c r="EY1975" s="6"/>
      <c r="EZ1975" s="6"/>
      <c r="FA1975" s="6"/>
      <c r="FB1975" s="6"/>
      <c r="FC1975" s="6"/>
      <c r="FD1975" s="6"/>
      <c r="FE1975" s="6"/>
      <c r="FF1975" s="6"/>
      <c r="FG1975" s="6"/>
      <c r="FH1975" s="6"/>
      <c r="FI1975" s="6"/>
      <c r="FJ1975" s="6"/>
      <c r="FK1975" s="6"/>
      <c r="FL1975" s="6"/>
      <c r="FM1975" s="6"/>
      <c r="FN1975" s="6"/>
      <c r="FO1975" s="6"/>
      <c r="FP1975" s="6"/>
      <c r="FQ1975" s="6"/>
      <c r="FR1975" s="6"/>
      <c r="FS1975" s="6"/>
      <c r="FT1975" s="6"/>
      <c r="FU1975" s="6"/>
      <c r="FV1975" s="6"/>
      <c r="FW1975" s="6"/>
      <c r="FX1975" s="6"/>
      <c r="FY1975" s="6"/>
      <c r="FZ1975" s="6"/>
      <c r="GA1975" s="6"/>
      <c r="GB1975" s="6"/>
      <c r="GC1975" s="6"/>
      <c r="GD1975" s="6"/>
      <c r="GE1975" s="6"/>
      <c r="GF1975" s="6"/>
      <c r="GG1975" s="6"/>
      <c r="GH1975" s="6"/>
      <c r="GI1975" s="6"/>
      <c r="GJ1975" s="6"/>
      <c r="GK1975" s="6"/>
      <c r="GL1975" s="6"/>
      <c r="GM1975" s="6"/>
      <c r="GN1975" s="6"/>
      <c r="GO1975" s="6"/>
      <c r="GP1975" s="6"/>
      <c r="GQ1975" s="6"/>
      <c r="GR1975" s="6"/>
      <c r="GS1975" s="6"/>
      <c r="GT1975" s="6"/>
      <c r="GU1975" s="6"/>
      <c r="GV1975" s="6"/>
      <c r="GW1975" s="6"/>
      <c r="GX1975" s="6"/>
      <c r="GY1975" s="6"/>
      <c r="GZ1975" s="6"/>
      <c r="HA1975" s="6"/>
      <c r="HB1975" s="6"/>
      <c r="HC1975" s="6"/>
      <c r="HD1975" s="6"/>
      <c r="HE1975" s="6"/>
      <c r="HF1975" s="6"/>
      <c r="HG1975" s="6"/>
      <c r="HH1975" s="6"/>
    </row>
    <row r="1976" spans="1:216" x14ac:dyDescent="0.3">
      <c r="A1976" s="8"/>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6"/>
      <c r="AR1976" s="6"/>
      <c r="AS1976" s="6"/>
      <c r="AT1976" s="6"/>
      <c r="AU1976" s="6"/>
      <c r="AV1976" s="6"/>
      <c r="AW1976" s="6"/>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6"/>
      <c r="CO1976" s="6"/>
      <c r="CP1976" s="6"/>
      <c r="CQ1976" s="6"/>
      <c r="CR1976" s="6"/>
      <c r="CS1976" s="6"/>
      <c r="CT1976" s="6"/>
      <c r="CU1976" s="6"/>
      <c r="CV1976" s="6"/>
      <c r="CW1976" s="6"/>
      <c r="CX1976" s="6"/>
      <c r="CY1976" s="6"/>
      <c r="CZ1976" s="6"/>
      <c r="DA1976" s="6"/>
      <c r="DB1976" s="6"/>
      <c r="DC1976" s="6"/>
      <c r="DD1976" s="6"/>
      <c r="DE1976" s="6"/>
      <c r="DF1976" s="6"/>
      <c r="DG1976" s="6"/>
      <c r="DH1976" s="6"/>
      <c r="DI1976" s="6"/>
      <c r="DJ1976" s="6"/>
      <c r="DK1976" s="6"/>
      <c r="DL1976" s="6"/>
      <c r="DM1976" s="6"/>
      <c r="DN1976" s="6"/>
      <c r="DO1976" s="6"/>
      <c r="DP1976" s="6"/>
      <c r="DQ1976" s="6"/>
      <c r="DR1976" s="6"/>
      <c r="DS1976" s="6"/>
      <c r="DT1976" s="6"/>
      <c r="DU1976" s="6"/>
      <c r="DV1976" s="6"/>
      <c r="DW1976" s="6"/>
      <c r="DX1976" s="6"/>
      <c r="DY1976" s="6"/>
      <c r="DZ1976" s="6"/>
      <c r="EA1976" s="6"/>
      <c r="EB1976" s="6"/>
      <c r="EC1976" s="6"/>
      <c r="ED1976" s="6"/>
      <c r="EE1976" s="6"/>
      <c r="EF1976" s="6"/>
      <c r="EG1976" s="6"/>
      <c r="EH1976" s="6"/>
      <c r="EI1976" s="6"/>
      <c r="EJ1976" s="6"/>
      <c r="EK1976" s="6"/>
      <c r="EL1976" s="6"/>
      <c r="EM1976" s="6"/>
      <c r="EN1976" s="6"/>
      <c r="EO1976" s="6"/>
      <c r="EP1976" s="6"/>
      <c r="EQ1976" s="6"/>
      <c r="ER1976" s="6"/>
      <c r="ES1976" s="6"/>
      <c r="ET1976" s="6"/>
      <c r="EU1976" s="6"/>
      <c r="EV1976" s="6"/>
      <c r="EW1976" s="6"/>
      <c r="EX1976" s="6"/>
      <c r="EY1976" s="6"/>
      <c r="EZ1976" s="6"/>
      <c r="FA1976" s="6"/>
      <c r="FB1976" s="6"/>
      <c r="FC1976" s="6"/>
      <c r="FD1976" s="6"/>
      <c r="FE1976" s="6"/>
      <c r="FF1976" s="6"/>
      <c r="FG1976" s="6"/>
      <c r="FH1976" s="6"/>
      <c r="FI1976" s="6"/>
      <c r="FJ1976" s="6"/>
      <c r="FK1976" s="6"/>
      <c r="FL1976" s="6"/>
      <c r="FM1976" s="6"/>
      <c r="FN1976" s="6"/>
      <c r="FO1976" s="6"/>
      <c r="FP1976" s="6"/>
      <c r="FQ1976" s="6"/>
      <c r="FR1976" s="6"/>
      <c r="FS1976" s="6"/>
      <c r="FT1976" s="6"/>
      <c r="FU1976" s="6"/>
      <c r="FV1976" s="6"/>
      <c r="FW1976" s="6"/>
      <c r="FX1976" s="6"/>
      <c r="FY1976" s="6"/>
      <c r="FZ1976" s="6"/>
      <c r="GA1976" s="6"/>
      <c r="GB1976" s="6"/>
      <c r="GC1976" s="6"/>
      <c r="GD1976" s="6"/>
      <c r="GE1976" s="6"/>
      <c r="GF1976" s="6"/>
      <c r="GG1976" s="6"/>
      <c r="GH1976" s="6"/>
      <c r="GI1976" s="6"/>
      <c r="GJ1976" s="6"/>
      <c r="GK1976" s="6"/>
      <c r="GL1976" s="6"/>
      <c r="GM1976" s="6"/>
      <c r="GN1976" s="6"/>
      <c r="GO1976" s="6"/>
      <c r="GP1976" s="6"/>
      <c r="GQ1976" s="6"/>
      <c r="GR1976" s="6"/>
      <c r="GS1976" s="6"/>
      <c r="GT1976" s="6"/>
      <c r="GU1976" s="6"/>
      <c r="GV1976" s="6"/>
      <c r="GW1976" s="6"/>
      <c r="GX1976" s="6"/>
      <c r="GY1976" s="6"/>
      <c r="GZ1976" s="6"/>
      <c r="HA1976" s="6"/>
      <c r="HB1976" s="6"/>
      <c r="HC1976" s="6"/>
      <c r="HD1976" s="6"/>
      <c r="HE1976" s="6"/>
      <c r="HF1976" s="6"/>
      <c r="HG1976" s="6"/>
      <c r="HH1976" s="6"/>
    </row>
    <row r="1977" spans="1:216" x14ac:dyDescent="0.3">
      <c r="A1977" s="8"/>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c r="DX1977" s="6"/>
      <c r="DY1977" s="6"/>
      <c r="DZ1977" s="6"/>
      <c r="EA1977" s="6"/>
      <c r="EB1977" s="6"/>
      <c r="EC1977" s="6"/>
      <c r="ED1977" s="6"/>
      <c r="EE1977" s="6"/>
      <c r="EF1977" s="6"/>
      <c r="EG1977" s="6"/>
      <c r="EH1977" s="6"/>
      <c r="EI1977" s="6"/>
      <c r="EJ1977" s="6"/>
      <c r="EK1977" s="6"/>
      <c r="EL1977" s="6"/>
      <c r="EM1977" s="6"/>
      <c r="EN1977" s="6"/>
      <c r="EO1977" s="6"/>
      <c r="EP1977" s="6"/>
      <c r="EQ1977" s="6"/>
      <c r="ER1977" s="6"/>
      <c r="ES1977" s="6"/>
      <c r="ET1977" s="6"/>
      <c r="EU1977" s="6"/>
      <c r="EV1977" s="6"/>
      <c r="EW1977" s="6"/>
      <c r="EX1977" s="6"/>
      <c r="EY1977" s="6"/>
      <c r="EZ1977" s="6"/>
      <c r="FA1977" s="6"/>
      <c r="FB1977" s="6"/>
      <c r="FC1977" s="6"/>
      <c r="FD1977" s="6"/>
      <c r="FE1977" s="6"/>
      <c r="FF1977" s="6"/>
      <c r="FG1977" s="6"/>
      <c r="FH1977" s="6"/>
      <c r="FI1977" s="6"/>
      <c r="FJ1977" s="6"/>
      <c r="FK1977" s="6"/>
      <c r="FL1977" s="6"/>
      <c r="FM1977" s="6"/>
      <c r="FN1977" s="6"/>
      <c r="FO1977" s="6"/>
      <c r="FP1977" s="6"/>
      <c r="FQ1977" s="6"/>
      <c r="FR1977" s="6"/>
      <c r="FS1977" s="6"/>
      <c r="FT1977" s="6"/>
      <c r="FU1977" s="6"/>
      <c r="FV1977" s="6"/>
      <c r="FW1977" s="6"/>
      <c r="FX1977" s="6"/>
      <c r="FY1977" s="6"/>
      <c r="FZ1977" s="6"/>
      <c r="GA1977" s="6"/>
      <c r="GB1977" s="6"/>
      <c r="GC1977" s="6"/>
      <c r="GD1977" s="6"/>
      <c r="GE1977" s="6"/>
      <c r="GF1977" s="6"/>
      <c r="GG1977" s="6"/>
      <c r="GH1977" s="6"/>
      <c r="GI1977" s="6"/>
      <c r="GJ1977" s="6"/>
      <c r="GK1977" s="6"/>
      <c r="GL1977" s="6"/>
      <c r="GM1977" s="6"/>
      <c r="GN1977" s="6"/>
      <c r="GO1977" s="6"/>
      <c r="GP1977" s="6"/>
      <c r="GQ1977" s="6"/>
      <c r="GR1977" s="6"/>
      <c r="GS1977" s="6"/>
      <c r="GT1977" s="6"/>
      <c r="GU1977" s="6"/>
      <c r="GV1977" s="6"/>
      <c r="GW1977" s="6"/>
      <c r="GX1977" s="6"/>
      <c r="GY1977" s="6"/>
      <c r="GZ1977" s="6"/>
      <c r="HA1977" s="6"/>
      <c r="HB1977" s="6"/>
      <c r="HC1977" s="6"/>
      <c r="HD1977" s="6"/>
      <c r="HE1977" s="6"/>
      <c r="HF1977" s="6"/>
      <c r="HG1977" s="6"/>
      <c r="HH1977" s="6"/>
    </row>
    <row r="1978" spans="1:216" x14ac:dyDescent="0.3">
      <c r="A1978" s="8"/>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6"/>
      <c r="AR1978" s="6"/>
      <c r="AS1978" s="6"/>
      <c r="AT1978" s="6"/>
      <c r="AU1978" s="6"/>
      <c r="AV1978" s="6"/>
      <c r="AW1978" s="6"/>
      <c r="AX1978" s="6"/>
      <c r="AY1978" s="6"/>
      <c r="AZ1978" s="6"/>
      <c r="BA1978" s="6"/>
      <c r="BB1978" s="6"/>
      <c r="BC1978" s="6"/>
      <c r="BD1978" s="6"/>
      <c r="BE1978" s="6"/>
      <c r="BF1978" s="6"/>
      <c r="BG1978" s="6"/>
      <c r="BH1978" s="6"/>
      <c r="BI1978" s="6"/>
      <c r="BJ1978" s="6"/>
      <c r="BK1978" s="6"/>
      <c r="BL1978" s="6"/>
      <c r="BM1978" s="6"/>
      <c r="BN1978" s="6"/>
      <c r="BO1978" s="6"/>
      <c r="BP1978" s="6"/>
      <c r="BQ1978" s="6"/>
      <c r="BR1978" s="6"/>
      <c r="BS1978" s="6"/>
      <c r="BT1978" s="6"/>
      <c r="BU1978" s="6"/>
      <c r="BV1978" s="6"/>
      <c r="BW1978" s="6"/>
      <c r="BX1978" s="6"/>
      <c r="BY1978" s="6"/>
      <c r="BZ1978" s="6"/>
      <c r="CA1978" s="6"/>
      <c r="CB1978" s="6"/>
      <c r="CC1978" s="6"/>
      <c r="CD1978" s="6"/>
      <c r="CE1978" s="6"/>
      <c r="CF1978" s="6"/>
      <c r="CG1978" s="6"/>
      <c r="CH1978" s="6"/>
      <c r="CI1978" s="6"/>
      <c r="CJ1978" s="6"/>
      <c r="CK1978" s="6"/>
      <c r="CL1978" s="6"/>
      <c r="CM1978" s="6"/>
      <c r="CN1978" s="6"/>
      <c r="CO1978" s="6"/>
      <c r="CP1978" s="6"/>
      <c r="CQ1978" s="6"/>
      <c r="CR1978" s="6"/>
      <c r="CS1978" s="6"/>
      <c r="CT1978" s="6"/>
      <c r="CU1978" s="6"/>
      <c r="CV1978" s="6"/>
      <c r="CW1978" s="6"/>
      <c r="CX1978" s="6"/>
      <c r="CY1978" s="6"/>
      <c r="CZ1978" s="6"/>
      <c r="DA1978" s="6"/>
      <c r="DB1978" s="6"/>
      <c r="DC1978" s="6"/>
      <c r="DD1978" s="6"/>
      <c r="DE1978" s="6"/>
      <c r="DF1978" s="6"/>
      <c r="DG1978" s="6"/>
      <c r="DH1978" s="6"/>
      <c r="DI1978" s="6"/>
      <c r="DJ1978" s="6"/>
      <c r="DK1978" s="6"/>
      <c r="DL1978" s="6"/>
      <c r="DM1978" s="6"/>
      <c r="DN1978" s="6"/>
      <c r="DO1978" s="6"/>
      <c r="DP1978" s="6"/>
      <c r="DQ1978" s="6"/>
      <c r="DR1978" s="6"/>
      <c r="DS1978" s="6"/>
      <c r="DT1978" s="6"/>
      <c r="DU1978" s="6"/>
      <c r="DV1978" s="6"/>
      <c r="DW1978" s="6"/>
      <c r="DX1978" s="6"/>
      <c r="DY1978" s="6"/>
      <c r="DZ1978" s="6"/>
      <c r="EA1978" s="6"/>
      <c r="EB1978" s="6"/>
      <c r="EC1978" s="6"/>
      <c r="ED1978" s="6"/>
      <c r="EE1978" s="6"/>
      <c r="EF1978" s="6"/>
      <c r="EG1978" s="6"/>
      <c r="EH1978" s="6"/>
      <c r="EI1978" s="6"/>
      <c r="EJ1978" s="6"/>
      <c r="EK1978" s="6"/>
      <c r="EL1978" s="6"/>
      <c r="EM1978" s="6"/>
      <c r="EN1978" s="6"/>
      <c r="EO1978" s="6"/>
      <c r="EP1978" s="6"/>
      <c r="EQ1978" s="6"/>
      <c r="ER1978" s="6"/>
      <c r="ES1978" s="6"/>
      <c r="ET1978" s="6"/>
      <c r="EU1978" s="6"/>
      <c r="EV1978" s="6"/>
      <c r="EW1978" s="6"/>
      <c r="EX1978" s="6"/>
      <c r="EY1978" s="6"/>
      <c r="EZ1978" s="6"/>
      <c r="FA1978" s="6"/>
      <c r="FB1978" s="6"/>
      <c r="FC1978" s="6"/>
      <c r="FD1978" s="6"/>
      <c r="FE1978" s="6"/>
      <c r="FF1978" s="6"/>
      <c r="FG1978" s="6"/>
      <c r="FH1978" s="6"/>
      <c r="FI1978" s="6"/>
      <c r="FJ1978" s="6"/>
      <c r="FK1978" s="6"/>
      <c r="FL1978" s="6"/>
      <c r="FM1978" s="6"/>
      <c r="FN1978" s="6"/>
      <c r="FO1978" s="6"/>
      <c r="FP1978" s="6"/>
      <c r="FQ1978" s="6"/>
      <c r="FR1978" s="6"/>
      <c r="FS1978" s="6"/>
      <c r="FT1978" s="6"/>
      <c r="FU1978" s="6"/>
      <c r="FV1978" s="6"/>
      <c r="FW1978" s="6"/>
      <c r="FX1978" s="6"/>
      <c r="FY1978" s="6"/>
      <c r="FZ1978" s="6"/>
      <c r="GA1978" s="6"/>
      <c r="GB1978" s="6"/>
      <c r="GC1978" s="6"/>
      <c r="GD1978" s="6"/>
      <c r="GE1978" s="6"/>
      <c r="GF1978" s="6"/>
      <c r="GG1978" s="6"/>
      <c r="GH1978" s="6"/>
      <c r="GI1978" s="6"/>
      <c r="GJ1978" s="6"/>
      <c r="GK1978" s="6"/>
      <c r="GL1978" s="6"/>
      <c r="GM1978" s="6"/>
      <c r="GN1978" s="6"/>
      <c r="GO1978" s="6"/>
      <c r="GP1978" s="6"/>
      <c r="GQ1978" s="6"/>
      <c r="GR1978" s="6"/>
      <c r="GS1978" s="6"/>
      <c r="GT1978" s="6"/>
      <c r="GU1978" s="6"/>
      <c r="GV1978" s="6"/>
      <c r="GW1978" s="6"/>
      <c r="GX1978" s="6"/>
      <c r="GY1978" s="6"/>
      <c r="GZ1978" s="6"/>
      <c r="HA1978" s="6"/>
      <c r="HB1978" s="6"/>
      <c r="HC1978" s="6"/>
      <c r="HD1978" s="6"/>
      <c r="HE1978" s="6"/>
      <c r="HF1978" s="6"/>
      <c r="HG1978" s="6"/>
      <c r="HH1978" s="6"/>
    </row>
    <row r="1979" spans="1:216" x14ac:dyDescent="0.3">
      <c r="A1979" s="8"/>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c r="DX1979" s="6"/>
      <c r="DY1979" s="6"/>
      <c r="DZ1979" s="6"/>
      <c r="EA1979" s="6"/>
      <c r="EB1979" s="6"/>
      <c r="EC1979" s="6"/>
      <c r="ED1979" s="6"/>
      <c r="EE1979" s="6"/>
      <c r="EF1979" s="6"/>
      <c r="EG1979" s="6"/>
      <c r="EH1979" s="6"/>
      <c r="EI1979" s="6"/>
      <c r="EJ1979" s="6"/>
      <c r="EK1979" s="6"/>
      <c r="EL1979" s="6"/>
      <c r="EM1979" s="6"/>
      <c r="EN1979" s="6"/>
      <c r="EO1979" s="6"/>
      <c r="EP1979" s="6"/>
      <c r="EQ1979" s="6"/>
      <c r="ER1979" s="6"/>
      <c r="ES1979" s="6"/>
      <c r="ET1979" s="6"/>
      <c r="EU1979" s="6"/>
      <c r="EV1979" s="6"/>
      <c r="EW1979" s="6"/>
      <c r="EX1979" s="6"/>
      <c r="EY1979" s="6"/>
      <c r="EZ1979" s="6"/>
      <c r="FA1979" s="6"/>
      <c r="FB1979" s="6"/>
      <c r="FC1979" s="6"/>
      <c r="FD1979" s="6"/>
      <c r="FE1979" s="6"/>
      <c r="FF1979" s="6"/>
      <c r="FG1979" s="6"/>
      <c r="FH1979" s="6"/>
      <c r="FI1979" s="6"/>
      <c r="FJ1979" s="6"/>
      <c r="FK1979" s="6"/>
      <c r="FL1979" s="6"/>
      <c r="FM1979" s="6"/>
      <c r="FN1979" s="6"/>
      <c r="FO1979" s="6"/>
      <c r="FP1979" s="6"/>
      <c r="FQ1979" s="6"/>
      <c r="FR1979" s="6"/>
      <c r="FS1979" s="6"/>
      <c r="FT1979" s="6"/>
      <c r="FU1979" s="6"/>
      <c r="FV1979" s="6"/>
      <c r="FW1979" s="6"/>
      <c r="FX1979" s="6"/>
      <c r="FY1979" s="6"/>
      <c r="FZ1979" s="6"/>
      <c r="GA1979" s="6"/>
      <c r="GB1979" s="6"/>
      <c r="GC1979" s="6"/>
      <c r="GD1979" s="6"/>
      <c r="GE1979" s="6"/>
      <c r="GF1979" s="6"/>
      <c r="GG1979" s="6"/>
      <c r="GH1979" s="6"/>
      <c r="GI1979" s="6"/>
      <c r="GJ1979" s="6"/>
      <c r="GK1979" s="6"/>
      <c r="GL1979" s="6"/>
      <c r="GM1979" s="6"/>
      <c r="GN1979" s="6"/>
      <c r="GO1979" s="6"/>
      <c r="GP1979" s="6"/>
      <c r="GQ1979" s="6"/>
      <c r="GR1979" s="6"/>
      <c r="GS1979" s="6"/>
      <c r="GT1979" s="6"/>
      <c r="GU1979" s="6"/>
      <c r="GV1979" s="6"/>
      <c r="GW1979" s="6"/>
      <c r="GX1979" s="6"/>
      <c r="GY1979" s="6"/>
      <c r="GZ1979" s="6"/>
      <c r="HA1979" s="6"/>
      <c r="HB1979" s="6"/>
      <c r="HC1979" s="6"/>
      <c r="HD1979" s="6"/>
      <c r="HE1979" s="6"/>
      <c r="HF1979" s="6"/>
      <c r="HG1979" s="6"/>
      <c r="HH1979" s="6"/>
    </row>
    <row r="1980" spans="1:216" x14ac:dyDescent="0.3">
      <c r="A1980" s="8"/>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c r="DX1980" s="6"/>
      <c r="DY1980" s="6"/>
      <c r="DZ1980" s="6"/>
      <c r="EA1980" s="6"/>
      <c r="EB1980" s="6"/>
      <c r="EC1980" s="6"/>
      <c r="ED1980" s="6"/>
      <c r="EE1980" s="6"/>
      <c r="EF1980" s="6"/>
      <c r="EG1980" s="6"/>
      <c r="EH1980" s="6"/>
      <c r="EI1980" s="6"/>
      <c r="EJ1980" s="6"/>
      <c r="EK1980" s="6"/>
      <c r="EL1980" s="6"/>
      <c r="EM1980" s="6"/>
      <c r="EN1980" s="6"/>
      <c r="EO1980" s="6"/>
      <c r="EP1980" s="6"/>
      <c r="EQ1980" s="6"/>
      <c r="ER1980" s="6"/>
      <c r="ES1980" s="6"/>
      <c r="ET1980" s="6"/>
      <c r="EU1980" s="6"/>
      <c r="EV1980" s="6"/>
      <c r="EW1980" s="6"/>
      <c r="EX1980" s="6"/>
      <c r="EY1980" s="6"/>
      <c r="EZ1980" s="6"/>
      <c r="FA1980" s="6"/>
      <c r="FB1980" s="6"/>
      <c r="FC1980" s="6"/>
      <c r="FD1980" s="6"/>
      <c r="FE1980" s="6"/>
      <c r="FF1980" s="6"/>
      <c r="FG1980" s="6"/>
      <c r="FH1980" s="6"/>
      <c r="FI1980" s="6"/>
      <c r="FJ1980" s="6"/>
      <c r="FK1980" s="6"/>
      <c r="FL1980" s="6"/>
      <c r="FM1980" s="6"/>
      <c r="FN1980" s="6"/>
      <c r="FO1980" s="6"/>
      <c r="FP1980" s="6"/>
      <c r="FQ1980" s="6"/>
      <c r="FR1980" s="6"/>
      <c r="FS1980" s="6"/>
      <c r="FT1980" s="6"/>
      <c r="FU1980" s="6"/>
      <c r="FV1980" s="6"/>
      <c r="FW1980" s="6"/>
      <c r="FX1980" s="6"/>
      <c r="FY1980" s="6"/>
      <c r="FZ1980" s="6"/>
      <c r="GA1980" s="6"/>
      <c r="GB1980" s="6"/>
      <c r="GC1980" s="6"/>
      <c r="GD1980" s="6"/>
      <c r="GE1980" s="6"/>
      <c r="GF1980" s="6"/>
      <c r="GG1980" s="6"/>
      <c r="GH1980" s="6"/>
      <c r="GI1980" s="6"/>
      <c r="GJ1980" s="6"/>
      <c r="GK1980" s="6"/>
      <c r="GL1980" s="6"/>
      <c r="GM1980" s="6"/>
      <c r="GN1980" s="6"/>
      <c r="GO1980" s="6"/>
      <c r="GP1980" s="6"/>
      <c r="GQ1980" s="6"/>
      <c r="GR1980" s="6"/>
      <c r="GS1980" s="6"/>
      <c r="GT1980" s="6"/>
      <c r="GU1980" s="6"/>
      <c r="GV1980" s="6"/>
      <c r="GW1980" s="6"/>
      <c r="GX1980" s="6"/>
      <c r="GY1980" s="6"/>
      <c r="GZ1980" s="6"/>
      <c r="HA1980" s="6"/>
      <c r="HB1980" s="6"/>
      <c r="HC1980" s="6"/>
      <c r="HD1980" s="6"/>
      <c r="HE1980" s="6"/>
      <c r="HF1980" s="6"/>
      <c r="HG1980" s="6"/>
      <c r="HH1980" s="6"/>
    </row>
    <row r="1981" spans="1:216" x14ac:dyDescent="0.3">
      <c r="A1981" s="8"/>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c r="DX1981" s="6"/>
      <c r="DY1981" s="6"/>
      <c r="DZ1981" s="6"/>
      <c r="EA1981" s="6"/>
      <c r="EB1981" s="6"/>
      <c r="EC1981" s="6"/>
      <c r="ED1981" s="6"/>
      <c r="EE1981" s="6"/>
      <c r="EF1981" s="6"/>
      <c r="EG1981" s="6"/>
      <c r="EH1981" s="6"/>
      <c r="EI1981" s="6"/>
      <c r="EJ1981" s="6"/>
      <c r="EK1981" s="6"/>
      <c r="EL1981" s="6"/>
      <c r="EM1981" s="6"/>
      <c r="EN1981" s="6"/>
      <c r="EO1981" s="6"/>
      <c r="EP1981" s="6"/>
      <c r="EQ1981" s="6"/>
      <c r="ER1981" s="6"/>
      <c r="ES1981" s="6"/>
      <c r="ET1981" s="6"/>
      <c r="EU1981" s="6"/>
      <c r="EV1981" s="6"/>
      <c r="EW1981" s="6"/>
      <c r="EX1981" s="6"/>
      <c r="EY1981" s="6"/>
      <c r="EZ1981" s="6"/>
      <c r="FA1981" s="6"/>
      <c r="FB1981" s="6"/>
      <c r="FC1981" s="6"/>
      <c r="FD1981" s="6"/>
      <c r="FE1981" s="6"/>
      <c r="FF1981" s="6"/>
      <c r="FG1981" s="6"/>
      <c r="FH1981" s="6"/>
      <c r="FI1981" s="6"/>
      <c r="FJ1981" s="6"/>
      <c r="FK1981" s="6"/>
      <c r="FL1981" s="6"/>
      <c r="FM1981" s="6"/>
      <c r="FN1981" s="6"/>
      <c r="FO1981" s="6"/>
      <c r="FP1981" s="6"/>
      <c r="FQ1981" s="6"/>
      <c r="FR1981" s="6"/>
      <c r="FS1981" s="6"/>
      <c r="FT1981" s="6"/>
      <c r="FU1981" s="6"/>
      <c r="FV1981" s="6"/>
      <c r="FW1981" s="6"/>
      <c r="FX1981" s="6"/>
      <c r="FY1981" s="6"/>
      <c r="FZ1981" s="6"/>
      <c r="GA1981" s="6"/>
      <c r="GB1981" s="6"/>
      <c r="GC1981" s="6"/>
      <c r="GD1981" s="6"/>
      <c r="GE1981" s="6"/>
      <c r="GF1981" s="6"/>
      <c r="GG1981" s="6"/>
      <c r="GH1981" s="6"/>
      <c r="GI1981" s="6"/>
      <c r="GJ1981" s="6"/>
      <c r="GK1981" s="6"/>
      <c r="GL1981" s="6"/>
      <c r="GM1981" s="6"/>
      <c r="GN1981" s="6"/>
      <c r="GO1981" s="6"/>
      <c r="GP1981" s="6"/>
      <c r="GQ1981" s="6"/>
      <c r="GR1981" s="6"/>
      <c r="GS1981" s="6"/>
      <c r="GT1981" s="6"/>
      <c r="GU1981" s="6"/>
      <c r="GV1981" s="6"/>
      <c r="GW1981" s="6"/>
      <c r="GX1981" s="6"/>
      <c r="GY1981" s="6"/>
      <c r="GZ1981" s="6"/>
      <c r="HA1981" s="6"/>
      <c r="HB1981" s="6"/>
      <c r="HC1981" s="6"/>
      <c r="HD1981" s="6"/>
      <c r="HE1981" s="6"/>
      <c r="HF1981" s="6"/>
      <c r="HG1981" s="6"/>
      <c r="HH1981" s="6"/>
    </row>
    <row r="1982" spans="1:216" x14ac:dyDescent="0.3">
      <c r="A1982" s="8"/>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6"/>
      <c r="AR1982" s="6"/>
      <c r="AS1982" s="6"/>
      <c r="AT1982" s="6"/>
      <c r="AU1982" s="6"/>
      <c r="AV1982" s="6"/>
      <c r="AW1982" s="6"/>
      <c r="AX1982" s="6"/>
      <c r="AY1982" s="6"/>
      <c r="AZ1982" s="6"/>
      <c r="BA1982" s="6"/>
      <c r="BB1982" s="6"/>
      <c r="BC1982" s="6"/>
      <c r="BD1982" s="6"/>
      <c r="BE1982" s="6"/>
      <c r="BF1982" s="6"/>
      <c r="BG1982" s="6"/>
      <c r="BH1982" s="6"/>
      <c r="BI1982" s="6"/>
      <c r="BJ1982" s="6"/>
      <c r="BK1982" s="6"/>
      <c r="BL1982" s="6"/>
      <c r="BM1982" s="6"/>
      <c r="BN1982" s="6"/>
      <c r="BO1982" s="6"/>
      <c r="BP1982" s="6"/>
      <c r="BQ1982" s="6"/>
      <c r="BR1982" s="6"/>
      <c r="BS1982" s="6"/>
      <c r="BT1982" s="6"/>
      <c r="BU1982" s="6"/>
      <c r="BV1982" s="6"/>
      <c r="BW1982" s="6"/>
      <c r="BX1982" s="6"/>
      <c r="BY1982" s="6"/>
      <c r="BZ1982" s="6"/>
      <c r="CA1982" s="6"/>
      <c r="CB1982" s="6"/>
      <c r="CC1982" s="6"/>
      <c r="CD1982" s="6"/>
      <c r="CE1982" s="6"/>
      <c r="CF1982" s="6"/>
      <c r="CG1982" s="6"/>
      <c r="CH1982" s="6"/>
      <c r="CI1982" s="6"/>
      <c r="CJ1982" s="6"/>
      <c r="CK1982" s="6"/>
      <c r="CL1982" s="6"/>
      <c r="CM1982" s="6"/>
      <c r="CN1982" s="6"/>
      <c r="CO1982" s="6"/>
      <c r="CP1982" s="6"/>
      <c r="CQ1982" s="6"/>
      <c r="CR1982" s="6"/>
      <c r="CS1982" s="6"/>
      <c r="CT1982" s="6"/>
      <c r="CU1982" s="6"/>
      <c r="CV1982" s="6"/>
      <c r="CW1982" s="6"/>
      <c r="CX1982" s="6"/>
      <c r="CY1982" s="6"/>
      <c r="CZ1982" s="6"/>
      <c r="DA1982" s="6"/>
      <c r="DB1982" s="6"/>
      <c r="DC1982" s="6"/>
      <c r="DD1982" s="6"/>
      <c r="DE1982" s="6"/>
      <c r="DF1982" s="6"/>
      <c r="DG1982" s="6"/>
      <c r="DH1982" s="6"/>
      <c r="DI1982" s="6"/>
      <c r="DJ1982" s="6"/>
      <c r="DK1982" s="6"/>
      <c r="DL1982" s="6"/>
      <c r="DM1982" s="6"/>
      <c r="DN1982" s="6"/>
      <c r="DO1982" s="6"/>
      <c r="DP1982" s="6"/>
      <c r="DQ1982" s="6"/>
      <c r="DR1982" s="6"/>
      <c r="DS1982" s="6"/>
      <c r="DT1982" s="6"/>
      <c r="DU1982" s="6"/>
      <c r="DV1982" s="6"/>
      <c r="DW1982" s="6"/>
      <c r="DX1982" s="6"/>
      <c r="DY1982" s="6"/>
      <c r="DZ1982" s="6"/>
      <c r="EA1982" s="6"/>
      <c r="EB1982" s="6"/>
      <c r="EC1982" s="6"/>
      <c r="ED1982" s="6"/>
      <c r="EE1982" s="6"/>
      <c r="EF1982" s="6"/>
      <c r="EG1982" s="6"/>
      <c r="EH1982" s="6"/>
      <c r="EI1982" s="6"/>
      <c r="EJ1982" s="6"/>
      <c r="EK1982" s="6"/>
      <c r="EL1982" s="6"/>
      <c r="EM1982" s="6"/>
      <c r="EN1982" s="6"/>
      <c r="EO1982" s="6"/>
      <c r="EP1982" s="6"/>
      <c r="EQ1982" s="6"/>
      <c r="ER1982" s="6"/>
      <c r="ES1982" s="6"/>
      <c r="ET1982" s="6"/>
      <c r="EU1982" s="6"/>
      <c r="EV1982" s="6"/>
      <c r="EW1982" s="6"/>
      <c r="EX1982" s="6"/>
      <c r="EY1982" s="6"/>
      <c r="EZ1982" s="6"/>
      <c r="FA1982" s="6"/>
      <c r="FB1982" s="6"/>
      <c r="FC1982" s="6"/>
      <c r="FD1982" s="6"/>
      <c r="FE1982" s="6"/>
      <c r="FF1982" s="6"/>
      <c r="FG1982" s="6"/>
      <c r="FH1982" s="6"/>
      <c r="FI1982" s="6"/>
      <c r="FJ1982" s="6"/>
      <c r="FK1982" s="6"/>
      <c r="FL1982" s="6"/>
      <c r="FM1982" s="6"/>
      <c r="FN1982" s="6"/>
      <c r="FO1982" s="6"/>
      <c r="FP1982" s="6"/>
      <c r="FQ1982" s="6"/>
      <c r="FR1982" s="6"/>
      <c r="FS1982" s="6"/>
      <c r="FT1982" s="6"/>
      <c r="FU1982" s="6"/>
      <c r="FV1982" s="6"/>
      <c r="FW1982" s="6"/>
      <c r="FX1982" s="6"/>
      <c r="FY1982" s="6"/>
      <c r="FZ1982" s="6"/>
      <c r="GA1982" s="6"/>
      <c r="GB1982" s="6"/>
      <c r="GC1982" s="6"/>
      <c r="GD1982" s="6"/>
      <c r="GE1982" s="6"/>
      <c r="GF1982" s="6"/>
      <c r="GG1982" s="6"/>
      <c r="GH1982" s="6"/>
      <c r="GI1982" s="6"/>
      <c r="GJ1982" s="6"/>
      <c r="GK1982" s="6"/>
      <c r="GL1982" s="6"/>
      <c r="GM1982" s="6"/>
      <c r="GN1982" s="6"/>
      <c r="GO1982" s="6"/>
      <c r="GP1982" s="6"/>
      <c r="GQ1982" s="6"/>
      <c r="GR1982" s="6"/>
      <c r="GS1982" s="6"/>
      <c r="GT1982" s="6"/>
      <c r="GU1982" s="6"/>
      <c r="GV1982" s="6"/>
      <c r="GW1982" s="6"/>
      <c r="GX1982" s="6"/>
      <c r="GY1982" s="6"/>
      <c r="GZ1982" s="6"/>
      <c r="HA1982" s="6"/>
      <c r="HB1982" s="6"/>
      <c r="HC1982" s="6"/>
      <c r="HD1982" s="6"/>
      <c r="HE1982" s="6"/>
      <c r="HF1982" s="6"/>
      <c r="HG1982" s="6"/>
      <c r="HH1982" s="6"/>
    </row>
    <row r="1983" spans="1:216" x14ac:dyDescent="0.3">
      <c r="A1983" s="8"/>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6"/>
      <c r="AR1983" s="6"/>
      <c r="AS1983" s="6"/>
      <c r="AT1983" s="6"/>
      <c r="AU1983" s="6"/>
      <c r="AV1983" s="6"/>
      <c r="AW1983" s="6"/>
      <c r="AX1983" s="6"/>
      <c r="AY1983" s="6"/>
      <c r="AZ1983" s="6"/>
      <c r="BA1983" s="6"/>
      <c r="BB1983" s="6"/>
      <c r="BC1983" s="6"/>
      <c r="BD1983" s="6"/>
      <c r="BE1983" s="6"/>
      <c r="BF1983" s="6"/>
      <c r="BG1983" s="6"/>
      <c r="BH1983" s="6"/>
      <c r="BI1983" s="6"/>
      <c r="BJ1983" s="6"/>
      <c r="BK1983" s="6"/>
      <c r="BL1983" s="6"/>
      <c r="BM1983" s="6"/>
      <c r="BN1983" s="6"/>
      <c r="BO1983" s="6"/>
      <c r="BP1983" s="6"/>
      <c r="BQ1983" s="6"/>
      <c r="BR1983" s="6"/>
      <c r="BS1983" s="6"/>
      <c r="BT1983" s="6"/>
      <c r="BU1983" s="6"/>
      <c r="BV1983" s="6"/>
      <c r="BW1983" s="6"/>
      <c r="BX1983" s="6"/>
      <c r="BY1983" s="6"/>
      <c r="BZ1983" s="6"/>
      <c r="CA1983" s="6"/>
      <c r="CB1983" s="6"/>
      <c r="CC1983" s="6"/>
      <c r="CD1983" s="6"/>
      <c r="CE1983" s="6"/>
      <c r="CF1983" s="6"/>
      <c r="CG1983" s="6"/>
      <c r="CH1983" s="6"/>
      <c r="CI1983" s="6"/>
      <c r="CJ1983" s="6"/>
      <c r="CK1983" s="6"/>
      <c r="CL1983" s="6"/>
      <c r="CM1983" s="6"/>
      <c r="CN1983" s="6"/>
      <c r="CO1983" s="6"/>
      <c r="CP1983" s="6"/>
      <c r="CQ1983" s="6"/>
      <c r="CR1983" s="6"/>
      <c r="CS1983" s="6"/>
      <c r="CT1983" s="6"/>
      <c r="CU1983" s="6"/>
      <c r="CV1983" s="6"/>
      <c r="CW1983" s="6"/>
      <c r="CX1983" s="6"/>
      <c r="CY1983" s="6"/>
      <c r="CZ1983" s="6"/>
      <c r="DA1983" s="6"/>
      <c r="DB1983" s="6"/>
      <c r="DC1983" s="6"/>
      <c r="DD1983" s="6"/>
      <c r="DE1983" s="6"/>
      <c r="DF1983" s="6"/>
      <c r="DG1983" s="6"/>
      <c r="DH1983" s="6"/>
      <c r="DI1983" s="6"/>
      <c r="DJ1983" s="6"/>
      <c r="DK1983" s="6"/>
      <c r="DL1983" s="6"/>
      <c r="DM1983" s="6"/>
      <c r="DN1983" s="6"/>
      <c r="DO1983" s="6"/>
      <c r="DP1983" s="6"/>
      <c r="DQ1983" s="6"/>
      <c r="DR1983" s="6"/>
      <c r="DS1983" s="6"/>
      <c r="DT1983" s="6"/>
      <c r="DU1983" s="6"/>
      <c r="DV1983" s="6"/>
      <c r="DW1983" s="6"/>
      <c r="DX1983" s="6"/>
      <c r="DY1983" s="6"/>
      <c r="DZ1983" s="6"/>
      <c r="EA1983" s="6"/>
      <c r="EB1983" s="6"/>
      <c r="EC1983" s="6"/>
      <c r="ED1983" s="6"/>
      <c r="EE1983" s="6"/>
      <c r="EF1983" s="6"/>
      <c r="EG1983" s="6"/>
      <c r="EH1983" s="6"/>
      <c r="EI1983" s="6"/>
      <c r="EJ1983" s="6"/>
      <c r="EK1983" s="6"/>
      <c r="EL1983" s="6"/>
      <c r="EM1983" s="6"/>
      <c r="EN1983" s="6"/>
      <c r="EO1983" s="6"/>
      <c r="EP1983" s="6"/>
      <c r="EQ1983" s="6"/>
      <c r="ER1983" s="6"/>
      <c r="ES1983" s="6"/>
      <c r="ET1983" s="6"/>
      <c r="EU1983" s="6"/>
      <c r="EV1983" s="6"/>
      <c r="EW1983" s="6"/>
      <c r="EX1983" s="6"/>
      <c r="EY1983" s="6"/>
      <c r="EZ1983" s="6"/>
      <c r="FA1983" s="6"/>
      <c r="FB1983" s="6"/>
      <c r="FC1983" s="6"/>
      <c r="FD1983" s="6"/>
      <c r="FE1983" s="6"/>
      <c r="FF1983" s="6"/>
      <c r="FG1983" s="6"/>
      <c r="FH1983" s="6"/>
      <c r="FI1983" s="6"/>
      <c r="FJ1983" s="6"/>
      <c r="FK1983" s="6"/>
      <c r="FL1983" s="6"/>
      <c r="FM1983" s="6"/>
      <c r="FN1983" s="6"/>
      <c r="FO1983" s="6"/>
      <c r="FP1983" s="6"/>
      <c r="FQ1983" s="6"/>
      <c r="FR1983" s="6"/>
      <c r="FS1983" s="6"/>
      <c r="FT1983" s="6"/>
      <c r="FU1983" s="6"/>
      <c r="FV1983" s="6"/>
      <c r="FW1983" s="6"/>
      <c r="FX1983" s="6"/>
      <c r="FY1983" s="6"/>
      <c r="FZ1983" s="6"/>
      <c r="GA1983" s="6"/>
      <c r="GB1983" s="6"/>
      <c r="GC1983" s="6"/>
      <c r="GD1983" s="6"/>
      <c r="GE1983" s="6"/>
      <c r="GF1983" s="6"/>
      <c r="GG1983" s="6"/>
      <c r="GH1983" s="6"/>
      <c r="GI1983" s="6"/>
      <c r="GJ1983" s="6"/>
      <c r="GK1983" s="6"/>
      <c r="GL1983" s="6"/>
      <c r="GM1983" s="6"/>
      <c r="GN1983" s="6"/>
      <c r="GO1983" s="6"/>
      <c r="GP1983" s="6"/>
      <c r="GQ1983" s="6"/>
      <c r="GR1983" s="6"/>
      <c r="GS1983" s="6"/>
      <c r="GT1983" s="6"/>
      <c r="GU1983" s="6"/>
      <c r="GV1983" s="6"/>
      <c r="GW1983" s="6"/>
      <c r="GX1983" s="6"/>
      <c r="GY1983" s="6"/>
      <c r="GZ1983" s="6"/>
      <c r="HA1983" s="6"/>
      <c r="HB1983" s="6"/>
      <c r="HC1983" s="6"/>
      <c r="HD1983" s="6"/>
      <c r="HE1983" s="6"/>
      <c r="HF1983" s="6"/>
      <c r="HG1983" s="6"/>
      <c r="HH1983" s="6"/>
    </row>
    <row r="1984" spans="1:216" x14ac:dyDescent="0.3">
      <c r="A1984" s="8"/>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6"/>
      <c r="AR1984" s="6"/>
      <c r="AS1984" s="6"/>
      <c r="AT1984" s="6"/>
      <c r="AU1984" s="6"/>
      <c r="AV1984" s="6"/>
      <c r="AW1984" s="6"/>
      <c r="AX1984" s="6"/>
      <c r="AY1984" s="6"/>
      <c r="AZ1984" s="6"/>
      <c r="BA1984" s="6"/>
      <c r="BB1984" s="6"/>
      <c r="BC1984" s="6"/>
      <c r="BD1984" s="6"/>
      <c r="BE1984" s="6"/>
      <c r="BF1984" s="6"/>
      <c r="BG1984" s="6"/>
      <c r="BH1984" s="6"/>
      <c r="BI1984" s="6"/>
      <c r="BJ1984" s="6"/>
      <c r="BK1984" s="6"/>
      <c r="BL1984" s="6"/>
      <c r="BM1984" s="6"/>
      <c r="BN1984" s="6"/>
      <c r="BO1984" s="6"/>
      <c r="BP1984" s="6"/>
      <c r="BQ1984" s="6"/>
      <c r="BR1984" s="6"/>
      <c r="BS1984" s="6"/>
      <c r="BT1984" s="6"/>
      <c r="BU1984" s="6"/>
      <c r="BV1984" s="6"/>
      <c r="BW1984" s="6"/>
      <c r="BX1984" s="6"/>
      <c r="BY1984" s="6"/>
      <c r="BZ1984" s="6"/>
      <c r="CA1984" s="6"/>
      <c r="CB1984" s="6"/>
      <c r="CC1984" s="6"/>
      <c r="CD1984" s="6"/>
      <c r="CE1984" s="6"/>
      <c r="CF1984" s="6"/>
      <c r="CG1984" s="6"/>
      <c r="CH1984" s="6"/>
      <c r="CI1984" s="6"/>
      <c r="CJ1984" s="6"/>
      <c r="CK1984" s="6"/>
      <c r="CL1984" s="6"/>
      <c r="CM1984" s="6"/>
      <c r="CN1984" s="6"/>
      <c r="CO1984" s="6"/>
      <c r="CP1984" s="6"/>
      <c r="CQ1984" s="6"/>
      <c r="CR1984" s="6"/>
      <c r="CS1984" s="6"/>
      <c r="CT1984" s="6"/>
      <c r="CU1984" s="6"/>
      <c r="CV1984" s="6"/>
      <c r="CW1984" s="6"/>
      <c r="CX1984" s="6"/>
      <c r="CY1984" s="6"/>
      <c r="CZ1984" s="6"/>
      <c r="DA1984" s="6"/>
      <c r="DB1984" s="6"/>
      <c r="DC1984" s="6"/>
      <c r="DD1984" s="6"/>
      <c r="DE1984" s="6"/>
      <c r="DF1984" s="6"/>
      <c r="DG1984" s="6"/>
      <c r="DH1984" s="6"/>
      <c r="DI1984" s="6"/>
      <c r="DJ1984" s="6"/>
      <c r="DK1984" s="6"/>
      <c r="DL1984" s="6"/>
      <c r="DM1984" s="6"/>
      <c r="DN1984" s="6"/>
      <c r="DO1984" s="6"/>
      <c r="DP1984" s="6"/>
      <c r="DQ1984" s="6"/>
      <c r="DR1984" s="6"/>
      <c r="DS1984" s="6"/>
      <c r="DT1984" s="6"/>
      <c r="DU1984" s="6"/>
      <c r="DV1984" s="6"/>
      <c r="DW1984" s="6"/>
      <c r="DX1984" s="6"/>
      <c r="DY1984" s="6"/>
      <c r="DZ1984" s="6"/>
      <c r="EA1984" s="6"/>
      <c r="EB1984" s="6"/>
      <c r="EC1984" s="6"/>
      <c r="ED1984" s="6"/>
      <c r="EE1984" s="6"/>
      <c r="EF1984" s="6"/>
      <c r="EG1984" s="6"/>
      <c r="EH1984" s="6"/>
      <c r="EI1984" s="6"/>
      <c r="EJ1984" s="6"/>
      <c r="EK1984" s="6"/>
      <c r="EL1984" s="6"/>
      <c r="EM1984" s="6"/>
      <c r="EN1984" s="6"/>
      <c r="EO1984" s="6"/>
      <c r="EP1984" s="6"/>
      <c r="EQ1984" s="6"/>
      <c r="ER1984" s="6"/>
      <c r="ES1984" s="6"/>
      <c r="ET1984" s="6"/>
      <c r="EU1984" s="6"/>
      <c r="EV1984" s="6"/>
      <c r="EW1984" s="6"/>
      <c r="EX1984" s="6"/>
      <c r="EY1984" s="6"/>
      <c r="EZ1984" s="6"/>
      <c r="FA1984" s="6"/>
      <c r="FB1984" s="6"/>
      <c r="FC1984" s="6"/>
      <c r="FD1984" s="6"/>
      <c r="FE1984" s="6"/>
      <c r="FF1984" s="6"/>
      <c r="FG1984" s="6"/>
      <c r="FH1984" s="6"/>
      <c r="FI1984" s="6"/>
      <c r="FJ1984" s="6"/>
      <c r="FK1984" s="6"/>
      <c r="FL1984" s="6"/>
      <c r="FM1984" s="6"/>
      <c r="FN1984" s="6"/>
      <c r="FO1984" s="6"/>
      <c r="FP1984" s="6"/>
      <c r="FQ1984" s="6"/>
      <c r="FR1984" s="6"/>
      <c r="FS1984" s="6"/>
      <c r="FT1984" s="6"/>
      <c r="FU1984" s="6"/>
      <c r="FV1984" s="6"/>
      <c r="FW1984" s="6"/>
      <c r="FX1984" s="6"/>
      <c r="FY1984" s="6"/>
      <c r="FZ1984" s="6"/>
      <c r="GA1984" s="6"/>
      <c r="GB1984" s="6"/>
      <c r="GC1984" s="6"/>
      <c r="GD1984" s="6"/>
      <c r="GE1984" s="6"/>
      <c r="GF1984" s="6"/>
      <c r="GG1984" s="6"/>
      <c r="GH1984" s="6"/>
      <c r="GI1984" s="6"/>
      <c r="GJ1984" s="6"/>
      <c r="GK1984" s="6"/>
      <c r="GL1984" s="6"/>
      <c r="GM1984" s="6"/>
      <c r="GN1984" s="6"/>
      <c r="GO1984" s="6"/>
      <c r="GP1984" s="6"/>
      <c r="GQ1984" s="6"/>
      <c r="GR1984" s="6"/>
      <c r="GS1984" s="6"/>
      <c r="GT1984" s="6"/>
      <c r="GU1984" s="6"/>
      <c r="GV1984" s="6"/>
      <c r="GW1984" s="6"/>
      <c r="GX1984" s="6"/>
      <c r="GY1984" s="6"/>
      <c r="GZ1984" s="6"/>
      <c r="HA1984" s="6"/>
      <c r="HB1984" s="6"/>
      <c r="HC1984" s="6"/>
      <c r="HD1984" s="6"/>
      <c r="HE1984" s="6"/>
      <c r="HF1984" s="6"/>
      <c r="HG1984" s="6"/>
      <c r="HH1984" s="6"/>
    </row>
    <row r="1985" spans="1:216" x14ac:dyDescent="0.3">
      <c r="A1985" s="8"/>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6"/>
      <c r="AR1985" s="6"/>
      <c r="AS1985" s="6"/>
      <c r="AT1985" s="6"/>
      <c r="AU1985" s="6"/>
      <c r="AV1985" s="6"/>
      <c r="AW1985" s="6"/>
      <c r="AX1985" s="6"/>
      <c r="AY1985" s="6"/>
      <c r="AZ1985" s="6"/>
      <c r="BA1985" s="6"/>
      <c r="BB1985" s="6"/>
      <c r="BC1985" s="6"/>
      <c r="BD1985" s="6"/>
      <c r="BE1985" s="6"/>
      <c r="BF1985" s="6"/>
      <c r="BG1985" s="6"/>
      <c r="BH1985" s="6"/>
      <c r="BI1985" s="6"/>
      <c r="BJ1985" s="6"/>
      <c r="BK1985" s="6"/>
      <c r="BL1985" s="6"/>
      <c r="BM1985" s="6"/>
      <c r="BN1985" s="6"/>
      <c r="BO1985" s="6"/>
      <c r="BP1985" s="6"/>
      <c r="BQ1985" s="6"/>
      <c r="BR1985" s="6"/>
      <c r="BS1985" s="6"/>
      <c r="BT1985" s="6"/>
      <c r="BU1985" s="6"/>
      <c r="BV1985" s="6"/>
      <c r="BW1985" s="6"/>
      <c r="BX1985" s="6"/>
      <c r="BY1985" s="6"/>
      <c r="BZ1985" s="6"/>
      <c r="CA1985" s="6"/>
      <c r="CB1985" s="6"/>
      <c r="CC1985" s="6"/>
      <c r="CD1985" s="6"/>
      <c r="CE1985" s="6"/>
      <c r="CF1985" s="6"/>
      <c r="CG1985" s="6"/>
      <c r="CH1985" s="6"/>
      <c r="CI1985" s="6"/>
      <c r="CJ1985" s="6"/>
      <c r="CK1985" s="6"/>
      <c r="CL1985" s="6"/>
      <c r="CM1985" s="6"/>
      <c r="CN1985" s="6"/>
      <c r="CO1985" s="6"/>
      <c r="CP1985" s="6"/>
      <c r="CQ1985" s="6"/>
      <c r="CR1985" s="6"/>
      <c r="CS1985" s="6"/>
      <c r="CT1985" s="6"/>
      <c r="CU1985" s="6"/>
      <c r="CV1985" s="6"/>
      <c r="CW1985" s="6"/>
      <c r="CX1985" s="6"/>
      <c r="CY1985" s="6"/>
      <c r="CZ1985" s="6"/>
      <c r="DA1985" s="6"/>
      <c r="DB1985" s="6"/>
      <c r="DC1985" s="6"/>
      <c r="DD1985" s="6"/>
      <c r="DE1985" s="6"/>
      <c r="DF1985" s="6"/>
      <c r="DG1985" s="6"/>
      <c r="DH1985" s="6"/>
      <c r="DI1985" s="6"/>
      <c r="DJ1985" s="6"/>
      <c r="DK1985" s="6"/>
      <c r="DL1985" s="6"/>
      <c r="DM1985" s="6"/>
      <c r="DN1985" s="6"/>
      <c r="DO1985" s="6"/>
      <c r="DP1985" s="6"/>
      <c r="DQ1985" s="6"/>
      <c r="DR1985" s="6"/>
      <c r="DS1985" s="6"/>
      <c r="DT1985" s="6"/>
      <c r="DU1985" s="6"/>
      <c r="DV1985" s="6"/>
      <c r="DW1985" s="6"/>
      <c r="DX1985" s="6"/>
      <c r="DY1985" s="6"/>
      <c r="DZ1985" s="6"/>
      <c r="EA1985" s="6"/>
      <c r="EB1985" s="6"/>
      <c r="EC1985" s="6"/>
      <c r="ED1985" s="6"/>
      <c r="EE1985" s="6"/>
      <c r="EF1985" s="6"/>
      <c r="EG1985" s="6"/>
      <c r="EH1985" s="6"/>
      <c r="EI1985" s="6"/>
      <c r="EJ1985" s="6"/>
      <c r="EK1985" s="6"/>
      <c r="EL1985" s="6"/>
      <c r="EM1985" s="6"/>
      <c r="EN1985" s="6"/>
      <c r="EO1985" s="6"/>
      <c r="EP1985" s="6"/>
      <c r="EQ1985" s="6"/>
      <c r="ER1985" s="6"/>
      <c r="ES1985" s="6"/>
      <c r="ET1985" s="6"/>
      <c r="EU1985" s="6"/>
      <c r="EV1985" s="6"/>
      <c r="EW1985" s="6"/>
      <c r="EX1985" s="6"/>
      <c r="EY1985" s="6"/>
      <c r="EZ1985" s="6"/>
      <c r="FA1985" s="6"/>
      <c r="FB1985" s="6"/>
      <c r="FC1985" s="6"/>
      <c r="FD1985" s="6"/>
      <c r="FE1985" s="6"/>
      <c r="FF1985" s="6"/>
      <c r="FG1985" s="6"/>
      <c r="FH1985" s="6"/>
      <c r="FI1985" s="6"/>
      <c r="FJ1985" s="6"/>
      <c r="FK1985" s="6"/>
      <c r="FL1985" s="6"/>
      <c r="FM1985" s="6"/>
      <c r="FN1985" s="6"/>
      <c r="FO1985" s="6"/>
      <c r="FP1985" s="6"/>
      <c r="FQ1985" s="6"/>
      <c r="FR1985" s="6"/>
      <c r="FS1985" s="6"/>
      <c r="FT1985" s="6"/>
      <c r="FU1985" s="6"/>
      <c r="FV1985" s="6"/>
      <c r="FW1985" s="6"/>
      <c r="FX1985" s="6"/>
      <c r="FY1985" s="6"/>
      <c r="FZ1985" s="6"/>
      <c r="GA1985" s="6"/>
      <c r="GB1985" s="6"/>
      <c r="GC1985" s="6"/>
      <c r="GD1985" s="6"/>
      <c r="GE1985" s="6"/>
      <c r="GF1985" s="6"/>
      <c r="GG1985" s="6"/>
      <c r="GH1985" s="6"/>
      <c r="GI1985" s="6"/>
      <c r="GJ1985" s="6"/>
      <c r="GK1985" s="6"/>
      <c r="GL1985" s="6"/>
      <c r="GM1985" s="6"/>
      <c r="GN1985" s="6"/>
      <c r="GO1985" s="6"/>
      <c r="GP1985" s="6"/>
      <c r="GQ1985" s="6"/>
      <c r="GR1985" s="6"/>
      <c r="GS1985" s="6"/>
      <c r="GT1985" s="6"/>
      <c r="GU1985" s="6"/>
      <c r="GV1985" s="6"/>
      <c r="GW1985" s="6"/>
      <c r="GX1985" s="6"/>
      <c r="GY1985" s="6"/>
      <c r="GZ1985" s="6"/>
      <c r="HA1985" s="6"/>
      <c r="HB1985" s="6"/>
      <c r="HC1985" s="6"/>
      <c r="HD1985" s="6"/>
      <c r="HE1985" s="6"/>
      <c r="HF1985" s="6"/>
      <c r="HG1985" s="6"/>
      <c r="HH1985" s="6"/>
    </row>
    <row r="1986" spans="1:216" x14ac:dyDescent="0.3">
      <c r="A1986" s="8"/>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6"/>
      <c r="AR1986" s="6"/>
      <c r="AS1986" s="6"/>
      <c r="AT1986" s="6"/>
      <c r="AU1986" s="6"/>
      <c r="AV1986" s="6"/>
      <c r="AW1986" s="6"/>
      <c r="AX1986" s="6"/>
      <c r="AY1986" s="6"/>
      <c r="AZ1986" s="6"/>
      <c r="BA1986" s="6"/>
      <c r="BB1986" s="6"/>
      <c r="BC1986" s="6"/>
      <c r="BD1986" s="6"/>
      <c r="BE1986" s="6"/>
      <c r="BF1986" s="6"/>
      <c r="BG1986" s="6"/>
      <c r="BH1986" s="6"/>
      <c r="BI1986" s="6"/>
      <c r="BJ1986" s="6"/>
      <c r="BK1986" s="6"/>
      <c r="BL1986" s="6"/>
      <c r="BM1986" s="6"/>
      <c r="BN1986" s="6"/>
      <c r="BO1986" s="6"/>
      <c r="BP1986" s="6"/>
      <c r="BQ1986" s="6"/>
      <c r="BR1986" s="6"/>
      <c r="BS1986" s="6"/>
      <c r="BT1986" s="6"/>
      <c r="BU1986" s="6"/>
      <c r="BV1986" s="6"/>
      <c r="BW1986" s="6"/>
      <c r="BX1986" s="6"/>
      <c r="BY1986" s="6"/>
      <c r="BZ1986" s="6"/>
      <c r="CA1986" s="6"/>
      <c r="CB1986" s="6"/>
      <c r="CC1986" s="6"/>
      <c r="CD1986" s="6"/>
      <c r="CE1986" s="6"/>
      <c r="CF1986" s="6"/>
      <c r="CG1986" s="6"/>
      <c r="CH1986" s="6"/>
      <c r="CI1986" s="6"/>
      <c r="CJ1986" s="6"/>
      <c r="CK1986" s="6"/>
      <c r="CL1986" s="6"/>
      <c r="CM1986" s="6"/>
      <c r="CN1986" s="6"/>
      <c r="CO1986" s="6"/>
      <c r="CP1986" s="6"/>
      <c r="CQ1986" s="6"/>
      <c r="CR1986" s="6"/>
      <c r="CS1986" s="6"/>
      <c r="CT1986" s="6"/>
      <c r="CU1986" s="6"/>
      <c r="CV1986" s="6"/>
      <c r="CW1986" s="6"/>
      <c r="CX1986" s="6"/>
      <c r="CY1986" s="6"/>
      <c r="CZ1986" s="6"/>
      <c r="DA1986" s="6"/>
      <c r="DB1986" s="6"/>
      <c r="DC1986" s="6"/>
      <c r="DD1986" s="6"/>
      <c r="DE1986" s="6"/>
      <c r="DF1986" s="6"/>
      <c r="DG1986" s="6"/>
      <c r="DH1986" s="6"/>
      <c r="DI1986" s="6"/>
      <c r="DJ1986" s="6"/>
      <c r="DK1986" s="6"/>
      <c r="DL1986" s="6"/>
      <c r="DM1986" s="6"/>
      <c r="DN1986" s="6"/>
      <c r="DO1986" s="6"/>
      <c r="DP1986" s="6"/>
      <c r="DQ1986" s="6"/>
      <c r="DR1986" s="6"/>
      <c r="DS1986" s="6"/>
      <c r="DT1986" s="6"/>
      <c r="DU1986" s="6"/>
      <c r="DV1986" s="6"/>
      <c r="DW1986" s="6"/>
      <c r="DX1986" s="6"/>
      <c r="DY1986" s="6"/>
      <c r="DZ1986" s="6"/>
      <c r="EA1986" s="6"/>
      <c r="EB1986" s="6"/>
      <c r="EC1986" s="6"/>
      <c r="ED1986" s="6"/>
      <c r="EE1986" s="6"/>
      <c r="EF1986" s="6"/>
      <c r="EG1986" s="6"/>
      <c r="EH1986" s="6"/>
      <c r="EI1986" s="6"/>
      <c r="EJ1986" s="6"/>
      <c r="EK1986" s="6"/>
      <c r="EL1986" s="6"/>
      <c r="EM1986" s="6"/>
      <c r="EN1986" s="6"/>
      <c r="EO1986" s="6"/>
      <c r="EP1986" s="6"/>
      <c r="EQ1986" s="6"/>
      <c r="ER1986" s="6"/>
      <c r="ES1986" s="6"/>
      <c r="ET1986" s="6"/>
      <c r="EU1986" s="6"/>
      <c r="EV1986" s="6"/>
      <c r="EW1986" s="6"/>
      <c r="EX1986" s="6"/>
      <c r="EY1986" s="6"/>
      <c r="EZ1986" s="6"/>
      <c r="FA1986" s="6"/>
      <c r="FB1986" s="6"/>
      <c r="FC1986" s="6"/>
      <c r="FD1986" s="6"/>
      <c r="FE1986" s="6"/>
      <c r="FF1986" s="6"/>
      <c r="FG1986" s="6"/>
      <c r="FH1986" s="6"/>
      <c r="FI1986" s="6"/>
      <c r="FJ1986" s="6"/>
      <c r="FK1986" s="6"/>
      <c r="FL1986" s="6"/>
      <c r="FM1986" s="6"/>
      <c r="FN1986" s="6"/>
      <c r="FO1986" s="6"/>
      <c r="FP1986" s="6"/>
      <c r="FQ1986" s="6"/>
      <c r="FR1986" s="6"/>
      <c r="FS1986" s="6"/>
      <c r="FT1986" s="6"/>
      <c r="FU1986" s="6"/>
      <c r="FV1986" s="6"/>
      <c r="FW1986" s="6"/>
      <c r="FX1986" s="6"/>
      <c r="FY1986" s="6"/>
      <c r="FZ1986" s="6"/>
      <c r="GA1986" s="6"/>
      <c r="GB1986" s="6"/>
      <c r="GC1986" s="6"/>
      <c r="GD1986" s="6"/>
      <c r="GE1986" s="6"/>
      <c r="GF1986" s="6"/>
      <c r="GG1986" s="6"/>
      <c r="GH1986" s="6"/>
      <c r="GI1986" s="6"/>
      <c r="GJ1986" s="6"/>
      <c r="GK1986" s="6"/>
      <c r="GL1986" s="6"/>
      <c r="GM1986" s="6"/>
      <c r="GN1986" s="6"/>
      <c r="GO1986" s="6"/>
      <c r="GP1986" s="6"/>
      <c r="GQ1986" s="6"/>
      <c r="GR1986" s="6"/>
      <c r="GS1986" s="6"/>
      <c r="GT1986" s="6"/>
      <c r="GU1986" s="6"/>
      <c r="GV1986" s="6"/>
      <c r="GW1986" s="6"/>
      <c r="GX1986" s="6"/>
      <c r="GY1986" s="6"/>
      <c r="GZ1986" s="6"/>
      <c r="HA1986" s="6"/>
      <c r="HB1986" s="6"/>
      <c r="HC1986" s="6"/>
      <c r="HD1986" s="6"/>
      <c r="HE1986" s="6"/>
      <c r="HF1986" s="6"/>
      <c r="HG1986" s="6"/>
      <c r="HH1986" s="6"/>
    </row>
    <row r="1987" spans="1:216" x14ac:dyDescent="0.3">
      <c r="A1987" s="8"/>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6"/>
      <c r="AR1987" s="6"/>
      <c r="AS1987" s="6"/>
      <c r="AT1987" s="6"/>
      <c r="AU1987" s="6"/>
      <c r="AV1987" s="6"/>
      <c r="AW1987" s="6"/>
      <c r="AX1987" s="6"/>
      <c r="AY1987" s="6"/>
      <c r="AZ1987" s="6"/>
      <c r="BA1987" s="6"/>
      <c r="BB1987" s="6"/>
      <c r="BC1987" s="6"/>
      <c r="BD1987" s="6"/>
      <c r="BE1987" s="6"/>
      <c r="BF1987" s="6"/>
      <c r="BG1987" s="6"/>
      <c r="BH1987" s="6"/>
      <c r="BI1987" s="6"/>
      <c r="BJ1987" s="6"/>
      <c r="BK1987" s="6"/>
      <c r="BL1987" s="6"/>
      <c r="BM1987" s="6"/>
      <c r="BN1987" s="6"/>
      <c r="BO1987" s="6"/>
      <c r="BP1987" s="6"/>
      <c r="BQ1987" s="6"/>
      <c r="BR1987" s="6"/>
      <c r="BS1987" s="6"/>
      <c r="BT1987" s="6"/>
      <c r="BU1987" s="6"/>
      <c r="BV1987" s="6"/>
      <c r="BW1987" s="6"/>
      <c r="BX1987" s="6"/>
      <c r="BY1987" s="6"/>
      <c r="BZ1987" s="6"/>
      <c r="CA1987" s="6"/>
      <c r="CB1987" s="6"/>
      <c r="CC1987" s="6"/>
      <c r="CD1987" s="6"/>
      <c r="CE1987" s="6"/>
      <c r="CF1987" s="6"/>
      <c r="CG1987" s="6"/>
      <c r="CH1987" s="6"/>
      <c r="CI1987" s="6"/>
      <c r="CJ1987" s="6"/>
      <c r="CK1987" s="6"/>
      <c r="CL1987" s="6"/>
      <c r="CM1987" s="6"/>
      <c r="CN1987" s="6"/>
      <c r="CO1987" s="6"/>
      <c r="CP1987" s="6"/>
      <c r="CQ1987" s="6"/>
      <c r="CR1987" s="6"/>
      <c r="CS1987" s="6"/>
      <c r="CT1987" s="6"/>
      <c r="CU1987" s="6"/>
      <c r="CV1987" s="6"/>
      <c r="CW1987" s="6"/>
      <c r="CX1987" s="6"/>
      <c r="CY1987" s="6"/>
      <c r="CZ1987" s="6"/>
      <c r="DA1987" s="6"/>
      <c r="DB1987" s="6"/>
      <c r="DC1987" s="6"/>
      <c r="DD1987" s="6"/>
      <c r="DE1987" s="6"/>
      <c r="DF1987" s="6"/>
      <c r="DG1987" s="6"/>
      <c r="DH1987" s="6"/>
      <c r="DI1987" s="6"/>
      <c r="DJ1987" s="6"/>
      <c r="DK1987" s="6"/>
      <c r="DL1987" s="6"/>
      <c r="DM1987" s="6"/>
      <c r="DN1987" s="6"/>
      <c r="DO1987" s="6"/>
      <c r="DP1987" s="6"/>
      <c r="DQ1987" s="6"/>
      <c r="DR1987" s="6"/>
      <c r="DS1987" s="6"/>
      <c r="DT1987" s="6"/>
      <c r="DU1987" s="6"/>
      <c r="DV1987" s="6"/>
      <c r="DW1987" s="6"/>
      <c r="DX1987" s="6"/>
      <c r="DY1987" s="6"/>
      <c r="DZ1987" s="6"/>
      <c r="EA1987" s="6"/>
      <c r="EB1987" s="6"/>
      <c r="EC1987" s="6"/>
      <c r="ED1987" s="6"/>
      <c r="EE1987" s="6"/>
      <c r="EF1987" s="6"/>
      <c r="EG1987" s="6"/>
      <c r="EH1987" s="6"/>
      <c r="EI1987" s="6"/>
      <c r="EJ1987" s="6"/>
      <c r="EK1987" s="6"/>
      <c r="EL1987" s="6"/>
      <c r="EM1987" s="6"/>
      <c r="EN1987" s="6"/>
      <c r="EO1987" s="6"/>
      <c r="EP1987" s="6"/>
      <c r="EQ1987" s="6"/>
      <c r="ER1987" s="6"/>
      <c r="ES1987" s="6"/>
      <c r="ET1987" s="6"/>
      <c r="EU1987" s="6"/>
      <c r="EV1987" s="6"/>
      <c r="EW1987" s="6"/>
      <c r="EX1987" s="6"/>
      <c r="EY1987" s="6"/>
      <c r="EZ1987" s="6"/>
      <c r="FA1987" s="6"/>
      <c r="FB1987" s="6"/>
      <c r="FC1987" s="6"/>
      <c r="FD1987" s="6"/>
      <c r="FE1987" s="6"/>
      <c r="FF1987" s="6"/>
      <c r="FG1987" s="6"/>
      <c r="FH1987" s="6"/>
      <c r="FI1987" s="6"/>
      <c r="FJ1987" s="6"/>
      <c r="FK1987" s="6"/>
      <c r="FL1987" s="6"/>
      <c r="FM1987" s="6"/>
      <c r="FN1987" s="6"/>
      <c r="FO1987" s="6"/>
      <c r="FP1987" s="6"/>
      <c r="FQ1987" s="6"/>
      <c r="FR1987" s="6"/>
      <c r="FS1987" s="6"/>
      <c r="FT1987" s="6"/>
      <c r="FU1987" s="6"/>
      <c r="FV1987" s="6"/>
      <c r="FW1987" s="6"/>
      <c r="FX1987" s="6"/>
      <c r="FY1987" s="6"/>
      <c r="FZ1987" s="6"/>
      <c r="GA1987" s="6"/>
      <c r="GB1987" s="6"/>
      <c r="GC1987" s="6"/>
      <c r="GD1987" s="6"/>
      <c r="GE1987" s="6"/>
      <c r="GF1987" s="6"/>
      <c r="GG1987" s="6"/>
      <c r="GH1987" s="6"/>
      <c r="GI1987" s="6"/>
      <c r="GJ1987" s="6"/>
      <c r="GK1987" s="6"/>
      <c r="GL1987" s="6"/>
      <c r="GM1987" s="6"/>
      <c r="GN1987" s="6"/>
      <c r="GO1987" s="6"/>
      <c r="GP1987" s="6"/>
      <c r="GQ1987" s="6"/>
      <c r="GR1987" s="6"/>
      <c r="GS1987" s="6"/>
      <c r="GT1987" s="6"/>
      <c r="GU1987" s="6"/>
      <c r="GV1987" s="6"/>
      <c r="GW1987" s="6"/>
      <c r="GX1987" s="6"/>
      <c r="GY1987" s="6"/>
      <c r="GZ1987" s="6"/>
      <c r="HA1987" s="6"/>
      <c r="HB1987" s="6"/>
      <c r="HC1987" s="6"/>
      <c r="HD1987" s="6"/>
      <c r="HE1987" s="6"/>
      <c r="HF1987" s="6"/>
      <c r="HG1987" s="6"/>
      <c r="HH1987" s="6"/>
    </row>
    <row r="1988" spans="1:216" x14ac:dyDescent="0.3">
      <c r="A1988" s="8"/>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6"/>
      <c r="AR1988" s="6"/>
      <c r="AS1988" s="6"/>
      <c r="AT1988" s="6"/>
      <c r="AU1988" s="6"/>
      <c r="AV1988" s="6"/>
      <c r="AW1988" s="6"/>
      <c r="AX1988" s="6"/>
      <c r="AY1988" s="6"/>
      <c r="AZ1988" s="6"/>
      <c r="BA1988" s="6"/>
      <c r="BB1988" s="6"/>
      <c r="BC1988" s="6"/>
      <c r="BD1988" s="6"/>
      <c r="BE1988" s="6"/>
      <c r="BF1988" s="6"/>
      <c r="BG1988" s="6"/>
      <c r="BH1988" s="6"/>
      <c r="BI1988" s="6"/>
      <c r="BJ1988" s="6"/>
      <c r="BK1988" s="6"/>
      <c r="BL1988" s="6"/>
      <c r="BM1988" s="6"/>
      <c r="BN1988" s="6"/>
      <c r="BO1988" s="6"/>
      <c r="BP1988" s="6"/>
      <c r="BQ1988" s="6"/>
      <c r="BR1988" s="6"/>
      <c r="BS1988" s="6"/>
      <c r="BT1988" s="6"/>
      <c r="BU1988" s="6"/>
      <c r="BV1988" s="6"/>
      <c r="BW1988" s="6"/>
      <c r="BX1988" s="6"/>
      <c r="BY1988" s="6"/>
      <c r="BZ1988" s="6"/>
      <c r="CA1988" s="6"/>
      <c r="CB1988" s="6"/>
      <c r="CC1988" s="6"/>
      <c r="CD1988" s="6"/>
      <c r="CE1988" s="6"/>
      <c r="CF1988" s="6"/>
      <c r="CG1988" s="6"/>
      <c r="CH1988" s="6"/>
      <c r="CI1988" s="6"/>
      <c r="CJ1988" s="6"/>
      <c r="CK1988" s="6"/>
      <c r="CL1988" s="6"/>
      <c r="CM1988" s="6"/>
      <c r="CN1988" s="6"/>
      <c r="CO1988" s="6"/>
      <c r="CP1988" s="6"/>
      <c r="CQ1988" s="6"/>
      <c r="CR1988" s="6"/>
      <c r="CS1988" s="6"/>
      <c r="CT1988" s="6"/>
      <c r="CU1988" s="6"/>
      <c r="CV1988" s="6"/>
      <c r="CW1988" s="6"/>
      <c r="CX1988" s="6"/>
      <c r="CY1988" s="6"/>
      <c r="CZ1988" s="6"/>
      <c r="DA1988" s="6"/>
      <c r="DB1988" s="6"/>
      <c r="DC1988" s="6"/>
      <c r="DD1988" s="6"/>
      <c r="DE1988" s="6"/>
      <c r="DF1988" s="6"/>
      <c r="DG1988" s="6"/>
      <c r="DH1988" s="6"/>
      <c r="DI1988" s="6"/>
      <c r="DJ1988" s="6"/>
      <c r="DK1988" s="6"/>
      <c r="DL1988" s="6"/>
      <c r="DM1988" s="6"/>
      <c r="DN1988" s="6"/>
      <c r="DO1988" s="6"/>
      <c r="DP1988" s="6"/>
      <c r="DQ1988" s="6"/>
      <c r="DR1988" s="6"/>
      <c r="DS1988" s="6"/>
      <c r="DT1988" s="6"/>
      <c r="DU1988" s="6"/>
      <c r="DV1988" s="6"/>
      <c r="DW1988" s="6"/>
      <c r="DX1988" s="6"/>
      <c r="DY1988" s="6"/>
      <c r="DZ1988" s="6"/>
      <c r="EA1988" s="6"/>
      <c r="EB1988" s="6"/>
      <c r="EC1988" s="6"/>
      <c r="ED1988" s="6"/>
      <c r="EE1988" s="6"/>
      <c r="EF1988" s="6"/>
      <c r="EG1988" s="6"/>
      <c r="EH1988" s="6"/>
      <c r="EI1988" s="6"/>
      <c r="EJ1988" s="6"/>
      <c r="EK1988" s="6"/>
      <c r="EL1988" s="6"/>
      <c r="EM1988" s="6"/>
      <c r="EN1988" s="6"/>
      <c r="EO1988" s="6"/>
      <c r="EP1988" s="6"/>
      <c r="EQ1988" s="6"/>
      <c r="ER1988" s="6"/>
      <c r="ES1988" s="6"/>
      <c r="ET1988" s="6"/>
      <c r="EU1988" s="6"/>
      <c r="EV1988" s="6"/>
      <c r="EW1988" s="6"/>
      <c r="EX1988" s="6"/>
      <c r="EY1988" s="6"/>
      <c r="EZ1988" s="6"/>
      <c r="FA1988" s="6"/>
      <c r="FB1988" s="6"/>
      <c r="FC1988" s="6"/>
      <c r="FD1988" s="6"/>
      <c r="FE1988" s="6"/>
      <c r="FF1988" s="6"/>
      <c r="FG1988" s="6"/>
      <c r="FH1988" s="6"/>
      <c r="FI1988" s="6"/>
      <c r="FJ1988" s="6"/>
      <c r="FK1988" s="6"/>
      <c r="FL1988" s="6"/>
      <c r="FM1988" s="6"/>
      <c r="FN1988" s="6"/>
      <c r="FO1988" s="6"/>
      <c r="FP1988" s="6"/>
      <c r="FQ1988" s="6"/>
      <c r="FR1988" s="6"/>
      <c r="FS1988" s="6"/>
      <c r="FT1988" s="6"/>
      <c r="FU1988" s="6"/>
      <c r="FV1988" s="6"/>
      <c r="FW1988" s="6"/>
      <c r="FX1988" s="6"/>
      <c r="FY1988" s="6"/>
      <c r="FZ1988" s="6"/>
      <c r="GA1988" s="6"/>
      <c r="GB1988" s="6"/>
      <c r="GC1988" s="6"/>
      <c r="GD1988" s="6"/>
      <c r="GE1988" s="6"/>
      <c r="GF1988" s="6"/>
      <c r="GG1988" s="6"/>
      <c r="GH1988" s="6"/>
      <c r="GI1988" s="6"/>
      <c r="GJ1988" s="6"/>
      <c r="GK1988" s="6"/>
      <c r="GL1988" s="6"/>
      <c r="GM1988" s="6"/>
      <c r="GN1988" s="6"/>
      <c r="GO1988" s="6"/>
      <c r="GP1988" s="6"/>
      <c r="GQ1988" s="6"/>
      <c r="GR1988" s="6"/>
      <c r="GS1988" s="6"/>
      <c r="GT1988" s="6"/>
      <c r="GU1988" s="6"/>
      <c r="GV1988" s="6"/>
      <c r="GW1988" s="6"/>
      <c r="GX1988" s="6"/>
      <c r="GY1988" s="6"/>
      <c r="GZ1988" s="6"/>
      <c r="HA1988" s="6"/>
      <c r="HB1988" s="6"/>
      <c r="HC1988" s="6"/>
      <c r="HD1988" s="6"/>
      <c r="HE1988" s="6"/>
      <c r="HF1988" s="6"/>
      <c r="HG1988" s="6"/>
      <c r="HH1988" s="6"/>
    </row>
    <row r="1989" spans="1:216" x14ac:dyDescent="0.3">
      <c r="A1989" s="8"/>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6"/>
      <c r="AR1989" s="6"/>
      <c r="AS1989" s="6"/>
      <c r="AT1989" s="6"/>
      <c r="AU1989" s="6"/>
      <c r="AV1989" s="6"/>
      <c r="AW1989" s="6"/>
      <c r="AX1989" s="6"/>
      <c r="AY1989" s="6"/>
      <c r="AZ1989" s="6"/>
      <c r="BA1989" s="6"/>
      <c r="BB1989" s="6"/>
      <c r="BC1989" s="6"/>
      <c r="BD1989" s="6"/>
      <c r="BE1989" s="6"/>
      <c r="BF1989" s="6"/>
      <c r="BG1989" s="6"/>
      <c r="BH1989" s="6"/>
      <c r="BI1989" s="6"/>
      <c r="BJ1989" s="6"/>
      <c r="BK1989" s="6"/>
      <c r="BL1989" s="6"/>
      <c r="BM1989" s="6"/>
      <c r="BN1989" s="6"/>
      <c r="BO1989" s="6"/>
      <c r="BP1989" s="6"/>
      <c r="BQ1989" s="6"/>
      <c r="BR1989" s="6"/>
      <c r="BS1989" s="6"/>
      <c r="BT1989" s="6"/>
      <c r="BU1989" s="6"/>
      <c r="BV1989" s="6"/>
      <c r="BW1989" s="6"/>
      <c r="BX1989" s="6"/>
      <c r="BY1989" s="6"/>
      <c r="BZ1989" s="6"/>
      <c r="CA1989" s="6"/>
      <c r="CB1989" s="6"/>
      <c r="CC1989" s="6"/>
      <c r="CD1989" s="6"/>
      <c r="CE1989" s="6"/>
      <c r="CF1989" s="6"/>
      <c r="CG1989" s="6"/>
      <c r="CH1989" s="6"/>
      <c r="CI1989" s="6"/>
      <c r="CJ1989" s="6"/>
      <c r="CK1989" s="6"/>
      <c r="CL1989" s="6"/>
      <c r="CM1989" s="6"/>
      <c r="CN1989" s="6"/>
      <c r="CO1989" s="6"/>
      <c r="CP1989" s="6"/>
      <c r="CQ1989" s="6"/>
      <c r="CR1989" s="6"/>
      <c r="CS1989" s="6"/>
      <c r="CT1989" s="6"/>
      <c r="CU1989" s="6"/>
      <c r="CV1989" s="6"/>
      <c r="CW1989" s="6"/>
      <c r="CX1989" s="6"/>
      <c r="CY1989" s="6"/>
      <c r="CZ1989" s="6"/>
      <c r="DA1989" s="6"/>
      <c r="DB1989" s="6"/>
      <c r="DC1989" s="6"/>
      <c r="DD1989" s="6"/>
      <c r="DE1989" s="6"/>
      <c r="DF1989" s="6"/>
      <c r="DG1989" s="6"/>
      <c r="DH1989" s="6"/>
      <c r="DI1989" s="6"/>
      <c r="DJ1989" s="6"/>
      <c r="DK1989" s="6"/>
      <c r="DL1989" s="6"/>
      <c r="DM1989" s="6"/>
      <c r="DN1989" s="6"/>
      <c r="DO1989" s="6"/>
      <c r="DP1989" s="6"/>
      <c r="DQ1989" s="6"/>
      <c r="DR1989" s="6"/>
      <c r="DS1989" s="6"/>
      <c r="DT1989" s="6"/>
      <c r="DU1989" s="6"/>
      <c r="DV1989" s="6"/>
      <c r="DW1989" s="6"/>
      <c r="DX1989" s="6"/>
      <c r="DY1989" s="6"/>
      <c r="DZ1989" s="6"/>
      <c r="EA1989" s="6"/>
      <c r="EB1989" s="6"/>
      <c r="EC1989" s="6"/>
      <c r="ED1989" s="6"/>
      <c r="EE1989" s="6"/>
      <c r="EF1989" s="6"/>
      <c r="EG1989" s="6"/>
      <c r="EH1989" s="6"/>
      <c r="EI1989" s="6"/>
      <c r="EJ1989" s="6"/>
      <c r="EK1989" s="6"/>
      <c r="EL1989" s="6"/>
      <c r="EM1989" s="6"/>
      <c r="EN1989" s="6"/>
      <c r="EO1989" s="6"/>
      <c r="EP1989" s="6"/>
      <c r="EQ1989" s="6"/>
      <c r="ER1989" s="6"/>
      <c r="ES1989" s="6"/>
      <c r="ET1989" s="6"/>
      <c r="EU1989" s="6"/>
      <c r="EV1989" s="6"/>
      <c r="EW1989" s="6"/>
      <c r="EX1989" s="6"/>
      <c r="EY1989" s="6"/>
      <c r="EZ1989" s="6"/>
      <c r="FA1989" s="6"/>
      <c r="FB1989" s="6"/>
      <c r="FC1989" s="6"/>
      <c r="FD1989" s="6"/>
      <c r="FE1989" s="6"/>
      <c r="FF1989" s="6"/>
      <c r="FG1989" s="6"/>
      <c r="FH1989" s="6"/>
      <c r="FI1989" s="6"/>
      <c r="FJ1989" s="6"/>
      <c r="FK1989" s="6"/>
      <c r="FL1989" s="6"/>
      <c r="FM1989" s="6"/>
      <c r="FN1989" s="6"/>
      <c r="FO1989" s="6"/>
      <c r="FP1989" s="6"/>
      <c r="FQ1989" s="6"/>
      <c r="FR1989" s="6"/>
      <c r="FS1989" s="6"/>
      <c r="FT1989" s="6"/>
      <c r="FU1989" s="6"/>
      <c r="FV1989" s="6"/>
      <c r="FW1989" s="6"/>
      <c r="FX1989" s="6"/>
      <c r="FY1989" s="6"/>
      <c r="FZ1989" s="6"/>
      <c r="GA1989" s="6"/>
      <c r="GB1989" s="6"/>
      <c r="GC1989" s="6"/>
      <c r="GD1989" s="6"/>
      <c r="GE1989" s="6"/>
      <c r="GF1989" s="6"/>
      <c r="GG1989" s="6"/>
      <c r="GH1989" s="6"/>
      <c r="GI1989" s="6"/>
      <c r="GJ1989" s="6"/>
      <c r="GK1989" s="6"/>
      <c r="GL1989" s="6"/>
      <c r="GM1989" s="6"/>
      <c r="GN1989" s="6"/>
      <c r="GO1989" s="6"/>
      <c r="GP1989" s="6"/>
      <c r="GQ1989" s="6"/>
      <c r="GR1989" s="6"/>
      <c r="GS1989" s="6"/>
      <c r="GT1989" s="6"/>
      <c r="GU1989" s="6"/>
      <c r="GV1989" s="6"/>
      <c r="GW1989" s="6"/>
      <c r="GX1989" s="6"/>
      <c r="GY1989" s="6"/>
      <c r="GZ1989" s="6"/>
      <c r="HA1989" s="6"/>
      <c r="HB1989" s="6"/>
      <c r="HC1989" s="6"/>
      <c r="HD1989" s="6"/>
      <c r="HE1989" s="6"/>
      <c r="HF1989" s="6"/>
      <c r="HG1989" s="6"/>
      <c r="HH1989" s="6"/>
    </row>
    <row r="1990" spans="1:216" x14ac:dyDescent="0.3">
      <c r="A1990" s="8"/>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c r="DX1990" s="6"/>
      <c r="DY1990" s="6"/>
      <c r="DZ1990" s="6"/>
      <c r="EA1990" s="6"/>
      <c r="EB1990" s="6"/>
      <c r="EC1990" s="6"/>
      <c r="ED1990" s="6"/>
      <c r="EE1990" s="6"/>
      <c r="EF1990" s="6"/>
      <c r="EG1990" s="6"/>
      <c r="EH1990" s="6"/>
      <c r="EI1990" s="6"/>
      <c r="EJ1990" s="6"/>
      <c r="EK1990" s="6"/>
      <c r="EL1990" s="6"/>
      <c r="EM1990" s="6"/>
      <c r="EN1990" s="6"/>
      <c r="EO1990" s="6"/>
      <c r="EP1990" s="6"/>
      <c r="EQ1990" s="6"/>
      <c r="ER1990" s="6"/>
      <c r="ES1990" s="6"/>
      <c r="ET1990" s="6"/>
      <c r="EU1990" s="6"/>
      <c r="EV1990" s="6"/>
      <c r="EW1990" s="6"/>
      <c r="EX1990" s="6"/>
      <c r="EY1990" s="6"/>
      <c r="EZ1990" s="6"/>
      <c r="FA1990" s="6"/>
      <c r="FB1990" s="6"/>
      <c r="FC1990" s="6"/>
      <c r="FD1990" s="6"/>
      <c r="FE1990" s="6"/>
      <c r="FF1990" s="6"/>
      <c r="FG1990" s="6"/>
      <c r="FH1990" s="6"/>
      <c r="FI1990" s="6"/>
      <c r="FJ1990" s="6"/>
      <c r="FK1990" s="6"/>
      <c r="FL1990" s="6"/>
      <c r="FM1990" s="6"/>
      <c r="FN1990" s="6"/>
      <c r="FO1990" s="6"/>
      <c r="FP1990" s="6"/>
      <c r="FQ1990" s="6"/>
      <c r="FR1990" s="6"/>
      <c r="FS1990" s="6"/>
      <c r="FT1990" s="6"/>
      <c r="FU1990" s="6"/>
      <c r="FV1990" s="6"/>
      <c r="FW1990" s="6"/>
      <c r="FX1990" s="6"/>
      <c r="FY1990" s="6"/>
      <c r="FZ1990" s="6"/>
      <c r="GA1990" s="6"/>
      <c r="GB1990" s="6"/>
      <c r="GC1990" s="6"/>
      <c r="GD1990" s="6"/>
      <c r="GE1990" s="6"/>
      <c r="GF1990" s="6"/>
      <c r="GG1990" s="6"/>
      <c r="GH1990" s="6"/>
      <c r="GI1990" s="6"/>
      <c r="GJ1990" s="6"/>
      <c r="GK1990" s="6"/>
      <c r="GL1990" s="6"/>
      <c r="GM1990" s="6"/>
      <c r="GN1990" s="6"/>
      <c r="GO1990" s="6"/>
      <c r="GP1990" s="6"/>
      <c r="GQ1990" s="6"/>
      <c r="GR1990" s="6"/>
      <c r="GS1990" s="6"/>
      <c r="GT1990" s="6"/>
      <c r="GU1990" s="6"/>
      <c r="GV1990" s="6"/>
      <c r="GW1990" s="6"/>
      <c r="GX1990" s="6"/>
      <c r="GY1990" s="6"/>
      <c r="GZ1990" s="6"/>
      <c r="HA1990" s="6"/>
      <c r="HB1990" s="6"/>
      <c r="HC1990" s="6"/>
      <c r="HD1990" s="6"/>
      <c r="HE1990" s="6"/>
      <c r="HF1990" s="6"/>
      <c r="HG1990" s="6"/>
      <c r="HH1990" s="6"/>
    </row>
    <row r="1991" spans="1:216" x14ac:dyDescent="0.3">
      <c r="A1991" s="8"/>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c r="DX1991" s="6"/>
      <c r="DY1991" s="6"/>
      <c r="DZ1991" s="6"/>
      <c r="EA1991" s="6"/>
      <c r="EB1991" s="6"/>
      <c r="EC1991" s="6"/>
      <c r="ED1991" s="6"/>
      <c r="EE1991" s="6"/>
      <c r="EF1991" s="6"/>
      <c r="EG1991" s="6"/>
      <c r="EH1991" s="6"/>
      <c r="EI1991" s="6"/>
      <c r="EJ1991" s="6"/>
      <c r="EK1991" s="6"/>
      <c r="EL1991" s="6"/>
      <c r="EM1991" s="6"/>
      <c r="EN1991" s="6"/>
      <c r="EO1991" s="6"/>
      <c r="EP1991" s="6"/>
      <c r="EQ1991" s="6"/>
      <c r="ER1991" s="6"/>
      <c r="ES1991" s="6"/>
      <c r="ET1991" s="6"/>
      <c r="EU1991" s="6"/>
      <c r="EV1991" s="6"/>
      <c r="EW1991" s="6"/>
      <c r="EX1991" s="6"/>
      <c r="EY1991" s="6"/>
      <c r="EZ1991" s="6"/>
      <c r="FA1991" s="6"/>
      <c r="FB1991" s="6"/>
      <c r="FC1991" s="6"/>
      <c r="FD1991" s="6"/>
      <c r="FE1991" s="6"/>
      <c r="FF1991" s="6"/>
      <c r="FG1991" s="6"/>
      <c r="FH1991" s="6"/>
      <c r="FI1991" s="6"/>
      <c r="FJ1991" s="6"/>
      <c r="FK1991" s="6"/>
      <c r="FL1991" s="6"/>
      <c r="FM1991" s="6"/>
      <c r="FN1991" s="6"/>
      <c r="FO1991" s="6"/>
      <c r="FP1991" s="6"/>
      <c r="FQ1991" s="6"/>
      <c r="FR1991" s="6"/>
      <c r="FS1991" s="6"/>
      <c r="FT1991" s="6"/>
      <c r="FU1991" s="6"/>
      <c r="FV1991" s="6"/>
      <c r="FW1991" s="6"/>
      <c r="FX1991" s="6"/>
      <c r="FY1991" s="6"/>
      <c r="FZ1991" s="6"/>
      <c r="GA1991" s="6"/>
      <c r="GB1991" s="6"/>
      <c r="GC1991" s="6"/>
      <c r="GD1991" s="6"/>
      <c r="GE1991" s="6"/>
      <c r="GF1991" s="6"/>
      <c r="GG1991" s="6"/>
      <c r="GH1991" s="6"/>
      <c r="GI1991" s="6"/>
      <c r="GJ1991" s="6"/>
      <c r="GK1991" s="6"/>
      <c r="GL1991" s="6"/>
      <c r="GM1991" s="6"/>
      <c r="GN1991" s="6"/>
      <c r="GO1991" s="6"/>
      <c r="GP1991" s="6"/>
      <c r="GQ1991" s="6"/>
      <c r="GR1991" s="6"/>
      <c r="GS1991" s="6"/>
      <c r="GT1991" s="6"/>
      <c r="GU1991" s="6"/>
      <c r="GV1991" s="6"/>
      <c r="GW1991" s="6"/>
      <c r="GX1991" s="6"/>
      <c r="GY1991" s="6"/>
      <c r="GZ1991" s="6"/>
      <c r="HA1991" s="6"/>
      <c r="HB1991" s="6"/>
      <c r="HC1991" s="6"/>
      <c r="HD1991" s="6"/>
      <c r="HE1991" s="6"/>
      <c r="HF1991" s="6"/>
      <c r="HG1991" s="6"/>
      <c r="HH1991" s="6"/>
    </row>
    <row r="1992" spans="1:216" x14ac:dyDescent="0.3">
      <c r="A1992" s="8"/>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6"/>
      <c r="AR1992" s="6"/>
      <c r="AS1992" s="6"/>
      <c r="AT1992" s="6"/>
      <c r="AU1992" s="6"/>
      <c r="AV1992" s="6"/>
      <c r="AW1992" s="6"/>
      <c r="AX1992" s="6"/>
      <c r="AY1992" s="6"/>
      <c r="AZ1992" s="6"/>
      <c r="BA1992" s="6"/>
      <c r="BB1992" s="6"/>
      <c r="BC1992" s="6"/>
      <c r="BD1992" s="6"/>
      <c r="BE1992" s="6"/>
      <c r="BF1992" s="6"/>
      <c r="BG1992" s="6"/>
      <c r="BH1992" s="6"/>
      <c r="BI1992" s="6"/>
      <c r="BJ1992" s="6"/>
      <c r="BK1992" s="6"/>
      <c r="BL1992" s="6"/>
      <c r="BM1992" s="6"/>
      <c r="BN1992" s="6"/>
      <c r="BO1992" s="6"/>
      <c r="BP1992" s="6"/>
      <c r="BQ1992" s="6"/>
      <c r="BR1992" s="6"/>
      <c r="BS1992" s="6"/>
      <c r="BT1992" s="6"/>
      <c r="BU1992" s="6"/>
      <c r="BV1992" s="6"/>
      <c r="BW1992" s="6"/>
      <c r="BX1992" s="6"/>
      <c r="BY1992" s="6"/>
      <c r="BZ1992" s="6"/>
      <c r="CA1992" s="6"/>
      <c r="CB1992" s="6"/>
      <c r="CC1992" s="6"/>
      <c r="CD1992" s="6"/>
      <c r="CE1992" s="6"/>
      <c r="CF1992" s="6"/>
      <c r="CG1992" s="6"/>
      <c r="CH1992" s="6"/>
      <c r="CI1992" s="6"/>
      <c r="CJ1992" s="6"/>
      <c r="CK1992" s="6"/>
      <c r="CL1992" s="6"/>
      <c r="CM1992" s="6"/>
      <c r="CN1992" s="6"/>
      <c r="CO1992" s="6"/>
      <c r="CP1992" s="6"/>
      <c r="CQ1992" s="6"/>
      <c r="CR1992" s="6"/>
      <c r="CS1992" s="6"/>
      <c r="CT1992" s="6"/>
      <c r="CU1992" s="6"/>
      <c r="CV1992" s="6"/>
      <c r="CW1992" s="6"/>
      <c r="CX1992" s="6"/>
      <c r="CY1992" s="6"/>
      <c r="CZ1992" s="6"/>
      <c r="DA1992" s="6"/>
      <c r="DB1992" s="6"/>
      <c r="DC1992" s="6"/>
      <c r="DD1992" s="6"/>
      <c r="DE1992" s="6"/>
      <c r="DF1992" s="6"/>
      <c r="DG1992" s="6"/>
      <c r="DH1992" s="6"/>
      <c r="DI1992" s="6"/>
      <c r="DJ1992" s="6"/>
      <c r="DK1992" s="6"/>
      <c r="DL1992" s="6"/>
      <c r="DM1992" s="6"/>
      <c r="DN1992" s="6"/>
      <c r="DO1992" s="6"/>
      <c r="DP1992" s="6"/>
      <c r="DQ1992" s="6"/>
      <c r="DR1992" s="6"/>
      <c r="DS1992" s="6"/>
      <c r="DT1992" s="6"/>
      <c r="DU1992" s="6"/>
      <c r="DV1992" s="6"/>
      <c r="DW1992" s="6"/>
      <c r="DX1992" s="6"/>
      <c r="DY1992" s="6"/>
      <c r="DZ1992" s="6"/>
      <c r="EA1992" s="6"/>
      <c r="EB1992" s="6"/>
      <c r="EC1992" s="6"/>
      <c r="ED1992" s="6"/>
      <c r="EE1992" s="6"/>
      <c r="EF1992" s="6"/>
      <c r="EG1992" s="6"/>
      <c r="EH1992" s="6"/>
      <c r="EI1992" s="6"/>
      <c r="EJ1992" s="6"/>
      <c r="EK1992" s="6"/>
      <c r="EL1992" s="6"/>
      <c r="EM1992" s="6"/>
      <c r="EN1992" s="6"/>
      <c r="EO1992" s="6"/>
      <c r="EP1992" s="6"/>
      <c r="EQ1992" s="6"/>
      <c r="ER1992" s="6"/>
      <c r="ES1992" s="6"/>
      <c r="ET1992" s="6"/>
      <c r="EU1992" s="6"/>
      <c r="EV1992" s="6"/>
      <c r="EW1992" s="6"/>
      <c r="EX1992" s="6"/>
      <c r="EY1992" s="6"/>
      <c r="EZ1992" s="6"/>
      <c r="FA1992" s="6"/>
      <c r="FB1992" s="6"/>
      <c r="FC1992" s="6"/>
      <c r="FD1992" s="6"/>
      <c r="FE1992" s="6"/>
      <c r="FF1992" s="6"/>
      <c r="FG1992" s="6"/>
      <c r="FH1992" s="6"/>
      <c r="FI1992" s="6"/>
      <c r="FJ1992" s="6"/>
      <c r="FK1992" s="6"/>
      <c r="FL1992" s="6"/>
      <c r="FM1992" s="6"/>
      <c r="FN1992" s="6"/>
      <c r="FO1992" s="6"/>
      <c r="FP1992" s="6"/>
      <c r="FQ1992" s="6"/>
      <c r="FR1992" s="6"/>
      <c r="FS1992" s="6"/>
      <c r="FT1992" s="6"/>
      <c r="FU1992" s="6"/>
      <c r="FV1992" s="6"/>
      <c r="FW1992" s="6"/>
      <c r="FX1992" s="6"/>
      <c r="FY1992" s="6"/>
      <c r="FZ1992" s="6"/>
      <c r="GA1992" s="6"/>
      <c r="GB1992" s="6"/>
      <c r="GC1992" s="6"/>
      <c r="GD1992" s="6"/>
      <c r="GE1992" s="6"/>
      <c r="GF1992" s="6"/>
      <c r="GG1992" s="6"/>
      <c r="GH1992" s="6"/>
      <c r="GI1992" s="6"/>
      <c r="GJ1992" s="6"/>
      <c r="GK1992" s="6"/>
      <c r="GL1992" s="6"/>
      <c r="GM1992" s="6"/>
      <c r="GN1992" s="6"/>
      <c r="GO1992" s="6"/>
      <c r="GP1992" s="6"/>
      <c r="GQ1992" s="6"/>
      <c r="GR1992" s="6"/>
      <c r="GS1992" s="6"/>
      <c r="GT1992" s="6"/>
      <c r="GU1992" s="6"/>
      <c r="GV1992" s="6"/>
      <c r="GW1992" s="6"/>
      <c r="GX1992" s="6"/>
      <c r="GY1992" s="6"/>
      <c r="GZ1992" s="6"/>
      <c r="HA1992" s="6"/>
      <c r="HB1992" s="6"/>
      <c r="HC1992" s="6"/>
      <c r="HD1992" s="6"/>
      <c r="HE1992" s="6"/>
      <c r="HF1992" s="6"/>
      <c r="HG1992" s="6"/>
      <c r="HH1992" s="6"/>
    </row>
    <row r="1993" spans="1:216" x14ac:dyDescent="0.3">
      <c r="A1993" s="8"/>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c r="DX1993" s="6"/>
      <c r="DY1993" s="6"/>
      <c r="DZ1993" s="6"/>
      <c r="EA1993" s="6"/>
      <c r="EB1993" s="6"/>
      <c r="EC1993" s="6"/>
      <c r="ED1993" s="6"/>
      <c r="EE1993" s="6"/>
      <c r="EF1993" s="6"/>
      <c r="EG1993" s="6"/>
      <c r="EH1993" s="6"/>
      <c r="EI1993" s="6"/>
      <c r="EJ1993" s="6"/>
      <c r="EK1993" s="6"/>
      <c r="EL1993" s="6"/>
      <c r="EM1993" s="6"/>
      <c r="EN1993" s="6"/>
      <c r="EO1993" s="6"/>
      <c r="EP1993" s="6"/>
      <c r="EQ1993" s="6"/>
      <c r="ER1993" s="6"/>
      <c r="ES1993" s="6"/>
      <c r="ET1993" s="6"/>
      <c r="EU1993" s="6"/>
      <c r="EV1993" s="6"/>
      <c r="EW1993" s="6"/>
      <c r="EX1993" s="6"/>
      <c r="EY1993" s="6"/>
      <c r="EZ1993" s="6"/>
      <c r="FA1993" s="6"/>
      <c r="FB1993" s="6"/>
      <c r="FC1993" s="6"/>
      <c r="FD1993" s="6"/>
      <c r="FE1993" s="6"/>
      <c r="FF1993" s="6"/>
      <c r="FG1993" s="6"/>
      <c r="FH1993" s="6"/>
      <c r="FI1993" s="6"/>
      <c r="FJ1993" s="6"/>
      <c r="FK1993" s="6"/>
      <c r="FL1993" s="6"/>
      <c r="FM1993" s="6"/>
      <c r="FN1993" s="6"/>
      <c r="FO1993" s="6"/>
      <c r="FP1993" s="6"/>
      <c r="FQ1993" s="6"/>
      <c r="FR1993" s="6"/>
      <c r="FS1993" s="6"/>
      <c r="FT1993" s="6"/>
      <c r="FU1993" s="6"/>
      <c r="FV1993" s="6"/>
      <c r="FW1993" s="6"/>
      <c r="FX1993" s="6"/>
      <c r="FY1993" s="6"/>
      <c r="FZ1993" s="6"/>
      <c r="GA1993" s="6"/>
      <c r="GB1993" s="6"/>
      <c r="GC1993" s="6"/>
      <c r="GD1993" s="6"/>
      <c r="GE1993" s="6"/>
      <c r="GF1993" s="6"/>
      <c r="GG1993" s="6"/>
      <c r="GH1993" s="6"/>
      <c r="GI1993" s="6"/>
      <c r="GJ1993" s="6"/>
      <c r="GK1993" s="6"/>
      <c r="GL1993" s="6"/>
      <c r="GM1993" s="6"/>
      <c r="GN1993" s="6"/>
      <c r="GO1993" s="6"/>
      <c r="GP1993" s="6"/>
      <c r="GQ1993" s="6"/>
      <c r="GR1993" s="6"/>
      <c r="GS1993" s="6"/>
      <c r="GT1993" s="6"/>
      <c r="GU1993" s="6"/>
      <c r="GV1993" s="6"/>
      <c r="GW1993" s="6"/>
      <c r="GX1993" s="6"/>
      <c r="GY1993" s="6"/>
      <c r="GZ1993" s="6"/>
      <c r="HA1993" s="6"/>
      <c r="HB1993" s="6"/>
      <c r="HC1993" s="6"/>
      <c r="HD1993" s="6"/>
      <c r="HE1993" s="6"/>
      <c r="HF1993" s="6"/>
      <c r="HG1993" s="6"/>
      <c r="HH1993" s="6"/>
    </row>
    <row r="1994" spans="1:216" x14ac:dyDescent="0.3">
      <c r="A1994" s="8"/>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6"/>
      <c r="AR1994" s="6"/>
      <c r="AS1994" s="6"/>
      <c r="AT1994" s="6"/>
      <c r="AU1994" s="6"/>
      <c r="AV1994" s="6"/>
      <c r="AW1994" s="6"/>
      <c r="AX1994" s="6"/>
      <c r="AY1994" s="6"/>
      <c r="AZ1994" s="6"/>
      <c r="BA1994" s="6"/>
      <c r="BB1994" s="6"/>
      <c r="BC1994" s="6"/>
      <c r="BD1994" s="6"/>
      <c r="BE1994" s="6"/>
      <c r="BF1994" s="6"/>
      <c r="BG1994" s="6"/>
      <c r="BH1994" s="6"/>
      <c r="BI1994" s="6"/>
      <c r="BJ1994" s="6"/>
      <c r="BK1994" s="6"/>
      <c r="BL1994" s="6"/>
      <c r="BM1994" s="6"/>
      <c r="BN1994" s="6"/>
      <c r="BO1994" s="6"/>
      <c r="BP1994" s="6"/>
      <c r="BQ1994" s="6"/>
      <c r="BR1994" s="6"/>
      <c r="BS1994" s="6"/>
      <c r="BT1994" s="6"/>
      <c r="BU1994" s="6"/>
      <c r="BV1994" s="6"/>
      <c r="BW1994" s="6"/>
      <c r="BX1994" s="6"/>
      <c r="BY1994" s="6"/>
      <c r="BZ1994" s="6"/>
      <c r="CA1994" s="6"/>
      <c r="CB1994" s="6"/>
      <c r="CC1994" s="6"/>
      <c r="CD1994" s="6"/>
      <c r="CE1994" s="6"/>
      <c r="CF1994" s="6"/>
      <c r="CG1994" s="6"/>
      <c r="CH1994" s="6"/>
      <c r="CI1994" s="6"/>
      <c r="CJ1994" s="6"/>
      <c r="CK1994" s="6"/>
      <c r="CL1994" s="6"/>
      <c r="CM1994" s="6"/>
      <c r="CN1994" s="6"/>
      <c r="CO1994" s="6"/>
      <c r="CP1994" s="6"/>
      <c r="CQ1994" s="6"/>
      <c r="CR1994" s="6"/>
      <c r="CS1994" s="6"/>
      <c r="CT1994" s="6"/>
      <c r="CU1994" s="6"/>
      <c r="CV1994" s="6"/>
      <c r="CW1994" s="6"/>
      <c r="CX1994" s="6"/>
      <c r="CY1994" s="6"/>
      <c r="CZ1994" s="6"/>
      <c r="DA1994" s="6"/>
      <c r="DB1994" s="6"/>
      <c r="DC1994" s="6"/>
      <c r="DD1994" s="6"/>
      <c r="DE1994" s="6"/>
      <c r="DF1994" s="6"/>
      <c r="DG1994" s="6"/>
      <c r="DH1994" s="6"/>
      <c r="DI1994" s="6"/>
      <c r="DJ1994" s="6"/>
      <c r="DK1994" s="6"/>
      <c r="DL1994" s="6"/>
      <c r="DM1994" s="6"/>
      <c r="DN1994" s="6"/>
      <c r="DO1994" s="6"/>
      <c r="DP1994" s="6"/>
      <c r="DQ1994" s="6"/>
      <c r="DR1994" s="6"/>
      <c r="DS1994" s="6"/>
      <c r="DT1994" s="6"/>
      <c r="DU1994" s="6"/>
      <c r="DV1994" s="6"/>
      <c r="DW1994" s="6"/>
      <c r="DX1994" s="6"/>
      <c r="DY1994" s="6"/>
      <c r="DZ1994" s="6"/>
      <c r="EA1994" s="6"/>
      <c r="EB1994" s="6"/>
      <c r="EC1994" s="6"/>
      <c r="ED1994" s="6"/>
      <c r="EE1994" s="6"/>
      <c r="EF1994" s="6"/>
      <c r="EG1994" s="6"/>
      <c r="EH1994" s="6"/>
      <c r="EI1994" s="6"/>
      <c r="EJ1994" s="6"/>
      <c r="EK1994" s="6"/>
      <c r="EL1994" s="6"/>
      <c r="EM1994" s="6"/>
      <c r="EN1994" s="6"/>
      <c r="EO1994" s="6"/>
      <c r="EP1994" s="6"/>
      <c r="EQ1994" s="6"/>
      <c r="ER1994" s="6"/>
      <c r="ES1994" s="6"/>
      <c r="ET1994" s="6"/>
      <c r="EU1994" s="6"/>
      <c r="EV1994" s="6"/>
      <c r="EW1994" s="6"/>
      <c r="EX1994" s="6"/>
      <c r="EY1994" s="6"/>
      <c r="EZ1994" s="6"/>
      <c r="FA1994" s="6"/>
      <c r="FB1994" s="6"/>
      <c r="FC1994" s="6"/>
      <c r="FD1994" s="6"/>
      <c r="FE1994" s="6"/>
      <c r="FF1994" s="6"/>
      <c r="FG1994" s="6"/>
      <c r="FH1994" s="6"/>
      <c r="FI1994" s="6"/>
      <c r="FJ1994" s="6"/>
      <c r="FK1994" s="6"/>
      <c r="FL1994" s="6"/>
      <c r="FM1994" s="6"/>
      <c r="FN1994" s="6"/>
      <c r="FO1994" s="6"/>
      <c r="FP1994" s="6"/>
      <c r="FQ1994" s="6"/>
      <c r="FR1994" s="6"/>
      <c r="FS1994" s="6"/>
      <c r="FT1994" s="6"/>
      <c r="FU1994" s="6"/>
      <c r="FV1994" s="6"/>
      <c r="FW1994" s="6"/>
      <c r="FX1994" s="6"/>
      <c r="FY1994" s="6"/>
      <c r="FZ1994" s="6"/>
      <c r="GA1994" s="6"/>
      <c r="GB1994" s="6"/>
      <c r="GC1994" s="6"/>
      <c r="GD1994" s="6"/>
      <c r="GE1994" s="6"/>
      <c r="GF1994" s="6"/>
      <c r="GG1994" s="6"/>
      <c r="GH1994" s="6"/>
      <c r="GI1994" s="6"/>
      <c r="GJ1994" s="6"/>
      <c r="GK1994" s="6"/>
      <c r="GL1994" s="6"/>
      <c r="GM1994" s="6"/>
      <c r="GN1994" s="6"/>
      <c r="GO1994" s="6"/>
      <c r="GP1994" s="6"/>
      <c r="GQ1994" s="6"/>
      <c r="GR1994" s="6"/>
      <c r="GS1994" s="6"/>
      <c r="GT1994" s="6"/>
      <c r="GU1994" s="6"/>
      <c r="GV1994" s="6"/>
      <c r="GW1994" s="6"/>
      <c r="GX1994" s="6"/>
      <c r="GY1994" s="6"/>
      <c r="GZ1994" s="6"/>
      <c r="HA1994" s="6"/>
      <c r="HB1994" s="6"/>
      <c r="HC1994" s="6"/>
      <c r="HD1994" s="6"/>
      <c r="HE1994" s="6"/>
      <c r="HF1994" s="6"/>
      <c r="HG1994" s="6"/>
      <c r="HH1994" s="6"/>
    </row>
    <row r="1995" spans="1:216" x14ac:dyDescent="0.3">
      <c r="A1995" s="8"/>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c r="DX1995" s="6"/>
      <c r="DY1995" s="6"/>
      <c r="DZ1995" s="6"/>
      <c r="EA1995" s="6"/>
      <c r="EB1995" s="6"/>
      <c r="EC1995" s="6"/>
      <c r="ED1995" s="6"/>
      <c r="EE1995" s="6"/>
      <c r="EF1995" s="6"/>
      <c r="EG1995" s="6"/>
      <c r="EH1995" s="6"/>
      <c r="EI1995" s="6"/>
      <c r="EJ1995" s="6"/>
      <c r="EK1995" s="6"/>
      <c r="EL1995" s="6"/>
      <c r="EM1995" s="6"/>
      <c r="EN1995" s="6"/>
      <c r="EO1995" s="6"/>
      <c r="EP1995" s="6"/>
      <c r="EQ1995" s="6"/>
      <c r="ER1995" s="6"/>
      <c r="ES1995" s="6"/>
      <c r="ET1995" s="6"/>
      <c r="EU1995" s="6"/>
      <c r="EV1995" s="6"/>
      <c r="EW1995" s="6"/>
      <c r="EX1995" s="6"/>
      <c r="EY1995" s="6"/>
      <c r="EZ1995" s="6"/>
      <c r="FA1995" s="6"/>
      <c r="FB1995" s="6"/>
      <c r="FC1995" s="6"/>
      <c r="FD1995" s="6"/>
      <c r="FE1995" s="6"/>
      <c r="FF1995" s="6"/>
      <c r="FG1995" s="6"/>
      <c r="FH1995" s="6"/>
      <c r="FI1995" s="6"/>
      <c r="FJ1995" s="6"/>
      <c r="FK1995" s="6"/>
      <c r="FL1995" s="6"/>
      <c r="FM1995" s="6"/>
      <c r="FN1995" s="6"/>
      <c r="FO1995" s="6"/>
      <c r="FP1995" s="6"/>
      <c r="FQ1995" s="6"/>
      <c r="FR1995" s="6"/>
      <c r="FS1995" s="6"/>
      <c r="FT1995" s="6"/>
      <c r="FU1995" s="6"/>
      <c r="FV1995" s="6"/>
      <c r="FW1995" s="6"/>
      <c r="FX1995" s="6"/>
      <c r="FY1995" s="6"/>
      <c r="FZ1995" s="6"/>
      <c r="GA1995" s="6"/>
      <c r="GB1995" s="6"/>
      <c r="GC1995" s="6"/>
      <c r="GD1995" s="6"/>
      <c r="GE1995" s="6"/>
      <c r="GF1995" s="6"/>
      <c r="GG1995" s="6"/>
      <c r="GH1995" s="6"/>
      <c r="GI1995" s="6"/>
      <c r="GJ1995" s="6"/>
      <c r="GK1995" s="6"/>
      <c r="GL1995" s="6"/>
      <c r="GM1995" s="6"/>
      <c r="GN1995" s="6"/>
      <c r="GO1995" s="6"/>
      <c r="GP1995" s="6"/>
      <c r="GQ1995" s="6"/>
      <c r="GR1995" s="6"/>
      <c r="GS1995" s="6"/>
      <c r="GT1995" s="6"/>
      <c r="GU1995" s="6"/>
      <c r="GV1995" s="6"/>
      <c r="GW1995" s="6"/>
      <c r="GX1995" s="6"/>
      <c r="GY1995" s="6"/>
      <c r="GZ1995" s="6"/>
      <c r="HA1995" s="6"/>
      <c r="HB1995" s="6"/>
      <c r="HC1995" s="6"/>
      <c r="HD1995" s="6"/>
      <c r="HE1995" s="6"/>
      <c r="HF1995" s="6"/>
      <c r="HG1995" s="6"/>
      <c r="HH1995" s="6"/>
    </row>
    <row r="1996" spans="1:216" x14ac:dyDescent="0.3">
      <c r="A1996" s="8"/>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c r="DX1996" s="6"/>
      <c r="DY1996" s="6"/>
      <c r="DZ1996" s="6"/>
      <c r="EA1996" s="6"/>
      <c r="EB1996" s="6"/>
      <c r="EC1996" s="6"/>
      <c r="ED1996" s="6"/>
      <c r="EE1996" s="6"/>
      <c r="EF1996" s="6"/>
      <c r="EG1996" s="6"/>
      <c r="EH1996" s="6"/>
      <c r="EI1996" s="6"/>
      <c r="EJ1996" s="6"/>
      <c r="EK1996" s="6"/>
      <c r="EL1996" s="6"/>
      <c r="EM1996" s="6"/>
      <c r="EN1996" s="6"/>
      <c r="EO1996" s="6"/>
      <c r="EP1996" s="6"/>
      <c r="EQ1996" s="6"/>
      <c r="ER1996" s="6"/>
      <c r="ES1996" s="6"/>
      <c r="ET1996" s="6"/>
      <c r="EU1996" s="6"/>
      <c r="EV1996" s="6"/>
      <c r="EW1996" s="6"/>
      <c r="EX1996" s="6"/>
      <c r="EY1996" s="6"/>
      <c r="EZ1996" s="6"/>
      <c r="FA1996" s="6"/>
      <c r="FB1996" s="6"/>
      <c r="FC1996" s="6"/>
      <c r="FD1996" s="6"/>
      <c r="FE1996" s="6"/>
      <c r="FF1996" s="6"/>
      <c r="FG1996" s="6"/>
      <c r="FH1996" s="6"/>
      <c r="FI1996" s="6"/>
      <c r="FJ1996" s="6"/>
      <c r="FK1996" s="6"/>
      <c r="FL1996" s="6"/>
      <c r="FM1996" s="6"/>
      <c r="FN1996" s="6"/>
      <c r="FO1996" s="6"/>
      <c r="FP1996" s="6"/>
      <c r="FQ1996" s="6"/>
      <c r="FR1996" s="6"/>
      <c r="FS1996" s="6"/>
      <c r="FT1996" s="6"/>
      <c r="FU1996" s="6"/>
      <c r="FV1996" s="6"/>
      <c r="FW1996" s="6"/>
      <c r="FX1996" s="6"/>
      <c r="FY1996" s="6"/>
      <c r="FZ1996" s="6"/>
      <c r="GA1996" s="6"/>
      <c r="GB1996" s="6"/>
      <c r="GC1996" s="6"/>
      <c r="GD1996" s="6"/>
      <c r="GE1996" s="6"/>
      <c r="GF1996" s="6"/>
      <c r="GG1996" s="6"/>
      <c r="GH1996" s="6"/>
      <c r="GI1996" s="6"/>
      <c r="GJ1996" s="6"/>
      <c r="GK1996" s="6"/>
      <c r="GL1996" s="6"/>
      <c r="GM1996" s="6"/>
      <c r="GN1996" s="6"/>
      <c r="GO1996" s="6"/>
      <c r="GP1996" s="6"/>
      <c r="GQ1996" s="6"/>
      <c r="GR1996" s="6"/>
      <c r="GS1996" s="6"/>
      <c r="GT1996" s="6"/>
      <c r="GU1996" s="6"/>
      <c r="GV1996" s="6"/>
      <c r="GW1996" s="6"/>
      <c r="GX1996" s="6"/>
      <c r="GY1996" s="6"/>
      <c r="GZ1996" s="6"/>
      <c r="HA1996" s="6"/>
      <c r="HB1996" s="6"/>
      <c r="HC1996" s="6"/>
      <c r="HD1996" s="6"/>
      <c r="HE1996" s="6"/>
      <c r="HF1996" s="6"/>
      <c r="HG1996" s="6"/>
      <c r="HH1996" s="6"/>
    </row>
    <row r="1997" spans="1:216" x14ac:dyDescent="0.3">
      <c r="A1997" s="8"/>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c r="DX1997" s="6"/>
      <c r="DY1997" s="6"/>
      <c r="DZ1997" s="6"/>
      <c r="EA1997" s="6"/>
      <c r="EB1997" s="6"/>
      <c r="EC1997" s="6"/>
      <c r="ED1997" s="6"/>
      <c r="EE1997" s="6"/>
      <c r="EF1997" s="6"/>
      <c r="EG1997" s="6"/>
      <c r="EH1997" s="6"/>
      <c r="EI1997" s="6"/>
      <c r="EJ1997" s="6"/>
      <c r="EK1997" s="6"/>
      <c r="EL1997" s="6"/>
      <c r="EM1997" s="6"/>
      <c r="EN1997" s="6"/>
      <c r="EO1997" s="6"/>
      <c r="EP1997" s="6"/>
      <c r="EQ1997" s="6"/>
      <c r="ER1997" s="6"/>
      <c r="ES1997" s="6"/>
      <c r="ET1997" s="6"/>
      <c r="EU1997" s="6"/>
      <c r="EV1997" s="6"/>
      <c r="EW1997" s="6"/>
      <c r="EX1997" s="6"/>
      <c r="EY1997" s="6"/>
      <c r="EZ1997" s="6"/>
      <c r="FA1997" s="6"/>
      <c r="FB1997" s="6"/>
      <c r="FC1997" s="6"/>
      <c r="FD1997" s="6"/>
      <c r="FE1997" s="6"/>
      <c r="FF1997" s="6"/>
      <c r="FG1997" s="6"/>
      <c r="FH1997" s="6"/>
      <c r="FI1997" s="6"/>
      <c r="FJ1997" s="6"/>
      <c r="FK1997" s="6"/>
      <c r="FL1997" s="6"/>
      <c r="FM1997" s="6"/>
      <c r="FN1997" s="6"/>
      <c r="FO1997" s="6"/>
      <c r="FP1997" s="6"/>
      <c r="FQ1997" s="6"/>
      <c r="FR1997" s="6"/>
      <c r="FS1997" s="6"/>
      <c r="FT1997" s="6"/>
      <c r="FU1997" s="6"/>
      <c r="FV1997" s="6"/>
      <c r="FW1997" s="6"/>
      <c r="FX1997" s="6"/>
      <c r="FY1997" s="6"/>
      <c r="FZ1997" s="6"/>
      <c r="GA1997" s="6"/>
      <c r="GB1997" s="6"/>
      <c r="GC1997" s="6"/>
      <c r="GD1997" s="6"/>
      <c r="GE1997" s="6"/>
      <c r="GF1997" s="6"/>
      <c r="GG1997" s="6"/>
      <c r="GH1997" s="6"/>
      <c r="GI1997" s="6"/>
      <c r="GJ1997" s="6"/>
      <c r="GK1997" s="6"/>
      <c r="GL1997" s="6"/>
      <c r="GM1997" s="6"/>
      <c r="GN1997" s="6"/>
      <c r="GO1997" s="6"/>
      <c r="GP1997" s="6"/>
      <c r="GQ1997" s="6"/>
      <c r="GR1997" s="6"/>
      <c r="GS1997" s="6"/>
      <c r="GT1997" s="6"/>
      <c r="GU1997" s="6"/>
      <c r="GV1997" s="6"/>
      <c r="GW1997" s="6"/>
      <c r="GX1997" s="6"/>
      <c r="GY1997" s="6"/>
      <c r="GZ1997" s="6"/>
      <c r="HA1997" s="6"/>
      <c r="HB1997" s="6"/>
      <c r="HC1997" s="6"/>
      <c r="HD1997" s="6"/>
      <c r="HE1997" s="6"/>
      <c r="HF1997" s="6"/>
      <c r="HG1997" s="6"/>
      <c r="HH1997" s="6"/>
    </row>
    <row r="1998" spans="1:216" x14ac:dyDescent="0.3">
      <c r="A1998" s="8"/>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c r="DX1998" s="6"/>
      <c r="DY1998" s="6"/>
      <c r="DZ1998" s="6"/>
      <c r="EA1998" s="6"/>
      <c r="EB1998" s="6"/>
      <c r="EC1998" s="6"/>
      <c r="ED1998" s="6"/>
      <c r="EE1998" s="6"/>
      <c r="EF1998" s="6"/>
      <c r="EG1998" s="6"/>
      <c r="EH1998" s="6"/>
      <c r="EI1998" s="6"/>
      <c r="EJ1998" s="6"/>
      <c r="EK1998" s="6"/>
      <c r="EL1998" s="6"/>
      <c r="EM1998" s="6"/>
      <c r="EN1998" s="6"/>
      <c r="EO1998" s="6"/>
      <c r="EP1998" s="6"/>
      <c r="EQ1998" s="6"/>
      <c r="ER1998" s="6"/>
      <c r="ES1998" s="6"/>
      <c r="ET1998" s="6"/>
      <c r="EU1998" s="6"/>
      <c r="EV1998" s="6"/>
      <c r="EW1998" s="6"/>
      <c r="EX1998" s="6"/>
      <c r="EY1998" s="6"/>
      <c r="EZ1998" s="6"/>
      <c r="FA1998" s="6"/>
      <c r="FB1998" s="6"/>
      <c r="FC1998" s="6"/>
      <c r="FD1998" s="6"/>
      <c r="FE1998" s="6"/>
      <c r="FF1998" s="6"/>
      <c r="FG1998" s="6"/>
      <c r="FH1998" s="6"/>
      <c r="FI1998" s="6"/>
      <c r="FJ1998" s="6"/>
      <c r="FK1998" s="6"/>
      <c r="FL1998" s="6"/>
      <c r="FM1998" s="6"/>
      <c r="FN1998" s="6"/>
      <c r="FO1998" s="6"/>
      <c r="FP1998" s="6"/>
      <c r="FQ1998" s="6"/>
      <c r="FR1998" s="6"/>
      <c r="FS1998" s="6"/>
      <c r="FT1998" s="6"/>
      <c r="FU1998" s="6"/>
      <c r="FV1998" s="6"/>
      <c r="FW1998" s="6"/>
      <c r="FX1998" s="6"/>
      <c r="FY1998" s="6"/>
      <c r="FZ1998" s="6"/>
      <c r="GA1998" s="6"/>
      <c r="GB1998" s="6"/>
      <c r="GC1998" s="6"/>
      <c r="GD1998" s="6"/>
      <c r="GE1998" s="6"/>
      <c r="GF1998" s="6"/>
      <c r="GG1998" s="6"/>
      <c r="GH1998" s="6"/>
      <c r="GI1998" s="6"/>
      <c r="GJ1998" s="6"/>
      <c r="GK1998" s="6"/>
      <c r="GL1998" s="6"/>
      <c r="GM1998" s="6"/>
      <c r="GN1998" s="6"/>
      <c r="GO1998" s="6"/>
      <c r="GP1998" s="6"/>
      <c r="GQ1998" s="6"/>
      <c r="GR1998" s="6"/>
      <c r="GS1998" s="6"/>
      <c r="GT1998" s="6"/>
      <c r="GU1998" s="6"/>
      <c r="GV1998" s="6"/>
      <c r="GW1998" s="6"/>
      <c r="GX1998" s="6"/>
      <c r="GY1998" s="6"/>
      <c r="GZ1998" s="6"/>
      <c r="HA1998" s="6"/>
      <c r="HB1998" s="6"/>
      <c r="HC1998" s="6"/>
      <c r="HD1998" s="6"/>
      <c r="HE1998" s="6"/>
      <c r="HF1998" s="6"/>
      <c r="HG1998" s="6"/>
      <c r="HH1998" s="6"/>
    </row>
    <row r="1999" spans="1:216" x14ac:dyDescent="0.3">
      <c r="A1999" s="8"/>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6"/>
      <c r="AR1999" s="6"/>
      <c r="AS1999" s="6"/>
      <c r="AT1999" s="6"/>
      <c r="AU1999" s="6"/>
      <c r="AV1999" s="6"/>
      <c r="AW1999" s="6"/>
      <c r="AX1999" s="6"/>
      <c r="AY1999" s="6"/>
      <c r="AZ1999" s="6"/>
      <c r="BA1999" s="6"/>
      <c r="BB1999" s="6"/>
      <c r="BC1999" s="6"/>
      <c r="BD1999" s="6"/>
      <c r="BE1999" s="6"/>
      <c r="BF1999" s="6"/>
      <c r="BG1999" s="6"/>
      <c r="BH1999" s="6"/>
      <c r="BI1999" s="6"/>
      <c r="BJ1999" s="6"/>
      <c r="BK1999" s="6"/>
      <c r="BL1999" s="6"/>
      <c r="BM1999" s="6"/>
      <c r="BN1999" s="6"/>
      <c r="BO1999" s="6"/>
      <c r="BP1999" s="6"/>
      <c r="BQ1999" s="6"/>
      <c r="BR1999" s="6"/>
      <c r="BS1999" s="6"/>
      <c r="BT1999" s="6"/>
      <c r="BU1999" s="6"/>
      <c r="BV1999" s="6"/>
      <c r="BW1999" s="6"/>
      <c r="BX1999" s="6"/>
      <c r="BY1999" s="6"/>
      <c r="BZ1999" s="6"/>
      <c r="CA1999" s="6"/>
      <c r="CB1999" s="6"/>
      <c r="CC1999" s="6"/>
      <c r="CD1999" s="6"/>
      <c r="CE1999" s="6"/>
      <c r="CF1999" s="6"/>
      <c r="CG1999" s="6"/>
      <c r="CH1999" s="6"/>
      <c r="CI1999" s="6"/>
      <c r="CJ1999" s="6"/>
      <c r="CK1999" s="6"/>
      <c r="CL1999" s="6"/>
      <c r="CM1999" s="6"/>
      <c r="CN1999" s="6"/>
      <c r="CO1999" s="6"/>
      <c r="CP1999" s="6"/>
      <c r="CQ1999" s="6"/>
      <c r="CR1999" s="6"/>
      <c r="CS1999" s="6"/>
      <c r="CT1999" s="6"/>
      <c r="CU1999" s="6"/>
      <c r="CV1999" s="6"/>
      <c r="CW1999" s="6"/>
      <c r="CX1999" s="6"/>
      <c r="CY1999" s="6"/>
      <c r="CZ1999" s="6"/>
      <c r="DA1999" s="6"/>
      <c r="DB1999" s="6"/>
      <c r="DC1999" s="6"/>
      <c r="DD1999" s="6"/>
      <c r="DE1999" s="6"/>
      <c r="DF1999" s="6"/>
      <c r="DG1999" s="6"/>
      <c r="DH1999" s="6"/>
      <c r="DI1999" s="6"/>
      <c r="DJ1999" s="6"/>
      <c r="DK1999" s="6"/>
      <c r="DL1999" s="6"/>
      <c r="DM1999" s="6"/>
      <c r="DN1999" s="6"/>
      <c r="DO1999" s="6"/>
      <c r="DP1999" s="6"/>
      <c r="DQ1999" s="6"/>
      <c r="DR1999" s="6"/>
      <c r="DS1999" s="6"/>
      <c r="DT1999" s="6"/>
      <c r="DU1999" s="6"/>
      <c r="DV1999" s="6"/>
      <c r="DW1999" s="6"/>
      <c r="DX1999" s="6"/>
      <c r="DY1999" s="6"/>
      <c r="DZ1999" s="6"/>
      <c r="EA1999" s="6"/>
      <c r="EB1999" s="6"/>
      <c r="EC1999" s="6"/>
      <c r="ED1999" s="6"/>
      <c r="EE1999" s="6"/>
      <c r="EF1999" s="6"/>
      <c r="EG1999" s="6"/>
      <c r="EH1999" s="6"/>
      <c r="EI1999" s="6"/>
      <c r="EJ1999" s="6"/>
      <c r="EK1999" s="6"/>
      <c r="EL1999" s="6"/>
      <c r="EM1999" s="6"/>
      <c r="EN1999" s="6"/>
      <c r="EO1999" s="6"/>
      <c r="EP1999" s="6"/>
      <c r="EQ1999" s="6"/>
      <c r="ER1999" s="6"/>
      <c r="ES1999" s="6"/>
      <c r="ET1999" s="6"/>
      <c r="EU1999" s="6"/>
      <c r="EV1999" s="6"/>
      <c r="EW1999" s="6"/>
      <c r="EX1999" s="6"/>
      <c r="EY1999" s="6"/>
      <c r="EZ1999" s="6"/>
      <c r="FA1999" s="6"/>
      <c r="FB1999" s="6"/>
      <c r="FC1999" s="6"/>
      <c r="FD1999" s="6"/>
      <c r="FE1999" s="6"/>
      <c r="FF1999" s="6"/>
      <c r="FG1999" s="6"/>
      <c r="FH1999" s="6"/>
      <c r="FI1999" s="6"/>
      <c r="FJ1999" s="6"/>
      <c r="FK1999" s="6"/>
      <c r="FL1999" s="6"/>
      <c r="FM1999" s="6"/>
      <c r="FN1999" s="6"/>
      <c r="FO1999" s="6"/>
      <c r="FP1999" s="6"/>
      <c r="FQ1999" s="6"/>
      <c r="FR1999" s="6"/>
      <c r="FS1999" s="6"/>
      <c r="FT1999" s="6"/>
      <c r="FU1999" s="6"/>
      <c r="FV1999" s="6"/>
      <c r="FW1999" s="6"/>
      <c r="FX1999" s="6"/>
      <c r="FY1999" s="6"/>
      <c r="FZ1999" s="6"/>
      <c r="GA1999" s="6"/>
      <c r="GB1999" s="6"/>
      <c r="GC1999" s="6"/>
      <c r="GD1999" s="6"/>
      <c r="GE1999" s="6"/>
      <c r="GF1999" s="6"/>
      <c r="GG1999" s="6"/>
      <c r="GH1999" s="6"/>
      <c r="GI1999" s="6"/>
      <c r="GJ1999" s="6"/>
      <c r="GK1999" s="6"/>
      <c r="GL1999" s="6"/>
      <c r="GM1999" s="6"/>
      <c r="GN1999" s="6"/>
      <c r="GO1999" s="6"/>
      <c r="GP1999" s="6"/>
      <c r="GQ1999" s="6"/>
      <c r="GR1999" s="6"/>
      <c r="GS1999" s="6"/>
      <c r="GT1999" s="6"/>
      <c r="GU1999" s="6"/>
      <c r="GV1999" s="6"/>
      <c r="GW1999" s="6"/>
      <c r="GX1999" s="6"/>
      <c r="GY1999" s="6"/>
      <c r="GZ1999" s="6"/>
      <c r="HA1999" s="6"/>
      <c r="HB1999" s="6"/>
      <c r="HC1999" s="6"/>
      <c r="HD1999" s="6"/>
      <c r="HE1999" s="6"/>
      <c r="HF1999" s="6"/>
      <c r="HG1999" s="6"/>
      <c r="HH1999" s="6"/>
    </row>
    <row r="2000" spans="1:216" x14ac:dyDescent="0.3">
      <c r="A2000" s="8"/>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6"/>
      <c r="AR2000" s="6"/>
      <c r="AS2000" s="6"/>
      <c r="AT2000" s="6"/>
      <c r="AU2000" s="6"/>
      <c r="AV2000" s="6"/>
      <c r="AW2000" s="6"/>
      <c r="AX2000" s="6"/>
      <c r="AY2000" s="6"/>
      <c r="AZ2000" s="6"/>
      <c r="BA2000" s="6"/>
      <c r="BB2000" s="6"/>
      <c r="BC2000" s="6"/>
      <c r="BD2000" s="6"/>
      <c r="BE2000" s="6"/>
      <c r="BF2000" s="6"/>
      <c r="BG2000" s="6"/>
      <c r="BH2000" s="6"/>
      <c r="BI2000" s="6"/>
      <c r="BJ2000" s="6"/>
      <c r="BK2000" s="6"/>
      <c r="BL2000" s="6"/>
      <c r="BM2000" s="6"/>
      <c r="BN2000" s="6"/>
      <c r="BO2000" s="6"/>
      <c r="BP2000" s="6"/>
      <c r="BQ2000" s="6"/>
      <c r="BR2000" s="6"/>
      <c r="BS2000" s="6"/>
      <c r="BT2000" s="6"/>
      <c r="BU2000" s="6"/>
      <c r="BV2000" s="6"/>
      <c r="BW2000" s="6"/>
      <c r="BX2000" s="6"/>
      <c r="BY2000" s="6"/>
      <c r="BZ2000" s="6"/>
      <c r="CA2000" s="6"/>
      <c r="CB2000" s="6"/>
      <c r="CC2000" s="6"/>
      <c r="CD2000" s="6"/>
      <c r="CE2000" s="6"/>
      <c r="CF2000" s="6"/>
      <c r="CG2000" s="6"/>
      <c r="CH2000" s="6"/>
      <c r="CI2000" s="6"/>
      <c r="CJ2000" s="6"/>
      <c r="CK2000" s="6"/>
      <c r="CL2000" s="6"/>
      <c r="CM2000" s="6"/>
      <c r="CN2000" s="6"/>
      <c r="CO2000" s="6"/>
      <c r="CP2000" s="6"/>
      <c r="CQ2000" s="6"/>
      <c r="CR2000" s="6"/>
      <c r="CS2000" s="6"/>
      <c r="CT2000" s="6"/>
      <c r="CU2000" s="6"/>
      <c r="CV2000" s="6"/>
      <c r="CW2000" s="6"/>
      <c r="CX2000" s="6"/>
      <c r="CY2000" s="6"/>
      <c r="CZ2000" s="6"/>
      <c r="DA2000" s="6"/>
      <c r="DB2000" s="6"/>
      <c r="DC2000" s="6"/>
      <c r="DD2000" s="6"/>
      <c r="DE2000" s="6"/>
      <c r="DF2000" s="6"/>
      <c r="DG2000" s="6"/>
      <c r="DH2000" s="6"/>
      <c r="DI2000" s="6"/>
      <c r="DJ2000" s="6"/>
      <c r="DK2000" s="6"/>
      <c r="DL2000" s="6"/>
      <c r="DM2000" s="6"/>
      <c r="DN2000" s="6"/>
      <c r="DO2000" s="6"/>
      <c r="DP2000" s="6"/>
      <c r="DQ2000" s="6"/>
      <c r="DR2000" s="6"/>
      <c r="DS2000" s="6"/>
      <c r="DT2000" s="6"/>
      <c r="DU2000" s="6"/>
      <c r="DV2000" s="6"/>
      <c r="DW2000" s="6"/>
      <c r="DX2000" s="6"/>
      <c r="DY2000" s="6"/>
      <c r="DZ2000" s="6"/>
      <c r="EA2000" s="6"/>
      <c r="EB2000" s="6"/>
      <c r="EC2000" s="6"/>
      <c r="ED2000" s="6"/>
      <c r="EE2000" s="6"/>
      <c r="EF2000" s="6"/>
      <c r="EG2000" s="6"/>
      <c r="EH2000" s="6"/>
      <c r="EI2000" s="6"/>
      <c r="EJ2000" s="6"/>
      <c r="EK2000" s="6"/>
      <c r="EL2000" s="6"/>
      <c r="EM2000" s="6"/>
      <c r="EN2000" s="6"/>
      <c r="EO2000" s="6"/>
      <c r="EP2000" s="6"/>
      <c r="EQ2000" s="6"/>
      <c r="ER2000" s="6"/>
      <c r="ES2000" s="6"/>
      <c r="ET2000" s="6"/>
      <c r="EU2000" s="6"/>
      <c r="EV2000" s="6"/>
      <c r="EW2000" s="6"/>
      <c r="EX2000" s="6"/>
      <c r="EY2000" s="6"/>
      <c r="EZ2000" s="6"/>
      <c r="FA2000" s="6"/>
      <c r="FB2000" s="6"/>
      <c r="FC2000" s="6"/>
      <c r="FD2000" s="6"/>
      <c r="FE2000" s="6"/>
      <c r="FF2000" s="6"/>
      <c r="FG2000" s="6"/>
      <c r="FH2000" s="6"/>
      <c r="FI2000" s="6"/>
      <c r="FJ2000" s="6"/>
      <c r="FK2000" s="6"/>
      <c r="FL2000" s="6"/>
      <c r="FM2000" s="6"/>
      <c r="FN2000" s="6"/>
      <c r="FO2000" s="6"/>
      <c r="FP2000" s="6"/>
      <c r="FQ2000" s="6"/>
      <c r="FR2000" s="6"/>
      <c r="FS2000" s="6"/>
      <c r="FT2000" s="6"/>
      <c r="FU2000" s="6"/>
      <c r="FV2000" s="6"/>
      <c r="FW2000" s="6"/>
      <c r="FX2000" s="6"/>
      <c r="FY2000" s="6"/>
      <c r="FZ2000" s="6"/>
      <c r="GA2000" s="6"/>
      <c r="GB2000" s="6"/>
      <c r="GC2000" s="6"/>
      <c r="GD2000" s="6"/>
      <c r="GE2000" s="6"/>
      <c r="GF2000" s="6"/>
      <c r="GG2000" s="6"/>
      <c r="GH2000" s="6"/>
      <c r="GI2000" s="6"/>
      <c r="GJ2000" s="6"/>
      <c r="GK2000" s="6"/>
      <c r="GL2000" s="6"/>
      <c r="GM2000" s="6"/>
      <c r="GN2000" s="6"/>
      <c r="GO2000" s="6"/>
      <c r="GP2000" s="6"/>
      <c r="GQ2000" s="6"/>
      <c r="GR2000" s="6"/>
      <c r="GS2000" s="6"/>
      <c r="GT2000" s="6"/>
      <c r="GU2000" s="6"/>
      <c r="GV2000" s="6"/>
      <c r="GW2000" s="6"/>
      <c r="GX2000" s="6"/>
      <c r="GY2000" s="6"/>
      <c r="GZ2000" s="6"/>
      <c r="HA2000" s="6"/>
      <c r="HB2000" s="6"/>
      <c r="HC2000" s="6"/>
      <c r="HD2000" s="6"/>
      <c r="HE2000" s="6"/>
      <c r="HF2000" s="6"/>
      <c r="HG2000" s="6"/>
      <c r="HH2000" s="6"/>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defaultRowHeight="14.4" x14ac:dyDescent="0.3"/>
  <sheetData>
    <row r="1" spans="1:12" x14ac:dyDescent="0.3">
      <c r="A1" s="7" t="s">
        <v>1335</v>
      </c>
      <c r="B1" s="7" t="s">
        <v>1336</v>
      </c>
      <c r="C1" s="7" t="s">
        <v>1337</v>
      </c>
      <c r="D1" s="7" t="s">
        <v>1338</v>
      </c>
      <c r="E1" s="7" t="s">
        <v>1339</v>
      </c>
      <c r="F1" s="7" t="s">
        <v>1340</v>
      </c>
      <c r="G1" s="7" t="s">
        <v>1341</v>
      </c>
      <c r="H1" s="7" t="s">
        <v>1342</v>
      </c>
      <c r="I1" s="7" t="s">
        <v>1343</v>
      </c>
      <c r="J1" s="7" t="s">
        <v>1344</v>
      </c>
      <c r="K1" s="7" t="s">
        <v>1345</v>
      </c>
      <c r="L1" s="7" t="s">
        <v>1346</v>
      </c>
    </row>
    <row r="2" spans="1:12" x14ac:dyDescent="0.3">
      <c r="A2" s="8" t="str">
        <f>HYPERLINK("http://www.accessdata.fda.gov/scripts/cder/daf/index.cfm?event=overview.process&amp;varApplNo=213006", "Gemtesa")</f>
        <v>Gemtesa</v>
      </c>
      <c r="B2" t="s">
        <v>1347</v>
      </c>
      <c r="C2" s="6">
        <v>44188</v>
      </c>
      <c r="D2" t="s">
        <v>1348</v>
      </c>
      <c r="E2" s="6">
        <v>44188</v>
      </c>
      <c r="F2" t="s">
        <v>1349</v>
      </c>
      <c r="G2" t="s">
        <v>1350</v>
      </c>
      <c r="H2" t="s">
        <v>1351</v>
      </c>
      <c r="I2" t="s">
        <v>1352</v>
      </c>
      <c r="J2" s="8" t="s">
        <v>1353</v>
      </c>
      <c r="L2" s="6" t="s">
        <v>1354</v>
      </c>
    </row>
    <row r="3" spans="1:12" x14ac:dyDescent="0.3">
      <c r="A3" s="8" t="str">
        <f>HYPERLINK("http://www.accessdata.fda.gov/scripts/cder/daf/index.cfm?event=overview.process&amp;varApplNo=761172", "Ebanga")</f>
        <v>Ebanga</v>
      </c>
      <c r="B3" t="s">
        <v>1355</v>
      </c>
      <c r="C3" s="6">
        <v>44186</v>
      </c>
      <c r="D3" t="s">
        <v>1356</v>
      </c>
      <c r="E3" s="6">
        <v>44186</v>
      </c>
      <c r="F3" t="s">
        <v>1349</v>
      </c>
      <c r="G3" t="s">
        <v>1350</v>
      </c>
      <c r="I3" t="s">
        <v>1357</v>
      </c>
      <c r="J3" s="8" t="s">
        <v>1358</v>
      </c>
      <c r="L3" s="6">
        <v>43980</v>
      </c>
    </row>
    <row r="4" spans="1:12" x14ac:dyDescent="0.3">
      <c r="A4" s="8" t="str">
        <f>HYPERLINK("http://www.accessdata.fda.gov/scripts/cder/daf/index.cfm?event=overview.process&amp;varApplNo=214621", "Orgovyx")</f>
        <v>Orgovyx</v>
      </c>
      <c r="B4" t="s">
        <v>1359</v>
      </c>
      <c r="C4" s="6">
        <v>44183</v>
      </c>
      <c r="D4" t="s">
        <v>1360</v>
      </c>
      <c r="E4" s="6">
        <v>44183</v>
      </c>
      <c r="F4" t="s">
        <v>1349</v>
      </c>
      <c r="G4" t="s">
        <v>1350</v>
      </c>
      <c r="H4" t="s">
        <v>1351</v>
      </c>
      <c r="I4" t="s">
        <v>1361</v>
      </c>
      <c r="J4" s="8" t="s">
        <v>1362</v>
      </c>
      <c r="L4" s="6" t="s">
        <v>1354</v>
      </c>
    </row>
    <row r="5" spans="1:12" x14ac:dyDescent="0.3">
      <c r="A5" s="8" t="str">
        <f>HYPERLINK("http://www.accessdata.fda.gov/scripts/cder/daf/index.cfm?event=overview.process&amp;varApplNo=761150", "Margenza")</f>
        <v>Margenza</v>
      </c>
      <c r="B5" t="s">
        <v>1363</v>
      </c>
      <c r="C5" s="6">
        <v>44181</v>
      </c>
      <c r="D5" t="s">
        <v>1364</v>
      </c>
      <c r="E5" s="6">
        <v>44181</v>
      </c>
      <c r="F5" t="s">
        <v>1349</v>
      </c>
      <c r="G5" t="s">
        <v>1350</v>
      </c>
      <c r="I5" t="s">
        <v>1277</v>
      </c>
      <c r="J5" s="8" t="s">
        <v>1365</v>
      </c>
      <c r="L5" s="6">
        <v>43817</v>
      </c>
    </row>
    <row r="6" spans="1:12" x14ac:dyDescent="0.3">
      <c r="A6" s="8" t="str">
        <f>HYPERLINK("http://www.accessdata.fda.gov/scripts/cder/daf/index.cfm?event=overview.process&amp;varApplNo=213189", "Klisyri")</f>
        <v>Klisyri</v>
      </c>
      <c r="B6" t="s">
        <v>1366</v>
      </c>
      <c r="C6" s="6">
        <v>44179</v>
      </c>
      <c r="D6" t="s">
        <v>1367</v>
      </c>
      <c r="E6" s="6">
        <v>44179</v>
      </c>
      <c r="F6" t="s">
        <v>1349</v>
      </c>
      <c r="G6" t="s">
        <v>1350</v>
      </c>
      <c r="H6" t="s">
        <v>1351</v>
      </c>
      <c r="I6" t="s">
        <v>1352</v>
      </c>
      <c r="J6" s="8" t="s">
        <v>1368</v>
      </c>
      <c r="L6" s="6" t="s">
        <v>1354</v>
      </c>
    </row>
    <row r="7" spans="1:12" x14ac:dyDescent="0.3">
      <c r="A7" s="8" t="str">
        <f>HYPERLINK("http://www.accessdata.fda.gov/scripts/cder/daf/index.cfm?event=overview.process&amp;varApplNo=214094", "Orladeyo")</f>
        <v>Orladeyo</v>
      </c>
      <c r="B7" t="s">
        <v>1369</v>
      </c>
      <c r="C7" s="6">
        <v>44168</v>
      </c>
      <c r="D7" t="s">
        <v>1370</v>
      </c>
      <c r="E7" s="6">
        <v>44168</v>
      </c>
      <c r="F7" t="s">
        <v>1349</v>
      </c>
      <c r="G7" t="s">
        <v>1350</v>
      </c>
      <c r="H7" t="s">
        <v>1351</v>
      </c>
      <c r="I7" t="s">
        <v>1371</v>
      </c>
      <c r="J7" s="8" t="s">
        <v>1372</v>
      </c>
      <c r="L7" s="6" t="s">
        <v>1354</v>
      </c>
    </row>
    <row r="8" spans="1:12" x14ac:dyDescent="0.3">
      <c r="A8" s="8" t="str">
        <f>HYPERLINK("http://www.accessdata.fda.gov/scripts/cder/daf/index.cfm?event=overview.process&amp;varApplNo=212642", "Gallium 68 PSMA-11")</f>
        <v>Gallium 68 PSMA-11</v>
      </c>
      <c r="B8" t="s">
        <v>1373</v>
      </c>
      <c r="C8" s="6">
        <v>44166</v>
      </c>
      <c r="D8" t="s">
        <v>1374</v>
      </c>
      <c r="E8" s="6">
        <v>44166</v>
      </c>
      <c r="F8" t="s">
        <v>1349</v>
      </c>
      <c r="G8" t="s">
        <v>1350</v>
      </c>
      <c r="H8" t="s">
        <v>1351</v>
      </c>
      <c r="I8" t="s">
        <v>1352</v>
      </c>
      <c r="J8" s="8" t="s">
        <v>1375</v>
      </c>
      <c r="L8" s="6">
        <v>43714</v>
      </c>
    </row>
    <row r="9" spans="1:12" x14ac:dyDescent="0.3">
      <c r="A9" s="8" t="str">
        <f>HYPERLINK("http://www.accessdata.fda.gov/scripts/cder/daf/index.cfm?event=overview.process&amp;varApplNo=761171", "Danyelza")</f>
        <v>Danyelza</v>
      </c>
      <c r="B9" t="s">
        <v>1376</v>
      </c>
      <c r="C9" s="6">
        <v>44160</v>
      </c>
      <c r="D9" t="s">
        <v>1377</v>
      </c>
      <c r="E9" s="6">
        <v>44160</v>
      </c>
      <c r="F9" t="s">
        <v>1349</v>
      </c>
      <c r="G9" t="s">
        <v>1350</v>
      </c>
      <c r="I9" t="s">
        <v>1357</v>
      </c>
      <c r="J9" s="8" t="s">
        <v>1378</v>
      </c>
      <c r="L9" s="6">
        <v>44158</v>
      </c>
    </row>
    <row r="10" spans="1:12" x14ac:dyDescent="0.3">
      <c r="A10" s="8" t="str">
        <f>HYPERLINK("http://www.accessdata.fda.gov/scripts/cder/daf/index.cfm?event=overview.process&amp;varApplNo=213793", "Imcivree")</f>
        <v>Imcivree</v>
      </c>
      <c r="B10" t="s">
        <v>1379</v>
      </c>
      <c r="C10" s="6">
        <v>44160</v>
      </c>
      <c r="D10" t="s">
        <v>1380</v>
      </c>
      <c r="E10" s="6">
        <v>44160</v>
      </c>
      <c r="F10" t="s">
        <v>1349</v>
      </c>
      <c r="G10" t="s">
        <v>1350</v>
      </c>
      <c r="H10" t="s">
        <v>1351</v>
      </c>
      <c r="I10" t="s">
        <v>1381</v>
      </c>
      <c r="J10" s="8" t="s">
        <v>1382</v>
      </c>
      <c r="L10" s="6" t="s">
        <v>1354</v>
      </c>
    </row>
    <row r="11" spans="1:12" x14ac:dyDescent="0.3">
      <c r="A11" s="8" t="str">
        <f>HYPERLINK("http://www.accessdata.fda.gov/scripts/cder/daf/index.cfm?event=overview.process&amp;varApplNo=214103", "Oxlumo")</f>
        <v>Oxlumo</v>
      </c>
      <c r="B11" t="s">
        <v>1383</v>
      </c>
      <c r="C11" s="6">
        <v>44158</v>
      </c>
      <c r="D11" t="s">
        <v>1384</v>
      </c>
      <c r="E11" s="6">
        <v>44158</v>
      </c>
      <c r="F11" t="s">
        <v>1349</v>
      </c>
      <c r="G11" t="s">
        <v>1350</v>
      </c>
      <c r="H11" t="s">
        <v>1351</v>
      </c>
      <c r="I11" t="s">
        <v>1381</v>
      </c>
      <c r="J11" s="8" t="s">
        <v>1385</v>
      </c>
      <c r="L11" s="6">
        <v>43924</v>
      </c>
    </row>
    <row r="12" spans="1:12" x14ac:dyDescent="0.3">
      <c r="A12" s="8" t="str">
        <f>HYPERLINK("http://www.accessdata.fda.gov/scripts/cder/daf/index.cfm?event=overview.process&amp;varApplNo=213969", "Zokinvy")</f>
        <v>Zokinvy</v>
      </c>
      <c r="B12" t="s">
        <v>1386</v>
      </c>
      <c r="C12" s="6">
        <v>44155</v>
      </c>
      <c r="D12" t="s">
        <v>1387</v>
      </c>
      <c r="E12" s="6">
        <v>44155</v>
      </c>
      <c r="F12" t="s">
        <v>1349</v>
      </c>
      <c r="G12" t="s">
        <v>1350</v>
      </c>
      <c r="H12" t="s">
        <v>1351</v>
      </c>
      <c r="I12" t="s">
        <v>1381</v>
      </c>
      <c r="J12" s="8" t="s">
        <v>1388</v>
      </c>
      <c r="L12" s="6" t="s">
        <v>1354</v>
      </c>
    </row>
    <row r="13" spans="1:12" x14ac:dyDescent="0.3">
      <c r="A13" s="8" t="str">
        <f>HYPERLINK("http://www.accessdata.fda.gov/scripts/cder/daf/index.cfm?event=overview.process&amp;varApplNo=214787", "Veklury")</f>
        <v>Veklury</v>
      </c>
      <c r="B13" t="s">
        <v>1389</v>
      </c>
      <c r="C13" s="6">
        <v>44126</v>
      </c>
      <c r="D13" t="s">
        <v>1390</v>
      </c>
      <c r="E13" s="6">
        <v>44126</v>
      </c>
      <c r="F13" t="s">
        <v>1349</v>
      </c>
      <c r="G13" t="s">
        <v>1350</v>
      </c>
      <c r="H13" t="s">
        <v>1351</v>
      </c>
      <c r="I13" t="s">
        <v>1361</v>
      </c>
      <c r="J13" s="8" t="s">
        <v>1391</v>
      </c>
      <c r="L13" s="6" t="s">
        <v>1354</v>
      </c>
    </row>
    <row r="14" spans="1:12" x14ac:dyDescent="0.3">
      <c r="A14" s="8" t="str">
        <f>HYPERLINK("http://www.accessdata.fda.gov/scripts/cder/daf/index.cfm?event=overview.process&amp;varApplNo=761169", "Inmazeb")</f>
        <v>Inmazeb</v>
      </c>
      <c r="B14" t="s">
        <v>1392</v>
      </c>
      <c r="C14" s="6">
        <v>44118</v>
      </c>
      <c r="D14" t="s">
        <v>1393</v>
      </c>
      <c r="E14" s="6">
        <v>44118</v>
      </c>
      <c r="F14" t="s">
        <v>1349</v>
      </c>
      <c r="G14" t="s">
        <v>1350</v>
      </c>
      <c r="I14" t="s">
        <v>1357</v>
      </c>
      <c r="J14" s="8" t="s">
        <v>1394</v>
      </c>
      <c r="L14" s="6">
        <v>43886</v>
      </c>
    </row>
    <row r="15" spans="1:12" x14ac:dyDescent="0.3">
      <c r="A15" s="8" t="str">
        <f>HYPERLINK("http://www.accessdata.fda.gov/scripts/cder/daf/index.cfm?event=overview.process&amp;varApplNo=213721", "Gavreto")</f>
        <v>Gavreto</v>
      </c>
      <c r="B15" t="s">
        <v>1395</v>
      </c>
      <c r="C15" s="6">
        <v>44078</v>
      </c>
      <c r="D15" t="s">
        <v>1396</v>
      </c>
      <c r="E15" s="6">
        <v>44078</v>
      </c>
      <c r="F15" t="s">
        <v>1349</v>
      </c>
      <c r="G15" t="s">
        <v>1350</v>
      </c>
      <c r="H15" t="s">
        <v>1351</v>
      </c>
      <c r="I15" t="s">
        <v>1381</v>
      </c>
      <c r="J15" s="8" t="s">
        <v>1397</v>
      </c>
      <c r="K15" t="s">
        <v>1398</v>
      </c>
      <c r="L15" s="6" t="s">
        <v>1399</v>
      </c>
    </row>
    <row r="16" spans="1:12" x14ac:dyDescent="0.3">
      <c r="A16" s="8" t="str">
        <f>HYPERLINK("http://www.accessdata.fda.gov/scripts/cder/daf/index.cfm?event=overview.process&amp;varApplNo=213227", "Detectnet")</f>
        <v>Detectnet</v>
      </c>
      <c r="B16" t="s">
        <v>1400</v>
      </c>
      <c r="C16" s="6">
        <v>44077</v>
      </c>
      <c r="D16" t="s">
        <v>1401</v>
      </c>
      <c r="E16" s="6">
        <v>44077</v>
      </c>
      <c r="F16" t="s">
        <v>1349</v>
      </c>
      <c r="G16" t="s">
        <v>1350</v>
      </c>
      <c r="H16" t="s">
        <v>1351</v>
      </c>
      <c r="I16" t="s">
        <v>1381</v>
      </c>
      <c r="J16" s="8" t="s">
        <v>1402</v>
      </c>
      <c r="L16" s="6">
        <v>43830</v>
      </c>
    </row>
    <row r="17" spans="1:12" x14ac:dyDescent="0.3">
      <c r="A17" s="8" t="str">
        <f>HYPERLINK("http://www.accessdata.fda.gov/scripts/cder/daf/index.cfm?event=overview.process&amp;varApplNo=761156", "Sogroya")</f>
        <v>Sogroya</v>
      </c>
      <c r="B17" t="s">
        <v>1403</v>
      </c>
      <c r="C17" s="6">
        <v>44071</v>
      </c>
      <c r="D17" t="s">
        <v>1404</v>
      </c>
      <c r="E17" s="6">
        <v>44071</v>
      </c>
      <c r="F17" t="s">
        <v>1349</v>
      </c>
      <c r="G17" t="s">
        <v>1350</v>
      </c>
      <c r="I17" t="s">
        <v>1277</v>
      </c>
      <c r="J17" s="8" t="s">
        <v>1405</v>
      </c>
      <c r="L17" s="6">
        <v>43705</v>
      </c>
    </row>
    <row r="18" spans="1:12" x14ac:dyDescent="0.3">
      <c r="A18" s="8" t="str">
        <f>HYPERLINK("http://www.accessdata.fda.gov/scripts/cder/daf/index.cfm?event=overview.process&amp;varApplNo=213433", "Winlevi")</f>
        <v>Winlevi</v>
      </c>
      <c r="B18" t="s">
        <v>1406</v>
      </c>
      <c r="C18" s="6">
        <v>44069</v>
      </c>
      <c r="D18" t="s">
        <v>1407</v>
      </c>
      <c r="E18" s="6">
        <v>44069</v>
      </c>
      <c r="F18" t="s">
        <v>1349</v>
      </c>
      <c r="G18" t="s">
        <v>1350</v>
      </c>
      <c r="H18" t="s">
        <v>1351</v>
      </c>
      <c r="I18" t="s">
        <v>1352</v>
      </c>
      <c r="J18" s="8" t="s">
        <v>1408</v>
      </c>
      <c r="L18" s="6">
        <v>43696</v>
      </c>
    </row>
    <row r="19" spans="1:12" x14ac:dyDescent="0.3">
      <c r="A19" s="8" t="str">
        <f>HYPERLINK("http://www.accessdata.fda.gov/scripts/cder/daf/index.cfm?event=overview.process&amp;varApplNo=761149", "Enspryng")</f>
        <v>Enspryng</v>
      </c>
      <c r="B19" t="s">
        <v>1409</v>
      </c>
      <c r="C19" s="6">
        <v>44057</v>
      </c>
      <c r="D19" t="s">
        <v>1410</v>
      </c>
      <c r="E19" s="6">
        <v>44057</v>
      </c>
      <c r="F19" t="s">
        <v>1349</v>
      </c>
      <c r="G19" t="s">
        <v>1350</v>
      </c>
      <c r="I19" t="s">
        <v>1357</v>
      </c>
      <c r="J19" s="8" t="s">
        <v>1411</v>
      </c>
      <c r="L19" s="6">
        <v>43692</v>
      </c>
    </row>
    <row r="20" spans="1:12" x14ac:dyDescent="0.3">
      <c r="A20" s="8" t="str">
        <f>HYPERLINK("http://www.accessdata.fda.gov/scripts/cder/daf/index.cfm?event=overview.process&amp;varApplNo=212154", "Viltepso")</f>
        <v>Viltepso</v>
      </c>
      <c r="B20" t="s">
        <v>1412</v>
      </c>
      <c r="C20" s="6">
        <v>44055</v>
      </c>
      <c r="D20" t="s">
        <v>1413</v>
      </c>
      <c r="E20" s="6">
        <v>44055</v>
      </c>
      <c r="F20" t="s">
        <v>1349</v>
      </c>
      <c r="G20" t="s">
        <v>1350</v>
      </c>
      <c r="H20" t="s">
        <v>1351</v>
      </c>
      <c r="I20" t="s">
        <v>1381</v>
      </c>
      <c r="J20" s="8" t="s">
        <v>1414</v>
      </c>
      <c r="L20" s="6">
        <v>43811</v>
      </c>
    </row>
    <row r="21" spans="1:12" x14ac:dyDescent="0.3">
      <c r="A21" s="8" t="str">
        <f>HYPERLINK("http://www.accessdata.fda.gov/scripts/cder/daf/index.cfm?event=overview.process&amp;varApplNo=210730", "Olinvyk")</f>
        <v>Olinvyk</v>
      </c>
      <c r="B21" t="s">
        <v>1415</v>
      </c>
      <c r="C21" s="6">
        <v>44050</v>
      </c>
      <c r="D21" t="s">
        <v>1416</v>
      </c>
      <c r="E21" s="6">
        <v>44050</v>
      </c>
      <c r="F21" t="s">
        <v>1349</v>
      </c>
      <c r="G21" t="s">
        <v>1350</v>
      </c>
      <c r="H21" t="s">
        <v>1351</v>
      </c>
      <c r="I21" t="s">
        <v>1352</v>
      </c>
      <c r="J21" s="8" t="s">
        <v>1417</v>
      </c>
      <c r="L21" s="6" t="s">
        <v>1354</v>
      </c>
    </row>
    <row r="22" spans="1:12" x14ac:dyDescent="0.3">
      <c r="A22" s="8" t="str">
        <f>HYPERLINK("http://www.accessdata.fda.gov/scripts/cder/daf/index.cfm?event=overview.process&amp;varApplNo=213535", "Evrysdi")</f>
        <v>Evrysdi</v>
      </c>
      <c r="B22" t="s">
        <v>1418</v>
      </c>
      <c r="C22" s="6">
        <v>44050</v>
      </c>
      <c r="D22" t="s">
        <v>1419</v>
      </c>
      <c r="E22" s="6">
        <v>44050</v>
      </c>
      <c r="F22" t="s">
        <v>1349</v>
      </c>
      <c r="G22" t="s">
        <v>1350</v>
      </c>
      <c r="H22" t="s">
        <v>1351</v>
      </c>
      <c r="I22" t="s">
        <v>1381</v>
      </c>
      <c r="J22" s="8" t="s">
        <v>1420</v>
      </c>
      <c r="L22" s="6" t="s">
        <v>1354</v>
      </c>
    </row>
    <row r="23" spans="1:12" x14ac:dyDescent="0.3">
      <c r="A23" s="8" t="str">
        <f>HYPERLINK("http://www.accessdata.fda.gov/scripts/cder/daf/index.cfm?event=overview.process&amp;varApplNo=213464", "Lampit")</f>
        <v>Lampit</v>
      </c>
      <c r="B23" t="s">
        <v>1421</v>
      </c>
      <c r="C23" s="6">
        <v>44049</v>
      </c>
      <c r="D23" t="s">
        <v>1422</v>
      </c>
      <c r="E23" s="6">
        <v>44049</v>
      </c>
      <c r="F23" t="s">
        <v>1349</v>
      </c>
      <c r="G23" t="s">
        <v>1350</v>
      </c>
      <c r="H23" t="s">
        <v>1351</v>
      </c>
      <c r="I23" t="s">
        <v>1381</v>
      </c>
      <c r="J23" s="8" t="s">
        <v>1423</v>
      </c>
      <c r="L23" s="6">
        <v>43805</v>
      </c>
    </row>
    <row r="24" spans="1:12" x14ac:dyDescent="0.3">
      <c r="A24" s="8" t="str">
        <f>HYPERLINK("http://www.accessdata.fda.gov/scripts/cder/daf/index.cfm?event=overview.process&amp;varApplNo=761158", "Blenrep")</f>
        <v>Blenrep</v>
      </c>
      <c r="B24" t="s">
        <v>1424</v>
      </c>
      <c r="C24" s="6">
        <v>44048</v>
      </c>
      <c r="D24" t="s">
        <v>1425</v>
      </c>
      <c r="E24" s="6">
        <v>44048</v>
      </c>
      <c r="F24" t="s">
        <v>1349</v>
      </c>
      <c r="G24" t="s">
        <v>1350</v>
      </c>
      <c r="I24" t="s">
        <v>1357</v>
      </c>
      <c r="J24" s="8" t="s">
        <v>1426</v>
      </c>
      <c r="L24" s="6">
        <v>43804</v>
      </c>
    </row>
    <row r="25" spans="1:12" x14ac:dyDescent="0.3">
      <c r="A25" s="8" t="str">
        <f>HYPERLINK("http://www.accessdata.fda.gov/scripts/cder/daf/index.cfm?event=overview.process&amp;varApplNo=761163", "Monjuvi")</f>
        <v>Monjuvi</v>
      </c>
      <c r="B25" t="s">
        <v>1427</v>
      </c>
      <c r="C25" s="6">
        <v>44043</v>
      </c>
      <c r="D25" t="s">
        <v>1428</v>
      </c>
      <c r="E25" s="6">
        <v>44043</v>
      </c>
      <c r="F25" t="s">
        <v>1349</v>
      </c>
      <c r="G25" t="s">
        <v>1350</v>
      </c>
      <c r="I25" t="s">
        <v>1357</v>
      </c>
      <c r="J25" s="8" t="s">
        <v>1429</v>
      </c>
      <c r="L25" s="6">
        <v>43827</v>
      </c>
    </row>
    <row r="26" spans="1:12" x14ac:dyDescent="0.3">
      <c r="A26" s="8" t="str">
        <f>HYPERLINK("https://www.accessdata.fda.gov/scripts/cder/daf/index.cfm?event=overview.process&amp;ApplNo=206966", "Xeglyze")</f>
        <v>Xeglyze</v>
      </c>
      <c r="B26" t="s">
        <v>1430</v>
      </c>
      <c r="C26" s="6">
        <v>44036</v>
      </c>
      <c r="D26" t="s">
        <v>1431</v>
      </c>
      <c r="E26" s="6">
        <v>44036</v>
      </c>
      <c r="F26" t="s">
        <v>1349</v>
      </c>
      <c r="G26" t="s">
        <v>1350</v>
      </c>
      <c r="H26" t="s">
        <v>1351</v>
      </c>
      <c r="I26" t="s">
        <v>1352</v>
      </c>
      <c r="J26" s="8" t="s">
        <v>1432</v>
      </c>
      <c r="L26" s="6">
        <v>42261</v>
      </c>
    </row>
    <row r="27" spans="1:12" x14ac:dyDescent="0.3">
      <c r="A27" s="8" t="str">
        <f>HYPERLINK("http://www.accessdata.fda.gov/scripts/cder/daf/index.cfm?event=overview.process&amp;varApplNo=212576", "Inqovi")</f>
        <v>Inqovi</v>
      </c>
      <c r="B27" t="s">
        <v>1433</v>
      </c>
      <c r="C27" s="6">
        <v>44019</v>
      </c>
      <c r="D27" t="s">
        <v>1434</v>
      </c>
      <c r="E27" s="6">
        <v>44019</v>
      </c>
      <c r="F27" t="s">
        <v>1349</v>
      </c>
      <c r="G27" t="s">
        <v>1350</v>
      </c>
      <c r="H27" t="s">
        <v>1351</v>
      </c>
      <c r="I27" t="s">
        <v>1381</v>
      </c>
      <c r="J27" s="8" t="s">
        <v>1435</v>
      </c>
      <c r="L27" s="6">
        <v>43810</v>
      </c>
    </row>
    <row r="28" spans="1:12" x14ac:dyDescent="0.3">
      <c r="A28" s="8" t="str">
        <f>HYPERLINK("http://www.accessdata.fda.gov/scripts/cder/daf/index.cfm?event=overview.process&amp;varApplNo=212950", "Rukobia")</f>
        <v>Rukobia</v>
      </c>
      <c r="B28" t="s">
        <v>1436</v>
      </c>
      <c r="C28" s="6">
        <v>44014</v>
      </c>
      <c r="D28" t="s">
        <v>1437</v>
      </c>
      <c r="E28" s="6" t="s">
        <v>1438</v>
      </c>
      <c r="F28" t="s">
        <v>1399</v>
      </c>
      <c r="J28" s="8"/>
      <c r="L28" s="6"/>
    </row>
    <row r="29" spans="1:12" x14ac:dyDescent="0.3">
      <c r="A29" s="8" t="str">
        <f>HYPERLINK("http://www.accessdata.fda.gov/scripts/cder/daf/index.cfm?event=overview.process&amp;varApplNo=212295", "Byfavo")</f>
        <v>Byfavo</v>
      </c>
      <c r="B29" t="s">
        <v>1439</v>
      </c>
      <c r="C29" s="6">
        <v>44014</v>
      </c>
      <c r="D29" t="s">
        <v>1440</v>
      </c>
      <c r="E29" s="6">
        <v>44014</v>
      </c>
      <c r="F29" t="s">
        <v>1349</v>
      </c>
      <c r="G29" t="s">
        <v>1350</v>
      </c>
      <c r="H29" t="s">
        <v>1441</v>
      </c>
      <c r="I29" t="s">
        <v>1352</v>
      </c>
      <c r="J29" s="8" t="s">
        <v>1442</v>
      </c>
      <c r="L29" s="6" t="s">
        <v>1354</v>
      </c>
    </row>
    <row r="30" spans="1:12" x14ac:dyDescent="0.3">
      <c r="A30" s="8" t="str">
        <f>HYPERLINK("http://www.accessdata.fda.gov/scripts/cder/daf/index.cfm?event=overview.process&amp;varApplNo=213687", "Dojolvi")</f>
        <v>Dojolvi</v>
      </c>
      <c r="B30" t="s">
        <v>1443</v>
      </c>
      <c r="C30" s="6">
        <v>44012</v>
      </c>
      <c r="D30" t="s">
        <v>1444</v>
      </c>
      <c r="E30" s="6">
        <v>44012</v>
      </c>
      <c r="F30" t="s">
        <v>1349</v>
      </c>
      <c r="G30" t="s">
        <v>1350</v>
      </c>
      <c r="H30" t="s">
        <v>1351</v>
      </c>
      <c r="I30" t="s">
        <v>1371</v>
      </c>
      <c r="J30" s="8" t="s">
        <v>1445</v>
      </c>
      <c r="L30" s="6">
        <v>43677</v>
      </c>
    </row>
    <row r="31" spans="1:12" x14ac:dyDescent="0.3">
      <c r="A31" s="8" t="str">
        <f>HYPERLINK("http://www.accessdata.fda.gov/scripts/cder/daf/index.cfm?event=overview.process&amp;varApplNo=213702", "Zepzelca")</f>
        <v>Zepzelca</v>
      </c>
      <c r="B31" t="s">
        <v>1446</v>
      </c>
      <c r="C31" s="6">
        <v>43997</v>
      </c>
      <c r="D31" t="s">
        <v>1447</v>
      </c>
      <c r="E31" s="6">
        <v>43997</v>
      </c>
      <c r="F31" t="s">
        <v>1349</v>
      </c>
      <c r="G31" t="s">
        <v>1350</v>
      </c>
      <c r="H31" t="s">
        <v>1351</v>
      </c>
      <c r="I31" t="s">
        <v>1381</v>
      </c>
      <c r="J31" s="8" t="s">
        <v>1448</v>
      </c>
      <c r="L31" s="6" t="s">
        <v>1354</v>
      </c>
    </row>
    <row r="32" spans="1:12" x14ac:dyDescent="0.3">
      <c r="A32" s="8" t="str">
        <f>HYPERLINK("http://www.accessdata.fda.gov/scripts/cder/daf/index.cfm?event=overview.process&amp;varApplNo=761142", "Uplizna")</f>
        <v>Uplizna</v>
      </c>
      <c r="B32" t="s">
        <v>1449</v>
      </c>
      <c r="C32" s="6">
        <v>43993</v>
      </c>
      <c r="D32" t="s">
        <v>1410</v>
      </c>
      <c r="E32" s="6">
        <v>43993</v>
      </c>
      <c r="F32" t="s">
        <v>1349</v>
      </c>
      <c r="G32" t="s">
        <v>1350</v>
      </c>
      <c r="I32" t="s">
        <v>1357</v>
      </c>
      <c r="J32" s="8" t="s">
        <v>1450</v>
      </c>
      <c r="L32" s="6">
        <v>43627</v>
      </c>
    </row>
    <row r="33" spans="1:12" x14ac:dyDescent="0.3">
      <c r="A33" s="8" t="str">
        <f>HYPERLINK("http://www.accessdata.fda.gov/scripts/cder/daf/index.cfm?event=overview.process&amp;varApplNo=212123", "Tauvid")</f>
        <v>Tauvid</v>
      </c>
      <c r="B33" t="s">
        <v>1451</v>
      </c>
      <c r="C33" s="6">
        <v>43979</v>
      </c>
      <c r="D33" t="s">
        <v>1452</v>
      </c>
      <c r="E33" s="6" t="s">
        <v>1438</v>
      </c>
      <c r="F33" t="s">
        <v>1399</v>
      </c>
      <c r="J33" s="8"/>
      <c r="L33" s="6"/>
    </row>
    <row r="34" spans="1:12" x14ac:dyDescent="0.3">
      <c r="A34" s="8" t="str">
        <f>HYPERLINK("http://www.accessdata.fda.gov/scripts/cder/daf/index.cfm?event=overview.process&amp;varApplNo=213036", "Artesunate")</f>
        <v>Artesunate</v>
      </c>
      <c r="B34" t="s">
        <v>1453</v>
      </c>
      <c r="C34" s="6">
        <v>43977</v>
      </c>
      <c r="D34" t="s">
        <v>1454</v>
      </c>
      <c r="E34" s="6">
        <v>43977</v>
      </c>
      <c r="F34" t="s">
        <v>1349</v>
      </c>
      <c r="G34" t="s">
        <v>1350</v>
      </c>
      <c r="H34" t="s">
        <v>1351</v>
      </c>
      <c r="I34" t="s">
        <v>1381</v>
      </c>
      <c r="J34" s="8" t="s">
        <v>1455</v>
      </c>
      <c r="L34" s="6">
        <v>43734</v>
      </c>
    </row>
    <row r="35" spans="1:12" x14ac:dyDescent="0.3">
      <c r="A35" s="8" t="str">
        <f>HYPERLINK("http://www.accessdata.fda.gov/scripts/cder/daf/index.cfm?event=overview.process&amp;varApplNo=212155", "Cerianna")</f>
        <v>Cerianna</v>
      </c>
      <c r="B35" t="s">
        <v>1456</v>
      </c>
      <c r="C35" s="6">
        <v>43971</v>
      </c>
      <c r="D35" t="s">
        <v>1457</v>
      </c>
      <c r="E35" s="6" t="s">
        <v>1438</v>
      </c>
      <c r="F35" t="s">
        <v>1399</v>
      </c>
      <c r="J35" s="8"/>
      <c r="L35" s="6"/>
    </row>
    <row r="36" spans="1:12" x14ac:dyDescent="0.3">
      <c r="A36" s="8" t="str">
        <f>HYPERLINK("http://www.accessdata.fda.gov/scripts/cder/daf/index.cfm?event=overview.process&amp;varApplNo=213973", "Qinlock")</f>
        <v>Qinlock</v>
      </c>
      <c r="B36" t="s">
        <v>1458</v>
      </c>
      <c r="C36" s="6">
        <v>43966</v>
      </c>
      <c r="D36" t="s">
        <v>1459</v>
      </c>
      <c r="E36" s="6">
        <v>43966</v>
      </c>
      <c r="F36" t="s">
        <v>1349</v>
      </c>
      <c r="G36" t="s">
        <v>1350</v>
      </c>
      <c r="H36" t="s">
        <v>1351</v>
      </c>
      <c r="I36" t="s">
        <v>1381</v>
      </c>
      <c r="J36" s="8" t="s">
        <v>1460</v>
      </c>
      <c r="L36" s="6" t="s">
        <v>1354</v>
      </c>
    </row>
    <row r="37" spans="1:12" x14ac:dyDescent="0.3">
      <c r="A37" s="8" t="str">
        <f>HYPERLINK("http://www.accessdata.fda.gov/scripts/cder/daf/index.cfm?event=overview.process&amp;varApplNo=213246", "Retevmo")</f>
        <v>Retevmo</v>
      </c>
      <c r="B37" t="s">
        <v>1461</v>
      </c>
      <c r="C37" s="6">
        <v>43959</v>
      </c>
      <c r="D37" t="s">
        <v>1462</v>
      </c>
      <c r="E37" s="6" t="s">
        <v>1438</v>
      </c>
      <c r="F37" t="s">
        <v>1399</v>
      </c>
      <c r="J37" s="8"/>
      <c r="L37" s="6"/>
    </row>
    <row r="38" spans="1:12" x14ac:dyDescent="0.3">
      <c r="A38" s="8" t="str">
        <f>HYPERLINK("http://www.accessdata.fda.gov/scripts/cder/daf/index.cfm?event=overview.process&amp;varApplNo=213591", "Tabrecta")</f>
        <v>Tabrecta</v>
      </c>
      <c r="B38" t="s">
        <v>1463</v>
      </c>
      <c r="C38" s="6">
        <v>43957</v>
      </c>
      <c r="D38" t="s">
        <v>1464</v>
      </c>
      <c r="E38" s="6">
        <v>43957</v>
      </c>
      <c r="F38" t="s">
        <v>1349</v>
      </c>
      <c r="G38" t="s">
        <v>1350</v>
      </c>
      <c r="H38" t="s">
        <v>1351</v>
      </c>
      <c r="I38" t="s">
        <v>1381</v>
      </c>
      <c r="J38" s="8" t="s">
        <v>1465</v>
      </c>
      <c r="L38" s="6">
        <v>43809</v>
      </c>
    </row>
    <row r="39" spans="1:12" x14ac:dyDescent="0.3">
      <c r="A39" s="8" t="str">
        <f>HYPERLINK("http://www.accessdata.fda.gov/scripts/cder/daf/index.cfm?event=overview.process&amp;varApplNo=212489", "Ongentys")</f>
        <v>Ongentys</v>
      </c>
      <c r="B39" t="s">
        <v>1466</v>
      </c>
      <c r="C39" s="6">
        <v>43945</v>
      </c>
      <c r="D39" t="s">
        <v>1467</v>
      </c>
      <c r="E39" s="6">
        <v>43945</v>
      </c>
      <c r="F39" t="s">
        <v>1349</v>
      </c>
      <c r="G39" t="s">
        <v>1350</v>
      </c>
      <c r="H39" t="s">
        <v>1351</v>
      </c>
      <c r="I39" t="s">
        <v>1352</v>
      </c>
      <c r="J39" s="8" t="s">
        <v>1468</v>
      </c>
      <c r="L39" s="6" t="s">
        <v>1354</v>
      </c>
    </row>
    <row r="40" spans="1:12" x14ac:dyDescent="0.3">
      <c r="A40" s="8" t="str">
        <f>HYPERLINK("http://www.accessdata.fda.gov/scripts/cder/daf/index.cfm?event=overview.process&amp;varApplNo=761115", "Trodelvy")</f>
        <v>Trodelvy</v>
      </c>
      <c r="B40" t="s">
        <v>1469</v>
      </c>
      <c r="C40" s="6">
        <v>43943</v>
      </c>
      <c r="D40" t="s">
        <v>1470</v>
      </c>
      <c r="E40" s="6">
        <v>43943</v>
      </c>
      <c r="F40" t="s">
        <v>1349</v>
      </c>
      <c r="G40" t="s">
        <v>1350</v>
      </c>
      <c r="I40" t="s">
        <v>1277</v>
      </c>
      <c r="J40" s="8" t="s">
        <v>1471</v>
      </c>
      <c r="L40" s="6">
        <v>43238</v>
      </c>
    </row>
    <row r="41" spans="1:12" x14ac:dyDescent="0.3">
      <c r="A41" s="8" t="str">
        <f>HYPERLINK("http://www.accessdata.fda.gov/scripts/cder/daf/index.cfm?event=overview.process&amp;varApplNo=213736", "Pemazyre")</f>
        <v>Pemazyre</v>
      </c>
      <c r="B41" t="s">
        <v>1472</v>
      </c>
      <c r="C41" s="6">
        <v>43938</v>
      </c>
      <c r="D41" t="s">
        <v>1473</v>
      </c>
      <c r="E41" s="6">
        <v>43938</v>
      </c>
      <c r="F41" t="s">
        <v>1349</v>
      </c>
      <c r="G41" t="s">
        <v>1350</v>
      </c>
      <c r="H41" t="s">
        <v>1351</v>
      </c>
      <c r="I41" t="s">
        <v>1381</v>
      </c>
      <c r="J41" s="8" t="s">
        <v>1474</v>
      </c>
      <c r="L41" s="6">
        <v>43738</v>
      </c>
    </row>
    <row r="42" spans="1:12" x14ac:dyDescent="0.3">
      <c r="A42" s="8" t="str">
        <f>HYPERLINK("http://www.accessdata.fda.gov/scripts/cder/daf/index.cfm?event=overview.process&amp;varApplNo=213411", "Tukysa")</f>
        <v>Tukysa</v>
      </c>
      <c r="B42" t="s">
        <v>1475</v>
      </c>
      <c r="C42" s="6">
        <v>43938</v>
      </c>
      <c r="D42" t="s">
        <v>1476</v>
      </c>
      <c r="E42" s="6">
        <v>43938</v>
      </c>
      <c r="F42" t="s">
        <v>1349</v>
      </c>
      <c r="G42" t="s">
        <v>1350</v>
      </c>
      <c r="H42" t="s">
        <v>1351</v>
      </c>
      <c r="I42" t="s">
        <v>1381</v>
      </c>
      <c r="J42" s="8" t="s">
        <v>1477</v>
      </c>
      <c r="L42" s="6">
        <v>43819</v>
      </c>
    </row>
    <row r="43" spans="1:12" x14ac:dyDescent="0.3">
      <c r="A43" s="8" t="str">
        <f>HYPERLINK("http://www.accessdata.fda.gov/scripts/cder/daf/index.cfm?event=overview.process&amp;varApplNo=213756", "Koselugo")</f>
        <v>Koselugo</v>
      </c>
      <c r="B43" t="s">
        <v>1478</v>
      </c>
      <c r="C43" s="6">
        <v>43931</v>
      </c>
      <c r="D43" t="s">
        <v>1479</v>
      </c>
      <c r="E43" s="6">
        <v>43931</v>
      </c>
      <c r="F43" t="s">
        <v>1349</v>
      </c>
      <c r="G43" t="s">
        <v>1350</v>
      </c>
      <c r="H43" t="s">
        <v>1351</v>
      </c>
      <c r="I43" t="s">
        <v>1381</v>
      </c>
      <c r="J43" s="8" t="s">
        <v>1480</v>
      </c>
      <c r="L43" s="6" t="s">
        <v>1354</v>
      </c>
    </row>
    <row r="44" spans="1:12" x14ac:dyDescent="0.3">
      <c r="A44" s="8" t="str">
        <f>HYPERLINK("http://www.accessdata.fda.gov/scripts/cder/daf/index.cfm?event=overview.process&amp;varApplNo=209899", "Zeposia")</f>
        <v>Zeposia</v>
      </c>
      <c r="B44" t="s">
        <v>1481</v>
      </c>
      <c r="C44" s="6">
        <v>43915</v>
      </c>
      <c r="D44" t="s">
        <v>1482</v>
      </c>
      <c r="E44" s="6">
        <v>43915</v>
      </c>
      <c r="F44" t="s">
        <v>1349</v>
      </c>
      <c r="G44" t="s">
        <v>1350</v>
      </c>
      <c r="H44" t="s">
        <v>1351</v>
      </c>
      <c r="I44" t="s">
        <v>1352</v>
      </c>
      <c r="J44" s="8" t="s">
        <v>1483</v>
      </c>
      <c r="L44" s="6" t="s">
        <v>1354</v>
      </c>
    </row>
    <row r="45" spans="1:12" x14ac:dyDescent="0.3">
      <c r="A45" s="8" t="str">
        <f>HYPERLINK("http://www.accessdata.fda.gov/scripts/cder/daf/index.cfm?event=overview.process&amp;varApplNo=212801", "Isturisa")</f>
        <v>Isturisa</v>
      </c>
      <c r="B45" t="s">
        <v>1484</v>
      </c>
      <c r="C45" s="6">
        <v>43896</v>
      </c>
      <c r="D45" t="s">
        <v>1485</v>
      </c>
      <c r="E45" s="6" t="s">
        <v>1438</v>
      </c>
      <c r="F45" t="s">
        <v>1399</v>
      </c>
      <c r="J45" s="8"/>
      <c r="L45" s="6"/>
    </row>
    <row r="46" spans="1:12" x14ac:dyDescent="0.3">
      <c r="A46" s="8" t="str">
        <f>HYPERLINK("http://www.accessdata.fda.gov/scripts/cder/daf/index.cfm?event=overview.process&amp;varApplNo=761113", "Sarclisa")</f>
        <v>Sarclisa</v>
      </c>
      <c r="B46" t="s">
        <v>1486</v>
      </c>
      <c r="C46" s="6">
        <v>43892</v>
      </c>
      <c r="D46" t="s">
        <v>1487</v>
      </c>
      <c r="E46" s="6">
        <v>43892</v>
      </c>
      <c r="F46" t="s">
        <v>1349</v>
      </c>
      <c r="G46" t="s">
        <v>1350</v>
      </c>
      <c r="I46" t="s">
        <v>1357</v>
      </c>
      <c r="J46" s="8" t="s">
        <v>1488</v>
      </c>
      <c r="L46" s="6">
        <v>43585</v>
      </c>
    </row>
    <row r="47" spans="1:12" x14ac:dyDescent="0.3">
      <c r="A47" s="8" t="str">
        <f>HYPERLINK("http://www.accessdata.fda.gov/scripts/cder/daf/index.cfm?event=overview.process&amp;varApplNo=212728", "Nurtec ODT")</f>
        <v>Nurtec ODT</v>
      </c>
      <c r="B47" t="s">
        <v>1489</v>
      </c>
      <c r="C47" s="6">
        <v>43888</v>
      </c>
      <c r="D47" t="s">
        <v>1490</v>
      </c>
      <c r="E47" s="6">
        <v>43888</v>
      </c>
      <c r="F47" t="s">
        <v>1349</v>
      </c>
      <c r="G47" t="s">
        <v>1350</v>
      </c>
      <c r="H47" t="s">
        <v>1351</v>
      </c>
      <c r="I47" t="s">
        <v>1361</v>
      </c>
      <c r="J47" s="8" t="s">
        <v>1491</v>
      </c>
      <c r="L47" s="6" t="s">
        <v>1354</v>
      </c>
    </row>
    <row r="48" spans="1:12" x14ac:dyDescent="0.3">
      <c r="A48" s="8" t="str">
        <f>HYPERLINK("http://www.accessdata.fda.gov/scripts/cder/daf/index.cfm?event=overview.process&amp;varApplNo=209510", "Barhemsys")</f>
        <v>Barhemsys</v>
      </c>
      <c r="B48" t="s">
        <v>1492</v>
      </c>
      <c r="C48" s="6">
        <v>43887</v>
      </c>
      <c r="D48" t="s">
        <v>1493</v>
      </c>
      <c r="E48" s="6">
        <v>43887</v>
      </c>
      <c r="F48" t="s">
        <v>1349</v>
      </c>
      <c r="G48" t="s">
        <v>1350</v>
      </c>
      <c r="H48" t="s">
        <v>1351</v>
      </c>
      <c r="I48" t="s">
        <v>1352</v>
      </c>
      <c r="J48" s="8" t="s">
        <v>1494</v>
      </c>
      <c r="L48" s="6">
        <v>43013</v>
      </c>
    </row>
    <row r="49" spans="1:12" x14ac:dyDescent="0.3">
      <c r="A49" s="8" t="str">
        <f>HYPERLINK("http://www.accessdata.fda.gov/scripts/cder/daf/index.cfm?event=overview.process&amp;varApplNo=761119", "Vyepti")</f>
        <v>Vyepti</v>
      </c>
      <c r="B49" t="s">
        <v>1495</v>
      </c>
      <c r="C49" s="6">
        <v>43882</v>
      </c>
      <c r="D49" t="s">
        <v>1496</v>
      </c>
      <c r="E49" s="6">
        <v>43882</v>
      </c>
      <c r="F49" t="s">
        <v>1349</v>
      </c>
      <c r="G49" t="s">
        <v>1350</v>
      </c>
      <c r="I49" t="s">
        <v>1277</v>
      </c>
      <c r="J49" s="8" t="s">
        <v>1497</v>
      </c>
      <c r="L49" s="6">
        <v>43517</v>
      </c>
    </row>
    <row r="50" spans="1:12" x14ac:dyDescent="0.3">
      <c r="A50" s="8" t="str">
        <f>HYPERLINK("http://www.accessdata.fda.gov/scripts/cder/daf/index.cfm?event=overview.process&amp;varApplNo=211616", "Nexletol")</f>
        <v>Nexletol</v>
      </c>
      <c r="B50" t="s">
        <v>1498</v>
      </c>
      <c r="C50" s="6">
        <v>43882</v>
      </c>
      <c r="D50" t="s">
        <v>1499</v>
      </c>
      <c r="E50" s="6">
        <v>43882</v>
      </c>
      <c r="F50" t="s">
        <v>1349</v>
      </c>
      <c r="G50" t="s">
        <v>1350</v>
      </c>
      <c r="H50" t="s">
        <v>1351</v>
      </c>
      <c r="I50" t="s">
        <v>1352</v>
      </c>
      <c r="J50" s="8" t="s">
        <v>1500</v>
      </c>
      <c r="L50" s="6">
        <v>43516</v>
      </c>
    </row>
    <row r="51" spans="1:12" x14ac:dyDescent="0.3">
      <c r="A51" s="8" t="str">
        <f>HYPERLINK("http://www.accessdata.fda.gov/scripts/cder/daf/index.cfm?event=overview.process&amp;varApplNo=211281", "Pizensy")</f>
        <v>Pizensy</v>
      </c>
      <c r="B51" t="s">
        <v>1501</v>
      </c>
      <c r="C51" s="6">
        <v>43873</v>
      </c>
      <c r="D51" t="s">
        <v>1502</v>
      </c>
      <c r="E51" s="6">
        <v>43873</v>
      </c>
      <c r="F51" t="s">
        <v>1349</v>
      </c>
      <c r="G51" t="s">
        <v>1350</v>
      </c>
      <c r="H51" t="s">
        <v>1351</v>
      </c>
      <c r="I51" t="s">
        <v>1352</v>
      </c>
      <c r="J51" s="8" t="s">
        <v>1503</v>
      </c>
      <c r="L51" s="6">
        <v>43425</v>
      </c>
    </row>
    <row r="52" spans="1:12" x14ac:dyDescent="0.3">
      <c r="A52" s="8" t="str">
        <f>HYPERLINK("http://www.accessdata.fda.gov/scripts/cder/daf/index.cfm?event=overview.process&amp;varApplNo=211723", "Tazverik")</f>
        <v>Tazverik</v>
      </c>
      <c r="B52" t="s">
        <v>1504</v>
      </c>
      <c r="C52" s="6">
        <v>43853</v>
      </c>
      <c r="D52" t="s">
        <v>1505</v>
      </c>
      <c r="E52" s="6">
        <v>43853</v>
      </c>
      <c r="F52" t="s">
        <v>1349</v>
      </c>
      <c r="G52" t="s">
        <v>1350</v>
      </c>
      <c r="H52" t="s">
        <v>1351</v>
      </c>
      <c r="I52" t="s">
        <v>1381</v>
      </c>
      <c r="J52" s="8" t="s">
        <v>1506</v>
      </c>
      <c r="L52" s="6">
        <v>43846</v>
      </c>
    </row>
    <row r="53" spans="1:12" x14ac:dyDescent="0.3">
      <c r="A53" s="8" t="str">
        <f>HYPERLINK("http://www.accessdata.fda.gov/scripts/cder/daf/index.cfm?event=overview.process&amp;varApplNo=761143", "Tepezza")</f>
        <v>Tepezza</v>
      </c>
      <c r="B53" t="s">
        <v>1507</v>
      </c>
      <c r="C53" s="6">
        <v>43851</v>
      </c>
      <c r="D53" t="s">
        <v>1508</v>
      </c>
      <c r="E53" s="6">
        <v>43851</v>
      </c>
      <c r="F53" t="s">
        <v>1349</v>
      </c>
      <c r="G53" t="s">
        <v>1350</v>
      </c>
      <c r="I53" t="s">
        <v>1357</v>
      </c>
      <c r="J53" s="8" t="s">
        <v>1509</v>
      </c>
      <c r="L53" s="6">
        <v>43652</v>
      </c>
    </row>
    <row r="54" spans="1:12" x14ac:dyDescent="0.3">
      <c r="A54" s="8" t="str">
        <f>HYPERLINK("http://www.accessdata.fda.gov/scripts/cder/daf/index.cfm?event=overview.process&amp;varApplNo=212608", "Ayvakit")</f>
        <v>Ayvakit</v>
      </c>
      <c r="B54" t="s">
        <v>1510</v>
      </c>
      <c r="C54" s="6">
        <v>43839</v>
      </c>
      <c r="D54" t="s">
        <v>1511</v>
      </c>
      <c r="E54" s="6" t="s">
        <v>1438</v>
      </c>
      <c r="F54" t="s">
        <v>1399</v>
      </c>
      <c r="J54" s="8"/>
      <c r="L54" s="6"/>
    </row>
    <row r="55" spans="1:12" x14ac:dyDescent="0.3">
      <c r="A55" s="8" t="str">
        <f>HYPERLINK("http://www.accessdata.fda.gov/scripts/cder/daf/index.cfm?event=overview.process&amp;varApplNo=211765", "Ubrelvy")</f>
        <v>Ubrelvy</v>
      </c>
      <c r="B55" t="s">
        <v>1512</v>
      </c>
      <c r="C55" s="6">
        <v>43822</v>
      </c>
      <c r="D55" t="s">
        <v>1513</v>
      </c>
      <c r="E55" s="6" t="s">
        <v>1438</v>
      </c>
      <c r="F55" t="s">
        <v>1399</v>
      </c>
      <c r="J55" s="8"/>
      <c r="L55" s="6"/>
    </row>
    <row r="56" spans="1:12" x14ac:dyDescent="0.3">
      <c r="A56" s="8" t="str">
        <f>HYPERLINK("http://www.accessdata.fda.gov/scripts/cder/daf/index.cfm?event=overview.process&amp;varApplNo=761139", "Enhertu")</f>
        <v>Enhertu</v>
      </c>
      <c r="B56" t="s">
        <v>1514</v>
      </c>
      <c r="C56" s="6">
        <v>43819</v>
      </c>
      <c r="D56" t="s">
        <v>1515</v>
      </c>
      <c r="E56" s="6">
        <v>43819</v>
      </c>
      <c r="F56" t="s">
        <v>1349</v>
      </c>
      <c r="G56" t="s">
        <v>1350</v>
      </c>
      <c r="I56" t="s">
        <v>1277</v>
      </c>
      <c r="J56" s="8" t="s">
        <v>1516</v>
      </c>
      <c r="L56" s="6">
        <v>43706</v>
      </c>
    </row>
    <row r="57" spans="1:12" x14ac:dyDescent="0.3">
      <c r="A57" s="8" t="str">
        <f>HYPERLINK("http://www.accessdata.fda.gov/scripts/cder/daf/index.cfm?event=overview.process&amp;varApplNo=212028", "Dayvigo")</f>
        <v>Dayvigo</v>
      </c>
      <c r="B57" t="s">
        <v>1517</v>
      </c>
      <c r="C57" s="6">
        <v>43819</v>
      </c>
      <c r="D57" t="s">
        <v>1518</v>
      </c>
      <c r="E57" s="6">
        <v>43819</v>
      </c>
      <c r="F57" t="s">
        <v>1349</v>
      </c>
      <c r="G57" t="s">
        <v>1350</v>
      </c>
      <c r="H57" t="s">
        <v>1351</v>
      </c>
      <c r="I57" t="s">
        <v>1352</v>
      </c>
      <c r="J57" s="8" t="s">
        <v>1519</v>
      </c>
      <c r="L57" s="6" t="s">
        <v>1354</v>
      </c>
    </row>
    <row r="58" spans="1:12" x14ac:dyDescent="0.3">
      <c r="A58" s="8" t="str">
        <f>HYPERLINK("http://www.accessdata.fda.gov/scripts/cder/daf/index.cfm?event=overview.process&amp;varApplNo=209500", "Caplyta")</f>
        <v>Caplyta</v>
      </c>
      <c r="B58" t="s">
        <v>1520</v>
      </c>
      <c r="C58" s="6">
        <v>43819</v>
      </c>
      <c r="D58" t="s">
        <v>1521</v>
      </c>
      <c r="E58" s="6">
        <v>43819</v>
      </c>
      <c r="F58" t="s">
        <v>1349</v>
      </c>
      <c r="G58" t="s">
        <v>1350</v>
      </c>
      <c r="H58" t="s">
        <v>1351</v>
      </c>
      <c r="I58" t="s">
        <v>1352</v>
      </c>
      <c r="J58" s="8" t="s">
        <v>1522</v>
      </c>
      <c r="K58" t="s">
        <v>1398</v>
      </c>
      <c r="L58" s="6">
        <v>43370</v>
      </c>
    </row>
    <row r="59" spans="1:12" x14ac:dyDescent="0.3">
      <c r="A59" s="8" t="str">
        <f>HYPERLINK("http://www.accessdata.fda.gov/scripts/cder/daf/index.cfm?event=overview.process&amp;varApplNo=209569", "TissueBlue")</f>
        <v>TissueBlue</v>
      </c>
      <c r="B59" t="s">
        <v>1523</v>
      </c>
      <c r="C59" s="6">
        <v>43819</v>
      </c>
      <c r="D59" t="s">
        <v>1524</v>
      </c>
      <c r="E59" s="6">
        <v>43819</v>
      </c>
      <c r="F59" t="s">
        <v>1349</v>
      </c>
      <c r="G59" t="s">
        <v>1350</v>
      </c>
      <c r="H59" t="s">
        <v>1351</v>
      </c>
      <c r="I59" t="s">
        <v>1381</v>
      </c>
      <c r="J59" s="8" t="s">
        <v>1525</v>
      </c>
      <c r="L59" s="6" t="s">
        <v>1354</v>
      </c>
    </row>
    <row r="60" spans="1:12" x14ac:dyDescent="0.3">
      <c r="A60" s="8" t="str">
        <f>HYPERLINK("http://www.accessdata.fda.gov/scripts/cder/daf/index.cfm?event=overview.process&amp;varApplNo=761137", "Padcev")</f>
        <v>Padcev</v>
      </c>
      <c r="B60" t="s">
        <v>1526</v>
      </c>
      <c r="C60" s="6">
        <v>43817</v>
      </c>
      <c r="D60" t="s">
        <v>1527</v>
      </c>
      <c r="E60" s="6">
        <v>43817</v>
      </c>
      <c r="F60" t="s">
        <v>1349</v>
      </c>
      <c r="G60" t="s">
        <v>1350</v>
      </c>
      <c r="I60" t="s">
        <v>1277</v>
      </c>
      <c r="J60" s="8" t="s">
        <v>1528</v>
      </c>
      <c r="L60" s="6" t="s">
        <v>1354</v>
      </c>
    </row>
    <row r="61" spans="1:12" x14ac:dyDescent="0.3">
      <c r="A61" s="8" t="str">
        <f>HYPERLINK("http://www.accessdata.fda.gov/scripts/cder/daf/index.cfm?event=overview.process&amp;varApplNo=211970", "Vyondys 53")</f>
        <v>Vyondys 53</v>
      </c>
      <c r="B61" t="s">
        <v>1529</v>
      </c>
      <c r="C61" s="6">
        <v>43811</v>
      </c>
      <c r="D61" t="s">
        <v>1530</v>
      </c>
      <c r="E61" s="6">
        <v>43811</v>
      </c>
      <c r="F61" t="s">
        <v>1349</v>
      </c>
      <c r="G61" t="s">
        <v>1350</v>
      </c>
      <c r="H61" t="s">
        <v>1351</v>
      </c>
      <c r="I61" t="s">
        <v>1381</v>
      </c>
      <c r="J61" s="8" t="s">
        <v>1531</v>
      </c>
      <c r="L61" s="6">
        <v>43453</v>
      </c>
    </row>
    <row r="62" spans="1:12" x14ac:dyDescent="0.3">
      <c r="A62" s="8" t="str">
        <f>HYPERLINK("http://www.accessdata.fda.gov/scripts/cder/daf/index.cfm?event=overview.process&amp;varApplNo=213137", "Oxbryta")</f>
        <v>Oxbryta</v>
      </c>
      <c r="B62" t="s">
        <v>1532</v>
      </c>
      <c r="C62" s="6">
        <v>43794</v>
      </c>
      <c r="D62" t="s">
        <v>1533</v>
      </c>
      <c r="E62" s="6">
        <v>43794</v>
      </c>
      <c r="F62" t="s">
        <v>1349</v>
      </c>
      <c r="G62" t="s">
        <v>1350</v>
      </c>
      <c r="H62" t="s">
        <v>1351</v>
      </c>
      <c r="I62" t="s">
        <v>1381</v>
      </c>
      <c r="J62" s="8" t="s">
        <v>1534</v>
      </c>
      <c r="L62" s="6">
        <v>43642</v>
      </c>
    </row>
    <row r="63" spans="1:12" x14ac:dyDescent="0.3">
      <c r="A63" s="8" t="str">
        <f>HYPERLINK("http://www.accessdata.fda.gov/scripts/cder/daf/index.cfm?event=overview.process&amp;varApplNo=212839", "Xcopri")</f>
        <v>Xcopri</v>
      </c>
      <c r="B63" t="s">
        <v>1535</v>
      </c>
      <c r="C63" s="6">
        <v>43790</v>
      </c>
      <c r="D63" t="s">
        <v>1536</v>
      </c>
      <c r="E63" s="6">
        <v>43790</v>
      </c>
      <c r="F63" t="s">
        <v>1349</v>
      </c>
      <c r="G63" t="s">
        <v>1350</v>
      </c>
      <c r="H63" t="s">
        <v>1351</v>
      </c>
      <c r="I63" t="s">
        <v>1352</v>
      </c>
      <c r="J63" s="8" t="s">
        <v>1537</v>
      </c>
      <c r="L63" s="6" t="s">
        <v>1354</v>
      </c>
    </row>
    <row r="64" spans="1:12" x14ac:dyDescent="0.3">
      <c r="A64" s="8" t="str">
        <f>HYPERLINK("http://www.accessdata.fda.gov/scripts/cder/daf/index.cfm?event=overview.process&amp;varApplNo=212194", "Givlaari")</f>
        <v>Givlaari</v>
      </c>
      <c r="B64" t="s">
        <v>1538</v>
      </c>
      <c r="C64" s="6">
        <v>43789</v>
      </c>
      <c r="D64" t="s">
        <v>1539</v>
      </c>
      <c r="E64" s="6">
        <v>43789</v>
      </c>
      <c r="F64" t="s">
        <v>1349</v>
      </c>
      <c r="G64" t="s">
        <v>1350</v>
      </c>
      <c r="H64" t="s">
        <v>1351</v>
      </c>
      <c r="I64" t="s">
        <v>1381</v>
      </c>
      <c r="J64" s="8" t="s">
        <v>1540</v>
      </c>
      <c r="L64" s="6">
        <v>43620</v>
      </c>
    </row>
    <row r="65" spans="1:12" x14ac:dyDescent="0.3">
      <c r="A65" s="8" t="str">
        <f>HYPERLINK("http://www.accessdata.fda.gov/scripts/cder/daf/index.cfm?event=overview.process&amp;varApplNo=761128", "Adakveo")</f>
        <v>Adakveo</v>
      </c>
      <c r="B65" t="s">
        <v>1541</v>
      </c>
      <c r="C65" s="6">
        <v>43784</v>
      </c>
      <c r="D65" t="s">
        <v>1542</v>
      </c>
      <c r="E65" s="6">
        <v>43784</v>
      </c>
      <c r="F65" t="s">
        <v>1349</v>
      </c>
      <c r="G65" t="s">
        <v>1350</v>
      </c>
      <c r="I65" t="s">
        <v>1357</v>
      </c>
      <c r="J65" s="8" t="s">
        <v>1543</v>
      </c>
      <c r="L65" s="6">
        <v>43601</v>
      </c>
    </row>
    <row r="66" spans="1:12" x14ac:dyDescent="0.3">
      <c r="A66" s="8" t="str">
        <f>HYPERLINK("http://www.accessdata.fda.gov/scripts/cder/daf/index.cfm?event=overview.process&amp;varApplNo=209445", "Fetroja")</f>
        <v>Fetroja</v>
      </c>
      <c r="B66" t="s">
        <v>1544</v>
      </c>
      <c r="C66" s="6">
        <v>43783</v>
      </c>
      <c r="D66" t="s">
        <v>1545</v>
      </c>
      <c r="E66" s="6">
        <v>43783</v>
      </c>
      <c r="F66" t="s">
        <v>1349</v>
      </c>
      <c r="G66" t="s">
        <v>1350</v>
      </c>
      <c r="H66" t="s">
        <v>1351</v>
      </c>
      <c r="I66" t="s">
        <v>1361</v>
      </c>
      <c r="J66" s="8" t="s">
        <v>1546</v>
      </c>
      <c r="L66" s="6">
        <v>43448</v>
      </c>
    </row>
    <row r="67" spans="1:12" x14ac:dyDescent="0.3">
      <c r="A67" s="8" t="str">
        <f>HYPERLINK("http://www.accessdata.fda.gov/scripts/cder/daf/index.cfm?event=overview.process&amp;varApplNo=213217", "Brukinsa")</f>
        <v>Brukinsa</v>
      </c>
      <c r="B67" t="s">
        <v>1547</v>
      </c>
      <c r="C67" s="6">
        <v>43783</v>
      </c>
      <c r="D67" t="s">
        <v>1548</v>
      </c>
      <c r="E67" s="6">
        <v>43783</v>
      </c>
      <c r="F67" t="s">
        <v>1349</v>
      </c>
      <c r="G67" t="s">
        <v>1350</v>
      </c>
      <c r="H67" t="s">
        <v>1351</v>
      </c>
      <c r="I67" t="s">
        <v>1381</v>
      </c>
      <c r="J67" s="8" t="s">
        <v>1549</v>
      </c>
      <c r="L67" s="6">
        <v>43643</v>
      </c>
    </row>
    <row r="68" spans="1:12" x14ac:dyDescent="0.3">
      <c r="A68" s="8" t="str">
        <f>HYPERLINK("http://www.accessdata.fda.gov/scripts/cder/daf/index.cfm?event=overview.process&amp;varApplNo=761136", "Reblozyl")</f>
        <v>Reblozyl</v>
      </c>
      <c r="B68" t="s">
        <v>1550</v>
      </c>
      <c r="C68" s="6">
        <v>43777</v>
      </c>
      <c r="D68" t="s">
        <v>1551</v>
      </c>
      <c r="E68" s="6">
        <v>43924</v>
      </c>
      <c r="F68" t="s">
        <v>1552</v>
      </c>
      <c r="G68" t="s">
        <v>1350</v>
      </c>
      <c r="I68" t="s">
        <v>1357</v>
      </c>
      <c r="J68" s="8" t="s">
        <v>1553</v>
      </c>
      <c r="L68" s="6">
        <v>43559</v>
      </c>
    </row>
    <row r="69" spans="1:12" x14ac:dyDescent="0.3">
      <c r="A69" s="8" t="str">
        <f>HYPERLINK("http://www.accessdata.fda.gov/scripts/cder/daf/index.cfm?event=overview.process&amp;varApplNo=212279", "ExEm Foam")</f>
        <v>ExEm Foam</v>
      </c>
      <c r="B69" t="s">
        <v>1554</v>
      </c>
      <c r="C69" s="6">
        <v>43776</v>
      </c>
      <c r="D69" t="s">
        <v>1555</v>
      </c>
      <c r="E69" s="6">
        <v>43776</v>
      </c>
      <c r="F69" t="s">
        <v>1349</v>
      </c>
      <c r="G69" t="s">
        <v>1350</v>
      </c>
      <c r="H69" t="s">
        <v>1351</v>
      </c>
      <c r="I69" t="s">
        <v>1352</v>
      </c>
      <c r="J69" s="8" t="s">
        <v>1556</v>
      </c>
      <c r="L69" s="6">
        <v>43379</v>
      </c>
    </row>
    <row r="70" spans="1:12" x14ac:dyDescent="0.3">
      <c r="A70" s="8" t="str">
        <f>HYPERLINK("http://www.accessdata.fda.gov/scripts/cder/daf/index.cfm?event=overview.process&amp;varApplNo=212273", "Trikafta")</f>
        <v>Trikafta</v>
      </c>
      <c r="B70" t="s">
        <v>1557</v>
      </c>
      <c r="C70" s="6">
        <v>43759</v>
      </c>
      <c r="D70" t="s">
        <v>1558</v>
      </c>
      <c r="E70" s="6">
        <v>43759</v>
      </c>
      <c r="F70" t="s">
        <v>1349</v>
      </c>
      <c r="G70" t="s">
        <v>1350</v>
      </c>
      <c r="H70" t="s">
        <v>1351</v>
      </c>
      <c r="I70" t="s">
        <v>1381</v>
      </c>
      <c r="J70" s="8" t="s">
        <v>1559</v>
      </c>
      <c r="L70" s="6">
        <v>43665</v>
      </c>
    </row>
    <row r="71" spans="1:12" x14ac:dyDescent="0.3">
      <c r="A71" s="8" t="str">
        <f>HYPERLINK("http://www.accessdata.fda.gov/scripts/cder/daf/index.cfm?event=overview.process&amp;varApplNo=211280", "Reyvow")</f>
        <v>Reyvow</v>
      </c>
      <c r="B71" t="s">
        <v>1560</v>
      </c>
      <c r="C71" s="6">
        <v>43749</v>
      </c>
      <c r="D71" t="s">
        <v>1561</v>
      </c>
      <c r="E71" s="6">
        <v>43749</v>
      </c>
      <c r="F71" t="s">
        <v>1349</v>
      </c>
      <c r="G71" t="s">
        <v>1350</v>
      </c>
      <c r="H71" t="s">
        <v>1351</v>
      </c>
      <c r="I71" t="s">
        <v>1352</v>
      </c>
      <c r="J71" s="8" t="s">
        <v>1562</v>
      </c>
      <c r="L71" s="6" t="s">
        <v>1354</v>
      </c>
    </row>
    <row r="72" spans="1:12" x14ac:dyDescent="0.3">
      <c r="A72" s="8" t="str">
        <f>HYPERLINK("http://www.accessdata.fda.gov/scripts/cder/daf/index.cfm?event=overview.process&amp;varApplNo=200655", "")</f>
        <v/>
      </c>
      <c r="B72" t="s">
        <v>1563</v>
      </c>
      <c r="C72" s="6">
        <v>43748</v>
      </c>
      <c r="D72" t="s">
        <v>1564</v>
      </c>
      <c r="E72" s="6">
        <v>43748</v>
      </c>
      <c r="F72" t="s">
        <v>1349</v>
      </c>
      <c r="G72" t="s">
        <v>1350</v>
      </c>
      <c r="H72" t="s">
        <v>1351</v>
      </c>
      <c r="I72" t="s">
        <v>1352</v>
      </c>
      <c r="J72" s="8" t="s">
        <v>1565</v>
      </c>
      <c r="L72" s="6">
        <v>40115</v>
      </c>
    </row>
    <row r="73" spans="1:12" x14ac:dyDescent="0.3">
      <c r="A73" s="8" t="str">
        <f>HYPERLINK("http://www.accessdata.fda.gov/scripts/cder/daf/index.cfm?event=overview.process&amp;varApplNo=210797", "Scenesse")</f>
        <v>Scenesse</v>
      </c>
      <c r="B73" t="s">
        <v>1566</v>
      </c>
      <c r="C73" s="6">
        <v>43746</v>
      </c>
      <c r="D73" t="s">
        <v>1567</v>
      </c>
      <c r="E73" s="6">
        <v>43746</v>
      </c>
      <c r="F73" t="s">
        <v>1349</v>
      </c>
      <c r="G73" t="s">
        <v>1350</v>
      </c>
      <c r="H73" t="s">
        <v>1351</v>
      </c>
      <c r="I73" t="s">
        <v>1381</v>
      </c>
      <c r="J73" s="8" t="s">
        <v>1568</v>
      </c>
      <c r="L73" s="6" t="s">
        <v>1354</v>
      </c>
    </row>
    <row r="74" spans="1:12" x14ac:dyDescent="0.3">
      <c r="A74" s="8" t="str">
        <f>HYPERLINK("http://www.accessdata.fda.gov/scripts/cder/daf/index.cfm?event=overview.process&amp;varApplNo=761125", "Beovu")</f>
        <v>Beovu</v>
      </c>
      <c r="B74" t="s">
        <v>1569</v>
      </c>
      <c r="C74" s="6">
        <v>43745</v>
      </c>
      <c r="D74" t="s">
        <v>1570</v>
      </c>
      <c r="E74" s="6">
        <v>43745</v>
      </c>
      <c r="F74" t="s">
        <v>1349</v>
      </c>
      <c r="G74" t="s">
        <v>1350</v>
      </c>
      <c r="I74" t="s">
        <v>1277</v>
      </c>
      <c r="J74" s="8" t="s">
        <v>1571</v>
      </c>
      <c r="L74" s="6">
        <v>43503</v>
      </c>
    </row>
    <row r="75" spans="1:12" x14ac:dyDescent="0.3">
      <c r="A75" s="8" t="str">
        <f>HYPERLINK("http://www.accessdata.fda.gov/scripts/cder/daf/index.cfm?event=overview.process&amp;varApplNo=211527", "Aklief")</f>
        <v>Aklief</v>
      </c>
      <c r="B75" t="s">
        <v>1572</v>
      </c>
      <c r="C75" s="6">
        <v>43742</v>
      </c>
      <c r="D75" t="s">
        <v>1573</v>
      </c>
      <c r="E75" s="6">
        <v>43742</v>
      </c>
      <c r="F75" t="s">
        <v>1349</v>
      </c>
      <c r="G75" t="s">
        <v>1350</v>
      </c>
      <c r="H75" t="s">
        <v>1351</v>
      </c>
      <c r="I75" t="s">
        <v>1352</v>
      </c>
      <c r="J75" s="8" t="s">
        <v>1574</v>
      </c>
      <c r="L75" s="6" t="s">
        <v>1354</v>
      </c>
    </row>
    <row r="76" spans="1:12" x14ac:dyDescent="0.3">
      <c r="A76" s="8" t="str">
        <f>HYPERLINK("http://www.accessdata.fda.gov/scripts/cder/daf/index.cfm?event=overview.process&amp;varApplNo=211801", "Ibsrela")</f>
        <v>Ibsrela</v>
      </c>
      <c r="B76" t="s">
        <v>1575</v>
      </c>
      <c r="C76" s="6">
        <v>43720</v>
      </c>
      <c r="D76" t="s">
        <v>1576</v>
      </c>
      <c r="E76" s="6">
        <v>43720</v>
      </c>
      <c r="F76" t="s">
        <v>1349</v>
      </c>
      <c r="G76" t="s">
        <v>1350</v>
      </c>
      <c r="H76" t="s">
        <v>1351</v>
      </c>
      <c r="I76" t="s">
        <v>1352</v>
      </c>
      <c r="J76" s="8" t="s">
        <v>1577</v>
      </c>
      <c r="L76" s="6">
        <v>43355</v>
      </c>
    </row>
    <row r="77" spans="1:12" x14ac:dyDescent="0.3">
      <c r="A77" s="8" t="str">
        <f>HYPERLINK("http://www.accessdata.fda.gov/scripts/cder/daf/index.cfm?event=overview.process&amp;varApplNo=022075", "Nourianz")</f>
        <v>Nourianz</v>
      </c>
      <c r="B77" t="s">
        <v>1578</v>
      </c>
      <c r="C77" s="6">
        <v>43704</v>
      </c>
      <c r="D77" t="s">
        <v>1579</v>
      </c>
      <c r="E77" s="6" t="s">
        <v>1438</v>
      </c>
      <c r="F77" t="s">
        <v>1399</v>
      </c>
      <c r="J77" s="8"/>
      <c r="L77" s="6"/>
    </row>
    <row r="78" spans="1:12" x14ac:dyDescent="0.3">
      <c r="A78" s="8" t="str">
        <f>HYPERLINK("http://www.accessdata.fda.gov/scripts/cder/daf/index.cfm?event=overview.process&amp;varApplNo=210828", "Ga-68-DOTATOC")</f>
        <v>Ga-68-DOTATOC</v>
      </c>
      <c r="B78" t="s">
        <v>1580</v>
      </c>
      <c r="C78" s="6">
        <v>43698</v>
      </c>
      <c r="D78" t="s">
        <v>1581</v>
      </c>
      <c r="E78" s="6">
        <v>43698</v>
      </c>
      <c r="F78" t="s">
        <v>1349</v>
      </c>
      <c r="G78" t="s">
        <v>1350</v>
      </c>
      <c r="H78" t="s">
        <v>1351</v>
      </c>
      <c r="I78" t="s">
        <v>1371</v>
      </c>
      <c r="J78" s="8" t="s">
        <v>1582</v>
      </c>
      <c r="L78" s="6">
        <v>43243</v>
      </c>
    </row>
    <row r="79" spans="1:12" x14ac:dyDescent="0.3">
      <c r="A79" s="8" t="str">
        <f>HYPERLINK("http://www.accessdata.fda.gov/scripts/cder/daf/index.cfm?event=overview.process&amp;varApplNo=211672", "Xenleta")</f>
        <v>Xenleta</v>
      </c>
      <c r="B79" t="s">
        <v>1583</v>
      </c>
      <c r="C79" s="6">
        <v>43696</v>
      </c>
      <c r="D79" t="s">
        <v>1584</v>
      </c>
      <c r="E79" s="6">
        <v>43696</v>
      </c>
      <c r="F79" t="s">
        <v>1349</v>
      </c>
      <c r="G79" t="s">
        <v>1350</v>
      </c>
      <c r="H79" t="s">
        <v>1351</v>
      </c>
      <c r="I79" t="s">
        <v>1361</v>
      </c>
      <c r="J79" s="8" t="s">
        <v>1585</v>
      </c>
      <c r="L79" s="6">
        <v>43453</v>
      </c>
    </row>
    <row r="80" spans="1:12" x14ac:dyDescent="0.3">
      <c r="A80" s="8" t="str">
        <f>HYPERLINK("http://www.accessdata.fda.gov/scripts/cder/daf/index.cfm?event=overview.process&amp;varApplNo=211675", "Rinvoq")</f>
        <v>Rinvoq</v>
      </c>
      <c r="B80" t="s">
        <v>1586</v>
      </c>
      <c r="C80" s="6">
        <v>43693</v>
      </c>
      <c r="D80" t="s">
        <v>1587</v>
      </c>
      <c r="E80" s="6">
        <v>43693</v>
      </c>
      <c r="F80" t="s">
        <v>1349</v>
      </c>
      <c r="G80" t="s">
        <v>1350</v>
      </c>
      <c r="H80" t="s">
        <v>1351</v>
      </c>
      <c r="I80" t="s">
        <v>1361</v>
      </c>
      <c r="J80" s="8" t="s">
        <v>1588</v>
      </c>
      <c r="L80" s="6">
        <v>43452</v>
      </c>
    </row>
    <row r="81" spans="1:12" x14ac:dyDescent="0.3">
      <c r="A81" s="8" t="str">
        <f>HYPERLINK("http://www.accessdata.fda.gov/scripts/cder/daf/index.cfm?event=overview.process&amp;varApplNo=212327", "Inrebic")</f>
        <v>Inrebic</v>
      </c>
      <c r="B81" t="s">
        <v>1589</v>
      </c>
      <c r="C81" s="6">
        <v>43693</v>
      </c>
      <c r="D81" t="s">
        <v>1590</v>
      </c>
      <c r="E81" s="6">
        <v>43693</v>
      </c>
      <c r="F81" t="s">
        <v>1349</v>
      </c>
      <c r="G81" t="s">
        <v>1350</v>
      </c>
      <c r="H81" t="s">
        <v>1351</v>
      </c>
      <c r="I81" t="s">
        <v>1381</v>
      </c>
      <c r="J81" s="8" t="s">
        <v>1591</v>
      </c>
      <c r="L81" s="6">
        <v>43468</v>
      </c>
    </row>
    <row r="82" spans="1:12" x14ac:dyDescent="0.3">
      <c r="A82" s="8" t="str">
        <f>HYPERLINK("http://www.accessdata.fda.gov/scripts/cder/daf/index.cfm?event=overview.process&amp;varApplNo=212725", "Rozlytrek")</f>
        <v>Rozlytrek</v>
      </c>
      <c r="B82" t="s">
        <v>1592</v>
      </c>
      <c r="C82" s="6">
        <v>43692</v>
      </c>
      <c r="D82" t="s">
        <v>1593</v>
      </c>
      <c r="E82" s="6">
        <v>43692</v>
      </c>
      <c r="F82" t="s">
        <v>1349</v>
      </c>
      <c r="G82" t="s">
        <v>1350</v>
      </c>
      <c r="H82" t="s">
        <v>1351</v>
      </c>
      <c r="I82" t="s">
        <v>1381</v>
      </c>
      <c r="J82" s="8" t="s">
        <v>1594</v>
      </c>
      <c r="L82" s="6">
        <v>43817</v>
      </c>
    </row>
    <row r="83" spans="1:12" x14ac:dyDescent="0.3">
      <c r="A83" s="8" t="str">
        <f>HYPERLINK("http://www.accessdata.fda.gov/scripts/cder/daf/index.cfm?event=overview.process&amp;varApplNo=021115", "Wakix")</f>
        <v>Wakix</v>
      </c>
      <c r="B83" t="s">
        <v>1595</v>
      </c>
      <c r="C83" s="6">
        <v>43691</v>
      </c>
      <c r="D83" t="s">
        <v>1596</v>
      </c>
      <c r="E83" s="6" t="s">
        <v>1438</v>
      </c>
      <c r="F83" t="s">
        <v>1399</v>
      </c>
      <c r="J83" s="8"/>
      <c r="L83" s="6"/>
    </row>
    <row r="84" spans="1:12" x14ac:dyDescent="0.3">
      <c r="A84" s="8" t="str">
        <f>HYPERLINK("http://www.accessdata.fda.gov/scripts/cder/daf/index.cfm?event=overview.process&amp;varApplNo=212862", "")</f>
        <v/>
      </c>
      <c r="B84" t="s">
        <v>1597</v>
      </c>
      <c r="C84" s="6">
        <v>43691</v>
      </c>
      <c r="D84" t="s">
        <v>1598</v>
      </c>
      <c r="E84" s="6">
        <v>43691</v>
      </c>
      <c r="F84" t="s">
        <v>1349</v>
      </c>
      <c r="G84" t="s">
        <v>1350</v>
      </c>
      <c r="H84" t="s">
        <v>1351</v>
      </c>
      <c r="I84" t="s">
        <v>1381</v>
      </c>
      <c r="J84" s="8" t="s">
        <v>1599</v>
      </c>
      <c r="L84" s="6" t="s">
        <v>1354</v>
      </c>
    </row>
    <row r="85" spans="1:12" x14ac:dyDescent="0.3">
      <c r="A85" s="8" t="str">
        <f>HYPERLINK("http://www.accessdata.fda.gov/scripts/cder/daf/index.cfm?event=overview.process&amp;varApplNo=211810", "Turalio")</f>
        <v>Turalio</v>
      </c>
      <c r="B85" t="s">
        <v>1600</v>
      </c>
      <c r="C85" s="6">
        <v>43679</v>
      </c>
      <c r="D85" t="s">
        <v>1601</v>
      </c>
      <c r="E85" s="6">
        <v>43679</v>
      </c>
      <c r="F85" t="s">
        <v>1349</v>
      </c>
      <c r="G85" t="s">
        <v>1350</v>
      </c>
      <c r="H85" t="s">
        <v>1351</v>
      </c>
      <c r="I85" t="s">
        <v>1381</v>
      </c>
      <c r="J85" s="8" t="s">
        <v>1602</v>
      </c>
      <c r="L85" s="6">
        <v>43434</v>
      </c>
    </row>
    <row r="86" spans="1:12" x14ac:dyDescent="0.3">
      <c r="A86" s="8" t="str">
        <f>HYPERLINK("http://www.accessdata.fda.gov/scripts/cder/daf/index.cfm?event=overview.process&amp;varApplNo=212099", "Nubeqa")</f>
        <v>Nubeqa</v>
      </c>
      <c r="B86" t="s">
        <v>1603</v>
      </c>
      <c r="C86" s="6">
        <v>43676</v>
      </c>
      <c r="D86" t="s">
        <v>1604</v>
      </c>
      <c r="E86" s="6" t="s">
        <v>1438</v>
      </c>
      <c r="F86" t="s">
        <v>1399</v>
      </c>
      <c r="J86" s="8"/>
      <c r="L86" s="6"/>
    </row>
    <row r="87" spans="1:12" x14ac:dyDescent="0.3">
      <c r="A87" s="8" t="str">
        <f>HYPERLINK("http://www.accessdata.fda.gov/scripts/cder/daf/index.cfm?event=overview.process&amp;varApplNo=212320", "Accrufer")</f>
        <v>Accrufer</v>
      </c>
      <c r="B87" t="s">
        <v>1605</v>
      </c>
      <c r="C87" s="6">
        <v>43671</v>
      </c>
      <c r="D87" t="s">
        <v>1606</v>
      </c>
      <c r="E87" s="6">
        <v>43671</v>
      </c>
      <c r="F87" t="s">
        <v>1349</v>
      </c>
      <c r="G87" t="s">
        <v>1350</v>
      </c>
      <c r="H87" t="s">
        <v>1351</v>
      </c>
      <c r="I87" t="s">
        <v>1352</v>
      </c>
      <c r="J87" s="8" t="s">
        <v>1607</v>
      </c>
      <c r="L87" s="6">
        <v>43370</v>
      </c>
    </row>
    <row r="88" spans="1:12" x14ac:dyDescent="0.3">
      <c r="A88" s="8" t="str">
        <f>HYPERLINK("http://www.accessdata.fda.gov/scripts/cder/daf/index.cfm?event=overview.process&amp;varApplNo=212819", "Recarbrio")</f>
        <v>Recarbrio</v>
      </c>
      <c r="B88" t="s">
        <v>1608</v>
      </c>
      <c r="C88" s="6">
        <v>43662</v>
      </c>
      <c r="D88" t="s">
        <v>1609</v>
      </c>
      <c r="E88" s="6">
        <v>43662</v>
      </c>
      <c r="F88" t="s">
        <v>1349</v>
      </c>
      <c r="G88" t="s">
        <v>1350</v>
      </c>
      <c r="H88" t="s">
        <v>1441</v>
      </c>
      <c r="I88" t="s">
        <v>1361</v>
      </c>
      <c r="J88" s="8" t="s">
        <v>1610</v>
      </c>
      <c r="L88" s="6">
        <v>43420</v>
      </c>
    </row>
    <row r="89" spans="1:12" x14ac:dyDescent="0.3">
      <c r="A89" s="8" t="str">
        <f>HYPERLINK("http://www.accessdata.fda.gov/scripts/cder/daf/index.cfm?event=overview.process&amp;varApplNo=212306", "Xpovio")</f>
        <v>Xpovio</v>
      </c>
      <c r="B89" t="s">
        <v>1611</v>
      </c>
      <c r="C89" s="6">
        <v>43649</v>
      </c>
      <c r="D89" t="s">
        <v>1612</v>
      </c>
      <c r="E89" s="6">
        <v>43649</v>
      </c>
      <c r="F89" t="s">
        <v>1349</v>
      </c>
      <c r="G89" t="s">
        <v>1350</v>
      </c>
      <c r="H89" t="s">
        <v>1351</v>
      </c>
      <c r="I89" t="s">
        <v>1381</v>
      </c>
      <c r="J89" s="8" t="s">
        <v>1613</v>
      </c>
      <c r="L89" s="6">
        <v>43317</v>
      </c>
    </row>
    <row r="90" spans="1:12" x14ac:dyDescent="0.3">
      <c r="A90" s="8" t="str">
        <f>HYPERLINK("http://www.accessdata.fda.gov/scripts/cder/daf/index.cfm?event=overview.process&amp;varApplNo=210557", "Vyleesi")</f>
        <v>Vyleesi</v>
      </c>
      <c r="B90" t="s">
        <v>1614</v>
      </c>
      <c r="C90" s="6">
        <v>43272</v>
      </c>
      <c r="D90" t="s">
        <v>1615</v>
      </c>
      <c r="E90" s="6">
        <v>43637</v>
      </c>
      <c r="F90" t="s">
        <v>1349</v>
      </c>
      <c r="G90" t="s">
        <v>1350</v>
      </c>
      <c r="H90" t="s">
        <v>1351</v>
      </c>
      <c r="I90" t="s">
        <v>1352</v>
      </c>
      <c r="J90" s="8" t="s">
        <v>1616</v>
      </c>
      <c r="L90" s="6">
        <v>43182</v>
      </c>
    </row>
    <row r="91" spans="1:12" x14ac:dyDescent="0.3">
      <c r="A91" s="8" t="str">
        <f>HYPERLINK("http://www.accessdata.fda.gov/scripts/cder/daf/index.cfm?event=overview.process&amp;varApplNo=761121", "Polivy")</f>
        <v>Polivy</v>
      </c>
      <c r="B91" t="s">
        <v>1617</v>
      </c>
      <c r="C91" s="6">
        <v>43626</v>
      </c>
      <c r="D91" t="s">
        <v>1618</v>
      </c>
      <c r="E91" s="6">
        <v>43626</v>
      </c>
      <c r="F91" t="s">
        <v>1349</v>
      </c>
      <c r="G91" t="s">
        <v>1350</v>
      </c>
      <c r="I91" t="s">
        <v>1357</v>
      </c>
      <c r="J91" s="8" t="s">
        <v>1619</v>
      </c>
      <c r="L91" s="6">
        <v>43453</v>
      </c>
    </row>
    <row r="92" spans="1:12" x14ac:dyDescent="0.3">
      <c r="A92" s="8" t="str">
        <f>HYPERLINK("http://www.accessdata.fda.gov/scripts/cder/daf/index.cfm?event=overview.process&amp;varApplNo=212526", "Piqray")</f>
        <v>Piqray</v>
      </c>
      <c r="B92" t="s">
        <v>1620</v>
      </c>
      <c r="C92" s="6">
        <v>43609</v>
      </c>
      <c r="D92" t="s">
        <v>1621</v>
      </c>
      <c r="E92" s="6">
        <v>43609</v>
      </c>
      <c r="F92" t="s">
        <v>1349</v>
      </c>
      <c r="G92" t="s">
        <v>1350</v>
      </c>
      <c r="H92" t="s">
        <v>1351</v>
      </c>
      <c r="I92" t="s">
        <v>1361</v>
      </c>
      <c r="J92" s="8" t="s">
        <v>1622</v>
      </c>
      <c r="L92" s="6">
        <v>43452</v>
      </c>
    </row>
    <row r="93" spans="1:12" x14ac:dyDescent="0.3">
      <c r="A93" s="8" t="str">
        <f>HYPERLINK("http://www.accessdata.fda.gov/scripts/cder/daf/index.cfm?event=overview.process&amp;varApplNo=211996", "Vyndaqel")</f>
        <v>Vyndaqel</v>
      </c>
      <c r="B93" t="s">
        <v>1623</v>
      </c>
      <c r="C93" s="6">
        <v>43588</v>
      </c>
      <c r="D93" t="s">
        <v>1624</v>
      </c>
      <c r="E93" s="6">
        <v>43588</v>
      </c>
      <c r="F93" t="s">
        <v>1349</v>
      </c>
      <c r="G93" t="s">
        <v>1350</v>
      </c>
      <c r="H93" t="s">
        <v>1351</v>
      </c>
      <c r="I93" t="s">
        <v>1381</v>
      </c>
      <c r="J93" s="8" t="s">
        <v>1625</v>
      </c>
      <c r="L93" s="6">
        <v>43406</v>
      </c>
    </row>
    <row r="94" spans="1:12" x14ac:dyDescent="0.3">
      <c r="A94" s="8" t="str">
        <f>HYPERLINK("http://www.accessdata.fda.gov/scripts/cder/daf/index.cfm?event=overview.process&amp;varApplNo=761105", "Skyrizi")</f>
        <v>Skyrizi</v>
      </c>
      <c r="B94" t="s">
        <v>1626</v>
      </c>
      <c r="C94" s="6">
        <v>43578</v>
      </c>
      <c r="D94" t="s">
        <v>1627</v>
      </c>
      <c r="E94" s="6">
        <v>43578</v>
      </c>
      <c r="F94" t="s">
        <v>1349</v>
      </c>
      <c r="G94" t="s">
        <v>1350</v>
      </c>
      <c r="I94" t="s">
        <v>1277</v>
      </c>
      <c r="J94" s="8" t="s">
        <v>1628</v>
      </c>
      <c r="L94" s="6">
        <v>43213</v>
      </c>
    </row>
    <row r="95" spans="1:12" x14ac:dyDescent="0.3">
      <c r="A95" s="8" t="str">
        <f>HYPERLINK("http://www.accessdata.fda.gov/scripts/cder/daf/index.cfm?event=overview.process&amp;varApplNo=212018", "Balversa")</f>
        <v>Balversa</v>
      </c>
      <c r="B95" t="s">
        <v>1629</v>
      </c>
      <c r="C95" s="6">
        <v>43567</v>
      </c>
      <c r="D95" t="s">
        <v>1630</v>
      </c>
      <c r="E95" s="6">
        <v>43567</v>
      </c>
      <c r="F95" t="s">
        <v>1349</v>
      </c>
      <c r="G95" t="s">
        <v>1350</v>
      </c>
      <c r="H95" t="s">
        <v>1351</v>
      </c>
      <c r="I95" t="s">
        <v>1361</v>
      </c>
      <c r="J95" s="8" t="s">
        <v>1631</v>
      </c>
      <c r="L95" s="6">
        <v>43361</v>
      </c>
    </row>
    <row r="96" spans="1:12" x14ac:dyDescent="0.3">
      <c r="A96" s="8" t="str">
        <f>HYPERLINK("http://www.accessdata.fda.gov/scripts/cder/daf/index.cfm?event=overview.process&amp;varApplNo=761062", "Evenity")</f>
        <v>Evenity</v>
      </c>
      <c r="B96" t="s">
        <v>1632</v>
      </c>
      <c r="C96" s="6">
        <v>43564</v>
      </c>
      <c r="D96" t="s">
        <v>1633</v>
      </c>
      <c r="E96" s="6">
        <v>43564</v>
      </c>
      <c r="F96" t="s">
        <v>1349</v>
      </c>
      <c r="G96" t="s">
        <v>1350</v>
      </c>
      <c r="I96" t="s">
        <v>1277</v>
      </c>
      <c r="J96" s="8" t="s">
        <v>1634</v>
      </c>
      <c r="L96" s="6">
        <v>42570</v>
      </c>
    </row>
    <row r="97" spans="1:12" x14ac:dyDescent="0.3">
      <c r="A97" s="8" t="str">
        <f>HYPERLINK("http://www.accessdata.fda.gov/scripts/cder/daf/index.cfm?event=overview.process&amp;varApplNo=209884", "Mayzent")</f>
        <v>Mayzent</v>
      </c>
      <c r="B97" t="s">
        <v>1635</v>
      </c>
      <c r="C97" s="6">
        <v>43550</v>
      </c>
      <c r="D97" t="s">
        <v>1636</v>
      </c>
      <c r="E97" s="6">
        <v>43550</v>
      </c>
      <c r="F97" t="s">
        <v>1349</v>
      </c>
      <c r="G97" t="s">
        <v>1350</v>
      </c>
      <c r="H97" t="s">
        <v>1351</v>
      </c>
      <c r="I97" t="s">
        <v>1361</v>
      </c>
      <c r="J97" s="8" t="s">
        <v>1637</v>
      </c>
      <c r="L97" s="6">
        <v>43307</v>
      </c>
    </row>
    <row r="98" spans="1:12" x14ac:dyDescent="0.3">
      <c r="A98" s="8" t="str">
        <f>HYPERLINK("http://www.accessdata.fda.gov/scripts/cder/daf/index.cfm?event=overview.process&amp;varApplNo=211230", "Sunosi")</f>
        <v>Sunosi</v>
      </c>
      <c r="B98" t="s">
        <v>1638</v>
      </c>
      <c r="C98" s="6">
        <v>43544</v>
      </c>
      <c r="D98" t="s">
        <v>1639</v>
      </c>
      <c r="E98" s="6">
        <v>43544</v>
      </c>
      <c r="F98" t="s">
        <v>1349</v>
      </c>
      <c r="G98" t="s">
        <v>1350</v>
      </c>
      <c r="H98" t="s">
        <v>1351</v>
      </c>
      <c r="I98" t="s">
        <v>1371</v>
      </c>
      <c r="J98" s="8" t="s">
        <v>1640</v>
      </c>
      <c r="L98" s="6">
        <v>43089</v>
      </c>
    </row>
    <row r="99" spans="1:12" x14ac:dyDescent="0.3">
      <c r="A99" s="8" t="str">
        <f>HYPERLINK("http://www.accessdata.fda.gov/scripts/cder/daf/index.cfm?event=overview.process&amp;varApplNo=211371", "Zulresso")</f>
        <v>Zulresso</v>
      </c>
      <c r="B99" t="s">
        <v>1641</v>
      </c>
      <c r="C99" s="6">
        <v>43543</v>
      </c>
      <c r="D99" t="s">
        <v>1642</v>
      </c>
      <c r="E99" s="6">
        <v>43543</v>
      </c>
      <c r="F99" t="s">
        <v>1349</v>
      </c>
      <c r="G99" t="s">
        <v>1350</v>
      </c>
      <c r="H99" t="s">
        <v>1351</v>
      </c>
      <c r="I99" t="s">
        <v>1361</v>
      </c>
      <c r="J99" s="8" t="s">
        <v>1643</v>
      </c>
      <c r="L99" s="6">
        <v>43209</v>
      </c>
    </row>
    <row r="100" spans="1:12" x14ac:dyDescent="0.3">
      <c r="A100" s="8" t="str">
        <f>HYPERLINK("http://www.accessdata.fda.gov/scripts/cder/daf/index.cfm?event=overview.process&amp;varApplNo=208711", "Egaten")</f>
        <v>Egaten</v>
      </c>
      <c r="B100" t="s">
        <v>1644</v>
      </c>
      <c r="C100" s="6">
        <v>43509</v>
      </c>
      <c r="D100" t="s">
        <v>1645</v>
      </c>
      <c r="E100" s="6">
        <v>43509</v>
      </c>
      <c r="F100" t="s">
        <v>1349</v>
      </c>
      <c r="G100" t="s">
        <v>1350</v>
      </c>
      <c r="H100" t="s">
        <v>1351</v>
      </c>
      <c r="I100" t="s">
        <v>1381</v>
      </c>
      <c r="J100" s="8" t="s">
        <v>1646</v>
      </c>
      <c r="L100" s="6">
        <v>43265</v>
      </c>
    </row>
    <row r="101" spans="1:12" x14ac:dyDescent="0.3">
      <c r="A101" s="8" t="str">
        <f>HYPERLINK("http://www.accessdata.fda.gov/scripts/cder/daf/index.cfm?event=overview.process&amp;varApplNo=761112", "Cablivi")</f>
        <v>Cablivi</v>
      </c>
      <c r="B101" t="s">
        <v>1647</v>
      </c>
      <c r="C101" s="6">
        <v>43502</v>
      </c>
      <c r="D101" t="s">
        <v>1648</v>
      </c>
      <c r="E101" s="6">
        <v>43502</v>
      </c>
      <c r="F101" t="s">
        <v>1349</v>
      </c>
      <c r="G101" t="s">
        <v>1350</v>
      </c>
      <c r="I101" t="s">
        <v>1357</v>
      </c>
      <c r="J101" s="8" t="s">
        <v>1649</v>
      </c>
      <c r="L101" s="6" t="s">
        <v>1354</v>
      </c>
    </row>
    <row r="102" spans="1:12" x14ac:dyDescent="0.3">
      <c r="A102" s="8" t="str">
        <f>HYPERLINK("http://www.accessdata.fda.gov/scripts/cder/daf/index.cfm?event=overview.process&amp;varApplNo=761085", "Jeuveau")</f>
        <v>Jeuveau</v>
      </c>
      <c r="B102" t="s">
        <v>1650</v>
      </c>
      <c r="C102" s="6">
        <v>43497</v>
      </c>
      <c r="D102" t="s">
        <v>1651</v>
      </c>
      <c r="E102" s="6">
        <v>43497</v>
      </c>
      <c r="F102" t="s">
        <v>1349</v>
      </c>
      <c r="G102" t="s">
        <v>1350</v>
      </c>
      <c r="I102" t="s">
        <v>1277</v>
      </c>
      <c r="J102" s="8" t="s">
        <v>1652</v>
      </c>
      <c r="L102" s="6">
        <v>42870</v>
      </c>
    </row>
    <row r="103" spans="1:12" x14ac:dyDescent="0.3">
      <c r="A103" s="8" t="str">
        <f>HYPERLINK("http://www.accessdata.fda.gov/scripts/cder/daf/index.cfm?event=overview.process&amp;varApplNo=761108", "Ultomiris")</f>
        <v>Ultomiris</v>
      </c>
      <c r="B103" t="s">
        <v>1653</v>
      </c>
      <c r="C103" s="6">
        <v>43455</v>
      </c>
      <c r="D103" t="s">
        <v>1654</v>
      </c>
      <c r="E103" s="6">
        <v>43455</v>
      </c>
      <c r="F103" t="s">
        <v>1349</v>
      </c>
      <c r="G103" t="s">
        <v>1350</v>
      </c>
      <c r="I103" t="s">
        <v>1357</v>
      </c>
      <c r="J103" s="8" t="s">
        <v>1655</v>
      </c>
      <c r="L103" s="6">
        <v>43269</v>
      </c>
    </row>
    <row r="104" spans="1:12" x14ac:dyDescent="0.3">
      <c r="A104" s="8" t="str">
        <f>HYPERLINK("http://www.accessdata.fda.gov/scripts/cder/daf/index.cfm?event=overview.process&amp;varApplNo=761116", "Elzonris")</f>
        <v>Elzonris</v>
      </c>
      <c r="B104" t="s">
        <v>1656</v>
      </c>
      <c r="C104" s="6">
        <v>43455</v>
      </c>
      <c r="D104" t="s">
        <v>1657</v>
      </c>
      <c r="E104" s="6">
        <v>43455</v>
      </c>
      <c r="F104" t="s">
        <v>1349</v>
      </c>
      <c r="G104" t="s">
        <v>1350</v>
      </c>
      <c r="I104" t="s">
        <v>1357</v>
      </c>
      <c r="J104" s="8" t="s">
        <v>1658</v>
      </c>
      <c r="L104" s="6" t="s">
        <v>1399</v>
      </c>
    </row>
    <row r="105" spans="1:12" x14ac:dyDescent="0.3">
      <c r="A105" s="8" t="str">
        <f>HYPERLINK("http://www.accessdata.fda.gov/scripts/cder/daf/index.cfm?event=overview.process&amp;varApplNo=761102", "Asparlas")</f>
        <v>Asparlas</v>
      </c>
      <c r="B105" t="s">
        <v>1659</v>
      </c>
      <c r="C105" s="6">
        <v>43454</v>
      </c>
      <c r="D105" t="s">
        <v>1660</v>
      </c>
      <c r="E105" s="6">
        <v>43454</v>
      </c>
      <c r="F105" t="s">
        <v>1349</v>
      </c>
      <c r="G105" t="s">
        <v>1350</v>
      </c>
      <c r="I105" t="s">
        <v>1357</v>
      </c>
      <c r="J105" s="8" t="s">
        <v>1661</v>
      </c>
      <c r="L105" s="6" t="s">
        <v>1354</v>
      </c>
    </row>
    <row r="106" spans="1:12" x14ac:dyDescent="0.3">
      <c r="A106" s="8" t="str">
        <f>HYPERLINK("http://www.accessdata.fda.gov/scripts/cder/daf/index.cfm?event=overview.process&amp;varApplNo=210166", "Motegrity")</f>
        <v>Motegrity</v>
      </c>
      <c r="B106" t="s">
        <v>1662</v>
      </c>
      <c r="C106" s="6">
        <v>43448</v>
      </c>
      <c r="D106" t="s">
        <v>1663</v>
      </c>
      <c r="E106" s="6">
        <v>43448</v>
      </c>
      <c r="F106" t="s">
        <v>1349</v>
      </c>
      <c r="G106" t="s">
        <v>1350</v>
      </c>
      <c r="H106" t="s">
        <v>1351</v>
      </c>
      <c r="I106" t="s">
        <v>1352</v>
      </c>
      <c r="J106" s="8" t="s">
        <v>1664</v>
      </c>
      <c r="L106" s="6">
        <v>43090</v>
      </c>
    </row>
    <row r="107" spans="1:12" x14ac:dyDescent="0.3">
      <c r="A107" s="8" t="str">
        <f>HYPERLINK("http://www.accessdata.fda.gov/scripts/cder/daf/index.cfm?event=overview.process&amp;varApplNo=211349", "Xospata")</f>
        <v>Xospata</v>
      </c>
      <c r="B107" t="s">
        <v>1665</v>
      </c>
      <c r="C107" s="6">
        <v>43432</v>
      </c>
      <c r="D107" t="s">
        <v>1666</v>
      </c>
      <c r="E107" s="6">
        <v>43432</v>
      </c>
      <c r="F107" t="s">
        <v>1349</v>
      </c>
      <c r="G107" t="s">
        <v>1350</v>
      </c>
      <c r="H107" t="s">
        <v>1351</v>
      </c>
      <c r="I107" t="s">
        <v>1381</v>
      </c>
      <c r="J107" s="8" t="s">
        <v>1667</v>
      </c>
      <c r="L107" s="6">
        <v>43188</v>
      </c>
    </row>
    <row r="108" spans="1:12" x14ac:dyDescent="0.3">
      <c r="A108" s="8" t="str">
        <f>HYPERLINK("http://www.accessdata.fda.gov/scripts/cder/daf/index.cfm?event=overview.process&amp;varApplNo=208078", "Firdapse")</f>
        <v>Firdapse</v>
      </c>
      <c r="B108" t="s">
        <v>1668</v>
      </c>
      <c r="C108" s="6">
        <v>47085</v>
      </c>
      <c r="D108" t="s">
        <v>1669</v>
      </c>
      <c r="E108" s="6">
        <v>43432</v>
      </c>
      <c r="F108" t="s">
        <v>1349</v>
      </c>
      <c r="G108" t="s">
        <v>1350</v>
      </c>
      <c r="H108" t="s">
        <v>1351</v>
      </c>
      <c r="I108" t="s">
        <v>1381</v>
      </c>
      <c r="J108" s="8" t="s">
        <v>1670</v>
      </c>
      <c r="L108" s="6">
        <v>43187</v>
      </c>
    </row>
    <row r="109" spans="1:12" x14ac:dyDescent="0.3">
      <c r="A109" s="8" t="str">
        <f>HYPERLINK("http://www.accessdata.fda.gov/scripts/cder/daf/index.cfm?event=overview.process&amp;varApplNo=210861", "Vitrakvi")</f>
        <v>Vitrakvi</v>
      </c>
      <c r="B109" t="s">
        <v>1671</v>
      </c>
      <c r="C109" s="6">
        <v>43430</v>
      </c>
      <c r="D109" t="s">
        <v>1672</v>
      </c>
      <c r="E109" s="6">
        <v>43430</v>
      </c>
      <c r="F109" t="s">
        <v>1349</v>
      </c>
      <c r="G109" t="s">
        <v>1350</v>
      </c>
      <c r="H109" t="s">
        <v>1351</v>
      </c>
      <c r="I109" t="s">
        <v>1381</v>
      </c>
      <c r="J109" s="8" t="s">
        <v>1673</v>
      </c>
      <c r="L109" s="6">
        <v>43183</v>
      </c>
    </row>
    <row r="110" spans="1:12" x14ac:dyDescent="0.3">
      <c r="A110" s="8" t="str">
        <f>HYPERLINK("http://www.accessdata.fda.gov/scripts/cder/daf/index.cfm?event=overview.process&amp;varApplNo=210656", "Daurismo")</f>
        <v>Daurismo</v>
      </c>
      <c r="B110" t="s">
        <v>1674</v>
      </c>
      <c r="C110" s="6">
        <v>43425</v>
      </c>
      <c r="D110" t="s">
        <v>1675</v>
      </c>
      <c r="E110" s="6">
        <v>43425</v>
      </c>
      <c r="F110" t="s">
        <v>1349</v>
      </c>
      <c r="G110" t="s">
        <v>1350</v>
      </c>
      <c r="H110" t="s">
        <v>1351</v>
      </c>
      <c r="I110" t="s">
        <v>1381</v>
      </c>
      <c r="J110" s="8" t="s">
        <v>1676</v>
      </c>
      <c r="L110" s="6">
        <v>43217</v>
      </c>
    </row>
    <row r="111" spans="1:12" x14ac:dyDescent="0.3">
      <c r="A111" s="8" t="str">
        <f>HYPERLINK("http://www.accessdata.fda.gov/scripts/cder/daf/index.cfm?event=overview.process&amp;varApplNo=761107", "Gamifant")</f>
        <v>Gamifant</v>
      </c>
      <c r="B111" t="s">
        <v>1677</v>
      </c>
      <c r="C111" s="6">
        <v>43424</v>
      </c>
      <c r="D111" t="s">
        <v>1678</v>
      </c>
      <c r="E111" s="6">
        <v>43424</v>
      </c>
      <c r="F111" t="s">
        <v>1349</v>
      </c>
      <c r="G111" t="s">
        <v>1350</v>
      </c>
      <c r="I111" t="s">
        <v>1357</v>
      </c>
      <c r="J111" s="8" t="s">
        <v>1679</v>
      </c>
      <c r="L111" s="6">
        <v>43179</v>
      </c>
    </row>
    <row r="112" spans="1:12" x14ac:dyDescent="0.3">
      <c r="A112" s="8" t="str">
        <f>HYPERLINK("http://www.accessdata.fda.gov/scripts/cder/daf/index.cfm?event=overview.process&amp;varApplNo=210910", "Aemcolo")</f>
        <v>Aemcolo</v>
      </c>
      <c r="B112" t="s">
        <v>1680</v>
      </c>
      <c r="C112" s="6">
        <v>43420</v>
      </c>
      <c r="D112" t="s">
        <v>1681</v>
      </c>
      <c r="E112" s="6">
        <v>43420</v>
      </c>
      <c r="F112" t="s">
        <v>1349</v>
      </c>
      <c r="G112" t="s">
        <v>1350</v>
      </c>
      <c r="H112" t="s">
        <v>1351</v>
      </c>
      <c r="I112" t="s">
        <v>1361</v>
      </c>
      <c r="J112" s="8" t="s">
        <v>1682</v>
      </c>
      <c r="L112" s="6">
        <v>43175</v>
      </c>
    </row>
    <row r="113" spans="1:12" x14ac:dyDescent="0.3">
      <c r="A113" s="8" t="str">
        <f>HYPERLINK("http://www.accessdata.fda.gov/scripts/cder/daf/index.cfm?event=overview.process&amp;varApplNo=210598", "Yupelri")</f>
        <v>Yupelri</v>
      </c>
      <c r="B113" t="s">
        <v>1683</v>
      </c>
      <c r="C113" s="6">
        <v>43413</v>
      </c>
      <c r="D113" t="s">
        <v>1684</v>
      </c>
      <c r="E113" s="6">
        <v>43413</v>
      </c>
      <c r="F113" t="s">
        <v>1349</v>
      </c>
      <c r="G113" t="s">
        <v>1350</v>
      </c>
      <c r="H113" t="s">
        <v>1351</v>
      </c>
      <c r="I113" t="s">
        <v>1352</v>
      </c>
      <c r="J113" s="8" t="s">
        <v>1685</v>
      </c>
      <c r="L113" s="6">
        <v>43049</v>
      </c>
    </row>
    <row r="114" spans="1:12" x14ac:dyDescent="0.3">
      <c r="A114" s="8" t="str">
        <f>HYPERLINK("http://www.accessdata.fda.gov/scripts/cder/daf/index.cfm?event=overview.process&amp;varApplNo=210868", "Lorbrena")</f>
        <v>Lorbrena</v>
      </c>
      <c r="B114" t="s">
        <v>1686</v>
      </c>
      <c r="C114" s="6">
        <v>43406</v>
      </c>
      <c r="D114" t="s">
        <v>1687</v>
      </c>
      <c r="E114" s="6" t="s">
        <v>1438</v>
      </c>
      <c r="F114" t="s">
        <v>1399</v>
      </c>
      <c r="J114" s="8"/>
      <c r="L114" s="6"/>
    </row>
    <row r="115" spans="1:12" x14ac:dyDescent="0.3">
      <c r="A115" s="8" t="str">
        <f>HYPERLINK("http://www.accessdata.fda.gov/scripts/cder/daf/index.cfm?event=overview.process&amp;varApplNo=210854", "Xofluza")</f>
        <v>Xofluza</v>
      </c>
      <c r="B115" t="s">
        <v>1688</v>
      </c>
      <c r="C115" s="6">
        <v>43397</v>
      </c>
      <c r="D115" t="s">
        <v>1689</v>
      </c>
      <c r="E115" s="6">
        <v>43397</v>
      </c>
      <c r="F115" t="s">
        <v>1349</v>
      </c>
      <c r="G115" t="s">
        <v>1350</v>
      </c>
      <c r="H115" t="s">
        <v>1351</v>
      </c>
      <c r="I115" t="s">
        <v>1361</v>
      </c>
      <c r="J115" s="8" t="s">
        <v>1690</v>
      </c>
      <c r="L115" s="6">
        <v>43214</v>
      </c>
    </row>
    <row r="116" spans="1:12" x14ac:dyDescent="0.3">
      <c r="A116" s="8" t="str">
        <f>HYPERLINK("https://www.accessdata.fda.gov/scripts/cder/daf/index.cfm?event=overview.process&amp;varApplNo=211651", "Talzenna")</f>
        <v>Talzenna</v>
      </c>
      <c r="B116" t="s">
        <v>1691</v>
      </c>
      <c r="C116" s="6">
        <v>43389</v>
      </c>
      <c r="D116" t="s">
        <v>1692</v>
      </c>
      <c r="E116" s="6">
        <v>43389</v>
      </c>
      <c r="F116" t="s">
        <v>1349</v>
      </c>
      <c r="G116" t="s">
        <v>1350</v>
      </c>
      <c r="H116" t="s">
        <v>1351</v>
      </c>
      <c r="I116" t="s">
        <v>1361</v>
      </c>
      <c r="J116" s="8" t="s">
        <v>1693</v>
      </c>
      <c r="L116" s="6">
        <v>43196</v>
      </c>
    </row>
    <row r="117" spans="1:12" x14ac:dyDescent="0.3">
      <c r="A117" s="8" t="str">
        <f>HYPERLINK("http://www.accessdata.fda.gov/scripts/cder/daf/index.cfm?event=overview.process&amp;varApplNo=211172", "Tegsedi")</f>
        <v>Tegsedi</v>
      </c>
      <c r="B117" t="s">
        <v>1694</v>
      </c>
      <c r="C117" s="6">
        <v>43378</v>
      </c>
      <c r="D117" t="s">
        <v>1695</v>
      </c>
      <c r="E117" s="6">
        <v>43378</v>
      </c>
      <c r="F117" t="s">
        <v>1349</v>
      </c>
      <c r="G117" t="s">
        <v>1350</v>
      </c>
      <c r="H117" t="s">
        <v>1351</v>
      </c>
      <c r="I117" t="s">
        <v>1381</v>
      </c>
      <c r="J117" s="8" t="s">
        <v>1696</v>
      </c>
      <c r="L117" s="6">
        <v>43045</v>
      </c>
    </row>
    <row r="118" spans="1:12" x14ac:dyDescent="0.3">
      <c r="A118" s="8" t="str">
        <f>HYPERLINK("http://www.accessdata.fda.gov/scripts/cder/daf/index.cfm?event=overview.process&amp;varApplNo=761092", "Revcovi")</f>
        <v>Revcovi</v>
      </c>
      <c r="B118" t="s">
        <v>1697</v>
      </c>
      <c r="C118" s="6">
        <v>43378</v>
      </c>
      <c r="D118" t="s">
        <v>1698</v>
      </c>
      <c r="E118" s="6">
        <v>43378</v>
      </c>
      <c r="F118" t="s">
        <v>1349</v>
      </c>
      <c r="G118" t="s">
        <v>1350</v>
      </c>
      <c r="I118" t="s">
        <v>1357</v>
      </c>
      <c r="J118" s="8" t="s">
        <v>1699</v>
      </c>
      <c r="L118" s="6" t="s">
        <v>1354</v>
      </c>
    </row>
    <row r="119" spans="1:12" x14ac:dyDescent="0.3">
      <c r="A119" s="8" t="str">
        <f>HYPERLINK("http://www.accessdata.fda.gov/scripts/cder/daf/index.cfm?event=overview.process&amp;varApplNo=209816", "Nuzyra")</f>
        <v>Nuzyra</v>
      </c>
      <c r="B119" t="s">
        <v>1700</v>
      </c>
      <c r="C119" s="6">
        <v>43375</v>
      </c>
      <c r="D119" t="s">
        <v>1701</v>
      </c>
      <c r="E119" s="6">
        <v>43375</v>
      </c>
      <c r="F119" t="s">
        <v>1349</v>
      </c>
      <c r="G119" t="s">
        <v>1350</v>
      </c>
      <c r="H119" t="s">
        <v>1351</v>
      </c>
      <c r="I119" t="s">
        <v>1361</v>
      </c>
      <c r="J119" s="8" t="s">
        <v>1702</v>
      </c>
      <c r="L119" s="6">
        <v>43133</v>
      </c>
    </row>
    <row r="120" spans="1:12" x14ac:dyDescent="0.3">
      <c r="A120" s="8" t="str">
        <f>HYPERLINK("http://www.accessdata.fda.gov/scripts/cder/daf/index.cfm?event=overview.process&amp;varApplNo=209521", "Seysara")</f>
        <v>Seysara</v>
      </c>
      <c r="B120" t="s">
        <v>1703</v>
      </c>
      <c r="C120" s="6">
        <v>43374</v>
      </c>
      <c r="D120" t="s">
        <v>1704</v>
      </c>
      <c r="E120" s="6">
        <v>43374</v>
      </c>
      <c r="F120" t="s">
        <v>1349</v>
      </c>
      <c r="G120" t="s">
        <v>1350</v>
      </c>
      <c r="H120" t="s">
        <v>1351</v>
      </c>
      <c r="I120" t="s">
        <v>1352</v>
      </c>
      <c r="J120" s="8" t="s">
        <v>1705</v>
      </c>
      <c r="L120" s="6">
        <v>43028</v>
      </c>
    </row>
    <row r="121" spans="1:12" x14ac:dyDescent="0.3">
      <c r="A121" s="8" t="str">
        <f>HYPERLINK("http://www.accessdata.fda.gov/scripts/cder/daf/index.cfm?event=overview.process&amp;varApplNo=761097", "Libtayo")</f>
        <v>Libtayo</v>
      </c>
      <c r="B121" t="s">
        <v>1706</v>
      </c>
      <c r="C121" s="6">
        <v>43371</v>
      </c>
      <c r="D121" t="s">
        <v>1707</v>
      </c>
      <c r="E121" s="6">
        <v>43371</v>
      </c>
      <c r="F121" t="s">
        <v>1349</v>
      </c>
      <c r="G121" t="s">
        <v>1350</v>
      </c>
      <c r="I121" t="s">
        <v>1277</v>
      </c>
      <c r="J121" s="8" t="s">
        <v>1708</v>
      </c>
      <c r="L121" s="6" t="s">
        <v>1354</v>
      </c>
    </row>
    <row r="122" spans="1:12" x14ac:dyDescent="0.3">
      <c r="A122" s="8" t="str">
        <f>HYPERLINK("http://www.accessdata.fda.gov/scripts/cder/daf/index.cfm?event=overview.process&amp;varApplNo=211288", "Vizimpro")</f>
        <v>Vizimpro</v>
      </c>
      <c r="B122" t="s">
        <v>1709</v>
      </c>
      <c r="C122" s="6">
        <v>43370</v>
      </c>
      <c r="D122" t="s">
        <v>1710</v>
      </c>
      <c r="E122" s="6">
        <v>43370</v>
      </c>
      <c r="F122" t="s">
        <v>1349</v>
      </c>
      <c r="G122" t="s">
        <v>1350</v>
      </c>
      <c r="H122" t="s">
        <v>1441</v>
      </c>
      <c r="I122" t="s">
        <v>1381</v>
      </c>
      <c r="J122" s="8" t="s">
        <v>1711</v>
      </c>
      <c r="L122" s="6">
        <v>43131</v>
      </c>
    </row>
    <row r="123" spans="1:12" x14ac:dyDescent="0.3">
      <c r="A123" s="8" t="str">
        <f>HYPERLINK("http://www.accessdata.fda.gov/scripts/cder/daf/index.cfm?event=overview.process&amp;varApplNo=761063", "Emgality")</f>
        <v>Emgality</v>
      </c>
      <c r="B123" t="s">
        <v>1712</v>
      </c>
      <c r="C123" s="6">
        <v>43370</v>
      </c>
      <c r="D123" t="s">
        <v>1496</v>
      </c>
      <c r="E123" s="6" t="s">
        <v>1438</v>
      </c>
      <c r="F123" t="s">
        <v>1399</v>
      </c>
      <c r="J123" s="8"/>
      <c r="L123" s="6"/>
    </row>
    <row r="124" spans="1:12" x14ac:dyDescent="0.3">
      <c r="A124" s="8" t="str">
        <f>HYPERLINK("http://www.accessdata.fda.gov/scripts/cder/daf/index.cfm?event=overview.process&amp;varApplNo=211155", "Copiktra")</f>
        <v>Copiktra</v>
      </c>
      <c r="B124" t="s">
        <v>1713</v>
      </c>
      <c r="C124" s="6">
        <v>43367</v>
      </c>
      <c r="D124" t="s">
        <v>1714</v>
      </c>
      <c r="E124" s="6">
        <v>43367</v>
      </c>
      <c r="F124" t="s">
        <v>1349</v>
      </c>
      <c r="G124" t="s">
        <v>1350</v>
      </c>
      <c r="H124" t="s">
        <v>1351</v>
      </c>
      <c r="I124" t="s">
        <v>1381</v>
      </c>
      <c r="J124" s="8" t="s">
        <v>1715</v>
      </c>
      <c r="L124" s="6">
        <v>43136</v>
      </c>
    </row>
    <row r="125" spans="1:12" x14ac:dyDescent="0.3">
      <c r="A125" s="8" t="str">
        <f>HYPERLINK("http://www.accessdata.fda.gov/scripts/cder/daf/index.cfm?event=overview.process&amp;varApplNo=761089", "Ajovy")</f>
        <v>Ajovy</v>
      </c>
      <c r="B125" t="s">
        <v>1716</v>
      </c>
      <c r="C125" s="6">
        <v>43357</v>
      </c>
      <c r="D125" t="s">
        <v>1496</v>
      </c>
      <c r="E125" s="6">
        <v>43357</v>
      </c>
      <c r="F125" t="s">
        <v>1349</v>
      </c>
      <c r="G125" t="s">
        <v>1350</v>
      </c>
      <c r="I125" t="s">
        <v>1277</v>
      </c>
      <c r="J125" s="8" t="s">
        <v>1717</v>
      </c>
      <c r="L125" s="6">
        <v>43024</v>
      </c>
    </row>
    <row r="126" spans="1:12" x14ac:dyDescent="0.3">
      <c r="A126" s="8" t="str">
        <f>HYPERLINK("http://www.accessdata.fda.gov/scripts/cder/daf/index.cfm?event=overview.process&amp;varApplNo=761104", "Lumoxiti")</f>
        <v>Lumoxiti</v>
      </c>
      <c r="B126" t="s">
        <v>1718</v>
      </c>
      <c r="C126" s="6">
        <v>43356</v>
      </c>
      <c r="D126" t="s">
        <v>1719</v>
      </c>
      <c r="E126" s="6" t="s">
        <v>1438</v>
      </c>
      <c r="F126" t="s">
        <v>1399</v>
      </c>
      <c r="J126" s="8"/>
      <c r="L126" s="6"/>
    </row>
    <row r="127" spans="1:12" x14ac:dyDescent="0.3">
      <c r="A127" s="8" t="str">
        <f>HYPERLINK("http://www.accessdata.fda.gov/scripts/cder/daf/index.cfm?event=overview.process&amp;varApplNo=210806", "Pifeltro")</f>
        <v>Pifeltro</v>
      </c>
      <c r="B127" t="s">
        <v>1720</v>
      </c>
      <c r="C127" s="6">
        <v>43342</v>
      </c>
      <c r="D127" t="s">
        <v>1721</v>
      </c>
      <c r="E127" s="6">
        <v>43342</v>
      </c>
      <c r="F127" t="s">
        <v>1349</v>
      </c>
      <c r="G127" t="s">
        <v>1350</v>
      </c>
      <c r="H127" t="s">
        <v>1351</v>
      </c>
      <c r="I127" t="s">
        <v>1352</v>
      </c>
      <c r="J127" s="8" t="s">
        <v>1722</v>
      </c>
      <c r="L127" s="6">
        <v>43031</v>
      </c>
    </row>
    <row r="128" spans="1:12" x14ac:dyDescent="0.3">
      <c r="A128" s="8" t="str">
        <f>HYPERLINK("http://www.accessdata.fda.gov/scripts/cder/daf/index.cfm?event=overview.process&amp;varApplNo=211109", "Xerava")</f>
        <v>Xerava</v>
      </c>
      <c r="B128" t="s">
        <v>1723</v>
      </c>
      <c r="C128" s="6">
        <v>43339</v>
      </c>
      <c r="D128" t="s">
        <v>1724</v>
      </c>
      <c r="E128" s="6">
        <v>43339</v>
      </c>
      <c r="F128" t="s">
        <v>1349</v>
      </c>
      <c r="G128" t="s">
        <v>1350</v>
      </c>
      <c r="H128" t="s">
        <v>1351</v>
      </c>
      <c r="I128" t="s">
        <v>1361</v>
      </c>
      <c r="J128" s="8" t="s">
        <v>1725</v>
      </c>
      <c r="L128" s="6">
        <v>43097</v>
      </c>
    </row>
    <row r="129" spans="1:12" x14ac:dyDescent="0.3">
      <c r="A129" s="8" t="str">
        <f>HYPERLINK("http://www.accessdata.fda.gov/scripts/cder/daf/index.cfm?event=overview.process&amp;varApplNo=761090", "Takhzyro")</f>
        <v>Takhzyro</v>
      </c>
      <c r="B129" t="s">
        <v>1726</v>
      </c>
      <c r="C129" s="6">
        <v>43335</v>
      </c>
      <c r="D129" t="s">
        <v>1727</v>
      </c>
      <c r="E129" s="6">
        <v>43335</v>
      </c>
      <c r="F129" t="s">
        <v>1349</v>
      </c>
      <c r="G129" t="s">
        <v>1350</v>
      </c>
      <c r="I129" t="s">
        <v>1357</v>
      </c>
      <c r="J129" s="8" t="s">
        <v>1728</v>
      </c>
      <c r="L129" s="6" t="s">
        <v>1354</v>
      </c>
    </row>
    <row r="130" spans="1:12" x14ac:dyDescent="0.3">
      <c r="A130" s="8" t="str">
        <f>HYPERLINK("http://www.accessdata.fda.gov/scripts/cder/daf/index.cfm?event=overview.process&amp;varApplNo=761094", "Oxervate")</f>
        <v>Oxervate</v>
      </c>
      <c r="B130" t="s">
        <v>1729</v>
      </c>
      <c r="C130" s="6">
        <v>43334</v>
      </c>
      <c r="D130" t="s">
        <v>1730</v>
      </c>
      <c r="E130" s="6" t="s">
        <v>1438</v>
      </c>
      <c r="F130" t="s">
        <v>1399</v>
      </c>
      <c r="J130" s="8"/>
      <c r="L130" s="6"/>
    </row>
    <row r="131" spans="1:12" x14ac:dyDescent="0.3">
      <c r="A131" s="8" t="str">
        <f>HYPERLINK("http://www.accessdata.fda.gov/scripts/cder/daf/index.cfm?event=overview.process&amp;varApplNo=206709", "Diacomit")</f>
        <v>Diacomit</v>
      </c>
      <c r="B131" t="s">
        <v>1731</v>
      </c>
      <c r="C131" s="6">
        <v>43332</v>
      </c>
      <c r="D131" t="s">
        <v>1732</v>
      </c>
      <c r="E131" s="6">
        <v>43332</v>
      </c>
      <c r="F131" t="s">
        <v>1349</v>
      </c>
      <c r="G131" t="s">
        <v>1350</v>
      </c>
      <c r="H131" t="s">
        <v>1351</v>
      </c>
      <c r="I131" t="s">
        <v>1381</v>
      </c>
      <c r="J131" s="8" t="s">
        <v>1733</v>
      </c>
      <c r="L131" s="6" t="s">
        <v>1354</v>
      </c>
    </row>
    <row r="132" spans="1:12" x14ac:dyDescent="0.3">
      <c r="A132" s="8" t="str">
        <f>HYPERLINK("http://www.accessdata.fda.gov/scripts/cder/daf/index.cfm?event=overview.process&amp;varApplNo=208623", "Galafold")</f>
        <v>Galafold</v>
      </c>
      <c r="B132" t="s">
        <v>1734</v>
      </c>
      <c r="C132" s="6">
        <v>43322</v>
      </c>
      <c r="D132" t="s">
        <v>1735</v>
      </c>
      <c r="E132" s="6">
        <v>43322</v>
      </c>
      <c r="F132" t="s">
        <v>1349</v>
      </c>
      <c r="G132" t="s">
        <v>1350</v>
      </c>
      <c r="H132" t="s">
        <v>1351</v>
      </c>
      <c r="I132" t="s">
        <v>1381</v>
      </c>
      <c r="J132" s="8" t="s">
        <v>1736</v>
      </c>
      <c r="L132" s="6">
        <v>43082</v>
      </c>
    </row>
    <row r="133" spans="1:12" x14ac:dyDescent="0.3">
      <c r="A133" s="8" t="str">
        <f>HYPERLINK("http://www.accessdata.fda.gov/scripts/cder/daf/index.cfm?event=overview.process&amp;varApplNo=209627", "Annovera")</f>
        <v>Annovera</v>
      </c>
      <c r="B133" t="s">
        <v>1737</v>
      </c>
      <c r="C133" s="6">
        <v>43322</v>
      </c>
      <c r="D133" t="s">
        <v>1738</v>
      </c>
      <c r="E133" s="6">
        <v>43322</v>
      </c>
      <c r="F133" t="s">
        <v>1349</v>
      </c>
      <c r="G133" t="s">
        <v>1350</v>
      </c>
      <c r="H133" t="s">
        <v>1441</v>
      </c>
      <c r="I133" t="s">
        <v>1352</v>
      </c>
      <c r="J133" s="8" t="s">
        <v>1739</v>
      </c>
      <c r="L133" s="6">
        <v>42964</v>
      </c>
    </row>
    <row r="134" spans="1:12" x14ac:dyDescent="0.3">
      <c r="A134" s="8" t="str">
        <f>HYPERLINK("http://www.accessdata.fda.gov/scripts/cder/daf/index.cfm?event=overview.process&amp;varApplNo=210922", "Onpattro")</f>
        <v>Onpattro</v>
      </c>
      <c r="B134" t="s">
        <v>1740</v>
      </c>
      <c r="C134" s="6">
        <v>43322</v>
      </c>
      <c r="D134" t="s">
        <v>1741</v>
      </c>
      <c r="E134" s="6">
        <v>43322</v>
      </c>
      <c r="F134" t="s">
        <v>1349</v>
      </c>
      <c r="G134" t="s">
        <v>1350</v>
      </c>
      <c r="H134" t="s">
        <v>1351</v>
      </c>
      <c r="I134" t="s">
        <v>1381</v>
      </c>
      <c r="J134" s="8" t="s">
        <v>1742</v>
      </c>
      <c r="L134" s="6">
        <v>43080</v>
      </c>
    </row>
    <row r="135" spans="1:12" x14ac:dyDescent="0.3">
      <c r="A135" s="8" t="str">
        <f>HYPERLINK("http://www.accessdata.fda.gov/scripts/cder/daf/index.cfm?event=overview.process&amp;varApplNo=761051", "Poteligeo")</f>
        <v>Poteligeo</v>
      </c>
      <c r="B135" t="s">
        <v>1743</v>
      </c>
      <c r="C135" s="6">
        <v>43320</v>
      </c>
      <c r="D135" t="s">
        <v>1744</v>
      </c>
      <c r="E135" s="6">
        <v>43320</v>
      </c>
      <c r="F135" t="s">
        <v>1349</v>
      </c>
      <c r="G135" t="s">
        <v>1350</v>
      </c>
      <c r="I135" t="s">
        <v>1357</v>
      </c>
      <c r="J135" s="8" t="s">
        <v>1745</v>
      </c>
      <c r="L135" s="6" t="s">
        <v>1354</v>
      </c>
    </row>
    <row r="136" spans="1:12" x14ac:dyDescent="0.3">
      <c r="A136" s="8" t="str">
        <f>HYPERLINK("http://www.accessdata.fda.gov/scripts/cder/daf/index.cfm?event=overview.process&amp;varApplNo=210923", "Mulpleta")</f>
        <v>Mulpleta</v>
      </c>
      <c r="B136" t="s">
        <v>1746</v>
      </c>
      <c r="C136" s="6">
        <v>43312</v>
      </c>
      <c r="D136" t="s">
        <v>1747</v>
      </c>
      <c r="E136" s="6">
        <v>43312</v>
      </c>
      <c r="F136" t="s">
        <v>1349</v>
      </c>
      <c r="G136" t="s">
        <v>1350</v>
      </c>
      <c r="H136" t="s">
        <v>1351</v>
      </c>
      <c r="I136" t="s">
        <v>1361</v>
      </c>
      <c r="J136" s="8" t="s">
        <v>1748</v>
      </c>
      <c r="L136" s="6">
        <v>43095</v>
      </c>
    </row>
    <row r="137" spans="1:12" x14ac:dyDescent="0.3">
      <c r="A137" s="8" t="str">
        <f>HYPERLINK("http://www.accessdata.fda.gov/scripts/cder/daf/index.cfm?event=overview.process&amp;varApplNo=210589", "Omegaven")</f>
        <v>Omegaven</v>
      </c>
      <c r="B137" t="s">
        <v>1749</v>
      </c>
      <c r="C137" s="6">
        <v>43308</v>
      </c>
      <c r="D137" t="s">
        <v>1750</v>
      </c>
      <c r="E137" s="6">
        <v>43308</v>
      </c>
      <c r="F137" t="s">
        <v>1349</v>
      </c>
      <c r="G137" t="s">
        <v>1350</v>
      </c>
      <c r="H137" t="s">
        <v>1441</v>
      </c>
      <c r="I137" t="s">
        <v>1381</v>
      </c>
      <c r="J137" s="8" t="s">
        <v>1751</v>
      </c>
      <c r="L137" s="6">
        <v>43070</v>
      </c>
    </row>
    <row r="138" spans="1:12" x14ac:dyDescent="0.3">
      <c r="A138" s="8" t="str">
        <f>HYPERLINK("http://www.accessdata.fda.gov/scripts/cder/daf/index.cfm?event=overview.process&amp;varApplNo=210450", "Orilissa")</f>
        <v>Orilissa</v>
      </c>
      <c r="B138" t="s">
        <v>1752</v>
      </c>
      <c r="C138" s="6">
        <v>43304</v>
      </c>
      <c r="D138" t="s">
        <v>1753</v>
      </c>
      <c r="E138" s="6">
        <v>43304</v>
      </c>
      <c r="F138" t="s">
        <v>1349</v>
      </c>
      <c r="G138" t="s">
        <v>1350</v>
      </c>
      <c r="H138" t="s">
        <v>1351</v>
      </c>
      <c r="I138" t="s">
        <v>1361</v>
      </c>
      <c r="J138" s="8" t="s">
        <v>1754</v>
      </c>
      <c r="L138" s="6">
        <v>42970</v>
      </c>
    </row>
    <row r="139" spans="1:12" x14ac:dyDescent="0.3">
      <c r="A139" s="8" t="str">
        <f>HYPERLINK("http://www.accessdata.fda.gov/scripts/cder/daf/index.cfm?event=overview.process&amp;varApplNo=210795", "Krintafel")</f>
        <v>Krintafel</v>
      </c>
      <c r="B139" t="s">
        <v>1755</v>
      </c>
      <c r="C139" s="6">
        <v>43301</v>
      </c>
      <c r="D139" t="s">
        <v>1756</v>
      </c>
      <c r="E139" s="6">
        <v>43301</v>
      </c>
      <c r="F139" t="s">
        <v>1349</v>
      </c>
      <c r="G139" t="s">
        <v>1350</v>
      </c>
      <c r="H139" t="s">
        <v>1351</v>
      </c>
      <c r="I139" t="s">
        <v>1381</v>
      </c>
      <c r="J139" s="8" t="s">
        <v>1757</v>
      </c>
      <c r="L139" s="6">
        <v>43061</v>
      </c>
    </row>
    <row r="140" spans="1:12" x14ac:dyDescent="0.3">
      <c r="A140" s="8" t="str">
        <f>HYPERLINK("http://www.accessdata.fda.gov/scripts/cder/daf/index.cfm?event=overview.process&amp;varApplNo=211192", "Tibsovo")</f>
        <v>Tibsovo</v>
      </c>
      <c r="B140" t="s">
        <v>1758</v>
      </c>
      <c r="C140" s="6">
        <v>43301</v>
      </c>
      <c r="D140" t="s">
        <v>1759</v>
      </c>
      <c r="E140" s="6">
        <v>43301</v>
      </c>
      <c r="F140" t="s">
        <v>1349</v>
      </c>
      <c r="G140" t="s">
        <v>1350</v>
      </c>
      <c r="H140" t="s">
        <v>1351</v>
      </c>
      <c r="I140" t="s">
        <v>1381</v>
      </c>
      <c r="J140" s="8" t="s">
        <v>1760</v>
      </c>
      <c r="L140" s="6">
        <v>43090</v>
      </c>
    </row>
    <row r="141" spans="1:12" x14ac:dyDescent="0.3">
      <c r="A141" s="8" t="str">
        <f>HYPERLINK("http://www.accessdata.fda.gov/scripts/cder/daf/index.cfm?event=overview.process&amp;varApplNo=208627", "TPOXX")</f>
        <v>TPOXX</v>
      </c>
      <c r="B141" t="s">
        <v>1761</v>
      </c>
      <c r="C141" s="6">
        <v>43294</v>
      </c>
      <c r="D141" t="s">
        <v>1762</v>
      </c>
      <c r="E141" s="6">
        <v>43294</v>
      </c>
      <c r="F141" t="s">
        <v>1349</v>
      </c>
      <c r="G141" t="s">
        <v>1350</v>
      </c>
      <c r="H141" t="s">
        <v>1351</v>
      </c>
      <c r="I141" t="s">
        <v>1381</v>
      </c>
      <c r="J141" s="8" t="s">
        <v>1763</v>
      </c>
      <c r="L141" s="6">
        <v>43077</v>
      </c>
    </row>
    <row r="142" spans="1:12" x14ac:dyDescent="0.3">
      <c r="A142" s="8" t="str">
        <f>HYPERLINK("http://www.accessdata.fda.gov/scripts/cder/daf/index.cfm?event=overview.process&amp;varApplNo=210496", "Braftovi")</f>
        <v>Braftovi</v>
      </c>
      <c r="B142" t="s">
        <v>1764</v>
      </c>
      <c r="C142" s="6">
        <v>43278</v>
      </c>
      <c r="D142" t="s">
        <v>1765</v>
      </c>
      <c r="E142" s="6">
        <v>43278</v>
      </c>
      <c r="F142" t="s">
        <v>1349</v>
      </c>
      <c r="G142" t="s">
        <v>1350</v>
      </c>
      <c r="H142" t="s">
        <v>1441</v>
      </c>
      <c r="I142" t="s">
        <v>1371</v>
      </c>
      <c r="J142" s="8" t="s">
        <v>1766</v>
      </c>
      <c r="L142" s="6">
        <v>42916</v>
      </c>
    </row>
    <row r="143" spans="1:12" x14ac:dyDescent="0.3">
      <c r="A143" s="8" t="str">
        <f>HYPERLINK("http://www.accessdata.fda.gov/scripts/cder/daf/index.cfm?event=overview.process&amp;varApplNo=210498", "Mektovi")</f>
        <v>Mektovi</v>
      </c>
      <c r="B143" t="s">
        <v>1767</v>
      </c>
      <c r="C143" s="6">
        <v>43278</v>
      </c>
      <c r="D143" t="s">
        <v>1765</v>
      </c>
      <c r="E143" s="6">
        <v>43278</v>
      </c>
      <c r="F143" t="s">
        <v>1349</v>
      </c>
      <c r="G143" t="s">
        <v>1350</v>
      </c>
      <c r="H143" t="s">
        <v>1441</v>
      </c>
      <c r="I143" t="s">
        <v>1371</v>
      </c>
      <c r="J143" s="8" t="s">
        <v>1768</v>
      </c>
      <c r="L143" s="6">
        <v>42916</v>
      </c>
    </row>
    <row r="144" spans="1:12" x14ac:dyDescent="0.3">
      <c r="A144" s="8" t="str">
        <f>HYPERLINK("http://www.accessdata.fda.gov/scripts/cder/daf/index.cfm?event=overview.process&amp;varApplNo=210303", "Zemdri")</f>
        <v>Zemdri</v>
      </c>
      <c r="B144" t="s">
        <v>1769</v>
      </c>
      <c r="C144" s="6">
        <v>43276</v>
      </c>
      <c r="D144" t="s">
        <v>1770</v>
      </c>
      <c r="E144" s="6">
        <v>43276</v>
      </c>
      <c r="F144" t="s">
        <v>1349</v>
      </c>
      <c r="G144" t="s">
        <v>1350</v>
      </c>
      <c r="H144" t="s">
        <v>1351</v>
      </c>
      <c r="I144" t="s">
        <v>1361</v>
      </c>
      <c r="J144" s="8" t="s">
        <v>1771</v>
      </c>
      <c r="L144" s="6">
        <v>43033</v>
      </c>
    </row>
    <row r="145" spans="1:12" x14ac:dyDescent="0.3">
      <c r="A145" s="8" t="str">
        <f>HYPERLINK("http://www.accessdata.fda.gov/scripts/cder/daf/index.cfm?event=overview.process&amp;varApplNo=210365", "Epidioloex")</f>
        <v>Epidioloex</v>
      </c>
      <c r="B145" t="s">
        <v>1772</v>
      </c>
      <c r="C145" s="6">
        <v>43276</v>
      </c>
      <c r="D145" t="s">
        <v>1773</v>
      </c>
      <c r="E145" s="6">
        <v>43276</v>
      </c>
      <c r="F145" t="s">
        <v>1349</v>
      </c>
      <c r="G145" t="s">
        <v>1350</v>
      </c>
      <c r="H145" t="s">
        <v>1351</v>
      </c>
      <c r="I145" t="s">
        <v>1381</v>
      </c>
      <c r="J145" s="8" t="s">
        <v>1774</v>
      </c>
      <c r="L145" s="6">
        <v>43400</v>
      </c>
    </row>
    <row r="146" spans="1:12" x14ac:dyDescent="0.3">
      <c r="A146" s="8" t="str">
        <f>HYPERLINK("https://www.accessdata.fda.gov/scripts/cder/daf/index.cfm?event=overview.process&amp;applno=210867", "Moxidectin")</f>
        <v>Moxidectin</v>
      </c>
      <c r="B146" t="s">
        <v>1775</v>
      </c>
      <c r="C146" s="6">
        <v>43264</v>
      </c>
      <c r="D146" t="s">
        <v>1776</v>
      </c>
      <c r="E146" s="6">
        <v>43264</v>
      </c>
      <c r="F146" t="s">
        <v>1349</v>
      </c>
      <c r="G146" t="s">
        <v>1350</v>
      </c>
      <c r="H146" t="s">
        <v>1351</v>
      </c>
      <c r="I146" t="s">
        <v>1381</v>
      </c>
      <c r="J146" s="8" t="s">
        <v>1777</v>
      </c>
      <c r="L146" s="6">
        <v>43021</v>
      </c>
    </row>
    <row r="147" spans="1:12" x14ac:dyDescent="0.3">
      <c r="A147" s="8" t="str">
        <f>HYPERLINK("http://www.accessdata.fda.gov/scripts/cder/daf/index.cfm?event=overview.process&amp;varApplNo=207924", "Olumiant")</f>
        <v>Olumiant</v>
      </c>
      <c r="B147" t="s">
        <v>1778</v>
      </c>
      <c r="C147" s="6">
        <v>43251</v>
      </c>
      <c r="D147" t="s">
        <v>1779</v>
      </c>
      <c r="E147" s="6">
        <v>43251</v>
      </c>
      <c r="F147" t="s">
        <v>1349</v>
      </c>
      <c r="G147" t="s">
        <v>1350</v>
      </c>
      <c r="H147" t="s">
        <v>1351</v>
      </c>
      <c r="I147" t="s">
        <v>1352</v>
      </c>
      <c r="J147" s="8" t="s">
        <v>1780</v>
      </c>
      <c r="L147" s="6">
        <v>42384</v>
      </c>
    </row>
    <row r="148" spans="1:12" x14ac:dyDescent="0.3">
      <c r="A148" s="8" t="str">
        <f>HYPERLINK("http://www.accessdata.fda.gov/scripts/cder/daf/index.cfm?event=overview.process&amp;varApplNo=761079", "Palynziq")</f>
        <v>Palynziq</v>
      </c>
      <c r="B148" t="s">
        <v>1781</v>
      </c>
      <c r="C148" s="6">
        <v>43244</v>
      </c>
      <c r="D148" t="s">
        <v>1782</v>
      </c>
      <c r="E148" s="6">
        <v>43244</v>
      </c>
      <c r="F148" t="s">
        <v>1349</v>
      </c>
      <c r="G148" t="s">
        <v>1350</v>
      </c>
      <c r="I148" t="s">
        <v>1357</v>
      </c>
      <c r="J148" s="8" t="s">
        <v>1783</v>
      </c>
      <c r="L148" s="6">
        <v>42916</v>
      </c>
    </row>
    <row r="149" spans="1:12" x14ac:dyDescent="0.3">
      <c r="A149" s="8" t="str">
        <f>HYPERLINK("http://www.accessdata.fda.gov/scripts/cder/daf/index.cfm?event=overview.process&amp;varApplNo=210238", "Doptelet")</f>
        <v>Doptelet</v>
      </c>
      <c r="B149" t="s">
        <v>1784</v>
      </c>
      <c r="C149" s="6">
        <v>43241</v>
      </c>
      <c r="D149" t="s">
        <v>1785</v>
      </c>
      <c r="E149" s="6">
        <v>43241</v>
      </c>
      <c r="F149" t="s">
        <v>1349</v>
      </c>
      <c r="G149" t="s">
        <v>1350</v>
      </c>
      <c r="H149" t="s">
        <v>1351</v>
      </c>
      <c r="I149" t="s">
        <v>1381</v>
      </c>
      <c r="J149" s="8" t="s">
        <v>1786</v>
      </c>
      <c r="L149" s="6">
        <v>42999</v>
      </c>
    </row>
    <row r="150" spans="1:12" x14ac:dyDescent="0.3">
      <c r="A150" s="8" t="str">
        <f>HYPERLINK("http://www.accessdata.fda.gov/scripts/cder/daf/index.cfm?event=overview.process&amp;varApplNo=207078", "Lokelma")</f>
        <v>Lokelma</v>
      </c>
      <c r="B150" t="s">
        <v>1787</v>
      </c>
      <c r="C150" s="6">
        <v>43238</v>
      </c>
      <c r="D150" t="s">
        <v>1788</v>
      </c>
      <c r="E150" s="6">
        <v>43238</v>
      </c>
      <c r="F150" t="s">
        <v>1349</v>
      </c>
      <c r="G150" t="s">
        <v>1350</v>
      </c>
      <c r="H150" t="s">
        <v>1351</v>
      </c>
      <c r="I150" t="s">
        <v>1352</v>
      </c>
      <c r="J150" s="8" t="s">
        <v>1789</v>
      </c>
      <c r="L150" s="6">
        <v>42150</v>
      </c>
    </row>
    <row r="151" spans="1:12" x14ac:dyDescent="0.3">
      <c r="A151" s="8" t="str">
        <f>HYPERLINK("http://www.accessdata.fda.gov/scripts/cder/daf/index.cfm?event=overview.process&amp;varApplNo=761077", "Aimovig")</f>
        <v>Aimovig</v>
      </c>
      <c r="B151" t="s">
        <v>1790</v>
      </c>
      <c r="C151" s="6">
        <v>43237</v>
      </c>
      <c r="D151" t="s">
        <v>1791</v>
      </c>
      <c r="E151" s="6">
        <v>43237</v>
      </c>
      <c r="F151" t="s">
        <v>1349</v>
      </c>
      <c r="G151" t="s">
        <v>1350</v>
      </c>
      <c r="I151" t="s">
        <v>1277</v>
      </c>
      <c r="J151" s="8" t="s">
        <v>1792</v>
      </c>
      <c r="L151" s="6">
        <v>42872</v>
      </c>
    </row>
    <row r="152" spans="1:12" x14ac:dyDescent="0.3">
      <c r="A152" s="8" t="str">
        <f>HYPERLINK("http://www.accessdata.fda.gov/scripts/cder/daf/index.cfm?event=overview.process&amp;varApplNo=209229", "Lucemyra")</f>
        <v>Lucemyra</v>
      </c>
      <c r="B152" t="s">
        <v>1793</v>
      </c>
      <c r="C152" s="6">
        <v>43236</v>
      </c>
      <c r="D152" t="s">
        <v>1794</v>
      </c>
      <c r="E152" s="6">
        <v>43236</v>
      </c>
      <c r="F152" t="s">
        <v>1349</v>
      </c>
      <c r="G152" t="s">
        <v>1350</v>
      </c>
      <c r="H152" t="s">
        <v>1351</v>
      </c>
      <c r="I152" t="s">
        <v>1361</v>
      </c>
      <c r="J152" s="8" t="s">
        <v>1795</v>
      </c>
      <c r="L152" s="6">
        <v>43004</v>
      </c>
    </row>
    <row r="153" spans="1:12" x14ac:dyDescent="0.3">
      <c r="A153" s="8" t="str">
        <f>HYPERLINK("http://www.accessdata.fda.gov/scripts/cder/daf/index.cfm?event=overview.process&amp;varApplNo=210493", "Akynzeo")</f>
        <v>Akynzeo</v>
      </c>
      <c r="B153" t="s">
        <v>1796</v>
      </c>
      <c r="C153" s="6">
        <v>43209</v>
      </c>
      <c r="D153" t="s">
        <v>1797</v>
      </c>
      <c r="E153" s="6">
        <v>43209</v>
      </c>
      <c r="F153" t="s">
        <v>1349</v>
      </c>
      <c r="G153" t="s">
        <v>1350</v>
      </c>
      <c r="H153" t="s">
        <v>1351</v>
      </c>
      <c r="I153" t="s">
        <v>1352</v>
      </c>
      <c r="J153" s="8" t="s">
        <v>1798</v>
      </c>
      <c r="L153" s="6">
        <v>42845</v>
      </c>
    </row>
    <row r="154" spans="1:12" x14ac:dyDescent="0.3">
      <c r="A154" s="8" t="str">
        <f>HYPERLINK("http://www.accessdata.fda.gov/scripts/cder/daf/index.cfm?event=overview.process&amp;varApplNo=761068", "Crysvita")</f>
        <v>Crysvita</v>
      </c>
      <c r="B154" t="s">
        <v>1799</v>
      </c>
      <c r="C154" s="6">
        <v>43207</v>
      </c>
      <c r="D154" t="s">
        <v>1800</v>
      </c>
      <c r="E154" s="6">
        <v>43207</v>
      </c>
      <c r="F154" t="s">
        <v>1349</v>
      </c>
      <c r="G154" t="s">
        <v>1350</v>
      </c>
      <c r="I154" t="s">
        <v>1357</v>
      </c>
      <c r="J154" s="8" t="s">
        <v>1801</v>
      </c>
      <c r="L154" s="6">
        <v>42964</v>
      </c>
    </row>
    <row r="155" spans="1:12" x14ac:dyDescent="0.3">
      <c r="A155" s="8" t="str">
        <f>HYPERLINK("http://www.accessdata.fda.gov/scripts/cder/daf/index.cfm?event=overview.process&amp;varApplNo=209299", "Tavalisse")</f>
        <v>Tavalisse</v>
      </c>
      <c r="B155" t="s">
        <v>1802</v>
      </c>
      <c r="C155" s="6">
        <v>43207</v>
      </c>
      <c r="D155" t="s">
        <v>1803</v>
      </c>
      <c r="E155" s="6">
        <v>43207</v>
      </c>
      <c r="F155" t="s">
        <v>1349</v>
      </c>
      <c r="G155" t="s">
        <v>1350</v>
      </c>
      <c r="H155" t="s">
        <v>1351</v>
      </c>
      <c r="I155" t="s">
        <v>1371</v>
      </c>
      <c r="J155" s="8" t="s">
        <v>1804</v>
      </c>
      <c r="L155" s="6">
        <v>42840</v>
      </c>
    </row>
    <row r="156" spans="1:12" x14ac:dyDescent="0.3">
      <c r="A156" s="8" t="str">
        <f>HYPERLINK("http://www.accessdata.fda.gov/scripts/cder/daf/index.cfm?event=overview.process&amp;varApplNo=761067", "Ilumya")</f>
        <v>Ilumya</v>
      </c>
      <c r="B156" t="s">
        <v>1805</v>
      </c>
      <c r="C156" s="6">
        <v>43179</v>
      </c>
      <c r="D156" t="s">
        <v>1806</v>
      </c>
      <c r="E156" s="6">
        <v>43179</v>
      </c>
      <c r="F156" t="s">
        <v>1349</v>
      </c>
      <c r="G156" t="s">
        <v>1350</v>
      </c>
      <c r="I156" t="s">
        <v>1277</v>
      </c>
      <c r="J156" s="8" t="s">
        <v>1807</v>
      </c>
      <c r="L156" s="6">
        <v>42817</v>
      </c>
    </row>
    <row r="157" spans="1:12" x14ac:dyDescent="0.3">
      <c r="A157" s="8" t="str">
        <f>HYPERLINK("http://www.accessdata.fda.gov/scripts/cder/daf/index.cfm?event=overview.process&amp;varApplNo=761065", "Trogarzo")</f>
        <v>Trogarzo</v>
      </c>
      <c r="B157" t="s">
        <v>1808</v>
      </c>
      <c r="C157" s="6">
        <v>43165</v>
      </c>
      <c r="D157" t="s">
        <v>1809</v>
      </c>
      <c r="E157" s="6">
        <v>43165</v>
      </c>
      <c r="F157" t="s">
        <v>1349</v>
      </c>
      <c r="G157" t="s">
        <v>1350</v>
      </c>
      <c r="I157" t="s">
        <v>1357</v>
      </c>
      <c r="J157" s="8" t="s">
        <v>1810</v>
      </c>
      <c r="L157" s="6" t="s">
        <v>1354</v>
      </c>
    </row>
    <row r="158" spans="1:12" x14ac:dyDescent="0.3">
      <c r="A158" s="8" t="str">
        <f>HYPERLINK("http://www.accessdata.fda.gov/scripts/cder/daf/index.cfm?event=overview.process&amp;varApplNo=210951", "Erleada")</f>
        <v>Erleada</v>
      </c>
      <c r="B158" t="s">
        <v>1811</v>
      </c>
      <c r="C158" s="6">
        <v>43145</v>
      </c>
      <c r="D158" t="s">
        <v>1812</v>
      </c>
      <c r="E158" s="6">
        <v>43145</v>
      </c>
      <c r="F158" t="s">
        <v>1349</v>
      </c>
      <c r="G158" t="s">
        <v>1350</v>
      </c>
      <c r="H158" t="s">
        <v>1351</v>
      </c>
      <c r="I158" t="s">
        <v>1361</v>
      </c>
      <c r="J158" s="8" t="s">
        <v>1813</v>
      </c>
      <c r="L158" s="6">
        <v>43017</v>
      </c>
    </row>
    <row r="159" spans="1:12" x14ac:dyDescent="0.3">
      <c r="A159" s="8" t="str">
        <f>HYPERLINK("http://www.accessdata.fda.gov/scripts/cder/daf/index.cfm?event=overview.process&amp;varApplNo=210491", "Symdeko")</f>
        <v>Symdeko</v>
      </c>
      <c r="B159" t="s">
        <v>1814</v>
      </c>
      <c r="C159" s="6">
        <v>43143</v>
      </c>
      <c r="D159" t="s">
        <v>1815</v>
      </c>
      <c r="E159" s="6">
        <v>43143</v>
      </c>
      <c r="F159" t="s">
        <v>1349</v>
      </c>
      <c r="G159" t="s">
        <v>1350</v>
      </c>
      <c r="H159" t="s">
        <v>1351</v>
      </c>
      <c r="I159" t="s">
        <v>1381</v>
      </c>
      <c r="J159" s="8" t="s">
        <v>1816</v>
      </c>
      <c r="L159" s="6">
        <v>42914</v>
      </c>
    </row>
    <row r="160" spans="1:12" x14ac:dyDescent="0.3">
      <c r="A160" s="8" t="str">
        <f>HYPERLINK("http://www.accessdata.fda.gov/scripts/cder/daf/index.cfm?event=overview.process&amp;varApplNo=210251", "Biktarvy")</f>
        <v>Biktarvy</v>
      </c>
      <c r="B160" t="s">
        <v>1817</v>
      </c>
      <c r="C160" s="6">
        <v>43138</v>
      </c>
      <c r="D160" t="s">
        <v>1818</v>
      </c>
      <c r="E160" s="6">
        <v>43138</v>
      </c>
      <c r="F160" t="s">
        <v>1349</v>
      </c>
      <c r="G160" t="s">
        <v>1350</v>
      </c>
      <c r="H160" t="s">
        <v>1441</v>
      </c>
      <c r="I160" t="s">
        <v>1361</v>
      </c>
      <c r="J160" s="8" t="s">
        <v>1819</v>
      </c>
      <c r="L160" s="6">
        <v>42896</v>
      </c>
    </row>
    <row r="161" spans="1:12" x14ac:dyDescent="0.3">
      <c r="A161" s="8" t="str">
        <f>HYPERLINK("http://www.accessdata.fda.gov/scripts/cder/daf/index.cfm?event=overview.process&amp;varApplNo=208700", "Lutathera")</f>
        <v>Lutathera</v>
      </c>
      <c r="B161" t="s">
        <v>1820</v>
      </c>
      <c r="C161" s="6">
        <v>43126</v>
      </c>
      <c r="D161" t="s">
        <v>1821</v>
      </c>
      <c r="E161" s="6">
        <v>43126</v>
      </c>
      <c r="F161" t="s">
        <v>1349</v>
      </c>
      <c r="G161" t="s">
        <v>1350</v>
      </c>
      <c r="H161" t="s">
        <v>1351</v>
      </c>
      <c r="I161" t="s">
        <v>1381</v>
      </c>
      <c r="J161" s="8" t="s">
        <v>1822</v>
      </c>
      <c r="L161" s="6">
        <v>42942</v>
      </c>
    </row>
    <row r="162" spans="1:12" x14ac:dyDescent="0.3">
      <c r="A162" s="8" t="str">
        <f>HYPERLINK("http://www.accessdata.fda.gov/scripts/cder/daf/index.cfm?event=overview.process&amp;varApplNo=209360", "Giapreza")</f>
        <v>Giapreza</v>
      </c>
      <c r="B162" t="s">
        <v>1823</v>
      </c>
      <c r="C162" s="6">
        <v>43090</v>
      </c>
      <c r="D162" t="s">
        <v>1824</v>
      </c>
      <c r="E162" s="6">
        <v>43090</v>
      </c>
      <c r="F162" t="s">
        <v>1349</v>
      </c>
      <c r="G162" t="s">
        <v>1350</v>
      </c>
      <c r="H162" t="s">
        <v>1351</v>
      </c>
      <c r="I162" t="s">
        <v>1361</v>
      </c>
      <c r="J162" s="8" t="s">
        <v>1825</v>
      </c>
      <c r="L162" s="6">
        <v>42915</v>
      </c>
    </row>
    <row r="163" spans="1:12" x14ac:dyDescent="0.3">
      <c r="A163" s="8" t="str">
        <f>HYPERLINK("http://www.accessdata.fda.gov/scripts/cder/daf/index.cfm?event=overview.process&amp;varApplNo=205598", "Macrilen")</f>
        <v>Macrilen</v>
      </c>
      <c r="B163" t="s">
        <v>1826</v>
      </c>
      <c r="C163" s="6">
        <v>43089</v>
      </c>
      <c r="D163" t="s">
        <v>1827</v>
      </c>
      <c r="E163" s="6">
        <v>43089</v>
      </c>
      <c r="F163" t="s">
        <v>1349</v>
      </c>
      <c r="G163" t="s">
        <v>1350</v>
      </c>
      <c r="H163" t="s">
        <v>1351</v>
      </c>
      <c r="I163" t="s">
        <v>1371</v>
      </c>
      <c r="J163" s="8" t="s">
        <v>1828</v>
      </c>
      <c r="L163" s="6">
        <v>41582</v>
      </c>
    </row>
    <row r="164" spans="1:12" x14ac:dyDescent="0.3">
      <c r="A164" s="8" t="str">
        <f>HYPERLINK("http://www.accessdata.fda.gov/scripts/cder/daf/index.cfm?event=overview.process&amp;varApplNo=209803", "Steglatro")</f>
        <v>Steglatro</v>
      </c>
      <c r="B164" t="s">
        <v>1829</v>
      </c>
      <c r="C164" s="6">
        <v>43088</v>
      </c>
      <c r="D164" t="s">
        <v>1830</v>
      </c>
      <c r="E164" s="6">
        <v>43088</v>
      </c>
      <c r="F164" t="s">
        <v>1349</v>
      </c>
      <c r="G164" t="s">
        <v>1350</v>
      </c>
      <c r="H164" t="s">
        <v>1351</v>
      </c>
      <c r="I164" t="s">
        <v>1352</v>
      </c>
      <c r="J164" s="8" t="s">
        <v>1831</v>
      </c>
      <c r="L164" s="6">
        <v>42723</v>
      </c>
    </row>
    <row r="165" spans="1:12" x14ac:dyDescent="0.3">
      <c r="A165" s="8" t="str">
        <f>HYPERLINK("http://www.accessdata.fda.gov/scripts/cder/daf/index.cfm?event=overview.process&amp;varApplNo=208254", "Rhopressa")</f>
        <v>Rhopressa</v>
      </c>
      <c r="B165" t="s">
        <v>1832</v>
      </c>
      <c r="C165" s="6">
        <v>43087</v>
      </c>
      <c r="D165" t="s">
        <v>1833</v>
      </c>
      <c r="E165" s="6">
        <v>43087</v>
      </c>
      <c r="F165" t="s">
        <v>1349</v>
      </c>
      <c r="G165" t="s">
        <v>1350</v>
      </c>
      <c r="H165" t="s">
        <v>1351</v>
      </c>
      <c r="I165" t="s">
        <v>1352</v>
      </c>
      <c r="J165" s="8" t="s">
        <v>1834</v>
      </c>
      <c r="L165" s="6">
        <v>42794</v>
      </c>
    </row>
    <row r="166" spans="1:12" x14ac:dyDescent="0.3">
      <c r="A166" s="8" t="str">
        <f>HYPERLINK("http://www.accessdata.fda.gov/scripts/cder/daf/index.cfm?event=overview.process&amp;varApplNo=208945", "Xepi")</f>
        <v>Xepi</v>
      </c>
      <c r="B166" t="s">
        <v>1835</v>
      </c>
      <c r="C166" s="6">
        <v>43080</v>
      </c>
      <c r="D166" t="s">
        <v>1836</v>
      </c>
      <c r="E166" s="6">
        <v>43080</v>
      </c>
      <c r="F166" t="s">
        <v>1349</v>
      </c>
      <c r="G166" t="s">
        <v>1350</v>
      </c>
      <c r="H166" t="s">
        <v>1351</v>
      </c>
      <c r="I166" t="s">
        <v>1352</v>
      </c>
      <c r="J166" s="8" t="s">
        <v>1837</v>
      </c>
      <c r="L166" s="6">
        <v>42544</v>
      </c>
    </row>
    <row r="167" spans="1:12" x14ac:dyDescent="0.3">
      <c r="A167" s="8" t="str">
        <f>HYPERLINK("http://www.accessdata.fda.gov/scripts/cder/daf/index.cfm?event=overview.process&amp;varApplNo=209637", "Ozempic")</f>
        <v>Ozempic</v>
      </c>
      <c r="B167" t="s">
        <v>1838</v>
      </c>
      <c r="C167" s="6">
        <v>43074</v>
      </c>
      <c r="D167" t="s">
        <v>1830</v>
      </c>
      <c r="E167" s="6">
        <v>43074</v>
      </c>
      <c r="F167" t="s">
        <v>1349</v>
      </c>
      <c r="G167" t="s">
        <v>1350</v>
      </c>
      <c r="H167" t="s">
        <v>1351</v>
      </c>
      <c r="I167" t="s">
        <v>1352</v>
      </c>
      <c r="J167" s="8" t="s">
        <v>1839</v>
      </c>
      <c r="L167" s="6">
        <v>42709</v>
      </c>
    </row>
    <row r="168" spans="1:12" x14ac:dyDescent="0.3">
      <c r="A168" s="8" t="str">
        <f>HYPERLINK("http://www.accessdata.fda.gov/scripts/cder/daf/index.cfm?event=overview.process&amp;varApplNo=761083", "Hemlibra")</f>
        <v>Hemlibra</v>
      </c>
      <c r="B168" t="s">
        <v>1840</v>
      </c>
      <c r="C168" s="6">
        <v>43055</v>
      </c>
      <c r="D168" t="s">
        <v>1841</v>
      </c>
      <c r="E168" s="6">
        <v>43055</v>
      </c>
      <c r="F168" t="s">
        <v>1349</v>
      </c>
      <c r="G168" t="s">
        <v>1350</v>
      </c>
      <c r="I168" t="s">
        <v>1357</v>
      </c>
      <c r="J168" s="8" t="s">
        <v>1842</v>
      </c>
      <c r="L168" s="6">
        <v>42909</v>
      </c>
    </row>
    <row r="169" spans="1:12" x14ac:dyDescent="0.3">
      <c r="A169" s="8" t="str">
        <f>HYPERLINK("http://www.accessdata.fda.gov/scripts/cder/daf/index.cfm?event=overview.process&amp;varApplNo=761047", "Mepsevii")</f>
        <v>Mepsevii</v>
      </c>
      <c r="B169" t="s">
        <v>1843</v>
      </c>
      <c r="C169" s="6">
        <v>43054</v>
      </c>
      <c r="D169" t="s">
        <v>1844</v>
      </c>
      <c r="E169" s="6">
        <v>43054</v>
      </c>
      <c r="F169" t="s">
        <v>1349</v>
      </c>
      <c r="G169" t="s">
        <v>1350</v>
      </c>
      <c r="I169" t="s">
        <v>1357</v>
      </c>
      <c r="J169" s="8" t="s">
        <v>1845</v>
      </c>
      <c r="L169" s="6">
        <v>42810</v>
      </c>
    </row>
    <row r="170" spans="1:12" x14ac:dyDescent="0.3">
      <c r="A170" s="8" t="str">
        <f>HYPERLINK("http://www.accessdata.fda.gov/scripts/cder/daf/index.cfm?event=overview.process&amp;varApplNo=761070", "Fasenra")</f>
        <v>Fasenra</v>
      </c>
      <c r="B170" t="s">
        <v>1846</v>
      </c>
      <c r="C170" s="6">
        <v>43053</v>
      </c>
      <c r="D170" t="s">
        <v>1847</v>
      </c>
      <c r="E170" s="6">
        <v>43053</v>
      </c>
      <c r="F170" t="s">
        <v>1349</v>
      </c>
      <c r="G170" t="s">
        <v>1350</v>
      </c>
      <c r="I170" t="s">
        <v>1277</v>
      </c>
      <c r="J170" s="8" t="s">
        <v>1848</v>
      </c>
      <c r="L170" s="6">
        <v>42690</v>
      </c>
    </row>
    <row r="171" spans="1:12" x14ac:dyDescent="0.3">
      <c r="A171" s="8" t="str">
        <f>HYPERLINK("http://www.accessdata.fda.gov/scripts/cder/daf/index.cfm?event=overview.process&amp;varApplNo=209939", "Prevymis")</f>
        <v>Prevymis</v>
      </c>
      <c r="B171" t="s">
        <v>1849</v>
      </c>
      <c r="C171" s="6">
        <v>43047</v>
      </c>
      <c r="D171" t="s">
        <v>1850</v>
      </c>
      <c r="E171" s="6">
        <v>43047</v>
      </c>
      <c r="F171" t="s">
        <v>1349</v>
      </c>
      <c r="G171" t="s">
        <v>1350</v>
      </c>
      <c r="H171" t="s">
        <v>1351</v>
      </c>
      <c r="I171" t="s">
        <v>1381</v>
      </c>
      <c r="J171" s="8" t="s">
        <v>1851</v>
      </c>
      <c r="L171" s="6">
        <v>42802</v>
      </c>
    </row>
    <row r="172" spans="1:12" x14ac:dyDescent="0.3">
      <c r="A172" s="8" t="str">
        <f>HYPERLINK("http://www.accessdata.fda.gov/scripts/cder/daf/index.cfm?event=overview.process&amp;varApplNo=207795", "Vyzulta")</f>
        <v>Vyzulta</v>
      </c>
      <c r="B172" t="s">
        <v>1852</v>
      </c>
      <c r="C172" s="6">
        <v>43041</v>
      </c>
      <c r="D172" t="s">
        <v>1853</v>
      </c>
      <c r="E172" s="6">
        <v>43041</v>
      </c>
      <c r="F172" t="s">
        <v>1349</v>
      </c>
      <c r="G172" t="s">
        <v>1350</v>
      </c>
      <c r="H172" t="s">
        <v>1351</v>
      </c>
      <c r="I172" t="s">
        <v>1352</v>
      </c>
      <c r="J172" s="8" t="s">
        <v>1854</v>
      </c>
      <c r="L172" s="6" t="s">
        <v>1354</v>
      </c>
    </row>
    <row r="173" spans="1:12" x14ac:dyDescent="0.3">
      <c r="A173" s="8" t="str">
        <f>HYPERLINK("http://www.accessdata.fda.gov/scripts/cder/daf/index.cfm?event=overview.process&amp;varApplNo=210259", "Calquence")</f>
        <v>Calquence</v>
      </c>
      <c r="B173" t="s">
        <v>1855</v>
      </c>
      <c r="C173" s="6">
        <v>43039</v>
      </c>
      <c r="D173" t="s">
        <v>1856</v>
      </c>
      <c r="E173" s="6">
        <v>43039</v>
      </c>
      <c r="F173" t="s">
        <v>1349</v>
      </c>
      <c r="G173" t="s">
        <v>1350</v>
      </c>
      <c r="H173" t="s">
        <v>1351</v>
      </c>
      <c r="I173" t="s">
        <v>1381</v>
      </c>
      <c r="J173" s="8" t="s">
        <v>1857</v>
      </c>
      <c r="L173" s="6">
        <v>42899</v>
      </c>
    </row>
    <row r="174" spans="1:12" x14ac:dyDescent="0.3">
      <c r="A174" s="8" t="str">
        <f>HYPERLINK("http://www.accessdata.fda.gov/scripts/cder/daf/index.cfm?event=overview.process&amp;varApplNo=208716", "Verzenio")</f>
        <v>Verzenio</v>
      </c>
      <c r="B174" t="s">
        <v>1858</v>
      </c>
      <c r="C174" s="6">
        <v>43006</v>
      </c>
      <c r="D174" t="s">
        <v>1859</v>
      </c>
      <c r="E174" s="6">
        <v>43006</v>
      </c>
      <c r="F174" t="s">
        <v>1349</v>
      </c>
      <c r="G174" t="s">
        <v>1350</v>
      </c>
      <c r="H174" t="s">
        <v>1351</v>
      </c>
      <c r="I174" t="s">
        <v>1361</v>
      </c>
      <c r="J174" s="8" t="s">
        <v>1860</v>
      </c>
      <c r="L174" s="6">
        <v>42860</v>
      </c>
    </row>
    <row r="175" spans="1:12" x14ac:dyDescent="0.3">
      <c r="A175" s="8" t="str">
        <f>HYPERLINK("http://www.accessdata.fda.gov/scripts/cder/daf/index.cfm?event=overview.process&amp;varApplNo=209363", "Solosec")</f>
        <v>Solosec</v>
      </c>
      <c r="B175" t="s">
        <v>1861</v>
      </c>
      <c r="C175" s="6">
        <v>42993</v>
      </c>
      <c r="D175" t="s">
        <v>1862</v>
      </c>
      <c r="E175" s="6">
        <v>42993</v>
      </c>
      <c r="F175" t="s">
        <v>1349</v>
      </c>
      <c r="G175" t="s">
        <v>1350</v>
      </c>
      <c r="H175" t="s">
        <v>1351</v>
      </c>
      <c r="I175" t="s">
        <v>1361</v>
      </c>
      <c r="J175" s="8" t="s">
        <v>1863</v>
      </c>
      <c r="L175" s="6">
        <v>42752</v>
      </c>
    </row>
    <row r="176" spans="1:12" x14ac:dyDescent="0.3">
      <c r="A176" s="8" t="str">
        <f>HYPERLINK("http://www.accessdata.fda.gov/scripts/cder/daf/index.cfm?event=overview.process&amp;varApplNo=209936", "Aliqopa")</f>
        <v>Aliqopa</v>
      </c>
      <c r="B176" t="s">
        <v>1864</v>
      </c>
      <c r="C176" s="6">
        <v>42992</v>
      </c>
      <c r="D176" t="s">
        <v>1865</v>
      </c>
      <c r="E176" s="6">
        <v>42992</v>
      </c>
      <c r="F176" t="s">
        <v>1349</v>
      </c>
      <c r="G176" t="s">
        <v>1350</v>
      </c>
      <c r="H176" t="s">
        <v>1351</v>
      </c>
      <c r="I176" t="s">
        <v>1381</v>
      </c>
      <c r="J176" s="8" t="s">
        <v>1866</v>
      </c>
      <c r="L176" s="6">
        <v>42810</v>
      </c>
    </row>
    <row r="177" spans="1:12" x14ac:dyDescent="0.3">
      <c r="A177" s="8" t="str">
        <f>HYPERLINK("http://www.accessdata.fda.gov/scripts/cder/daf/index.cfm?event=overview.process&amp;varApplNo=209570", "benznidazole")</f>
        <v>benznidazole</v>
      </c>
      <c r="B177" t="s">
        <v>1867</v>
      </c>
      <c r="C177" s="6">
        <v>42976</v>
      </c>
      <c r="D177" t="s">
        <v>1868</v>
      </c>
      <c r="E177" s="6">
        <v>42976</v>
      </c>
      <c r="F177" t="s">
        <v>1349</v>
      </c>
      <c r="G177" t="s">
        <v>1350</v>
      </c>
      <c r="H177" t="s">
        <v>1351</v>
      </c>
      <c r="I177" t="s">
        <v>1381</v>
      </c>
      <c r="J177" s="8" t="s">
        <v>1869</v>
      </c>
      <c r="L177" s="6">
        <v>42733</v>
      </c>
    </row>
    <row r="178" spans="1:12" x14ac:dyDescent="0.3">
      <c r="A178" s="8" t="str">
        <f>HYPERLINK("http://www.accessdata.fda.gov/scripts/cder/daf/index.cfm?event=overview.process&amp;varApplNo=209776", "Vabomere")</f>
        <v>Vabomere</v>
      </c>
      <c r="B178" t="s">
        <v>1870</v>
      </c>
      <c r="C178" s="6">
        <v>42976</v>
      </c>
      <c r="D178" t="s">
        <v>1871</v>
      </c>
      <c r="E178" s="6">
        <v>42976</v>
      </c>
      <c r="F178" t="s">
        <v>1349</v>
      </c>
      <c r="G178" t="s">
        <v>1350</v>
      </c>
      <c r="H178" t="s">
        <v>1441</v>
      </c>
      <c r="I178" t="s">
        <v>1361</v>
      </c>
      <c r="J178" s="8" t="s">
        <v>1872</v>
      </c>
      <c r="K178" s="8" t="s">
        <v>1873</v>
      </c>
      <c r="L178" s="6">
        <v>42733</v>
      </c>
    </row>
    <row r="179" spans="1:12" x14ac:dyDescent="0.3">
      <c r="A179" s="8" t="str">
        <f>HYPERLINK("http://www.accessdata.fda.gov/scripts/cder/daf/index.cfm?event=overview.process&amp;varApplNo=761040", "Besponsa")</f>
        <v>Besponsa</v>
      </c>
      <c r="B179" t="s">
        <v>1874</v>
      </c>
      <c r="C179" s="6">
        <v>42964</v>
      </c>
      <c r="D179" t="s">
        <v>1875</v>
      </c>
      <c r="E179" s="6">
        <v>42964</v>
      </c>
      <c r="F179" t="s">
        <v>1349</v>
      </c>
      <c r="G179" t="s">
        <v>1350</v>
      </c>
      <c r="I179" t="s">
        <v>1357</v>
      </c>
      <c r="J179" s="8" t="s">
        <v>1876</v>
      </c>
      <c r="L179" s="6" t="s">
        <v>1354</v>
      </c>
    </row>
    <row r="180" spans="1:12" x14ac:dyDescent="0.3">
      <c r="A180" s="8" t="str">
        <f>HYPERLINK("http://www.accessdata.fda.gov/scripts/cder/daf/index.cfm?event=overview.process&amp;varApplNo=209394", "Mavyret")</f>
        <v>Mavyret</v>
      </c>
      <c r="B180" t="s">
        <v>1877</v>
      </c>
      <c r="C180" s="6">
        <v>42950</v>
      </c>
      <c r="D180" t="s">
        <v>1878</v>
      </c>
      <c r="E180" s="6">
        <v>42950</v>
      </c>
      <c r="F180" t="s">
        <v>1349</v>
      </c>
      <c r="G180" t="s">
        <v>1350</v>
      </c>
      <c r="H180" t="s">
        <v>1441</v>
      </c>
      <c r="I180" t="s">
        <v>1381</v>
      </c>
      <c r="J180" s="8" t="s">
        <v>1879</v>
      </c>
      <c r="L180" s="6">
        <v>42718</v>
      </c>
    </row>
    <row r="181" spans="1:12" x14ac:dyDescent="0.3">
      <c r="A181" s="8" t="str">
        <f>HYPERLINK("http://www.accessdata.fda.gov/scripts/cder/daf/index.cfm?event=overview.process&amp;varApplNo=209606", "Idhifa")</f>
        <v>Idhifa</v>
      </c>
      <c r="B181" t="s">
        <v>1880</v>
      </c>
      <c r="C181" s="6">
        <v>42948</v>
      </c>
      <c r="D181" t="s">
        <v>1881</v>
      </c>
      <c r="E181" s="6">
        <v>42948</v>
      </c>
      <c r="F181" t="s">
        <v>1349</v>
      </c>
      <c r="G181" t="s">
        <v>1350</v>
      </c>
      <c r="H181" t="s">
        <v>1351</v>
      </c>
      <c r="I181" t="s">
        <v>1381</v>
      </c>
      <c r="J181" s="8" t="s">
        <v>1882</v>
      </c>
      <c r="L181" s="6">
        <v>42734</v>
      </c>
    </row>
    <row r="182" spans="1:12" x14ac:dyDescent="0.3">
      <c r="A182" s="8" t="str">
        <f>HYPERLINK("http://www.accessdata.fda.gov/scripts/cder/daf/index.cfm?event=overview.process&amp;varApplNo=209195", "Vosevi")</f>
        <v>Vosevi</v>
      </c>
      <c r="B182" t="s">
        <v>1883</v>
      </c>
      <c r="C182" s="6">
        <v>42934</v>
      </c>
      <c r="D182" t="s">
        <v>1878</v>
      </c>
      <c r="E182" s="6">
        <v>42934</v>
      </c>
      <c r="F182" t="s">
        <v>1349</v>
      </c>
      <c r="G182" t="s">
        <v>1350</v>
      </c>
      <c r="H182" t="s">
        <v>1441</v>
      </c>
      <c r="I182" t="s">
        <v>1361</v>
      </c>
      <c r="J182" s="8" t="s">
        <v>1884</v>
      </c>
      <c r="L182" s="6">
        <v>42712</v>
      </c>
    </row>
    <row r="183" spans="1:12" x14ac:dyDescent="0.3">
      <c r="A183" s="8" t="str">
        <f>HYPERLINK("http://www.accessdata.fda.gov/scripts/cder/daf/index.cfm?event=overview.process&amp;varApplNo=208051", "Nerlynx")</f>
        <v>Nerlynx</v>
      </c>
      <c r="B183" t="s">
        <v>1885</v>
      </c>
      <c r="C183" s="6">
        <v>42933</v>
      </c>
      <c r="D183" t="s">
        <v>1886</v>
      </c>
      <c r="E183" s="6">
        <v>42933</v>
      </c>
      <c r="F183" t="s">
        <v>1349</v>
      </c>
      <c r="G183" t="s">
        <v>1350</v>
      </c>
      <c r="H183" t="s">
        <v>1351</v>
      </c>
      <c r="I183" t="s">
        <v>1352</v>
      </c>
      <c r="J183" s="8" t="s">
        <v>1887</v>
      </c>
      <c r="L183" s="6" t="s">
        <v>1888</v>
      </c>
    </row>
    <row r="184" spans="1:12" x14ac:dyDescent="0.3">
      <c r="A184" s="8" t="str">
        <f>HYPERLINK("http://www.accessdata.fda.gov/scripts/cder/daf/index.cfm?event=overview.process&amp;varApplNo=761061", "Tremfya")</f>
        <v>Tremfya</v>
      </c>
      <c r="B184" t="s">
        <v>1889</v>
      </c>
      <c r="C184" s="6">
        <v>42929</v>
      </c>
      <c r="D184" t="s">
        <v>1890</v>
      </c>
      <c r="E184" s="6">
        <v>42929</v>
      </c>
      <c r="F184" t="s">
        <v>1349</v>
      </c>
      <c r="G184" t="s">
        <v>1350</v>
      </c>
      <c r="I184" t="s">
        <v>1277</v>
      </c>
      <c r="J184" s="8" t="s">
        <v>1891</v>
      </c>
      <c r="L184" s="6" t="s">
        <v>1354</v>
      </c>
    </row>
    <row r="185" spans="1:12" x14ac:dyDescent="0.3">
      <c r="A185" s="8" t="str">
        <f>HYPERLINK("http://www.accessdata.fda.gov/scripts/cder/daf/index.cfm?event=overview.process&amp;varApplNo=208383", "Bevyxxa")</f>
        <v>Bevyxxa</v>
      </c>
      <c r="B185" t="s">
        <v>1892</v>
      </c>
      <c r="C185" s="6">
        <v>42909</v>
      </c>
      <c r="D185" t="s">
        <v>1893</v>
      </c>
      <c r="E185" s="6">
        <v>42909</v>
      </c>
      <c r="F185" t="s">
        <v>1349</v>
      </c>
      <c r="G185" t="s">
        <v>1350</v>
      </c>
      <c r="H185" t="s">
        <v>1351</v>
      </c>
      <c r="I185" t="s">
        <v>1361</v>
      </c>
      <c r="J185" s="8" t="s">
        <v>1894</v>
      </c>
      <c r="L185" s="6">
        <v>42666</v>
      </c>
    </row>
    <row r="186" spans="1:12" x14ac:dyDescent="0.3">
      <c r="A186" s="8" t="str">
        <f>HYPERLINK("http://www.accessdata.fda.gov/scripts/cder/daf/index.cfm?event=overview.process&amp;varApplNo=208610", "Baxdela")</f>
        <v>Baxdela</v>
      </c>
      <c r="B186" t="s">
        <v>1895</v>
      </c>
      <c r="C186" s="6">
        <v>42905</v>
      </c>
      <c r="D186" t="s">
        <v>1896</v>
      </c>
      <c r="E186" s="6">
        <v>42905</v>
      </c>
      <c r="F186" t="s">
        <v>1349</v>
      </c>
      <c r="G186" t="s">
        <v>1350</v>
      </c>
      <c r="H186" t="s">
        <v>1351</v>
      </c>
      <c r="I186" t="s">
        <v>1361</v>
      </c>
      <c r="J186" s="8" t="s">
        <v>1897</v>
      </c>
      <c r="K186" s="8" t="s">
        <v>1873</v>
      </c>
      <c r="L186" s="6">
        <v>42661</v>
      </c>
    </row>
    <row r="187" spans="1:12" x14ac:dyDescent="0.3">
      <c r="A187" s="8" t="str">
        <f>HYPERLINK("http://www.accessdata.fda.gov/scripts/cder/daf/index.cfm?event=overview.process&amp;varApplNo=761037", "Kevzara")</f>
        <v>Kevzara</v>
      </c>
      <c r="B187" t="s">
        <v>1898</v>
      </c>
      <c r="C187" s="6">
        <v>42877</v>
      </c>
      <c r="D187" t="s">
        <v>1899</v>
      </c>
      <c r="E187" s="6">
        <v>42877</v>
      </c>
      <c r="F187" t="s">
        <v>1349</v>
      </c>
      <c r="G187" t="s">
        <v>1350</v>
      </c>
      <c r="I187" t="s">
        <v>1277</v>
      </c>
      <c r="J187" s="8" t="s">
        <v>1900</v>
      </c>
      <c r="L187" s="6">
        <v>42307</v>
      </c>
    </row>
    <row r="188" spans="1:12" x14ac:dyDescent="0.3">
      <c r="A188" s="8" t="str">
        <f>HYPERLINK("http://www.accessdata.fda.gov/scripts/cder/daf/index.cfm?event=overview.process&amp;varApplNo=209176", "Radicava")</f>
        <v>Radicava</v>
      </c>
      <c r="B188" t="s">
        <v>1901</v>
      </c>
      <c r="C188" s="6">
        <v>42860</v>
      </c>
      <c r="D188" t="s">
        <v>1902</v>
      </c>
      <c r="E188" s="6">
        <v>42860</v>
      </c>
      <c r="F188" t="s">
        <v>1349</v>
      </c>
      <c r="G188" t="s">
        <v>1350</v>
      </c>
      <c r="H188" t="s">
        <v>1351</v>
      </c>
      <c r="I188" t="s">
        <v>1371</v>
      </c>
      <c r="J188" s="8" t="s">
        <v>1903</v>
      </c>
      <c r="L188" s="6">
        <v>42537</v>
      </c>
    </row>
    <row r="189" spans="1:12" x14ac:dyDescent="0.3">
      <c r="A189" s="8" t="str">
        <f>HYPERLINK("http://www.accessdata.fda.gov/scripts/cder/daf/index.cfm?event=overview.process&amp;varApplNo=761069", "Imfinzi")</f>
        <v>Imfinzi</v>
      </c>
      <c r="B189" t="s">
        <v>1904</v>
      </c>
      <c r="C189" s="6">
        <v>42856</v>
      </c>
      <c r="D189" t="s">
        <v>1905</v>
      </c>
      <c r="E189" s="6">
        <v>42856</v>
      </c>
      <c r="F189" t="s">
        <v>1349</v>
      </c>
      <c r="G189" t="s">
        <v>1350</v>
      </c>
      <c r="I189" t="s">
        <v>1277</v>
      </c>
      <c r="J189" s="8" t="s">
        <v>1906</v>
      </c>
      <c r="L189" s="6">
        <v>42656</v>
      </c>
    </row>
    <row r="190" spans="1:12" x14ac:dyDescent="0.3">
      <c r="A190" s="8" t="str">
        <f>HYPERLINK("http://www.accessdata.fda.gov/scripts/cder/daf/index.cfm?event=overview.process&amp;varApplNo=208743", "Tymlos")</f>
        <v>Tymlos</v>
      </c>
      <c r="B190" t="s">
        <v>1907</v>
      </c>
      <c r="C190" s="6">
        <v>42853</v>
      </c>
      <c r="D190" t="s">
        <v>1908</v>
      </c>
      <c r="E190" s="6">
        <v>42853</v>
      </c>
      <c r="F190" t="s">
        <v>1349</v>
      </c>
      <c r="G190" t="s">
        <v>1350</v>
      </c>
      <c r="H190" t="s">
        <v>1441</v>
      </c>
      <c r="I190" t="s">
        <v>1352</v>
      </c>
      <c r="J190" s="8" t="s">
        <v>1909</v>
      </c>
      <c r="L190" s="6">
        <v>42459</v>
      </c>
    </row>
    <row r="191" spans="1:12" x14ac:dyDescent="0.3">
      <c r="A191" s="8" t="str">
        <f>HYPERLINK("http://www.accessdata.fda.gov/scripts/cder/daf/index.cfm?event=overview.process&amp;varApplNo=207997", "Rydapt")</f>
        <v>Rydapt</v>
      </c>
      <c r="B191" t="s">
        <v>1910</v>
      </c>
      <c r="C191" s="6">
        <v>42853</v>
      </c>
      <c r="D191" t="s">
        <v>1911</v>
      </c>
      <c r="E191" s="6">
        <v>42853</v>
      </c>
      <c r="F191" t="s">
        <v>1552</v>
      </c>
      <c r="G191" t="s">
        <v>1350</v>
      </c>
      <c r="H191" t="s">
        <v>1351</v>
      </c>
      <c r="I191" t="s">
        <v>1381</v>
      </c>
      <c r="J191" s="8" t="s">
        <v>1912</v>
      </c>
      <c r="L191" s="6">
        <v>42611</v>
      </c>
    </row>
    <row r="192" spans="1:12" x14ac:dyDescent="0.3">
      <c r="A192" s="8" t="str">
        <f>HYPERLINK("http://www.accessdata.fda.gov/scripts/cder/daf/index.cfm?event=overview.process&amp;varApplNo=208772", "Alunbrig")</f>
        <v>Alunbrig</v>
      </c>
      <c r="B192" t="s">
        <v>1913</v>
      </c>
      <c r="C192" s="6">
        <v>42853</v>
      </c>
      <c r="D192" t="s">
        <v>1914</v>
      </c>
      <c r="E192" s="6">
        <v>42853</v>
      </c>
      <c r="F192" t="s">
        <v>1349</v>
      </c>
      <c r="G192" t="s">
        <v>1350</v>
      </c>
      <c r="H192" t="s">
        <v>1351</v>
      </c>
      <c r="I192" t="s">
        <v>1381</v>
      </c>
      <c r="J192" s="8" t="s">
        <v>1915</v>
      </c>
      <c r="L192" s="6">
        <v>42611</v>
      </c>
    </row>
    <row r="193" spans="1:12" x14ac:dyDescent="0.3">
      <c r="A193" s="8" t="str">
        <f>HYPERLINK("http://www.accessdata.fda.gov/scripts/cder/daf/index.cfm?event=overview.process&amp;varApplNo=761052", "Brineura")</f>
        <v>Brineura</v>
      </c>
      <c r="B193" t="s">
        <v>1916</v>
      </c>
      <c r="C193" s="6">
        <v>42852</v>
      </c>
      <c r="D193" t="s">
        <v>1917</v>
      </c>
      <c r="E193" s="6">
        <v>42852</v>
      </c>
      <c r="F193" t="s">
        <v>1349</v>
      </c>
      <c r="G193" t="s">
        <v>1350</v>
      </c>
      <c r="I193" t="s">
        <v>1357</v>
      </c>
      <c r="J193" s="8" t="s">
        <v>1918</v>
      </c>
      <c r="L193" s="6">
        <v>42517</v>
      </c>
    </row>
    <row r="194" spans="1:12" x14ac:dyDescent="0.3">
      <c r="A194" s="8" t="str">
        <f>HYPERLINK("http://www.accessdata.fda.gov/scripts/cder/daf/index.cfm?event=overview.process&amp;varApplNo=209241", "Ingrezza")</f>
        <v>Ingrezza</v>
      </c>
      <c r="B194" t="s">
        <v>1919</v>
      </c>
      <c r="C194" s="6">
        <v>42836</v>
      </c>
      <c r="D194" t="s">
        <v>1920</v>
      </c>
      <c r="E194" s="6">
        <v>42836</v>
      </c>
      <c r="F194" t="s">
        <v>1349</v>
      </c>
      <c r="G194" t="s">
        <v>1350</v>
      </c>
      <c r="H194" t="s">
        <v>1351</v>
      </c>
      <c r="I194" t="s">
        <v>1361</v>
      </c>
      <c r="J194" s="8" t="s">
        <v>1921</v>
      </c>
      <c r="L194" s="6">
        <v>42593</v>
      </c>
    </row>
    <row r="195" spans="1:12" x14ac:dyDescent="0.3">
      <c r="A195" s="8" t="str">
        <f>HYPERLINK("http://www.accessdata.fda.gov/scripts/cder/daf/index.cfm?event=overview.process&amp;varApplNo=208082", "Austedo")</f>
        <v>Austedo</v>
      </c>
      <c r="B195" t="s">
        <v>1922</v>
      </c>
      <c r="C195" s="6">
        <v>42828</v>
      </c>
      <c r="D195" t="s">
        <v>1923</v>
      </c>
      <c r="E195" s="6">
        <v>42828</v>
      </c>
      <c r="F195" t="s">
        <v>1349</v>
      </c>
      <c r="G195" t="s">
        <v>1350</v>
      </c>
      <c r="H195" t="s">
        <v>1351</v>
      </c>
      <c r="I195" t="s">
        <v>1371</v>
      </c>
      <c r="J195" s="8" t="s">
        <v>1924</v>
      </c>
      <c r="L195" s="6">
        <v>42153</v>
      </c>
    </row>
    <row r="196" spans="1:12" x14ac:dyDescent="0.3">
      <c r="A196" s="8" t="str">
        <f>HYPERLINK("http://www.accessdata.fda.gov/scripts/cder/daf/index.cfm?event=overview.process&amp;varApplNo=761053", "Ocrevus")</f>
        <v>Ocrevus</v>
      </c>
      <c r="B196" t="s">
        <v>1925</v>
      </c>
      <c r="C196" s="6">
        <v>42822</v>
      </c>
      <c r="D196" t="s">
        <v>1926</v>
      </c>
      <c r="E196" s="6">
        <v>42822</v>
      </c>
      <c r="F196" t="s">
        <v>1349</v>
      </c>
      <c r="G196" t="s">
        <v>1350</v>
      </c>
      <c r="I196" t="s">
        <v>1277</v>
      </c>
      <c r="J196" s="8" t="s">
        <v>1927</v>
      </c>
      <c r="L196" s="6" t="s">
        <v>1354</v>
      </c>
    </row>
    <row r="197" spans="1:12" x14ac:dyDescent="0.3">
      <c r="A197" s="8" t="str">
        <f>HYPERLINK("http://www.accessdata.fda.gov/scripts/cder/daf/index.cfm?event=overview.process&amp;varApplNo=761055", "Dupixent")</f>
        <v>Dupixent</v>
      </c>
      <c r="B197" t="s">
        <v>1928</v>
      </c>
      <c r="C197" s="6">
        <v>42822</v>
      </c>
      <c r="D197" t="s">
        <v>1929</v>
      </c>
      <c r="E197" s="6">
        <v>42822</v>
      </c>
      <c r="F197" t="s">
        <v>1349</v>
      </c>
      <c r="G197" t="s">
        <v>1350</v>
      </c>
      <c r="I197" t="s">
        <v>1277</v>
      </c>
      <c r="J197" s="8" t="s">
        <v>1930</v>
      </c>
      <c r="L197" s="6" t="s">
        <v>1354</v>
      </c>
    </row>
    <row r="198" spans="1:12" x14ac:dyDescent="0.3">
      <c r="A198" s="8" t="str">
        <f>HYPERLINK("http://www.accessdata.fda.gov/scripts/cder/daf/index.cfm?event=overview.process&amp;varApplNo=208447", "Zejula")</f>
        <v>Zejula</v>
      </c>
      <c r="B198" t="s">
        <v>1931</v>
      </c>
      <c r="C198" s="6">
        <v>42821</v>
      </c>
      <c r="D198" t="s">
        <v>1932</v>
      </c>
      <c r="E198" s="6">
        <v>42821</v>
      </c>
      <c r="F198" t="s">
        <v>1349</v>
      </c>
      <c r="G198" t="s">
        <v>1350</v>
      </c>
      <c r="H198" t="s">
        <v>1351</v>
      </c>
      <c r="I198" t="s">
        <v>1381</v>
      </c>
      <c r="J198" s="8" t="s">
        <v>1933</v>
      </c>
      <c r="L198" s="6">
        <v>43039</v>
      </c>
    </row>
    <row r="199" spans="1:12" x14ac:dyDescent="0.3">
      <c r="A199" s="8" t="str">
        <f>HYPERLINK("http://www.accessdata.fda.gov/scripts/cder/daf/index.cfm?event=overview.process&amp;varApplNo=208854", "Symproic")</f>
        <v>Symproic</v>
      </c>
      <c r="B199" t="s">
        <v>1934</v>
      </c>
      <c r="C199" s="6">
        <v>42817</v>
      </c>
      <c r="D199" t="s">
        <v>1935</v>
      </c>
      <c r="E199" s="6">
        <v>42817</v>
      </c>
      <c r="F199" t="s">
        <v>1349</v>
      </c>
      <c r="G199" t="s">
        <v>1350</v>
      </c>
      <c r="H199" t="s">
        <v>1351</v>
      </c>
      <c r="I199" t="s">
        <v>1352</v>
      </c>
      <c r="J199" s="8" t="s">
        <v>1936</v>
      </c>
      <c r="L199" s="6">
        <v>42452</v>
      </c>
    </row>
    <row r="200" spans="1:12" x14ac:dyDescent="0.3">
      <c r="A200" s="8" t="str">
        <f>HYPERLINK("http://www.accessdata.fda.gov/scripts/cder/daf/index.cfm?event=overview.process&amp;varApplNo=761049", "Bavencio")</f>
        <v>Bavencio</v>
      </c>
      <c r="B200" t="s">
        <v>1937</v>
      </c>
      <c r="C200" s="6">
        <v>42817</v>
      </c>
      <c r="D200" t="s">
        <v>1938</v>
      </c>
      <c r="E200" s="6">
        <v>42817</v>
      </c>
      <c r="F200" t="s">
        <v>1349</v>
      </c>
      <c r="G200" t="s">
        <v>1350</v>
      </c>
      <c r="I200" t="s">
        <v>1357</v>
      </c>
      <c r="J200" s="8" t="s">
        <v>1939</v>
      </c>
      <c r="L200" s="6">
        <v>42636</v>
      </c>
    </row>
    <row r="201" spans="1:12" x14ac:dyDescent="0.3">
      <c r="A201" s="8" t="str">
        <f>HYPERLINK("http://www.accessdata.fda.gov/scripts/cder/daf/index.cfm?event=overview.process&amp;varApplNo=207145", "Xadago")</f>
        <v>Xadago</v>
      </c>
      <c r="B201" t="s">
        <v>1940</v>
      </c>
      <c r="C201" s="6">
        <v>42815</v>
      </c>
      <c r="D201" t="s">
        <v>1941</v>
      </c>
      <c r="E201" s="6">
        <v>42815</v>
      </c>
      <c r="F201" t="s">
        <v>1349</v>
      </c>
      <c r="G201" t="s">
        <v>1350</v>
      </c>
      <c r="H201" t="s">
        <v>1351</v>
      </c>
      <c r="I201" t="s">
        <v>1352</v>
      </c>
      <c r="J201" s="8" t="s">
        <v>1942</v>
      </c>
      <c r="L201" s="6">
        <v>42367</v>
      </c>
    </row>
    <row r="202" spans="1:12" x14ac:dyDescent="0.3">
      <c r="A202" s="8" t="str">
        <f>HYPERLINK("http://www.accessdata.fda.gov/scripts/cder/daf/index.cfm?event=overview.process&amp;varApplNo=209092", "Kisqali")</f>
        <v>Kisqali</v>
      </c>
      <c r="B202" t="s">
        <v>1943</v>
      </c>
      <c r="C202" s="6">
        <v>42807</v>
      </c>
      <c r="D202" t="s">
        <v>1944</v>
      </c>
      <c r="E202" s="6">
        <v>42807</v>
      </c>
      <c r="F202" t="s">
        <v>1349</v>
      </c>
      <c r="G202" t="s">
        <v>1350</v>
      </c>
      <c r="H202" t="s">
        <v>1351</v>
      </c>
      <c r="I202" t="s">
        <v>1361</v>
      </c>
      <c r="J202" s="8" t="s">
        <v>1945</v>
      </c>
      <c r="L202" s="6">
        <v>42611</v>
      </c>
    </row>
    <row r="203" spans="1:12" x14ac:dyDescent="0.3">
      <c r="A203" s="8" t="str">
        <f>HYPERLINK("http://www.accessdata.fda.gov/scripts/cder/daf/index.cfm?event=overview.process&amp;varApplNo=208794", "Xermelo")</f>
        <v>Xermelo</v>
      </c>
      <c r="B203" t="s">
        <v>1946</v>
      </c>
      <c r="C203" s="6">
        <v>42794</v>
      </c>
      <c r="D203" t="s">
        <v>1947</v>
      </c>
      <c r="E203" s="6">
        <v>42794</v>
      </c>
      <c r="F203" t="s">
        <v>1349</v>
      </c>
      <c r="G203" t="s">
        <v>1350</v>
      </c>
      <c r="H203" t="s">
        <v>1351</v>
      </c>
      <c r="I203" t="s">
        <v>1381</v>
      </c>
      <c r="J203" s="8" t="s">
        <v>1948</v>
      </c>
      <c r="L203" s="6">
        <v>42459</v>
      </c>
    </row>
    <row r="204" spans="1:12" x14ac:dyDescent="0.3">
      <c r="A204" s="8" t="str">
        <f>HYPERLINK("http://www.accessdata.fda.gov/scripts/cder/daf/index.cfm?event=overview.process&amp;varApplNo=761032", "Siliq")</f>
        <v>Siliq</v>
      </c>
      <c r="B204" t="s">
        <v>1949</v>
      </c>
      <c r="C204" s="6">
        <v>42781</v>
      </c>
      <c r="D204" t="s">
        <v>1950</v>
      </c>
      <c r="E204" s="6">
        <v>42781</v>
      </c>
      <c r="F204" t="s">
        <v>1349</v>
      </c>
      <c r="G204" t="s">
        <v>1350</v>
      </c>
      <c r="I204" t="s">
        <v>1277</v>
      </c>
      <c r="J204" s="8" t="s">
        <v>1951</v>
      </c>
      <c r="L204" s="6">
        <v>42324</v>
      </c>
    </row>
    <row r="205" spans="1:12" x14ac:dyDescent="0.3">
      <c r="A205" s="8" t="str">
        <f>HYPERLINK("http://www.accessdata.fda.gov/scripts/cder/daf/index.cfm?event=overview.process&amp;varApplNo=208684", "Emflaza")</f>
        <v>Emflaza</v>
      </c>
      <c r="B205" t="s">
        <v>1952</v>
      </c>
      <c r="C205" s="6">
        <v>42775</v>
      </c>
      <c r="D205" t="s">
        <v>1953</v>
      </c>
      <c r="E205" s="6">
        <v>42775</v>
      </c>
      <c r="F205" t="s">
        <v>1349</v>
      </c>
      <c r="G205" t="s">
        <v>1350</v>
      </c>
      <c r="H205" t="s">
        <v>1351</v>
      </c>
      <c r="I205" t="s">
        <v>1381</v>
      </c>
      <c r="J205" s="8" t="s">
        <v>1954</v>
      </c>
      <c r="L205" s="6">
        <v>42530</v>
      </c>
    </row>
    <row r="206" spans="1:12" x14ac:dyDescent="0.3">
      <c r="A206" s="8" t="str">
        <f>HYPERLINK("http://www.accessdata.fda.gov/scripts/cder/daf/index.cfm?event=overview.process&amp;varApplNo=208325", "Parsabiv")</f>
        <v>Parsabiv</v>
      </c>
      <c r="B206" t="s">
        <v>1955</v>
      </c>
      <c r="C206" s="6">
        <v>42773</v>
      </c>
      <c r="D206" t="s">
        <v>1956</v>
      </c>
      <c r="E206" s="6">
        <v>42773</v>
      </c>
      <c r="F206" t="s">
        <v>1349</v>
      </c>
      <c r="G206" t="s">
        <v>1350</v>
      </c>
      <c r="H206" t="s">
        <v>1351</v>
      </c>
      <c r="I206" t="s">
        <v>1352</v>
      </c>
      <c r="J206" s="8" t="s">
        <v>1957</v>
      </c>
      <c r="L206" s="6">
        <v>42240</v>
      </c>
    </row>
    <row r="207" spans="1:12" x14ac:dyDescent="0.3">
      <c r="A207" s="8" t="str">
        <f>HYPERLINK("http://www.accessdata.fda.gov/scripts/cder/daf/index.cfm?event=overview.process&amp;varApplNo=208745", "Trulance")</f>
        <v>Trulance</v>
      </c>
      <c r="B207" t="s">
        <v>1958</v>
      </c>
      <c r="C207" s="6">
        <v>42754</v>
      </c>
      <c r="D207" t="s">
        <v>1959</v>
      </c>
      <c r="E207" s="6">
        <v>42754</v>
      </c>
      <c r="F207" t="s">
        <v>1349</v>
      </c>
      <c r="G207" t="s">
        <v>1350</v>
      </c>
      <c r="H207" t="s">
        <v>1351</v>
      </c>
      <c r="I207" t="s">
        <v>1352</v>
      </c>
      <c r="J207" s="8" t="s">
        <v>1960</v>
      </c>
      <c r="L207" s="6">
        <v>42398</v>
      </c>
    </row>
    <row r="208" spans="1:12" x14ac:dyDescent="0.3">
      <c r="A208" s="8" t="str">
        <f>HYPERLINK("http://www.accessdata.fda.gov/scripts/cder/daf/index.cfm?event=overview.process&amp;varApplNo=209531", "Spinraza")</f>
        <v>Spinraza</v>
      </c>
      <c r="B208" t="s">
        <v>1961</v>
      </c>
      <c r="C208" s="6">
        <v>42727</v>
      </c>
      <c r="D208" t="s">
        <v>1962</v>
      </c>
      <c r="E208" s="6">
        <v>42727</v>
      </c>
      <c r="F208" t="s">
        <v>1349</v>
      </c>
      <c r="G208" t="s">
        <v>1350</v>
      </c>
      <c r="H208" t="s">
        <v>1351</v>
      </c>
      <c r="I208" t="s">
        <v>1381</v>
      </c>
      <c r="J208" s="8" t="s">
        <v>1963</v>
      </c>
      <c r="L208" s="6">
        <v>42636</v>
      </c>
    </row>
    <row r="209" spans="1:12" x14ac:dyDescent="0.3">
      <c r="A209" s="8" t="str">
        <f>HYPERLINK("http://www.accessdata.fda.gov/scripts/cder/daf/index.cfm?event=overview.process&amp;varApplNo=209115", "Rubraca")</f>
        <v>Rubraca</v>
      </c>
      <c r="B209" t="s">
        <v>1964</v>
      </c>
      <c r="C209" s="6">
        <v>42723</v>
      </c>
      <c r="D209" t="s">
        <v>1965</v>
      </c>
      <c r="E209" s="6">
        <v>42723</v>
      </c>
      <c r="F209" t="s">
        <v>1349</v>
      </c>
      <c r="G209" t="s">
        <v>1350</v>
      </c>
      <c r="H209" t="s">
        <v>1351</v>
      </c>
      <c r="I209" t="s">
        <v>1381</v>
      </c>
      <c r="J209" s="8" t="s">
        <v>1966</v>
      </c>
      <c r="L209" s="6">
        <v>42544</v>
      </c>
    </row>
    <row r="210" spans="1:12" x14ac:dyDescent="0.3">
      <c r="A210" s="8" t="str">
        <f>HYPERLINK("http://www.accessdata.fda.gov/scripts/cder/daf/index.cfm?event=overview.process&amp;varApplNo=207695", "Eucrisa")</f>
        <v>Eucrisa</v>
      </c>
      <c r="B210" t="s">
        <v>1967</v>
      </c>
      <c r="C210" s="6">
        <v>42718</v>
      </c>
      <c r="D210" t="s">
        <v>1968</v>
      </c>
      <c r="E210" s="6">
        <v>42718</v>
      </c>
      <c r="F210" t="s">
        <v>1349</v>
      </c>
      <c r="G210" t="s">
        <v>1350</v>
      </c>
      <c r="H210" t="s">
        <v>1351</v>
      </c>
      <c r="I210" t="s">
        <v>1352</v>
      </c>
      <c r="J210" s="8" t="s">
        <v>1969</v>
      </c>
      <c r="L210" s="6">
        <v>42376</v>
      </c>
    </row>
    <row r="211" spans="1:12" x14ac:dyDescent="0.3">
      <c r="A211" s="8" t="str">
        <f>HYPERLINK("http://www.accessdata.fda.gov/scripts/cder/daf/index.cfm?event=overview.process&amp;varApplNo=761046", "Zinplava")</f>
        <v>Zinplava</v>
      </c>
      <c r="B211" t="s">
        <v>1970</v>
      </c>
      <c r="C211" s="6">
        <v>42664</v>
      </c>
      <c r="D211" t="s">
        <v>1971</v>
      </c>
      <c r="E211" s="6">
        <v>42664</v>
      </c>
      <c r="F211" t="s">
        <v>1349</v>
      </c>
      <c r="G211" t="s">
        <v>1350</v>
      </c>
      <c r="I211" t="s">
        <v>1277</v>
      </c>
      <c r="J211" s="8" t="s">
        <v>1972</v>
      </c>
      <c r="L211" s="6">
        <v>42325</v>
      </c>
    </row>
    <row r="212" spans="1:12" x14ac:dyDescent="0.3">
      <c r="A212" s="8" t="str">
        <f>HYPERLINK("http://www.accessdata.fda.gov/scripts/cder/daf/index.cfm?event=overview.process&amp;varApplNo=761038", "Lartruvo")</f>
        <v>Lartruvo</v>
      </c>
      <c r="B212" t="s">
        <v>1973</v>
      </c>
      <c r="C212" s="6">
        <v>42662</v>
      </c>
      <c r="D212" t="s">
        <v>1974</v>
      </c>
      <c r="E212" s="6">
        <v>42662</v>
      </c>
      <c r="F212" t="s">
        <v>1349</v>
      </c>
      <c r="G212" t="s">
        <v>1350</v>
      </c>
      <c r="I212" t="s">
        <v>1357</v>
      </c>
      <c r="J212" s="8" t="s">
        <v>1975</v>
      </c>
      <c r="L212" s="6">
        <v>42424</v>
      </c>
    </row>
    <row r="213" spans="1:12" x14ac:dyDescent="0.3">
      <c r="A213" s="8" t="str">
        <f>HYPERLINK("http://www.accessdata.fda.gov/scripts/cder/daf/index.cfm?event=overview.process&amp;varApplNo=206488", "Exondys 51")</f>
        <v>Exondys 51</v>
      </c>
      <c r="B213" t="s">
        <v>1976</v>
      </c>
      <c r="C213" s="6">
        <v>42632</v>
      </c>
      <c r="D213" t="s">
        <v>1977</v>
      </c>
      <c r="E213" s="6">
        <v>42632</v>
      </c>
      <c r="F213" t="s">
        <v>1349</v>
      </c>
      <c r="G213" t="s">
        <v>1350</v>
      </c>
      <c r="H213" t="s">
        <v>1351</v>
      </c>
      <c r="I213" t="s">
        <v>1381</v>
      </c>
      <c r="J213" s="8" t="s">
        <v>1978</v>
      </c>
      <c r="L213" s="6">
        <v>42181</v>
      </c>
    </row>
    <row r="214" spans="1:12" x14ac:dyDescent="0.3">
      <c r="A214" s="8" t="str">
        <f>HYPERLINK("http://www.accessdata.fda.gov/scripts/cder/daf/index.cfm?event=overview.process&amp;varApplNo=208471", "Adlyxin")</f>
        <v>Adlyxin</v>
      </c>
      <c r="B214" t="s">
        <v>1979</v>
      </c>
      <c r="C214" s="6">
        <v>42578</v>
      </c>
      <c r="D214" t="s">
        <v>1980</v>
      </c>
      <c r="E214" s="6">
        <v>42578</v>
      </c>
      <c r="F214" t="s">
        <v>1349</v>
      </c>
      <c r="G214" t="s">
        <v>1350</v>
      </c>
      <c r="I214" t="s">
        <v>1277</v>
      </c>
      <c r="J214" s="8" t="s">
        <v>1981</v>
      </c>
      <c r="L214" s="6">
        <v>42212</v>
      </c>
    </row>
    <row r="215" spans="1:12" x14ac:dyDescent="0.3">
      <c r="A215" s="8" t="str">
        <f>HYPERLINK("http://www.accessdata.fda.gov/scripts/cder/daf/index.cfm?event=overview.process&amp;varApplNo=208073", "Xiidra")</f>
        <v>Xiidra</v>
      </c>
      <c r="B215" t="s">
        <v>1982</v>
      </c>
      <c r="C215" s="6">
        <v>42562</v>
      </c>
      <c r="D215" t="s">
        <v>1983</v>
      </c>
      <c r="E215" s="6">
        <v>42562</v>
      </c>
      <c r="F215" t="s">
        <v>1349</v>
      </c>
      <c r="G215" t="s">
        <v>1350</v>
      </c>
      <c r="H215" t="s">
        <v>1351</v>
      </c>
      <c r="I215" t="s">
        <v>1361</v>
      </c>
      <c r="J215" s="8" t="s">
        <v>1984</v>
      </c>
      <c r="L215" s="6">
        <v>42060</v>
      </c>
    </row>
    <row r="216" spans="1:12" x14ac:dyDescent="0.3">
      <c r="A216" s="8" t="str">
        <f>HYPERLINK("http://www.accessdata.fda.gov/scripts/cder/daf/index.cfm?event=overview.process&amp;varApplNo=208341", "Epclusa")</f>
        <v>Epclusa</v>
      </c>
      <c r="B216" t="s">
        <v>1985</v>
      </c>
      <c r="C216" s="6">
        <v>42549</v>
      </c>
      <c r="D216" t="s">
        <v>1986</v>
      </c>
      <c r="E216" s="6">
        <v>42549</v>
      </c>
      <c r="F216" t="s">
        <v>1349</v>
      </c>
      <c r="G216" t="s">
        <v>1350</v>
      </c>
      <c r="H216" t="s">
        <v>1441</v>
      </c>
      <c r="I216" t="s">
        <v>1361</v>
      </c>
      <c r="J216" s="8" t="s">
        <v>1987</v>
      </c>
      <c r="L216" s="6">
        <v>42305</v>
      </c>
    </row>
    <row r="217" spans="1:12" x14ac:dyDescent="0.3">
      <c r="A217" s="8" t="str">
        <f>HYPERLINK("http://www.accessdata.fda.gov/scripts/cder/daf/index.cfm?event=overview.process&amp;varApplNo=208547", "NETSPOT")</f>
        <v>NETSPOT</v>
      </c>
      <c r="B217" t="s">
        <v>1988</v>
      </c>
      <c r="C217" s="6">
        <v>42522</v>
      </c>
      <c r="D217" t="s">
        <v>1989</v>
      </c>
      <c r="E217" s="6">
        <v>42522</v>
      </c>
      <c r="F217" t="s">
        <v>1349</v>
      </c>
      <c r="G217" t="s">
        <v>1350</v>
      </c>
      <c r="H217" t="s">
        <v>1351</v>
      </c>
      <c r="I217" t="s">
        <v>1381</v>
      </c>
      <c r="J217" s="8" t="s">
        <v>1990</v>
      </c>
      <c r="L217" s="6">
        <v>42186</v>
      </c>
    </row>
    <row r="218" spans="1:12" x14ac:dyDescent="0.3">
      <c r="A218" s="8" t="str">
        <f>HYPERLINK("http://www.accessdata.fda.gov/scripts/cder/daf/index.cfm?event=overview.process&amp;varApplNo=208054", "Axumin")</f>
        <v>Axumin</v>
      </c>
      <c r="B218" t="s">
        <v>1991</v>
      </c>
      <c r="C218" s="6">
        <v>42517</v>
      </c>
      <c r="D218" t="s">
        <v>1992</v>
      </c>
      <c r="E218" s="6">
        <v>42517</v>
      </c>
      <c r="F218" t="s">
        <v>1349</v>
      </c>
      <c r="G218" t="s">
        <v>1350</v>
      </c>
      <c r="H218" t="s">
        <v>1351</v>
      </c>
      <c r="I218" t="s">
        <v>1361</v>
      </c>
      <c r="J218" s="8" t="s">
        <v>1993</v>
      </c>
      <c r="L218" s="6">
        <v>42275</v>
      </c>
    </row>
    <row r="219" spans="1:12" x14ac:dyDescent="0.3">
      <c r="A219" s="8" t="str">
        <f>HYPERLINK("http://www.accessdata.fda.gov/scripts/cder/daf/index.cfm?event=overview.process&amp;varApplNo=207999", "Ocaliva")</f>
        <v>Ocaliva</v>
      </c>
      <c r="B219" t="s">
        <v>1994</v>
      </c>
      <c r="C219" s="6">
        <v>42517</v>
      </c>
      <c r="D219" t="s">
        <v>1995</v>
      </c>
      <c r="E219" s="6">
        <v>42517</v>
      </c>
      <c r="F219" t="s">
        <v>1349</v>
      </c>
      <c r="G219" t="s">
        <v>1350</v>
      </c>
      <c r="H219" t="s">
        <v>1351</v>
      </c>
      <c r="I219" t="s">
        <v>1381</v>
      </c>
      <c r="J219" s="8" t="s">
        <v>1996</v>
      </c>
      <c r="L219" s="6">
        <v>42182</v>
      </c>
    </row>
    <row r="220" spans="1:12" x14ac:dyDescent="0.3">
      <c r="A220" s="8" t="str">
        <f>HYPERLINK("http://www.accessdata.fda.gov/scripts/cder/daf/index.cfm?event=overview.process&amp;varApplNo=761029", "Zinbryta")</f>
        <v>Zinbryta</v>
      </c>
      <c r="B220" t="s">
        <v>1997</v>
      </c>
      <c r="C220" s="6">
        <v>42517</v>
      </c>
      <c r="D220" t="s">
        <v>1998</v>
      </c>
      <c r="E220" s="6">
        <v>42517</v>
      </c>
      <c r="F220" t="s">
        <v>1349</v>
      </c>
      <c r="G220" t="s">
        <v>1350</v>
      </c>
      <c r="I220" t="s">
        <v>1277</v>
      </c>
      <c r="J220" s="8" t="s">
        <v>1999</v>
      </c>
      <c r="L220" s="6">
        <v>42062</v>
      </c>
    </row>
    <row r="221" spans="1:12" x14ac:dyDescent="0.3">
      <c r="A221" s="8" t="str">
        <f>HYPERLINK("http://www.accessdata.fda.gov/scripts/cder/daf/index.cfm?event=overview.process&amp;varApplNo=761034", "Tecentriq")</f>
        <v>Tecentriq</v>
      </c>
      <c r="B221" t="s">
        <v>2000</v>
      </c>
      <c r="C221" s="6">
        <v>42508</v>
      </c>
      <c r="D221" t="s">
        <v>2001</v>
      </c>
      <c r="E221" s="6">
        <v>42508</v>
      </c>
      <c r="F221" t="s">
        <v>1349</v>
      </c>
      <c r="G221" t="s">
        <v>1350</v>
      </c>
      <c r="I221" t="s">
        <v>1277</v>
      </c>
      <c r="J221" s="8" t="s">
        <v>2002</v>
      </c>
      <c r="L221" s="6">
        <v>42381</v>
      </c>
    </row>
    <row r="222" spans="1:12" x14ac:dyDescent="0.3">
      <c r="A222" s="8" t="str">
        <f>HYPERLINK("http://www.accessdata.fda.gov/scripts/cder/daf/index.cfm?event=overview.process&amp;varApplNo=207318", "Nuplazid")</f>
        <v>Nuplazid</v>
      </c>
      <c r="B222" t="s">
        <v>2003</v>
      </c>
      <c r="C222" s="6">
        <v>42489</v>
      </c>
      <c r="D222" t="s">
        <v>2004</v>
      </c>
      <c r="E222" s="6">
        <v>42489</v>
      </c>
      <c r="F222" t="s">
        <v>1349</v>
      </c>
      <c r="G222" t="s">
        <v>1350</v>
      </c>
      <c r="H222" t="s">
        <v>1351</v>
      </c>
      <c r="I222" t="s">
        <v>1361</v>
      </c>
      <c r="J222" s="8" t="s">
        <v>2005</v>
      </c>
      <c r="L222" s="6">
        <v>42614</v>
      </c>
    </row>
    <row r="223" spans="1:12" x14ac:dyDescent="0.3">
      <c r="A223" s="8" t="str">
        <f>HYPERLINK("http://www.accessdata.fda.gov/scripts/cder/daf/index.cfm?event=overview.process&amp;varApplNo=208573", "Venclexta")</f>
        <v>Venclexta</v>
      </c>
      <c r="B223" t="s">
        <v>2006</v>
      </c>
      <c r="C223" s="6">
        <v>42471</v>
      </c>
      <c r="D223" t="s">
        <v>2007</v>
      </c>
      <c r="E223" s="6">
        <v>42471</v>
      </c>
      <c r="F223" t="s">
        <v>1349</v>
      </c>
      <c r="G223" t="s">
        <v>1350</v>
      </c>
      <c r="H223" t="s">
        <v>1351</v>
      </c>
      <c r="I223" t="s">
        <v>1381</v>
      </c>
      <c r="J223" s="8" t="s">
        <v>2008</v>
      </c>
      <c r="L223" s="6">
        <v>42306</v>
      </c>
    </row>
    <row r="224" spans="1:12" x14ac:dyDescent="0.3">
      <c r="A224" s="8" t="str">
        <f>HYPERLINK("http://www.accessdata.fda.gov/scripts/cder/daf/index.cfm?event=overview.process&amp;varApplNo=208114", "Defitelio")</f>
        <v>Defitelio</v>
      </c>
      <c r="B224" t="s">
        <v>2009</v>
      </c>
      <c r="C224" s="6">
        <v>42459</v>
      </c>
      <c r="D224" t="s">
        <v>2010</v>
      </c>
      <c r="E224" s="6">
        <v>42459</v>
      </c>
      <c r="F224" t="s">
        <v>1349</v>
      </c>
      <c r="G224" t="s">
        <v>1350</v>
      </c>
      <c r="H224" t="s">
        <v>1351</v>
      </c>
      <c r="I224" t="s">
        <v>1381</v>
      </c>
      <c r="J224" s="8" t="s">
        <v>2011</v>
      </c>
      <c r="L224" s="6">
        <v>42215</v>
      </c>
    </row>
    <row r="225" spans="1:12" x14ac:dyDescent="0.3">
      <c r="A225" s="8" t="str">
        <f>HYPERLINK("http://www.accessdata.fda.gov/scripts/cder/daf/index.cfm?event=overview.process&amp;varApplNo=761033", "Cinqair")</f>
        <v>Cinqair</v>
      </c>
      <c r="B225" t="s">
        <v>2012</v>
      </c>
      <c r="C225" s="6">
        <v>42452</v>
      </c>
      <c r="D225" t="s">
        <v>2013</v>
      </c>
      <c r="E225" s="6">
        <v>42452</v>
      </c>
      <c r="F225" t="s">
        <v>1349</v>
      </c>
      <c r="G225" t="s">
        <v>1350</v>
      </c>
      <c r="I225" t="s">
        <v>1277</v>
      </c>
      <c r="J225" s="8" t="s">
        <v>2014</v>
      </c>
      <c r="L225" s="6">
        <v>42092</v>
      </c>
    </row>
    <row r="226" spans="1:12" x14ac:dyDescent="0.3">
      <c r="A226" s="8" t="str">
        <f>HYPERLINK("http://www.accessdata.fda.gov/scripts/cder/daf/index.cfm?event=overview.process&amp;varApplNo=125521", "Taltz")</f>
        <v>Taltz</v>
      </c>
      <c r="B226" t="s">
        <v>2015</v>
      </c>
      <c r="C226" s="6">
        <v>42451</v>
      </c>
      <c r="D226" t="s">
        <v>2016</v>
      </c>
      <c r="E226" s="6">
        <v>42451</v>
      </c>
      <c r="F226" t="s">
        <v>1349</v>
      </c>
      <c r="G226" t="s">
        <v>1350</v>
      </c>
      <c r="I226" t="s">
        <v>1277</v>
      </c>
      <c r="J226" s="8" t="s">
        <v>2017</v>
      </c>
      <c r="L226" s="6">
        <v>42086</v>
      </c>
    </row>
    <row r="227" spans="1:12" x14ac:dyDescent="0.3">
      <c r="A227" s="8" t="str">
        <f>HYPERLINK("http://www.accessdata.fda.gov/scripts/cder/daf/index.cfm?event=overview.process&amp;varApplNo=125509", "Anthim")</f>
        <v>Anthim</v>
      </c>
      <c r="B227" t="s">
        <v>2018</v>
      </c>
      <c r="C227" s="6">
        <v>42447</v>
      </c>
      <c r="D227" t="s">
        <v>2019</v>
      </c>
      <c r="E227" s="6">
        <v>42447</v>
      </c>
      <c r="F227" t="s">
        <v>1349</v>
      </c>
      <c r="G227" t="s">
        <v>1350</v>
      </c>
      <c r="I227" t="s">
        <v>1357</v>
      </c>
      <c r="J227" s="8" t="s">
        <v>2020</v>
      </c>
      <c r="L227" s="6">
        <v>42426</v>
      </c>
    </row>
    <row r="228" spans="1:12" x14ac:dyDescent="0.3">
      <c r="A228" s="8" t="str">
        <f>HYPERLINK("http://www.accessdata.fda.gov/scripts/cder/daf/index.cfm?event=overview.process&amp;varApplNo=205836", "Briviact")</f>
        <v>Briviact</v>
      </c>
      <c r="B228" t="s">
        <v>2021</v>
      </c>
      <c r="C228" s="6">
        <v>42418</v>
      </c>
      <c r="D228" t="s">
        <v>2022</v>
      </c>
      <c r="E228" s="6">
        <v>42418</v>
      </c>
      <c r="F228" t="s">
        <v>1349</v>
      </c>
      <c r="G228" t="s">
        <v>1350</v>
      </c>
      <c r="H228" t="s">
        <v>1351</v>
      </c>
      <c r="I228" t="s">
        <v>1352</v>
      </c>
      <c r="J228" s="8" t="s">
        <v>2023</v>
      </c>
      <c r="L228" s="6">
        <v>41962</v>
      </c>
    </row>
    <row r="229" spans="1:12" x14ac:dyDescent="0.3">
      <c r="A229" s="8" t="str">
        <f>HYPERLINK("http://www.accessdata.fda.gov/scripts/cder/daf/index.cfm?event=overview.process&amp;varApplNo=208261", "Zepatier")</f>
        <v>Zepatier</v>
      </c>
      <c r="B229" t="s">
        <v>2024</v>
      </c>
      <c r="C229" s="6">
        <v>42397</v>
      </c>
      <c r="D229" t="s">
        <v>2025</v>
      </c>
      <c r="E229" s="6">
        <v>42397</v>
      </c>
      <c r="F229" t="s">
        <v>1349</v>
      </c>
      <c r="G229" t="s">
        <v>1350</v>
      </c>
      <c r="H229" t="s">
        <v>1441</v>
      </c>
      <c r="I229" t="s">
        <v>1361</v>
      </c>
      <c r="J229" s="8" t="s">
        <v>2026</v>
      </c>
      <c r="L229" s="6">
        <v>42152</v>
      </c>
    </row>
    <row r="230" spans="1:12" x14ac:dyDescent="0.3">
      <c r="A230" s="8" t="str">
        <f>HYPERLINK("http://www.accessdata.fda.gov/scripts/cder/daf/index.cfm?event=overview.process&amp;varApplNo=207988", "Zurampic")</f>
        <v>Zurampic</v>
      </c>
      <c r="B230" t="s">
        <v>2027</v>
      </c>
      <c r="C230" s="6">
        <v>42360</v>
      </c>
      <c r="D230" t="s">
        <v>2028</v>
      </c>
      <c r="E230" s="6">
        <v>42360</v>
      </c>
      <c r="F230" t="s">
        <v>1349</v>
      </c>
      <c r="G230" t="s">
        <v>1350</v>
      </c>
      <c r="H230" t="s">
        <v>1351</v>
      </c>
      <c r="I230" t="s">
        <v>1352</v>
      </c>
      <c r="J230" s="8" t="s">
        <v>2029</v>
      </c>
      <c r="L230" s="6">
        <v>41998</v>
      </c>
    </row>
    <row r="231" spans="1:12" x14ac:dyDescent="0.3">
      <c r="A231" s="8" t="str">
        <f>HYPERLINK("http://www.accessdata.fda.gov/scripts/cder/daf/index.cfm?event=overview.process&amp;varApplNo=207947", "Uptravi")</f>
        <v>Uptravi</v>
      </c>
      <c r="B231" t="s">
        <v>2030</v>
      </c>
      <c r="C231" s="6">
        <v>42359</v>
      </c>
      <c r="D231" t="s">
        <v>2031</v>
      </c>
      <c r="E231" s="6">
        <v>42359</v>
      </c>
      <c r="F231" t="s">
        <v>1349</v>
      </c>
      <c r="G231" t="s">
        <v>1350</v>
      </c>
      <c r="H231" t="s">
        <v>1351</v>
      </c>
      <c r="I231" t="s">
        <v>1371</v>
      </c>
      <c r="J231" s="8" t="s">
        <v>2032</v>
      </c>
      <c r="L231" s="6">
        <v>41995</v>
      </c>
    </row>
    <row r="232" spans="1:12" x14ac:dyDescent="0.3">
      <c r="A232" s="8" t="str">
        <f>HYPERLINK("http://www.accessdata.fda.gov/scripts/cder/daf/index.cfm?event=overview.process&amp;varApplNo=022225", "Bridion")</f>
        <v>Bridion</v>
      </c>
      <c r="B232" t="s">
        <v>2033</v>
      </c>
      <c r="C232" s="6">
        <v>42353</v>
      </c>
      <c r="D232" t="s">
        <v>2034</v>
      </c>
      <c r="E232" s="6">
        <v>42353</v>
      </c>
      <c r="F232" t="s">
        <v>1349</v>
      </c>
      <c r="G232" t="s">
        <v>1350</v>
      </c>
      <c r="H232" t="s">
        <v>1351</v>
      </c>
      <c r="I232" t="s">
        <v>1361</v>
      </c>
      <c r="J232" s="8" t="s">
        <v>2035</v>
      </c>
      <c r="L232" s="6">
        <v>39385</v>
      </c>
    </row>
    <row r="233" spans="1:12" x14ac:dyDescent="0.3">
      <c r="A233" s="8" t="str">
        <f>HYPERLINK("http://www.accessdata.fda.gov/scripts/cder/daf/index.cfm?event=overview.process&amp;varApplNo=208434", "Alecensa")</f>
        <v>Alecensa</v>
      </c>
      <c r="B233" t="s">
        <v>2036</v>
      </c>
      <c r="C233" s="6">
        <v>42349</v>
      </c>
      <c r="D233" t="s">
        <v>2037</v>
      </c>
      <c r="E233" s="6">
        <v>42349</v>
      </c>
      <c r="F233" t="s">
        <v>1349</v>
      </c>
      <c r="G233" t="s">
        <v>1350</v>
      </c>
      <c r="H233" t="s">
        <v>1351</v>
      </c>
      <c r="I233" t="s">
        <v>1381</v>
      </c>
      <c r="J233" s="8" t="s">
        <v>2038</v>
      </c>
      <c r="L233" s="6" t="s">
        <v>1399</v>
      </c>
    </row>
    <row r="234" spans="1:12" x14ac:dyDescent="0.3">
      <c r="A234" s="8" t="str">
        <f>HYPERLINK("http://www.accessdata.fda.gov/scripts/cder/daf/index.cfm?event=overview.process&amp;varApplNo=125561", "Kanuma")</f>
        <v>Kanuma</v>
      </c>
      <c r="B234" t="s">
        <v>2039</v>
      </c>
      <c r="C234" s="6">
        <v>42346</v>
      </c>
      <c r="D234" t="s">
        <v>2040</v>
      </c>
      <c r="E234" s="6" t="s">
        <v>1438</v>
      </c>
      <c r="F234" t="s">
        <v>1399</v>
      </c>
      <c r="J234" s="8"/>
      <c r="L234" s="6"/>
    </row>
    <row r="235" spans="1:12" x14ac:dyDescent="0.3">
      <c r="A235" s="8" t="str">
        <f>HYPERLINK("http://www.accessdata.fda.gov/scripts/cder/daf/index.cfm?event=overview.process&amp;varApplNo=761035", "Empliciti")</f>
        <v>Empliciti</v>
      </c>
      <c r="B235" t="s">
        <v>2041</v>
      </c>
      <c r="C235" s="6">
        <v>42338</v>
      </c>
      <c r="D235" t="s">
        <v>2042</v>
      </c>
      <c r="E235" s="6">
        <v>42338</v>
      </c>
      <c r="F235" t="s">
        <v>1349</v>
      </c>
      <c r="G235" t="s">
        <v>1350</v>
      </c>
      <c r="I235" t="s">
        <v>1357</v>
      </c>
      <c r="J235" s="8" t="s">
        <v>2043</v>
      </c>
      <c r="L235" s="6">
        <v>42182</v>
      </c>
    </row>
    <row r="236" spans="1:12" x14ac:dyDescent="0.3">
      <c r="A236" s="8" t="str">
        <f>HYPERLINK("http://www.accessdata.fda.gov/scripts/cder/daf/index.cfm?event=overview.process&amp;varApplNo=125547", "Portrazza")</f>
        <v>Portrazza</v>
      </c>
      <c r="B236" t="s">
        <v>2044</v>
      </c>
      <c r="C236" s="6">
        <v>42332</v>
      </c>
      <c r="D236" t="s">
        <v>2045</v>
      </c>
      <c r="E236" s="6">
        <v>42332</v>
      </c>
      <c r="F236" t="s">
        <v>1349</v>
      </c>
      <c r="G236" t="s">
        <v>1350</v>
      </c>
      <c r="I236" t="s">
        <v>1277</v>
      </c>
      <c r="J236" s="8" t="s">
        <v>2046</v>
      </c>
      <c r="L236" s="6">
        <v>41975</v>
      </c>
    </row>
    <row r="237" spans="1:12" x14ac:dyDescent="0.3">
      <c r="A237" s="8" t="str">
        <f>HYPERLINK("http://www.accessdata.fda.gov/scripts/cder/daf/index.cfm?event=overview.process&amp;varApplNo=208462", "Ninlaro")</f>
        <v>Ninlaro</v>
      </c>
      <c r="B237" t="s">
        <v>2047</v>
      </c>
      <c r="C237" s="6">
        <v>42328</v>
      </c>
      <c r="D237" t="s">
        <v>2048</v>
      </c>
      <c r="E237" s="6">
        <v>42328</v>
      </c>
      <c r="F237" t="s">
        <v>1349</v>
      </c>
      <c r="G237" t="s">
        <v>1350</v>
      </c>
      <c r="H237" t="s">
        <v>1351</v>
      </c>
      <c r="I237" t="s">
        <v>1381</v>
      </c>
      <c r="J237" s="8" t="s">
        <v>2049</v>
      </c>
      <c r="L237" s="6">
        <v>42195</v>
      </c>
    </row>
    <row r="238" spans="1:12" x14ac:dyDescent="0.3">
      <c r="A238" s="8" t="str">
        <f>HYPERLINK("http://www.accessdata.fda.gov/scripts/cder/daf/index.cfm?event=overview.process&amp;varApplNo=761036", "Darzalex")</f>
        <v>Darzalex</v>
      </c>
      <c r="B238" t="s">
        <v>2050</v>
      </c>
      <c r="C238" s="6">
        <v>42324</v>
      </c>
      <c r="D238" t="s">
        <v>2051</v>
      </c>
      <c r="E238" s="6">
        <v>42324</v>
      </c>
      <c r="F238" t="s">
        <v>1349</v>
      </c>
      <c r="G238" t="s">
        <v>1350</v>
      </c>
      <c r="I238" t="s">
        <v>1357</v>
      </c>
      <c r="J238" s="8" t="s">
        <v>2052</v>
      </c>
      <c r="L238" s="6">
        <v>42194</v>
      </c>
    </row>
    <row r="239" spans="1:12" x14ac:dyDescent="0.3">
      <c r="A239" s="8" t="str">
        <f>HYPERLINK("http://www.accessdata.fda.gov/scripts/cder/daf/index.cfm?event=overview.process&amp;varApplNo=208065", "Tagrisso")</f>
        <v>Tagrisso</v>
      </c>
      <c r="B239" t="s">
        <v>2053</v>
      </c>
      <c r="C239" s="6">
        <v>42321</v>
      </c>
      <c r="D239" t="s">
        <v>2054</v>
      </c>
      <c r="E239" s="6">
        <v>42321</v>
      </c>
      <c r="F239" t="s">
        <v>1349</v>
      </c>
      <c r="G239" t="s">
        <v>1350</v>
      </c>
      <c r="H239" t="s">
        <v>1351</v>
      </c>
      <c r="I239" t="s">
        <v>1381</v>
      </c>
      <c r="J239" s="8" t="s">
        <v>2055</v>
      </c>
      <c r="L239" s="6">
        <v>42160</v>
      </c>
    </row>
    <row r="240" spans="1:12" x14ac:dyDescent="0.3">
      <c r="A240" s="8" t="str">
        <f>HYPERLINK("http://www.accessdata.fda.gov/scripts/cder/daf/index.cfm?event=overview.process&amp;varApplNo=206192", "Cotellic")</f>
        <v>Cotellic</v>
      </c>
      <c r="B240" t="s">
        <v>2056</v>
      </c>
      <c r="C240" s="6">
        <v>42318</v>
      </c>
      <c r="D240" t="s">
        <v>2057</v>
      </c>
      <c r="E240" s="6">
        <v>42318</v>
      </c>
      <c r="F240" t="s">
        <v>1349</v>
      </c>
      <c r="G240" t="s">
        <v>1350</v>
      </c>
      <c r="H240" t="s">
        <v>1351</v>
      </c>
      <c r="I240" t="s">
        <v>1381</v>
      </c>
      <c r="J240" s="8" t="s">
        <v>2058</v>
      </c>
      <c r="L240" s="6">
        <v>41984</v>
      </c>
    </row>
    <row r="241" spans="1:12" x14ac:dyDescent="0.3">
      <c r="A241" s="8" t="str">
        <f>HYPERLINK("http://www.accessdata.fda.gov/scripts/cder/daf/index.cfm?event=overview.process&amp;varApplNo=207561", "Genvoya")</f>
        <v>Genvoya</v>
      </c>
      <c r="B241" t="s">
        <v>2059</v>
      </c>
      <c r="C241" s="6">
        <v>42313</v>
      </c>
      <c r="D241" t="s">
        <v>2060</v>
      </c>
      <c r="E241" s="6">
        <v>42313</v>
      </c>
      <c r="F241" t="s">
        <v>1349</v>
      </c>
      <c r="G241" t="s">
        <v>1350</v>
      </c>
      <c r="H241" t="s">
        <v>1441</v>
      </c>
      <c r="I241" t="s">
        <v>1352</v>
      </c>
      <c r="J241" s="8" t="s">
        <v>2061</v>
      </c>
      <c r="L241" s="6">
        <v>41948</v>
      </c>
    </row>
    <row r="242" spans="1:12" x14ac:dyDescent="0.3">
      <c r="A242" s="8" t="str">
        <f>HYPERLINK("http://www.accessdata.fda.gov/scripts/cder/daf/index.cfm?event=overview.process&amp;varApplNo=125526", "Nucala")</f>
        <v>Nucala</v>
      </c>
      <c r="B242" t="s">
        <v>2062</v>
      </c>
      <c r="C242" s="6">
        <v>42312</v>
      </c>
      <c r="D242" t="s">
        <v>2063</v>
      </c>
      <c r="E242" s="6">
        <v>42312</v>
      </c>
      <c r="F242" t="s">
        <v>1349</v>
      </c>
      <c r="G242" t="s">
        <v>1350</v>
      </c>
      <c r="I242" t="s">
        <v>1277</v>
      </c>
      <c r="J242" s="8" t="s">
        <v>2064</v>
      </c>
      <c r="L242" s="6">
        <v>41947</v>
      </c>
    </row>
    <row r="243" spans="1:12" x14ac:dyDescent="0.3">
      <c r="A243" s="8" t="str">
        <f>HYPERLINK("http://www.accessdata.fda.gov/scripts/cder/daf/index.cfm?event=overview.process&amp;varApplNo=125513", "Strensiq")</f>
        <v>Strensiq</v>
      </c>
      <c r="B243" t="s">
        <v>2065</v>
      </c>
      <c r="C243" s="6">
        <v>42300</v>
      </c>
      <c r="D243" t="s">
        <v>2066</v>
      </c>
      <c r="E243" s="6">
        <v>42300</v>
      </c>
      <c r="F243" t="s">
        <v>1349</v>
      </c>
      <c r="G243" t="s">
        <v>1350</v>
      </c>
      <c r="I243" t="s">
        <v>1357</v>
      </c>
      <c r="J243" s="8" t="s">
        <v>2067</v>
      </c>
      <c r="L243" s="6">
        <v>41996</v>
      </c>
    </row>
    <row r="244" spans="1:12" x14ac:dyDescent="0.3">
      <c r="A244" s="8" t="str">
        <f>HYPERLINK("http://www.accessdata.fda.gov/scripts/cder/daf/index.cfm?event=overview.process&amp;varApplNo=207953", "Yondelis")</f>
        <v>Yondelis</v>
      </c>
      <c r="B244" t="s">
        <v>2068</v>
      </c>
      <c r="C244" s="6">
        <v>42300</v>
      </c>
      <c r="D244" t="s">
        <v>2069</v>
      </c>
      <c r="E244" s="6">
        <v>42300</v>
      </c>
      <c r="F244" t="s">
        <v>1349</v>
      </c>
      <c r="G244" t="s">
        <v>1350</v>
      </c>
      <c r="H244" t="s">
        <v>1351</v>
      </c>
      <c r="I244" t="s">
        <v>1381</v>
      </c>
      <c r="J244" s="8" t="s">
        <v>2070</v>
      </c>
      <c r="L244" s="6">
        <v>41967</v>
      </c>
    </row>
    <row r="245" spans="1:12" x14ac:dyDescent="0.3">
      <c r="A245" s="8" t="str">
        <f>HYPERLINK("http://www.accessdata.fda.gov/scripts/cder/daf/index.cfm?event=overview.process&amp;varApplNo=205739", "Veltassa")</f>
        <v>Veltassa</v>
      </c>
      <c r="B245" t="s">
        <v>2071</v>
      </c>
      <c r="C245" s="6">
        <v>42298</v>
      </c>
      <c r="D245" t="s">
        <v>2072</v>
      </c>
      <c r="E245" s="6">
        <v>42298</v>
      </c>
      <c r="F245" t="s">
        <v>1349</v>
      </c>
      <c r="G245" t="s">
        <v>1350</v>
      </c>
      <c r="H245" t="s">
        <v>1351</v>
      </c>
      <c r="I245" t="s">
        <v>1352</v>
      </c>
      <c r="J245" s="8" t="s">
        <v>2073</v>
      </c>
      <c r="L245" s="6">
        <v>41933</v>
      </c>
    </row>
    <row r="246" spans="1:12" x14ac:dyDescent="0.3">
      <c r="A246" s="8" t="str">
        <f>HYPERLINK("http://www.accessdata.fda.gov/scripts/cder/daf/index.cfm?event=overview.process&amp;varApplNo=761025", "Praxbind")</f>
        <v>Praxbind</v>
      </c>
      <c r="B246" t="s">
        <v>2074</v>
      </c>
      <c r="C246" s="6">
        <v>42293</v>
      </c>
      <c r="D246" t="s">
        <v>2075</v>
      </c>
      <c r="E246" s="6">
        <v>42293</v>
      </c>
      <c r="F246" t="s">
        <v>1349</v>
      </c>
      <c r="G246" t="s">
        <v>1350</v>
      </c>
      <c r="I246" t="s">
        <v>1277</v>
      </c>
      <c r="J246" s="8" t="s">
        <v>2076</v>
      </c>
      <c r="L246" s="6">
        <v>42054</v>
      </c>
    </row>
    <row r="247" spans="1:12" x14ac:dyDescent="0.3">
      <c r="A247" s="8" t="str">
        <f>HYPERLINK("http://www.accessdata.fda.gov/scripts/cder/daf/index.cfm?event=overview.process&amp;varApplNo=207533", "Aristada")</f>
        <v>Aristada</v>
      </c>
      <c r="B247" t="s">
        <v>2077</v>
      </c>
      <c r="C247" s="6">
        <v>42282</v>
      </c>
      <c r="D247" t="s">
        <v>2078</v>
      </c>
      <c r="E247" s="6">
        <v>42282</v>
      </c>
      <c r="F247" t="s">
        <v>1349</v>
      </c>
      <c r="G247" t="s">
        <v>1350</v>
      </c>
      <c r="H247" t="s">
        <v>1351</v>
      </c>
      <c r="I247" t="s">
        <v>1352</v>
      </c>
      <c r="J247" s="8" t="s">
        <v>2079</v>
      </c>
      <c r="L247" s="6">
        <v>41873</v>
      </c>
    </row>
    <row r="248" spans="1:12" x14ac:dyDescent="0.3">
      <c r="A248" s="8" t="str">
        <f>HYPERLINK("http://www.accessdata.fda.gov/scripts/cder/daf/index.cfm?event=overview.process&amp;varApplNo=203314", "Tresiba")</f>
        <v>Tresiba</v>
      </c>
      <c r="B248" t="s">
        <v>2080</v>
      </c>
      <c r="C248" s="6">
        <v>42272</v>
      </c>
      <c r="D248" t="s">
        <v>2081</v>
      </c>
      <c r="E248" s="6">
        <v>42272</v>
      </c>
      <c r="F248" t="s">
        <v>1349</v>
      </c>
      <c r="G248" t="s">
        <v>1350</v>
      </c>
      <c r="I248" t="s">
        <v>1277</v>
      </c>
      <c r="J248" s="8" t="s">
        <v>2082</v>
      </c>
      <c r="L248" s="6">
        <v>40815</v>
      </c>
    </row>
    <row r="249" spans="1:12" x14ac:dyDescent="0.3">
      <c r="A249" s="8" t="str">
        <f>HYPERLINK("http://www.accessdata.fda.gov/scripts/cder/daf/index.cfm?event=overview.process&amp;varApplNo=207981", "Lonsurf")</f>
        <v>Lonsurf</v>
      </c>
      <c r="B249" t="s">
        <v>2083</v>
      </c>
      <c r="C249" s="6">
        <v>42269</v>
      </c>
      <c r="D249" t="s">
        <v>2084</v>
      </c>
      <c r="E249" s="6">
        <v>42269</v>
      </c>
      <c r="F249" t="s">
        <v>1349</v>
      </c>
      <c r="G249" t="s">
        <v>1350</v>
      </c>
      <c r="H249" t="s">
        <v>1351</v>
      </c>
      <c r="I249" t="s">
        <v>1352</v>
      </c>
      <c r="J249" s="8" t="s">
        <v>2085</v>
      </c>
      <c r="L249" s="6">
        <v>41992</v>
      </c>
    </row>
    <row r="250" spans="1:12" x14ac:dyDescent="0.3">
      <c r="A250" s="8" t="str">
        <f>HYPERLINK("http://www.accessdata.fda.gov/scripts/cder/daf/index.cfm?event=overview.process&amp;varApplNo=204370", "Vraylar")</f>
        <v>Vraylar</v>
      </c>
      <c r="B250" t="s">
        <v>2086</v>
      </c>
      <c r="C250" s="6">
        <v>42264</v>
      </c>
      <c r="D250" t="s">
        <v>2087</v>
      </c>
      <c r="E250" s="6">
        <v>42264</v>
      </c>
      <c r="F250" t="s">
        <v>1349</v>
      </c>
      <c r="G250" t="s">
        <v>1350</v>
      </c>
      <c r="H250" t="s">
        <v>1351</v>
      </c>
      <c r="I250" t="s">
        <v>1352</v>
      </c>
      <c r="J250" s="8" t="s">
        <v>2088</v>
      </c>
      <c r="L250" s="6">
        <v>41232</v>
      </c>
    </row>
    <row r="251" spans="1:12" x14ac:dyDescent="0.3">
      <c r="A251" s="8" t="str">
        <f>HYPERLINK("http://www.accessdata.fda.gov/scripts/cder/daf/index.cfm?event=overview.process&amp;varApplNo=208169", "Xuriden")</f>
        <v>Xuriden</v>
      </c>
      <c r="B251" t="s">
        <v>2089</v>
      </c>
      <c r="C251" s="6">
        <v>42251</v>
      </c>
      <c r="D251" t="s">
        <v>2090</v>
      </c>
      <c r="E251" s="6">
        <v>42251</v>
      </c>
      <c r="F251" t="s">
        <v>1349</v>
      </c>
      <c r="G251" t="s">
        <v>1350</v>
      </c>
      <c r="H251" t="s">
        <v>1351</v>
      </c>
      <c r="I251" t="s">
        <v>1381</v>
      </c>
      <c r="J251" s="8" t="s">
        <v>2091</v>
      </c>
      <c r="L251" s="6">
        <v>42012</v>
      </c>
    </row>
    <row r="252" spans="1:12" x14ac:dyDescent="0.3">
      <c r="A252" s="8" t="str">
        <f>HYPERLINK("http://www.accessdata.fda.gov/scripts/cder/daf/index.cfm?event=overview.process&amp;varApplNo=206500", "Varubi")</f>
        <v>Varubi</v>
      </c>
      <c r="B252" t="s">
        <v>2092</v>
      </c>
      <c r="C252" s="6">
        <v>42248</v>
      </c>
      <c r="D252" t="s">
        <v>2093</v>
      </c>
      <c r="E252" s="6">
        <v>42248</v>
      </c>
      <c r="F252" t="s">
        <v>1349</v>
      </c>
      <c r="G252" t="s">
        <v>1350</v>
      </c>
      <c r="H252" t="s">
        <v>1351</v>
      </c>
      <c r="I252" t="s">
        <v>1352</v>
      </c>
      <c r="J252" s="8" t="s">
        <v>2094</v>
      </c>
      <c r="L252" s="6">
        <v>41887</v>
      </c>
    </row>
    <row r="253" spans="1:12" x14ac:dyDescent="0.3">
      <c r="A253" s="8" t="str">
        <f>HYPERLINK("http://www.accessdata.fda.gov/scripts/cder/daf/index.cfm?event=overview.process&amp;varApplNo=125522", "Repatha")</f>
        <v>Repatha</v>
      </c>
      <c r="B253" t="s">
        <v>2095</v>
      </c>
      <c r="C253" s="6">
        <v>42243</v>
      </c>
      <c r="D253" t="s">
        <v>2096</v>
      </c>
      <c r="E253" s="6">
        <v>42243</v>
      </c>
      <c r="F253" t="s">
        <v>1349</v>
      </c>
      <c r="G253" t="s">
        <v>1350</v>
      </c>
      <c r="I253" t="s">
        <v>1357</v>
      </c>
      <c r="J253" s="8" t="s">
        <v>2097</v>
      </c>
      <c r="L253" s="6">
        <v>41878</v>
      </c>
    </row>
    <row r="254" spans="1:12" x14ac:dyDescent="0.3">
      <c r="A254" s="8" t="str">
        <f>HYPERLINK("http://www.accessdata.fda.gov/scripts/cder/daf/index.cfm?event=overview.process&amp;varApplNo=022526", "Addyi")</f>
        <v>Addyi</v>
      </c>
      <c r="B254" t="s">
        <v>2098</v>
      </c>
      <c r="C254" s="6">
        <v>42234</v>
      </c>
      <c r="D254" t="s">
        <v>2099</v>
      </c>
      <c r="E254" s="6">
        <v>42234</v>
      </c>
      <c r="F254" t="s">
        <v>1349</v>
      </c>
      <c r="G254" t="s">
        <v>1350</v>
      </c>
      <c r="H254" t="s">
        <v>1351</v>
      </c>
      <c r="I254" t="s">
        <v>1352</v>
      </c>
      <c r="J254" s="8" t="s">
        <v>2100</v>
      </c>
      <c r="L254" s="6">
        <v>40113</v>
      </c>
    </row>
    <row r="255" spans="1:12" x14ac:dyDescent="0.3">
      <c r="A255" s="8" t="str">
        <f>HYPERLINK("http://www.accessdata.fda.gov/scripts/cder/daf/index.cfm?event=overview.process&amp;varApplNo=206843", "Daklinza")</f>
        <v>Daklinza</v>
      </c>
      <c r="B255" t="s">
        <v>2101</v>
      </c>
      <c r="C255" s="6">
        <v>42209</v>
      </c>
      <c r="D255" t="s">
        <v>2102</v>
      </c>
      <c r="E255" s="6">
        <v>42209</v>
      </c>
      <c r="F255" t="s">
        <v>1349</v>
      </c>
      <c r="G255" t="s">
        <v>1350</v>
      </c>
      <c r="H255" t="s">
        <v>1351</v>
      </c>
      <c r="I255" t="s">
        <v>1361</v>
      </c>
      <c r="J255" s="8" t="s">
        <v>2103</v>
      </c>
      <c r="L255" s="6">
        <v>41729</v>
      </c>
    </row>
    <row r="256" spans="1:12" x14ac:dyDescent="0.3">
      <c r="A256" s="8" t="str">
        <f>HYPERLINK("http://www.accessdata.fda.gov/scripts/cder/daf/index.cfm?event=overview.process&amp;varApplNo=205266", "Odomzo")</f>
        <v>Odomzo</v>
      </c>
      <c r="B256" t="s">
        <v>2104</v>
      </c>
      <c r="C256" s="6">
        <v>42209</v>
      </c>
      <c r="D256" t="s">
        <v>2105</v>
      </c>
      <c r="E256" s="6">
        <v>42209</v>
      </c>
      <c r="F256" t="s">
        <v>1349</v>
      </c>
      <c r="G256" t="s">
        <v>1350</v>
      </c>
      <c r="H256" t="s">
        <v>1351</v>
      </c>
      <c r="I256" t="s">
        <v>1352</v>
      </c>
      <c r="J256" s="8" t="s">
        <v>2106</v>
      </c>
      <c r="L256" s="6">
        <v>41908</v>
      </c>
    </row>
    <row r="257" spans="1:12" x14ac:dyDescent="0.3">
      <c r="A257" s="8" t="str">
        <f>HYPERLINK("http://www.accessdata.fda.gov/scripts/cder/daf/index.cfm?event=overview.process&amp;varApplNo=125559", "Praluent")</f>
        <v>Praluent</v>
      </c>
      <c r="B257" t="s">
        <v>2107</v>
      </c>
      <c r="C257" s="6">
        <v>42209</v>
      </c>
      <c r="D257" t="s">
        <v>2096</v>
      </c>
      <c r="E257" s="6">
        <v>42209</v>
      </c>
      <c r="F257" t="s">
        <v>1349</v>
      </c>
      <c r="G257" t="s">
        <v>1350</v>
      </c>
      <c r="I257" t="s">
        <v>1277</v>
      </c>
      <c r="J257" s="8" t="s">
        <v>2108</v>
      </c>
      <c r="L257" s="6">
        <v>41967</v>
      </c>
    </row>
    <row r="258" spans="1:12" x14ac:dyDescent="0.3">
      <c r="A258" s="8" t="str">
        <f>HYPERLINK("http://www.accessdata.fda.gov/scripts/cder/daf/index.cfm?event=overview.process&amp;varApplNo=205422", "Rexulti")</f>
        <v>Rexulti</v>
      </c>
      <c r="B258" t="s">
        <v>2109</v>
      </c>
      <c r="C258" s="6">
        <v>42195</v>
      </c>
      <c r="D258" t="s">
        <v>2110</v>
      </c>
      <c r="E258" s="6">
        <v>42195</v>
      </c>
      <c r="F258" t="s">
        <v>1349</v>
      </c>
      <c r="G258" t="s">
        <v>1350</v>
      </c>
      <c r="H258" t="s">
        <v>1351</v>
      </c>
      <c r="I258" t="s">
        <v>1352</v>
      </c>
      <c r="J258" s="8" t="s">
        <v>2111</v>
      </c>
      <c r="L258" s="6">
        <v>41831</v>
      </c>
    </row>
    <row r="259" spans="1:12" x14ac:dyDescent="0.3">
      <c r="A259" s="8" t="str">
        <f>HYPERLINK("http://www.accessdata.fda.gov/scripts/cder/daf/index.cfm?event=overview.process&amp;varApplNo=207620", "Entresto")</f>
        <v>Entresto</v>
      </c>
      <c r="B259" t="s">
        <v>2112</v>
      </c>
      <c r="C259" s="6">
        <v>42192</v>
      </c>
      <c r="D259" t="s">
        <v>2113</v>
      </c>
      <c r="E259" s="6">
        <v>42192</v>
      </c>
      <c r="F259" t="s">
        <v>1349</v>
      </c>
      <c r="G259" t="s">
        <v>1350</v>
      </c>
      <c r="H259" t="s">
        <v>1351</v>
      </c>
      <c r="I259" t="s">
        <v>1361</v>
      </c>
      <c r="J259" s="8" t="s">
        <v>2114</v>
      </c>
      <c r="L259" s="6">
        <v>41990</v>
      </c>
    </row>
    <row r="260" spans="1:12" x14ac:dyDescent="0.3">
      <c r="A260" s="8" t="str">
        <f>HYPERLINK("http://www.accessdata.fda.gov/scripts/cder/daf/index.cfm?event=overview.process&amp;varApplNo=206038", "Orkambi")</f>
        <v>Orkambi</v>
      </c>
      <c r="B260" t="s">
        <v>2115</v>
      </c>
      <c r="C260" s="6">
        <v>42187</v>
      </c>
      <c r="D260" t="s">
        <v>2116</v>
      </c>
      <c r="E260" s="6">
        <v>42187</v>
      </c>
      <c r="F260" t="s">
        <v>1349</v>
      </c>
      <c r="G260" t="s">
        <v>1350</v>
      </c>
      <c r="H260" t="s">
        <v>1351</v>
      </c>
      <c r="I260" t="s">
        <v>1381</v>
      </c>
      <c r="J260" s="8" t="s">
        <v>2117</v>
      </c>
      <c r="L260" s="6">
        <v>41948</v>
      </c>
    </row>
    <row r="261" spans="1:12" x14ac:dyDescent="0.3">
      <c r="A261" s="8" t="str">
        <f>HYPERLINK("http://www.accessdata.fda.gov/scripts/cder/daf/index.cfm?event=overview.process&amp;varApplNo=204958", "Kengreal")</f>
        <v>Kengreal</v>
      </c>
      <c r="B261" t="s">
        <v>2118</v>
      </c>
      <c r="C261" s="6">
        <v>42177</v>
      </c>
      <c r="D261" t="s">
        <v>2119</v>
      </c>
      <c r="E261" s="6">
        <v>42177</v>
      </c>
      <c r="F261" t="s">
        <v>1349</v>
      </c>
      <c r="G261" t="s">
        <v>1350</v>
      </c>
      <c r="H261" t="s">
        <v>1351</v>
      </c>
      <c r="I261" t="s">
        <v>1352</v>
      </c>
      <c r="J261" s="8" t="s">
        <v>2120</v>
      </c>
      <c r="L261" s="6">
        <v>41996</v>
      </c>
    </row>
    <row r="262" spans="1:12" x14ac:dyDescent="0.3">
      <c r="A262" s="8" t="str">
        <f>HYPERLINK("http://www.accessdata.fda.gov/scripts/cder/daf/index.cfm?event=overview.process&amp;varApplNo=206940", "Viberzi")</f>
        <v>Viberzi</v>
      </c>
      <c r="B262" t="s">
        <v>2121</v>
      </c>
      <c r="C262" s="6">
        <v>42151</v>
      </c>
      <c r="D262" t="s">
        <v>2122</v>
      </c>
      <c r="E262" s="6">
        <v>42151</v>
      </c>
      <c r="F262" t="s">
        <v>1349</v>
      </c>
      <c r="G262" t="s">
        <v>1350</v>
      </c>
      <c r="H262" t="s">
        <v>1351</v>
      </c>
      <c r="I262" t="s">
        <v>1361</v>
      </c>
      <c r="J262" s="8" t="s">
        <v>2123</v>
      </c>
      <c r="L262" s="6">
        <v>41816</v>
      </c>
    </row>
    <row r="263" spans="1:12" x14ac:dyDescent="0.3">
      <c r="A263" s="8" t="str">
        <f>HYPERLINK("http://www.accessdata.fda.gov/scripts/cder/daf/index.cfm?event=overview.process&amp;varApplNo=206333", "Kybella")</f>
        <v>Kybella</v>
      </c>
      <c r="B263" t="s">
        <v>2124</v>
      </c>
      <c r="C263" s="6">
        <v>42123</v>
      </c>
      <c r="D263" t="s">
        <v>2125</v>
      </c>
      <c r="E263" s="6">
        <v>42123</v>
      </c>
      <c r="F263" t="s">
        <v>1349</v>
      </c>
      <c r="G263" t="s">
        <v>1350</v>
      </c>
      <c r="H263" t="s">
        <v>1351</v>
      </c>
      <c r="I263" t="s">
        <v>1352</v>
      </c>
      <c r="J263" s="8" t="s">
        <v>2126</v>
      </c>
      <c r="L263" s="6">
        <v>41772</v>
      </c>
    </row>
    <row r="264" spans="1:12" x14ac:dyDescent="0.3">
      <c r="A264" s="8" t="str">
        <f>HYPERLINK("http://www.accessdata.fda.gov/scripts/cder/daf/index.cfm?event=overview.process&amp;varApplNo=206143", "Corlanor")</f>
        <v>Corlanor</v>
      </c>
      <c r="B264" t="s">
        <v>2127</v>
      </c>
      <c r="C264" s="6">
        <v>42109</v>
      </c>
      <c r="D264" t="s">
        <v>2128</v>
      </c>
      <c r="E264" s="6">
        <v>42109</v>
      </c>
      <c r="F264" t="s">
        <v>1349</v>
      </c>
      <c r="G264" t="s">
        <v>1350</v>
      </c>
      <c r="H264" t="s">
        <v>1351</v>
      </c>
      <c r="I264" t="s">
        <v>1361</v>
      </c>
      <c r="J264" s="8" t="s">
        <v>2129</v>
      </c>
      <c r="L264" s="6">
        <v>41817</v>
      </c>
    </row>
    <row r="265" spans="1:12" x14ac:dyDescent="0.3">
      <c r="A265" s="8" t="str">
        <f>HYPERLINK("http://www.accessdata.fda.gov/scripts/cder/daf/index.cfm?event=overview.process&amp;varApplNo=205750", "Cholbam")</f>
        <v>Cholbam</v>
      </c>
      <c r="B265" t="s">
        <v>2130</v>
      </c>
      <c r="C265" s="6">
        <v>42080</v>
      </c>
      <c r="D265" t="s">
        <v>2131</v>
      </c>
      <c r="E265" s="6">
        <v>42080</v>
      </c>
      <c r="F265" t="s">
        <v>1349</v>
      </c>
      <c r="G265" t="s">
        <v>1350</v>
      </c>
      <c r="H265" t="s">
        <v>1351</v>
      </c>
      <c r="I265" t="s">
        <v>1381</v>
      </c>
      <c r="J265" s="8" t="s">
        <v>2132</v>
      </c>
      <c r="L265" s="6">
        <v>41599</v>
      </c>
    </row>
    <row r="266" spans="1:12" x14ac:dyDescent="0.3">
      <c r="A266" s="8" t="str">
        <f>HYPERLINK("http://www.accessdata.fda.gov/scripts/cder/daf/index.cfm?event=overview.process&amp;varApplNo=125516", "Unituxin")</f>
        <v>Unituxin</v>
      </c>
      <c r="B266" t="s">
        <v>2133</v>
      </c>
      <c r="C266" s="6">
        <v>42073</v>
      </c>
      <c r="D266" t="s">
        <v>2134</v>
      </c>
      <c r="E266" s="6">
        <v>42073</v>
      </c>
      <c r="F266" t="s">
        <v>1349</v>
      </c>
      <c r="G266" t="s">
        <v>1350</v>
      </c>
      <c r="I266" t="s">
        <v>1357</v>
      </c>
      <c r="J266" s="8" t="s">
        <v>2135</v>
      </c>
      <c r="L266" s="6">
        <v>41740</v>
      </c>
    </row>
    <row r="267" spans="1:12" x14ac:dyDescent="0.3">
      <c r="A267" s="8" t="str">
        <f>HYPERLINK("http://www.accessdata.fda.gov/scripts/cder/daf/index.cfm?event=overview.process&amp;varApplNo=207500", "Cresembacapsuleinjection")</f>
        <v>Cresembacapsuleinjection</v>
      </c>
      <c r="B267" t="s">
        <v>2136</v>
      </c>
      <c r="C267" s="6">
        <v>42069</v>
      </c>
      <c r="D267" t="s">
        <v>2137</v>
      </c>
      <c r="E267" s="6">
        <v>42069</v>
      </c>
      <c r="F267" t="s">
        <v>1349</v>
      </c>
      <c r="G267" t="s">
        <v>1350</v>
      </c>
      <c r="H267" t="s">
        <v>1351</v>
      </c>
      <c r="I267" t="s">
        <v>1381</v>
      </c>
      <c r="J267" s="8" t="s">
        <v>2138</v>
      </c>
      <c r="L267" s="6">
        <v>41828</v>
      </c>
    </row>
    <row r="268" spans="1:12" x14ac:dyDescent="0.3">
      <c r="A268" s="8" t="str">
        <f>HYPERLINK("http://www.accessdata.fda.gov/scripts/cder/daf/index.cfm?event=overview.process&amp;varApplNo=206494", "Avycaz")</f>
        <v>Avycaz</v>
      </c>
      <c r="B268" t="s">
        <v>2139</v>
      </c>
      <c r="C268" s="6">
        <v>42060</v>
      </c>
      <c r="D268" t="s">
        <v>2140</v>
      </c>
      <c r="E268" s="6">
        <v>42060</v>
      </c>
      <c r="F268" t="s">
        <v>1349</v>
      </c>
      <c r="G268" t="s">
        <v>1350</v>
      </c>
      <c r="H268" t="s">
        <v>1441</v>
      </c>
      <c r="I268" t="s">
        <v>1361</v>
      </c>
      <c r="J268" s="8" t="s">
        <v>2141</v>
      </c>
      <c r="L268" s="6">
        <v>41815</v>
      </c>
    </row>
    <row r="269" spans="1:12" x14ac:dyDescent="0.3">
      <c r="A269" s="8" t="str">
        <f>HYPERLINK("http://www.accessdata.fda.gov/scripts/cder/daf/index.cfm?event=overview.process&amp;varApplNo=205353", "Farydak")</f>
        <v>Farydak</v>
      </c>
      <c r="B269" t="s">
        <v>2142</v>
      </c>
      <c r="C269" s="6">
        <v>42058</v>
      </c>
      <c r="D269" t="s">
        <v>2143</v>
      </c>
      <c r="E269" s="6">
        <v>42058</v>
      </c>
      <c r="F269" t="s">
        <v>1349</v>
      </c>
      <c r="G269" t="s">
        <v>1350</v>
      </c>
      <c r="H269" t="s">
        <v>1351</v>
      </c>
      <c r="I269" t="s">
        <v>1381</v>
      </c>
      <c r="J269" s="8" t="s">
        <v>2144</v>
      </c>
      <c r="L269" s="6">
        <v>41720</v>
      </c>
    </row>
    <row r="270" spans="1:12" x14ac:dyDescent="0.3">
      <c r="A270" s="8" t="str">
        <f>HYPERLINK("http://www.accessdata.fda.gov/scripts/cder/daf/index.cfm?event=overview.process&amp;varApplNo=206947", "Lenvima")</f>
        <v>Lenvima</v>
      </c>
      <c r="B270" t="s">
        <v>2145</v>
      </c>
      <c r="C270" s="6">
        <v>42048</v>
      </c>
      <c r="D270" t="s">
        <v>2146</v>
      </c>
      <c r="E270" s="6">
        <v>42048</v>
      </c>
      <c r="F270" t="s">
        <v>1349</v>
      </c>
      <c r="G270" t="s">
        <v>1350</v>
      </c>
      <c r="H270" t="s">
        <v>1351</v>
      </c>
      <c r="I270" t="s">
        <v>1381</v>
      </c>
      <c r="J270" s="8" t="s">
        <v>2147</v>
      </c>
      <c r="L270" s="6">
        <v>41865</v>
      </c>
    </row>
    <row r="271" spans="1:12" x14ac:dyDescent="0.3">
      <c r="A271" s="8" t="str">
        <f>HYPERLINK("http://www.accessdata.fda.gov/scripts/cder/daf/index.cfm?event=overview.process&amp;varApplNo=207103", "Ibrance")</f>
        <v>Ibrance</v>
      </c>
      <c r="B271" t="s">
        <v>2148</v>
      </c>
      <c r="C271" s="6">
        <v>42038</v>
      </c>
      <c r="D271" t="s">
        <v>2149</v>
      </c>
      <c r="E271" s="6">
        <v>42038</v>
      </c>
      <c r="F271" t="s">
        <v>1349</v>
      </c>
      <c r="G271" t="s">
        <v>1350</v>
      </c>
      <c r="H271" t="s">
        <v>1351</v>
      </c>
      <c r="I271" t="s">
        <v>1361</v>
      </c>
      <c r="J271" s="8" t="s">
        <v>2150</v>
      </c>
      <c r="L271" s="6">
        <v>41864</v>
      </c>
    </row>
    <row r="272" spans="1:12" x14ac:dyDescent="0.3">
      <c r="A272" s="8" t="str">
        <f>HYPERLINK("http://www.accessdata.fda.gov/scripts/cder/daf/index.cfm?event=overview.process&amp;varApplNo=125511", "Natpara")</f>
        <v>Natpara</v>
      </c>
      <c r="B272" t="s">
        <v>2151</v>
      </c>
      <c r="C272" s="6">
        <v>42027</v>
      </c>
      <c r="D272" t="s">
        <v>2152</v>
      </c>
      <c r="E272" s="6">
        <v>42027</v>
      </c>
      <c r="F272" t="s">
        <v>1349</v>
      </c>
      <c r="G272" t="s">
        <v>1350</v>
      </c>
      <c r="I272" t="s">
        <v>1357</v>
      </c>
      <c r="J272" s="8" t="s">
        <v>2153</v>
      </c>
      <c r="L272" s="6">
        <v>41570</v>
      </c>
    </row>
    <row r="273" spans="1:12" x14ac:dyDescent="0.3">
      <c r="A273" s="8" t="str">
        <f>HYPERLINK("http://www.accessdata.fda.gov/scripts/cder/daf/index.cfm?event=overview.process&amp;varApplNo=125504", "Cosentyx")</f>
        <v>Cosentyx</v>
      </c>
      <c r="B273" t="s">
        <v>2154</v>
      </c>
      <c r="C273" s="6">
        <v>42025</v>
      </c>
      <c r="D273" t="s">
        <v>2155</v>
      </c>
      <c r="E273" s="6">
        <v>42025</v>
      </c>
      <c r="F273" t="s">
        <v>1349</v>
      </c>
      <c r="G273" t="s">
        <v>1350</v>
      </c>
      <c r="I273" t="s">
        <v>1277</v>
      </c>
      <c r="J273" s="8" t="s">
        <v>2156</v>
      </c>
      <c r="L273" s="6">
        <v>41571</v>
      </c>
    </row>
    <row r="274" spans="1:12" x14ac:dyDescent="0.3">
      <c r="A274" s="8" t="str">
        <f>HYPERLINK("http://www.accessdata.fda.gov/scripts/cder/daf/index.cfm?event=overview.process&amp;varApplNo=206316", "Savaysa")</f>
        <v>Savaysa</v>
      </c>
      <c r="B274" t="s">
        <v>2157</v>
      </c>
      <c r="C274" s="6">
        <v>42012</v>
      </c>
      <c r="D274" t="s">
        <v>2158</v>
      </c>
      <c r="E274" s="6">
        <v>42012</v>
      </c>
      <c r="F274" t="s">
        <v>1349</v>
      </c>
      <c r="G274" t="s">
        <v>1350</v>
      </c>
      <c r="H274" t="s">
        <v>1351</v>
      </c>
      <c r="I274" t="s">
        <v>1352</v>
      </c>
      <c r="J274" s="8" t="s">
        <v>2159</v>
      </c>
      <c r="L274" s="6" t="s">
        <v>1354</v>
      </c>
    </row>
    <row r="275" spans="1:12" x14ac:dyDescent="0.3">
      <c r="A275" s="8"/>
      <c r="C275" s="6"/>
      <c r="E275" s="6"/>
      <c r="J275" s="8"/>
      <c r="L275" s="6"/>
    </row>
    <row r="276" spans="1:12" x14ac:dyDescent="0.3">
      <c r="A276" s="8"/>
      <c r="C276" s="6"/>
      <c r="E276" s="6"/>
      <c r="J276" s="8"/>
      <c r="L276" s="6"/>
    </row>
    <row r="277" spans="1:12" x14ac:dyDescent="0.3">
      <c r="A277" s="8"/>
      <c r="C277" s="6"/>
      <c r="E277" s="6"/>
      <c r="J277" s="8"/>
      <c r="L277" s="6"/>
    </row>
    <row r="278" spans="1:12" x14ac:dyDescent="0.3">
      <c r="A278" s="8"/>
      <c r="C278" s="6"/>
      <c r="E278" s="6"/>
      <c r="J278" s="8"/>
      <c r="L278" s="6"/>
    </row>
    <row r="279" spans="1:12" x14ac:dyDescent="0.3">
      <c r="A279" s="8"/>
      <c r="C279" s="6"/>
      <c r="E279" s="6"/>
      <c r="J279" s="8"/>
      <c r="L279" s="6"/>
    </row>
    <row r="280" spans="1:12" x14ac:dyDescent="0.3">
      <c r="A280" s="8"/>
      <c r="C280" s="6"/>
      <c r="E280" s="6"/>
      <c r="J280" s="8"/>
      <c r="L280" s="6"/>
    </row>
    <row r="281" spans="1:12" x14ac:dyDescent="0.3">
      <c r="A281" s="8"/>
      <c r="C281" s="6"/>
      <c r="E281" s="6"/>
      <c r="J281" s="8"/>
      <c r="L281" s="6"/>
    </row>
    <row r="282" spans="1:12" x14ac:dyDescent="0.3">
      <c r="A282" s="8"/>
      <c r="C282" s="6"/>
      <c r="E282" s="6"/>
      <c r="J282" s="8"/>
      <c r="L282" s="6"/>
    </row>
    <row r="283" spans="1:12" x14ac:dyDescent="0.3">
      <c r="A283" s="8"/>
      <c r="C283" s="6"/>
      <c r="E283" s="6"/>
      <c r="J283" s="8"/>
      <c r="L283" s="6"/>
    </row>
    <row r="284" spans="1:12" x14ac:dyDescent="0.3">
      <c r="A284" s="8"/>
      <c r="C284" s="6"/>
      <c r="E284" s="6"/>
      <c r="J284" s="8"/>
      <c r="L284" s="6"/>
    </row>
    <row r="285" spans="1:12" x14ac:dyDescent="0.3">
      <c r="A285" s="8"/>
      <c r="C285" s="6"/>
      <c r="E285" s="6"/>
      <c r="J285" s="8"/>
      <c r="L285" s="6"/>
    </row>
    <row r="286" spans="1:12" x14ac:dyDescent="0.3">
      <c r="A286" s="8"/>
      <c r="C286" s="6"/>
      <c r="E286" s="6"/>
      <c r="J286" s="8"/>
      <c r="L286" s="6"/>
    </row>
    <row r="287" spans="1:12" x14ac:dyDescent="0.3">
      <c r="A287" s="8"/>
      <c r="C287" s="6"/>
      <c r="E287" s="6"/>
      <c r="J287" s="8"/>
      <c r="L287" s="6"/>
    </row>
    <row r="288" spans="1:12" x14ac:dyDescent="0.3">
      <c r="A288" s="8"/>
      <c r="C288" s="6"/>
      <c r="E288" s="6"/>
      <c r="J288" s="8"/>
      <c r="L288" s="6"/>
    </row>
    <row r="289" spans="1:12" x14ac:dyDescent="0.3">
      <c r="A289" s="8"/>
      <c r="C289" s="6"/>
      <c r="E289" s="6"/>
      <c r="J289" s="8"/>
      <c r="L289" s="6"/>
    </row>
    <row r="290" spans="1:12" x14ac:dyDescent="0.3">
      <c r="A290" s="8"/>
      <c r="C290" s="6"/>
      <c r="E290" s="6"/>
      <c r="J290" s="8"/>
      <c r="L290" s="6"/>
    </row>
    <row r="291" spans="1:12" x14ac:dyDescent="0.3">
      <c r="A291" s="8"/>
      <c r="C291" s="6"/>
      <c r="E291" s="6"/>
      <c r="J291" s="8"/>
      <c r="L291" s="6"/>
    </row>
    <row r="292" spans="1:12" x14ac:dyDescent="0.3">
      <c r="A292" s="8"/>
      <c r="C292" s="6"/>
      <c r="E292" s="6"/>
      <c r="J292" s="8"/>
      <c r="L292" s="6"/>
    </row>
    <row r="293" spans="1:12" x14ac:dyDescent="0.3">
      <c r="A293" s="8"/>
      <c r="C293" s="6"/>
      <c r="E293" s="6"/>
      <c r="J293" s="8"/>
      <c r="L293" s="6"/>
    </row>
    <row r="294" spans="1:12" x14ac:dyDescent="0.3">
      <c r="A294" s="8"/>
      <c r="C294" s="6"/>
      <c r="E294" s="6"/>
      <c r="J294" s="8"/>
      <c r="L294" s="6"/>
    </row>
    <row r="295" spans="1:12" x14ac:dyDescent="0.3">
      <c r="A295" s="8"/>
      <c r="C295" s="6"/>
      <c r="E295" s="6"/>
      <c r="J295" s="8"/>
      <c r="L295" s="6"/>
    </row>
    <row r="296" spans="1:12" x14ac:dyDescent="0.3">
      <c r="A296" s="8"/>
      <c r="C296" s="6"/>
      <c r="E296" s="6"/>
      <c r="J296" s="8"/>
      <c r="L296" s="6"/>
    </row>
    <row r="297" spans="1:12" x14ac:dyDescent="0.3">
      <c r="A297" s="8"/>
      <c r="C297" s="6"/>
      <c r="E297" s="6"/>
      <c r="J297" s="8"/>
      <c r="L297" s="6"/>
    </row>
    <row r="298" spans="1:12" x14ac:dyDescent="0.3">
      <c r="A298" s="8"/>
      <c r="C298" s="6"/>
      <c r="E298" s="6"/>
      <c r="J298" s="8"/>
      <c r="L298" s="6"/>
    </row>
    <row r="299" spans="1:12" x14ac:dyDescent="0.3">
      <c r="A299" s="8"/>
      <c r="C299" s="6"/>
      <c r="E299" s="6"/>
      <c r="J299" s="8"/>
      <c r="L299" s="6"/>
    </row>
    <row r="300" spans="1:12" x14ac:dyDescent="0.3">
      <c r="A300" s="8"/>
      <c r="C300" s="6"/>
      <c r="E300" s="6"/>
      <c r="J300" s="8"/>
      <c r="L300" s="6"/>
    </row>
    <row r="301" spans="1:12" x14ac:dyDescent="0.3">
      <c r="A301" s="8"/>
      <c r="C301" s="6"/>
      <c r="E301" s="6"/>
      <c r="J301" s="8"/>
      <c r="L301" s="6"/>
    </row>
    <row r="302" spans="1:12" x14ac:dyDescent="0.3">
      <c r="A302" s="8"/>
      <c r="C302" s="6"/>
      <c r="E302" s="6"/>
      <c r="J302" s="8"/>
      <c r="L302" s="6"/>
    </row>
    <row r="303" spans="1:12" x14ac:dyDescent="0.3">
      <c r="A303" s="8"/>
      <c r="C303" s="6"/>
      <c r="E303" s="6"/>
      <c r="J303" s="8"/>
      <c r="L303" s="6"/>
    </row>
    <row r="304" spans="1:12" x14ac:dyDescent="0.3">
      <c r="A304" s="8"/>
      <c r="C304" s="6"/>
      <c r="E304" s="6"/>
      <c r="J304" s="8"/>
      <c r="L304" s="6"/>
    </row>
    <row r="305" spans="1:12" x14ac:dyDescent="0.3">
      <c r="A305" s="8"/>
      <c r="C305" s="6"/>
      <c r="E305" s="6"/>
      <c r="J305" s="8"/>
      <c r="L305" s="6"/>
    </row>
    <row r="306" spans="1:12" x14ac:dyDescent="0.3">
      <c r="A306" s="8"/>
      <c r="C306" s="6"/>
      <c r="E306" s="6"/>
      <c r="J306" s="8"/>
      <c r="L306" s="6"/>
    </row>
    <row r="307" spans="1:12" x14ac:dyDescent="0.3">
      <c r="A307" s="8"/>
      <c r="C307" s="6"/>
      <c r="E307" s="6"/>
      <c r="J307" s="8"/>
      <c r="L307" s="6"/>
    </row>
    <row r="308" spans="1:12" x14ac:dyDescent="0.3">
      <c r="A308" s="8"/>
      <c r="C308" s="6"/>
      <c r="E308" s="6"/>
      <c r="J308" s="8"/>
      <c r="L308" s="6"/>
    </row>
    <row r="309" spans="1:12" x14ac:dyDescent="0.3">
      <c r="A309" s="8"/>
      <c r="C309" s="6"/>
      <c r="E309" s="6"/>
      <c r="J309" s="8"/>
      <c r="L309" s="6"/>
    </row>
    <row r="310" spans="1:12" x14ac:dyDescent="0.3">
      <c r="A310" s="8"/>
      <c r="C310" s="6"/>
      <c r="E310" s="6"/>
      <c r="J310" s="8"/>
      <c r="L310" s="6"/>
    </row>
    <row r="311" spans="1:12" x14ac:dyDescent="0.3">
      <c r="A311" s="8"/>
      <c r="C311" s="6"/>
      <c r="E311" s="6"/>
      <c r="J311" s="8"/>
      <c r="L311" s="6"/>
    </row>
    <row r="312" spans="1:12" x14ac:dyDescent="0.3">
      <c r="A312" s="8"/>
      <c r="C312" s="6"/>
      <c r="E312" s="6"/>
      <c r="J312" s="8"/>
      <c r="L312" s="6"/>
    </row>
    <row r="313" spans="1:12" x14ac:dyDescent="0.3">
      <c r="A313" s="8"/>
      <c r="C313" s="6"/>
      <c r="E313" s="6"/>
      <c r="J313" s="8"/>
      <c r="L313" s="6"/>
    </row>
    <row r="314" spans="1:12" x14ac:dyDescent="0.3">
      <c r="A314" s="8"/>
      <c r="C314" s="6"/>
      <c r="E314" s="6"/>
      <c r="J314" s="8"/>
      <c r="L314" s="6"/>
    </row>
    <row r="315" spans="1:12" x14ac:dyDescent="0.3">
      <c r="A315" s="8"/>
      <c r="C315" s="6"/>
      <c r="E315" s="6"/>
      <c r="J315" s="8"/>
      <c r="L315" s="6"/>
    </row>
    <row r="316" spans="1:12" x14ac:dyDescent="0.3">
      <c r="A316" s="8"/>
      <c r="C316" s="6"/>
      <c r="E316" s="6"/>
      <c r="J316" s="8"/>
      <c r="L316" s="6"/>
    </row>
    <row r="317" spans="1:12" x14ac:dyDescent="0.3">
      <c r="A317" s="8"/>
      <c r="C317" s="6"/>
      <c r="E317" s="6"/>
      <c r="J317" s="8"/>
      <c r="L317" s="6"/>
    </row>
    <row r="318" spans="1:12" x14ac:dyDescent="0.3">
      <c r="A318" s="8"/>
      <c r="C318" s="6"/>
      <c r="E318" s="6"/>
      <c r="J318" s="8"/>
      <c r="L318" s="6"/>
    </row>
    <row r="319" spans="1:12" x14ac:dyDescent="0.3">
      <c r="A319" s="8"/>
      <c r="C319" s="6"/>
      <c r="E319" s="6"/>
      <c r="J319" s="8"/>
      <c r="L319" s="6"/>
    </row>
    <row r="320" spans="1:12" x14ac:dyDescent="0.3">
      <c r="A320" s="8"/>
      <c r="C320" s="6"/>
      <c r="E320" s="6"/>
      <c r="J320" s="8"/>
      <c r="L320" s="6"/>
    </row>
    <row r="321" spans="1:12" x14ac:dyDescent="0.3">
      <c r="A321" s="8"/>
      <c r="C321" s="6"/>
      <c r="E321" s="6"/>
      <c r="J321" s="8"/>
      <c r="L321" s="6"/>
    </row>
    <row r="322" spans="1:12" x14ac:dyDescent="0.3">
      <c r="A322" s="8"/>
      <c r="C322" s="6"/>
      <c r="E322" s="6"/>
      <c r="J322" s="8"/>
      <c r="L322" s="6"/>
    </row>
    <row r="323" spans="1:12" x14ac:dyDescent="0.3">
      <c r="A323" s="8"/>
      <c r="C323" s="6"/>
      <c r="E323" s="6"/>
      <c r="J323" s="8"/>
      <c r="L323" s="6"/>
    </row>
    <row r="324" spans="1:12" x14ac:dyDescent="0.3">
      <c r="A324" s="8"/>
      <c r="C324" s="6"/>
      <c r="E324" s="6"/>
      <c r="J324" s="8"/>
      <c r="L324" s="6"/>
    </row>
    <row r="325" spans="1:12" x14ac:dyDescent="0.3">
      <c r="A325" s="8"/>
      <c r="C325" s="6"/>
      <c r="E325" s="6"/>
      <c r="J325" s="8"/>
      <c r="L325" s="6"/>
    </row>
    <row r="326" spans="1:12" x14ac:dyDescent="0.3">
      <c r="A326" s="8"/>
      <c r="C326" s="6"/>
      <c r="E326" s="6"/>
      <c r="J326" s="8"/>
      <c r="L326" s="6"/>
    </row>
    <row r="327" spans="1:12" x14ac:dyDescent="0.3">
      <c r="A327" s="8"/>
      <c r="C327" s="6"/>
      <c r="E327" s="6"/>
      <c r="J327" s="8"/>
      <c r="L327" s="6"/>
    </row>
    <row r="328" spans="1:12" x14ac:dyDescent="0.3">
      <c r="A328" s="8"/>
      <c r="C328" s="6"/>
      <c r="E328" s="6"/>
      <c r="J328" s="8"/>
      <c r="L328" s="6"/>
    </row>
    <row r="329" spans="1:12" x14ac:dyDescent="0.3">
      <c r="A329" s="8"/>
      <c r="C329" s="6"/>
      <c r="E329" s="6"/>
      <c r="J329" s="8"/>
      <c r="L329" s="6"/>
    </row>
    <row r="330" spans="1:12" x14ac:dyDescent="0.3">
      <c r="A330" s="8"/>
      <c r="C330" s="6"/>
      <c r="E330" s="6"/>
      <c r="J330" s="8"/>
      <c r="L330" s="6"/>
    </row>
    <row r="331" spans="1:12" x14ac:dyDescent="0.3">
      <c r="A331" s="8"/>
      <c r="C331" s="6"/>
      <c r="E331" s="6"/>
      <c r="J331" s="8"/>
      <c r="L331" s="6"/>
    </row>
    <row r="332" spans="1:12" x14ac:dyDescent="0.3">
      <c r="A332" s="8"/>
      <c r="C332" s="6"/>
      <c r="E332" s="6"/>
      <c r="J332" s="8"/>
      <c r="L332" s="6"/>
    </row>
    <row r="333" spans="1:12" x14ac:dyDescent="0.3">
      <c r="A333" s="8"/>
      <c r="C333" s="6"/>
      <c r="E333" s="6"/>
      <c r="J333" s="8"/>
      <c r="L333" s="6"/>
    </row>
    <row r="334" spans="1:12" x14ac:dyDescent="0.3">
      <c r="A334" s="8"/>
      <c r="C334" s="6"/>
      <c r="E334" s="6"/>
      <c r="J334" s="8"/>
      <c r="L334" s="6"/>
    </row>
    <row r="335" spans="1:12" x14ac:dyDescent="0.3">
      <c r="A335" s="8"/>
      <c r="C335" s="6"/>
      <c r="E335" s="6"/>
      <c r="J335" s="8"/>
      <c r="L335" s="6"/>
    </row>
    <row r="336" spans="1:12" x14ac:dyDescent="0.3">
      <c r="A336" s="8"/>
      <c r="C336" s="6"/>
      <c r="E336" s="6"/>
      <c r="J336" s="8"/>
      <c r="L336" s="6"/>
    </row>
    <row r="337" spans="1:12" x14ac:dyDescent="0.3">
      <c r="A337" s="8"/>
      <c r="C337" s="6"/>
      <c r="E337" s="6"/>
      <c r="J337" s="8"/>
      <c r="L337" s="6"/>
    </row>
    <row r="338" spans="1:12" x14ac:dyDescent="0.3">
      <c r="A338" s="8"/>
      <c r="C338" s="6"/>
      <c r="E338" s="6"/>
      <c r="J338" s="8"/>
      <c r="L338" s="6"/>
    </row>
    <row r="339" spans="1:12" x14ac:dyDescent="0.3">
      <c r="A339" s="8"/>
      <c r="C339" s="6"/>
      <c r="E339" s="6"/>
      <c r="J339" s="8"/>
      <c r="L339" s="6"/>
    </row>
    <row r="340" spans="1:12" x14ac:dyDescent="0.3">
      <c r="A340" s="8"/>
      <c r="C340" s="6"/>
      <c r="E340" s="6"/>
      <c r="J340" s="8"/>
      <c r="L340" s="6"/>
    </row>
    <row r="341" spans="1:12" x14ac:dyDescent="0.3">
      <c r="A341" s="8"/>
      <c r="C341" s="6"/>
      <c r="E341" s="6"/>
      <c r="J341" s="8"/>
      <c r="L341" s="6"/>
    </row>
    <row r="342" spans="1:12" x14ac:dyDescent="0.3">
      <c r="A342" s="8"/>
      <c r="C342" s="6"/>
      <c r="E342" s="6"/>
      <c r="J342" s="8"/>
      <c r="L342" s="6"/>
    </row>
    <row r="343" spans="1:12" x14ac:dyDescent="0.3">
      <c r="A343" s="8"/>
      <c r="C343" s="6"/>
      <c r="E343" s="6"/>
      <c r="J343" s="8"/>
      <c r="L343" s="6"/>
    </row>
    <row r="344" spans="1:12" x14ac:dyDescent="0.3">
      <c r="A344" s="8"/>
      <c r="C344" s="6"/>
      <c r="E344" s="6"/>
      <c r="J344" s="8"/>
      <c r="L344" s="6"/>
    </row>
    <row r="345" spans="1:12" x14ac:dyDescent="0.3">
      <c r="A345" s="8"/>
      <c r="C345" s="6"/>
      <c r="E345" s="6"/>
      <c r="J345" s="8"/>
      <c r="L345" s="6"/>
    </row>
    <row r="346" spans="1:12" x14ac:dyDescent="0.3">
      <c r="A346" s="8"/>
      <c r="C346" s="6"/>
      <c r="E346" s="6"/>
      <c r="J346" s="8"/>
      <c r="L346" s="6"/>
    </row>
    <row r="347" spans="1:12" x14ac:dyDescent="0.3">
      <c r="A347" s="8"/>
      <c r="C347" s="6"/>
      <c r="E347" s="6"/>
      <c r="J347" s="8"/>
      <c r="L347" s="6"/>
    </row>
    <row r="348" spans="1:12" x14ac:dyDescent="0.3">
      <c r="A348" s="8"/>
      <c r="C348" s="6"/>
      <c r="E348" s="6"/>
      <c r="J348" s="8"/>
      <c r="L348" s="6"/>
    </row>
    <row r="349" spans="1:12" x14ac:dyDescent="0.3">
      <c r="A349" s="8"/>
      <c r="C349" s="6"/>
      <c r="E349" s="6"/>
      <c r="J349" s="8"/>
      <c r="L349" s="6"/>
    </row>
    <row r="350" spans="1:12" x14ac:dyDescent="0.3">
      <c r="A350" s="8"/>
      <c r="C350" s="6"/>
      <c r="E350" s="6"/>
      <c r="J350" s="8"/>
      <c r="L350" s="6"/>
    </row>
    <row r="351" spans="1:12" x14ac:dyDescent="0.3">
      <c r="A351" s="8"/>
      <c r="C351" s="6"/>
      <c r="E351" s="6"/>
      <c r="J351" s="8"/>
      <c r="L351" s="6"/>
    </row>
    <row r="352" spans="1:12" x14ac:dyDescent="0.3">
      <c r="A352" s="8"/>
      <c r="C352" s="6"/>
      <c r="E352" s="6"/>
      <c r="J352" s="8"/>
      <c r="L352" s="6"/>
    </row>
    <row r="353" spans="1:12" x14ac:dyDescent="0.3">
      <c r="A353" s="8"/>
      <c r="C353" s="6"/>
      <c r="E353" s="6"/>
      <c r="J353" s="8"/>
      <c r="L353" s="6"/>
    </row>
    <row r="354" spans="1:12" x14ac:dyDescent="0.3">
      <c r="A354" s="8"/>
      <c r="C354" s="6"/>
      <c r="E354" s="6"/>
      <c r="J354" s="8"/>
      <c r="L354" s="6"/>
    </row>
    <row r="355" spans="1:12" x14ac:dyDescent="0.3">
      <c r="A355" s="8"/>
      <c r="C355" s="6"/>
      <c r="E355" s="6"/>
      <c r="J355" s="8"/>
      <c r="L355" s="6"/>
    </row>
    <row r="356" spans="1:12" x14ac:dyDescent="0.3">
      <c r="A356" s="8"/>
      <c r="C356" s="6"/>
      <c r="E356" s="6"/>
      <c r="J356" s="8"/>
      <c r="L356" s="6"/>
    </row>
    <row r="357" spans="1:12" x14ac:dyDescent="0.3">
      <c r="A357" s="8"/>
      <c r="C357" s="6"/>
      <c r="E357" s="6"/>
      <c r="J357" s="8"/>
      <c r="L357" s="6"/>
    </row>
    <row r="358" spans="1:12" x14ac:dyDescent="0.3">
      <c r="A358" s="8"/>
      <c r="C358" s="6"/>
      <c r="E358" s="6"/>
      <c r="J358" s="8"/>
      <c r="L358" s="6"/>
    </row>
    <row r="359" spans="1:12" x14ac:dyDescent="0.3">
      <c r="A359" s="8"/>
      <c r="C359" s="6"/>
      <c r="E359" s="6"/>
      <c r="J359" s="8"/>
      <c r="L359" s="6"/>
    </row>
    <row r="360" spans="1:12" x14ac:dyDescent="0.3">
      <c r="A360" s="8"/>
      <c r="C360" s="6"/>
      <c r="E360" s="6"/>
      <c r="J360" s="8"/>
      <c r="L360" s="6"/>
    </row>
    <row r="361" spans="1:12" x14ac:dyDescent="0.3">
      <c r="A361" s="8"/>
      <c r="C361" s="6"/>
      <c r="E361" s="6"/>
      <c r="J361" s="8"/>
      <c r="L361" s="6"/>
    </row>
    <row r="362" spans="1:12" x14ac:dyDescent="0.3">
      <c r="A362" s="8"/>
      <c r="C362" s="6"/>
      <c r="E362" s="6"/>
      <c r="J362" s="8"/>
      <c r="L362" s="6"/>
    </row>
    <row r="363" spans="1:12" x14ac:dyDescent="0.3">
      <c r="A363" s="8"/>
      <c r="C363" s="6"/>
      <c r="E363" s="6"/>
      <c r="J363" s="8"/>
      <c r="L363" s="6"/>
    </row>
    <row r="364" spans="1:12" x14ac:dyDescent="0.3">
      <c r="A364" s="8"/>
      <c r="C364" s="6"/>
      <c r="E364" s="6"/>
      <c r="J364" s="8"/>
      <c r="L364" s="6"/>
    </row>
    <row r="365" spans="1:12" x14ac:dyDescent="0.3">
      <c r="A365" s="8"/>
      <c r="C365" s="6"/>
      <c r="E365" s="6"/>
      <c r="J365" s="8"/>
      <c r="L365" s="6"/>
    </row>
    <row r="366" spans="1:12" x14ac:dyDescent="0.3">
      <c r="A366" s="8"/>
      <c r="C366" s="6"/>
      <c r="E366" s="6"/>
      <c r="J366" s="8"/>
      <c r="L366" s="6"/>
    </row>
    <row r="367" spans="1:12" x14ac:dyDescent="0.3">
      <c r="A367" s="8"/>
      <c r="C367" s="6"/>
      <c r="E367" s="6"/>
      <c r="J367" s="8"/>
      <c r="L367" s="6"/>
    </row>
    <row r="368" spans="1:12" x14ac:dyDescent="0.3">
      <c r="A368" s="8"/>
      <c r="C368" s="6"/>
      <c r="E368" s="6"/>
      <c r="J368" s="8"/>
      <c r="L368" s="6"/>
    </row>
    <row r="369" spans="1:12" x14ac:dyDescent="0.3">
      <c r="A369" s="8"/>
      <c r="C369" s="6"/>
      <c r="E369" s="6"/>
      <c r="J369" s="8"/>
      <c r="L369" s="6"/>
    </row>
    <row r="370" spans="1:12" x14ac:dyDescent="0.3">
      <c r="A370" s="8"/>
      <c r="C370" s="6"/>
      <c r="E370" s="6"/>
      <c r="J370" s="8"/>
      <c r="L370" s="6"/>
    </row>
    <row r="371" spans="1:12" x14ac:dyDescent="0.3">
      <c r="A371" s="8"/>
      <c r="C371" s="6"/>
      <c r="E371" s="6"/>
      <c r="J371" s="8"/>
      <c r="L371" s="6"/>
    </row>
    <row r="372" spans="1:12" x14ac:dyDescent="0.3">
      <c r="A372" s="8"/>
      <c r="C372" s="6"/>
      <c r="E372" s="6"/>
      <c r="J372" s="8"/>
      <c r="L372" s="6"/>
    </row>
    <row r="373" spans="1:12" x14ac:dyDescent="0.3">
      <c r="A373" s="8"/>
      <c r="C373" s="6"/>
      <c r="E373" s="6"/>
      <c r="J373" s="8"/>
      <c r="L373" s="6"/>
    </row>
    <row r="374" spans="1:12" x14ac:dyDescent="0.3">
      <c r="A374" s="8"/>
      <c r="C374" s="6"/>
      <c r="E374" s="6"/>
      <c r="J374" s="8"/>
      <c r="L374" s="6"/>
    </row>
    <row r="375" spans="1:12" x14ac:dyDescent="0.3">
      <c r="A375" s="8"/>
      <c r="C375" s="6"/>
      <c r="E375" s="6"/>
      <c r="J375" s="8"/>
      <c r="L375" s="6"/>
    </row>
    <row r="376" spans="1:12" x14ac:dyDescent="0.3">
      <c r="A376" s="8"/>
      <c r="C376" s="6"/>
      <c r="E376" s="6"/>
      <c r="J376" s="8"/>
      <c r="L376" s="6"/>
    </row>
    <row r="377" spans="1:12" x14ac:dyDescent="0.3">
      <c r="A377" s="8"/>
      <c r="C377" s="6"/>
      <c r="E377" s="6"/>
      <c r="J377" s="8"/>
      <c r="L377" s="6"/>
    </row>
    <row r="378" spans="1:12" x14ac:dyDescent="0.3">
      <c r="A378" s="8"/>
      <c r="C378" s="6"/>
      <c r="E378" s="6"/>
      <c r="J378" s="8"/>
      <c r="L378" s="6"/>
    </row>
    <row r="379" spans="1:12" x14ac:dyDescent="0.3">
      <c r="A379" s="8"/>
      <c r="C379" s="6"/>
      <c r="E379" s="6"/>
      <c r="J379" s="8"/>
      <c r="L379" s="6"/>
    </row>
    <row r="380" spans="1:12" x14ac:dyDescent="0.3">
      <c r="A380" s="8"/>
      <c r="C380" s="6"/>
      <c r="E380" s="6"/>
      <c r="J380" s="8"/>
      <c r="L380" s="6"/>
    </row>
    <row r="381" spans="1:12" x14ac:dyDescent="0.3">
      <c r="A381" s="8"/>
      <c r="C381" s="6"/>
      <c r="E381" s="6"/>
      <c r="J381" s="8"/>
      <c r="L381" s="6"/>
    </row>
    <row r="382" spans="1:12" x14ac:dyDescent="0.3">
      <c r="A382" s="8"/>
      <c r="C382" s="6"/>
      <c r="E382" s="6"/>
      <c r="J382" s="8"/>
      <c r="L382" s="6"/>
    </row>
    <row r="383" spans="1:12" x14ac:dyDescent="0.3">
      <c r="A383" s="8"/>
      <c r="C383" s="6"/>
      <c r="E383" s="6"/>
      <c r="J383" s="8"/>
      <c r="L383" s="6"/>
    </row>
    <row r="384" spans="1:12" x14ac:dyDescent="0.3">
      <c r="A384" s="8"/>
      <c r="C384" s="6"/>
      <c r="E384" s="6"/>
      <c r="J384" s="8"/>
      <c r="L384" s="6"/>
    </row>
    <row r="385" spans="1:12" x14ac:dyDescent="0.3">
      <c r="A385" s="8"/>
      <c r="C385" s="6"/>
      <c r="E385" s="6"/>
      <c r="J385" s="8"/>
      <c r="L385" s="6"/>
    </row>
    <row r="386" spans="1:12" x14ac:dyDescent="0.3">
      <c r="A386" s="8"/>
      <c r="C386" s="6"/>
      <c r="E386" s="6"/>
      <c r="J386" s="8"/>
      <c r="L386" s="6"/>
    </row>
    <row r="387" spans="1:12" x14ac:dyDescent="0.3">
      <c r="A387" s="8"/>
      <c r="C387" s="6"/>
      <c r="E387" s="6"/>
      <c r="J387" s="8"/>
      <c r="L387" s="6"/>
    </row>
    <row r="388" spans="1:12" x14ac:dyDescent="0.3">
      <c r="A388" s="8"/>
      <c r="C388" s="6"/>
      <c r="E388" s="6"/>
      <c r="J388" s="8"/>
      <c r="L388" s="6"/>
    </row>
    <row r="389" spans="1:12" x14ac:dyDescent="0.3">
      <c r="A389" s="8"/>
      <c r="C389" s="6"/>
      <c r="E389" s="6"/>
      <c r="J389" s="8"/>
      <c r="L389" s="6"/>
    </row>
    <row r="390" spans="1:12" x14ac:dyDescent="0.3">
      <c r="A390" s="8"/>
      <c r="C390" s="6"/>
      <c r="E390" s="6"/>
      <c r="J390" s="8"/>
      <c r="L390" s="6"/>
    </row>
    <row r="391" spans="1:12" x14ac:dyDescent="0.3">
      <c r="A391" s="8"/>
      <c r="C391" s="6"/>
      <c r="E391" s="6"/>
      <c r="J391" s="8"/>
      <c r="L391" s="6"/>
    </row>
    <row r="392" spans="1:12" x14ac:dyDescent="0.3">
      <c r="A392" s="8"/>
      <c r="C392" s="6"/>
      <c r="E392" s="6"/>
      <c r="J392" s="8"/>
      <c r="L392" s="6"/>
    </row>
    <row r="393" spans="1:12" x14ac:dyDescent="0.3">
      <c r="A393" s="8"/>
      <c r="C393" s="6"/>
      <c r="E393" s="6"/>
      <c r="J393" s="8"/>
      <c r="L393" s="6"/>
    </row>
    <row r="394" spans="1:12" x14ac:dyDescent="0.3">
      <c r="A394" s="8"/>
      <c r="C394" s="6"/>
      <c r="E394" s="6"/>
      <c r="J394" s="8"/>
      <c r="L394" s="6"/>
    </row>
    <row r="395" spans="1:12" x14ac:dyDescent="0.3">
      <c r="A395" s="8"/>
      <c r="C395" s="6"/>
      <c r="E395" s="6"/>
      <c r="J395" s="8"/>
      <c r="L395" s="6"/>
    </row>
    <row r="396" spans="1:12" x14ac:dyDescent="0.3">
      <c r="A396" s="8"/>
      <c r="C396" s="6"/>
      <c r="E396" s="6"/>
      <c r="J396" s="8"/>
      <c r="L396" s="6"/>
    </row>
    <row r="397" spans="1:12" x14ac:dyDescent="0.3">
      <c r="A397" s="8"/>
      <c r="C397" s="6"/>
      <c r="E397" s="6"/>
      <c r="J397" s="8"/>
      <c r="L397" s="6"/>
    </row>
    <row r="398" spans="1:12" x14ac:dyDescent="0.3">
      <c r="A398" s="8"/>
      <c r="C398" s="6"/>
      <c r="E398" s="6"/>
      <c r="J398" s="8"/>
      <c r="L398" s="6"/>
    </row>
    <row r="399" spans="1:12" x14ac:dyDescent="0.3">
      <c r="A399" s="8"/>
      <c r="C399" s="6"/>
      <c r="E399" s="6"/>
      <c r="J399" s="8"/>
      <c r="L399" s="6"/>
    </row>
    <row r="400" spans="1:12" x14ac:dyDescent="0.3">
      <c r="A400" s="8"/>
      <c r="C400" s="6"/>
      <c r="E400" s="6"/>
      <c r="J400" s="8"/>
      <c r="L400" s="6"/>
    </row>
    <row r="401" spans="1:12" x14ac:dyDescent="0.3">
      <c r="A401" s="8"/>
      <c r="C401" s="6"/>
      <c r="E401" s="6"/>
      <c r="J401" s="8"/>
      <c r="L401" s="6"/>
    </row>
    <row r="402" spans="1:12" x14ac:dyDescent="0.3">
      <c r="A402" s="8"/>
      <c r="C402" s="6"/>
      <c r="E402" s="6"/>
      <c r="J402" s="8"/>
      <c r="L402" s="6"/>
    </row>
    <row r="403" spans="1:12" x14ac:dyDescent="0.3">
      <c r="A403" s="8"/>
      <c r="C403" s="6"/>
      <c r="E403" s="6"/>
      <c r="J403" s="8"/>
      <c r="L403" s="6"/>
    </row>
    <row r="404" spans="1:12" x14ac:dyDescent="0.3">
      <c r="A404" s="8"/>
      <c r="C404" s="6"/>
      <c r="E404" s="6"/>
      <c r="J404" s="8"/>
      <c r="L404" s="6"/>
    </row>
    <row r="405" spans="1:12" x14ac:dyDescent="0.3">
      <c r="A405" s="8"/>
      <c r="C405" s="6"/>
      <c r="E405" s="6"/>
      <c r="J405" s="8"/>
      <c r="L405" s="6"/>
    </row>
    <row r="406" spans="1:12" x14ac:dyDescent="0.3">
      <c r="A406" s="8"/>
      <c r="C406" s="6"/>
      <c r="E406" s="6"/>
      <c r="J406" s="8"/>
      <c r="L406" s="6"/>
    </row>
    <row r="407" spans="1:12" x14ac:dyDescent="0.3">
      <c r="A407" s="8"/>
      <c r="C407" s="6"/>
      <c r="E407" s="6"/>
      <c r="J407" s="8"/>
      <c r="L407" s="6"/>
    </row>
    <row r="408" spans="1:12" x14ac:dyDescent="0.3">
      <c r="A408" s="8"/>
      <c r="C408" s="6"/>
      <c r="E408" s="6"/>
      <c r="J408" s="8"/>
      <c r="L408" s="6"/>
    </row>
    <row r="409" spans="1:12" x14ac:dyDescent="0.3">
      <c r="A409" s="8"/>
      <c r="C409" s="6"/>
      <c r="E409" s="6"/>
      <c r="J409" s="8"/>
      <c r="L409" s="6"/>
    </row>
    <row r="410" spans="1:12" x14ac:dyDescent="0.3">
      <c r="A410" s="8"/>
      <c r="C410" s="6"/>
      <c r="E410" s="6"/>
      <c r="J410" s="8"/>
      <c r="L410" s="6"/>
    </row>
    <row r="411" spans="1:12" x14ac:dyDescent="0.3">
      <c r="A411" s="8"/>
      <c r="C411" s="6"/>
      <c r="E411" s="6"/>
      <c r="J411" s="8"/>
      <c r="L411" s="6"/>
    </row>
    <row r="412" spans="1:12" x14ac:dyDescent="0.3">
      <c r="A412" s="8"/>
      <c r="C412" s="6"/>
      <c r="E412" s="6"/>
      <c r="J412" s="8"/>
      <c r="L412" s="6"/>
    </row>
    <row r="413" spans="1:12" x14ac:dyDescent="0.3">
      <c r="A413" s="8"/>
      <c r="C413" s="6"/>
      <c r="E413" s="6"/>
      <c r="J413" s="8"/>
      <c r="L413" s="6"/>
    </row>
    <row r="414" spans="1:12" x14ac:dyDescent="0.3">
      <c r="A414" s="8"/>
      <c r="C414" s="6"/>
      <c r="E414" s="6"/>
      <c r="J414" s="8"/>
      <c r="L414" s="6"/>
    </row>
    <row r="415" spans="1:12" x14ac:dyDescent="0.3">
      <c r="A415" s="8"/>
      <c r="C415" s="6"/>
      <c r="E415" s="6"/>
      <c r="J415" s="8"/>
      <c r="L415" s="6"/>
    </row>
    <row r="416" spans="1:12" x14ac:dyDescent="0.3">
      <c r="A416" s="8"/>
      <c r="C416" s="6"/>
      <c r="E416" s="6"/>
      <c r="J416" s="8"/>
      <c r="L416" s="6"/>
    </row>
    <row r="417" spans="1:12" x14ac:dyDescent="0.3">
      <c r="A417" s="8"/>
      <c r="C417" s="6"/>
      <c r="E417" s="6"/>
      <c r="J417" s="8"/>
      <c r="L417" s="6"/>
    </row>
    <row r="418" spans="1:12" x14ac:dyDescent="0.3">
      <c r="A418" s="8"/>
      <c r="C418" s="6"/>
      <c r="E418" s="6"/>
      <c r="J418" s="8"/>
      <c r="L418" s="6"/>
    </row>
    <row r="419" spans="1:12" x14ac:dyDescent="0.3">
      <c r="A419" s="8"/>
      <c r="C419" s="6"/>
      <c r="E419" s="6"/>
      <c r="J419" s="8"/>
      <c r="L419" s="6"/>
    </row>
    <row r="420" spans="1:12" x14ac:dyDescent="0.3">
      <c r="A420" s="8"/>
      <c r="C420" s="6"/>
      <c r="E420" s="6"/>
      <c r="J420" s="8"/>
      <c r="L420" s="6"/>
    </row>
    <row r="421" spans="1:12" x14ac:dyDescent="0.3">
      <c r="A421" s="8"/>
      <c r="C421" s="6"/>
      <c r="E421" s="6"/>
      <c r="J421" s="8"/>
      <c r="L421" s="6"/>
    </row>
    <row r="422" spans="1:12" x14ac:dyDescent="0.3">
      <c r="A422" s="8"/>
      <c r="C422" s="6"/>
      <c r="E422" s="6"/>
      <c r="J422" s="8"/>
      <c r="L422" s="6"/>
    </row>
    <row r="423" spans="1:12" x14ac:dyDescent="0.3">
      <c r="A423" s="8"/>
      <c r="C423" s="6"/>
      <c r="E423" s="6"/>
      <c r="J423" s="8"/>
      <c r="L423" s="6"/>
    </row>
    <row r="424" spans="1:12" x14ac:dyDescent="0.3">
      <c r="A424" s="8"/>
      <c r="C424" s="6"/>
      <c r="E424" s="6"/>
      <c r="J424" s="8"/>
      <c r="L424" s="6"/>
    </row>
    <row r="425" spans="1:12" x14ac:dyDescent="0.3">
      <c r="A425" s="8"/>
      <c r="C425" s="6"/>
      <c r="E425" s="6"/>
      <c r="J425" s="8"/>
      <c r="L425" s="6"/>
    </row>
    <row r="426" spans="1:12" x14ac:dyDescent="0.3">
      <c r="A426" s="8"/>
      <c r="C426" s="6"/>
      <c r="E426" s="6"/>
      <c r="J426" s="8"/>
      <c r="L426" s="6"/>
    </row>
    <row r="427" spans="1:12" x14ac:dyDescent="0.3">
      <c r="A427" s="8"/>
      <c r="C427" s="6"/>
      <c r="E427" s="6"/>
      <c r="J427" s="8"/>
      <c r="L427" s="6"/>
    </row>
    <row r="428" spans="1:12" x14ac:dyDescent="0.3">
      <c r="A428" s="8"/>
      <c r="C428" s="6"/>
      <c r="E428" s="6"/>
      <c r="J428" s="8"/>
      <c r="L428" s="6"/>
    </row>
    <row r="429" spans="1:12" x14ac:dyDescent="0.3">
      <c r="A429" s="8"/>
      <c r="C429" s="6"/>
      <c r="E429" s="6"/>
      <c r="J429" s="8"/>
      <c r="L429" s="6"/>
    </row>
    <row r="430" spans="1:12" x14ac:dyDescent="0.3">
      <c r="A430" s="8"/>
      <c r="C430" s="6"/>
      <c r="E430" s="6"/>
      <c r="J430" s="8"/>
      <c r="L430" s="6"/>
    </row>
    <row r="431" spans="1:12" x14ac:dyDescent="0.3">
      <c r="A431" s="8"/>
      <c r="C431" s="6"/>
      <c r="E431" s="6"/>
      <c r="J431" s="8"/>
      <c r="L431" s="6"/>
    </row>
    <row r="432" spans="1:12" x14ac:dyDescent="0.3">
      <c r="A432" s="8"/>
      <c r="C432" s="6"/>
      <c r="E432" s="6"/>
      <c r="J432" s="8"/>
      <c r="L432" s="6"/>
    </row>
    <row r="433" spans="1:12" x14ac:dyDescent="0.3">
      <c r="A433" s="8"/>
      <c r="C433" s="6"/>
      <c r="E433" s="6"/>
      <c r="J433" s="8"/>
      <c r="L433" s="6"/>
    </row>
    <row r="434" spans="1:12" x14ac:dyDescent="0.3">
      <c r="A434" s="8"/>
      <c r="C434" s="6"/>
      <c r="E434" s="6"/>
      <c r="J434" s="8"/>
      <c r="L434" s="6"/>
    </row>
    <row r="435" spans="1:12" x14ac:dyDescent="0.3">
      <c r="A435" s="8"/>
      <c r="C435" s="6"/>
      <c r="E435" s="6"/>
      <c r="J435" s="8"/>
      <c r="L435" s="6"/>
    </row>
    <row r="436" spans="1:12" x14ac:dyDescent="0.3">
      <c r="A436" s="8"/>
      <c r="C436" s="6"/>
      <c r="E436" s="6"/>
      <c r="J436" s="8"/>
      <c r="L436" s="6"/>
    </row>
    <row r="437" spans="1:12" x14ac:dyDescent="0.3">
      <c r="A437" s="8"/>
      <c r="C437" s="6"/>
      <c r="E437" s="6"/>
      <c r="J437" s="8"/>
      <c r="L437" s="6"/>
    </row>
    <row r="438" spans="1:12" x14ac:dyDescent="0.3">
      <c r="A438" s="8"/>
      <c r="C438" s="6"/>
      <c r="E438" s="6"/>
      <c r="J438" s="8"/>
      <c r="L438" s="6"/>
    </row>
    <row r="439" spans="1:12" x14ac:dyDescent="0.3">
      <c r="A439" s="8"/>
      <c r="C439" s="6"/>
      <c r="E439" s="6"/>
      <c r="J439" s="8"/>
      <c r="L439" s="6"/>
    </row>
    <row r="440" spans="1:12" x14ac:dyDescent="0.3">
      <c r="A440" s="8"/>
      <c r="C440" s="6"/>
      <c r="E440" s="6"/>
      <c r="J440" s="8"/>
      <c r="L440" s="6"/>
    </row>
    <row r="441" spans="1:12" x14ac:dyDescent="0.3">
      <c r="A441" s="8"/>
      <c r="C441" s="6"/>
      <c r="E441" s="6"/>
      <c r="J441" s="8"/>
      <c r="L441" s="6"/>
    </row>
    <row r="442" spans="1:12" x14ac:dyDescent="0.3">
      <c r="A442" s="8"/>
      <c r="C442" s="6"/>
      <c r="E442" s="6"/>
      <c r="J442" s="8"/>
      <c r="L442" s="6"/>
    </row>
    <row r="443" spans="1:12" x14ac:dyDescent="0.3">
      <c r="A443" s="8"/>
      <c r="C443" s="6"/>
      <c r="E443" s="6"/>
      <c r="J443" s="8"/>
      <c r="L443" s="6"/>
    </row>
    <row r="444" spans="1:12" x14ac:dyDescent="0.3">
      <c r="A444" s="8"/>
      <c r="C444" s="6"/>
      <c r="E444" s="6"/>
      <c r="J444" s="8"/>
      <c r="L444" s="6"/>
    </row>
    <row r="445" spans="1:12" x14ac:dyDescent="0.3">
      <c r="A445" s="8"/>
      <c r="C445" s="6"/>
      <c r="E445" s="6"/>
      <c r="J445" s="8"/>
      <c r="L445" s="6"/>
    </row>
    <row r="446" spans="1:12" x14ac:dyDescent="0.3">
      <c r="A446" s="8"/>
      <c r="C446" s="6"/>
      <c r="E446" s="6"/>
      <c r="J446" s="8"/>
      <c r="L446" s="6"/>
    </row>
    <row r="447" spans="1:12" x14ac:dyDescent="0.3">
      <c r="A447" s="8"/>
      <c r="C447" s="6"/>
      <c r="E447" s="6"/>
      <c r="J447" s="8"/>
      <c r="L447" s="6"/>
    </row>
    <row r="448" spans="1:12" x14ac:dyDescent="0.3">
      <c r="A448" s="8"/>
      <c r="C448" s="6"/>
      <c r="E448" s="6"/>
      <c r="J448" s="8"/>
      <c r="L448" s="6"/>
    </row>
    <row r="449" spans="1:12" x14ac:dyDescent="0.3">
      <c r="A449" s="8"/>
      <c r="C449" s="6"/>
      <c r="E449" s="6"/>
      <c r="J449" s="8"/>
      <c r="L449" s="6"/>
    </row>
    <row r="450" spans="1:12" x14ac:dyDescent="0.3">
      <c r="A450" s="8"/>
      <c r="C450" s="6"/>
      <c r="E450" s="6"/>
      <c r="J450" s="8"/>
      <c r="L450" s="6"/>
    </row>
    <row r="451" spans="1:12" x14ac:dyDescent="0.3">
      <c r="A451" s="8"/>
      <c r="C451" s="6"/>
      <c r="E451" s="6"/>
      <c r="J451" s="8"/>
      <c r="L451" s="6"/>
    </row>
    <row r="452" spans="1:12" x14ac:dyDescent="0.3">
      <c r="A452" s="8"/>
      <c r="C452" s="6"/>
      <c r="E452" s="6"/>
      <c r="J452" s="8"/>
      <c r="L452" s="6"/>
    </row>
    <row r="453" spans="1:12" x14ac:dyDescent="0.3">
      <c r="A453" s="8"/>
      <c r="C453" s="6"/>
      <c r="E453" s="6"/>
      <c r="J453" s="8"/>
      <c r="L453" s="6"/>
    </row>
    <row r="454" spans="1:12" x14ac:dyDescent="0.3">
      <c r="A454" s="8"/>
      <c r="C454" s="6"/>
      <c r="E454" s="6"/>
      <c r="J454" s="8"/>
      <c r="L454" s="6"/>
    </row>
    <row r="455" spans="1:12" x14ac:dyDescent="0.3">
      <c r="A455" s="8"/>
      <c r="C455" s="6"/>
      <c r="E455" s="6"/>
      <c r="J455" s="8"/>
      <c r="L455" s="6"/>
    </row>
    <row r="456" spans="1:12" x14ac:dyDescent="0.3">
      <c r="A456" s="8"/>
      <c r="C456" s="6"/>
      <c r="E456" s="6"/>
      <c r="J456" s="8"/>
      <c r="L456" s="6"/>
    </row>
    <row r="457" spans="1:12" x14ac:dyDescent="0.3">
      <c r="A457" s="8"/>
      <c r="C457" s="6"/>
      <c r="E457" s="6"/>
      <c r="J457" s="8"/>
      <c r="L457" s="6"/>
    </row>
    <row r="458" spans="1:12" x14ac:dyDescent="0.3">
      <c r="A458" s="8"/>
      <c r="C458" s="6"/>
      <c r="E458" s="6"/>
      <c r="J458" s="8"/>
      <c r="L458" s="6"/>
    </row>
    <row r="459" spans="1:12" x14ac:dyDescent="0.3">
      <c r="A459" s="8"/>
      <c r="C459" s="6"/>
      <c r="E459" s="6"/>
      <c r="J459" s="8"/>
      <c r="L459" s="6"/>
    </row>
    <row r="460" spans="1:12" x14ac:dyDescent="0.3">
      <c r="A460" s="8"/>
      <c r="C460" s="6"/>
      <c r="E460" s="6"/>
      <c r="J460" s="8"/>
      <c r="L460" s="6"/>
    </row>
    <row r="461" spans="1:12" x14ac:dyDescent="0.3">
      <c r="A461" s="8"/>
      <c r="C461" s="6"/>
      <c r="E461" s="6"/>
      <c r="J461" s="8"/>
      <c r="L461" s="6"/>
    </row>
    <row r="462" spans="1:12" x14ac:dyDescent="0.3">
      <c r="A462" s="8"/>
      <c r="C462" s="6"/>
      <c r="E462" s="6"/>
      <c r="J462" s="8"/>
      <c r="L462" s="6"/>
    </row>
    <row r="463" spans="1:12" x14ac:dyDescent="0.3">
      <c r="A463" s="8"/>
      <c r="C463" s="6"/>
      <c r="E463" s="6"/>
      <c r="J463" s="8"/>
      <c r="L463" s="6"/>
    </row>
    <row r="464" spans="1:12" x14ac:dyDescent="0.3">
      <c r="A464" s="8"/>
      <c r="C464" s="6"/>
      <c r="E464" s="6"/>
      <c r="J464" s="8"/>
      <c r="L464" s="6"/>
    </row>
    <row r="465" spans="1:12" x14ac:dyDescent="0.3">
      <c r="A465" s="8"/>
      <c r="C465" s="6"/>
      <c r="E465" s="6"/>
      <c r="J465" s="8"/>
      <c r="L465" s="6"/>
    </row>
    <row r="466" spans="1:12" x14ac:dyDescent="0.3">
      <c r="A466" s="8"/>
      <c r="C466" s="6"/>
      <c r="E466" s="6"/>
      <c r="J466" s="8"/>
      <c r="L466" s="6"/>
    </row>
    <row r="467" spans="1:12" x14ac:dyDescent="0.3">
      <c r="A467" s="8"/>
      <c r="C467" s="6"/>
      <c r="E467" s="6"/>
      <c r="J467" s="8"/>
      <c r="L467" s="6"/>
    </row>
    <row r="468" spans="1:12" x14ac:dyDescent="0.3">
      <c r="A468" s="8"/>
      <c r="C468" s="6"/>
      <c r="E468" s="6"/>
      <c r="J468" s="8"/>
      <c r="L468" s="6"/>
    </row>
    <row r="469" spans="1:12" x14ac:dyDescent="0.3">
      <c r="A469" s="8"/>
      <c r="C469" s="6"/>
      <c r="E469" s="6"/>
      <c r="J469" s="8"/>
      <c r="L469" s="6"/>
    </row>
    <row r="470" spans="1:12" x14ac:dyDescent="0.3">
      <c r="A470" s="8"/>
      <c r="C470" s="6"/>
      <c r="E470" s="6"/>
      <c r="J470" s="8"/>
      <c r="L470" s="6"/>
    </row>
    <row r="471" spans="1:12" x14ac:dyDescent="0.3">
      <c r="A471" s="8"/>
      <c r="C471" s="6"/>
      <c r="E471" s="6"/>
      <c r="J471" s="8"/>
      <c r="L471" s="6"/>
    </row>
    <row r="472" spans="1:12" x14ac:dyDescent="0.3">
      <c r="A472" s="8"/>
      <c r="C472" s="6"/>
      <c r="E472" s="6"/>
      <c r="J472" s="8"/>
      <c r="L472" s="6"/>
    </row>
    <row r="473" spans="1:12" x14ac:dyDescent="0.3">
      <c r="A473" s="8"/>
      <c r="C473" s="6"/>
      <c r="E473" s="6"/>
      <c r="J473" s="8"/>
      <c r="L473" s="6"/>
    </row>
    <row r="474" spans="1:12" x14ac:dyDescent="0.3">
      <c r="A474" s="8"/>
      <c r="C474" s="6"/>
      <c r="E474" s="6"/>
      <c r="J474" s="8"/>
      <c r="L474" s="6"/>
    </row>
    <row r="475" spans="1:12" x14ac:dyDescent="0.3">
      <c r="A475" s="8"/>
      <c r="C475" s="6"/>
      <c r="E475" s="6"/>
      <c r="J475" s="8"/>
      <c r="L475" s="6"/>
    </row>
    <row r="476" spans="1:12" x14ac:dyDescent="0.3">
      <c r="A476" s="8"/>
      <c r="C476" s="6"/>
      <c r="E476" s="6"/>
      <c r="J476" s="8"/>
      <c r="L476" s="6"/>
    </row>
    <row r="477" spans="1:12" x14ac:dyDescent="0.3">
      <c r="A477" s="8"/>
      <c r="C477" s="6"/>
      <c r="E477" s="6"/>
      <c r="J477" s="8"/>
      <c r="L477" s="6"/>
    </row>
    <row r="478" spans="1:12" x14ac:dyDescent="0.3">
      <c r="A478" s="8"/>
      <c r="C478" s="6"/>
      <c r="E478" s="6"/>
      <c r="J478" s="8"/>
      <c r="L478" s="6"/>
    </row>
    <row r="479" spans="1:12" x14ac:dyDescent="0.3">
      <c r="A479" s="8"/>
      <c r="C479" s="6"/>
      <c r="E479" s="6"/>
      <c r="J479" s="8"/>
      <c r="L479" s="6"/>
    </row>
    <row r="480" spans="1:12" x14ac:dyDescent="0.3">
      <c r="A480" s="8"/>
      <c r="C480" s="6"/>
      <c r="E480" s="6"/>
      <c r="J480" s="8"/>
      <c r="L480" s="6"/>
    </row>
    <row r="481" spans="1:12" x14ac:dyDescent="0.3">
      <c r="A481" s="8"/>
      <c r="C481" s="6"/>
      <c r="E481" s="6"/>
      <c r="J481" s="8"/>
      <c r="L481" s="6"/>
    </row>
    <row r="482" spans="1:12" x14ac:dyDescent="0.3">
      <c r="A482" s="8"/>
      <c r="C482" s="6"/>
      <c r="E482" s="6"/>
      <c r="J482" s="8"/>
      <c r="L482" s="6"/>
    </row>
    <row r="483" spans="1:12" x14ac:dyDescent="0.3">
      <c r="A483" s="8"/>
      <c r="C483" s="6"/>
      <c r="E483" s="6"/>
      <c r="J483" s="8"/>
      <c r="L483" s="6"/>
    </row>
    <row r="484" spans="1:12" x14ac:dyDescent="0.3">
      <c r="A484" s="8"/>
      <c r="C484" s="6"/>
      <c r="E484" s="6"/>
      <c r="J484" s="8"/>
      <c r="L484" s="6"/>
    </row>
    <row r="485" spans="1:12" x14ac:dyDescent="0.3">
      <c r="A485" s="8"/>
      <c r="C485" s="6"/>
      <c r="E485" s="6"/>
      <c r="J485" s="8"/>
      <c r="L485" s="6"/>
    </row>
    <row r="486" spans="1:12" x14ac:dyDescent="0.3">
      <c r="A486" s="8"/>
      <c r="C486" s="6"/>
      <c r="E486" s="6"/>
      <c r="J486" s="8"/>
      <c r="L486" s="6"/>
    </row>
    <row r="487" spans="1:12" x14ac:dyDescent="0.3">
      <c r="A487" s="8"/>
      <c r="C487" s="6"/>
      <c r="E487" s="6"/>
      <c r="J487" s="8"/>
      <c r="L487" s="6"/>
    </row>
    <row r="488" spans="1:12" x14ac:dyDescent="0.3">
      <c r="A488" s="8"/>
      <c r="C488" s="6"/>
      <c r="E488" s="6"/>
      <c r="J488" s="8"/>
      <c r="L488" s="6"/>
    </row>
    <row r="489" spans="1:12" x14ac:dyDescent="0.3">
      <c r="A489" s="8"/>
      <c r="C489" s="6"/>
      <c r="E489" s="6"/>
      <c r="J489" s="8"/>
      <c r="L489" s="6"/>
    </row>
    <row r="490" spans="1:12" x14ac:dyDescent="0.3">
      <c r="A490" s="8"/>
      <c r="C490" s="6"/>
      <c r="E490" s="6"/>
      <c r="J490" s="8"/>
      <c r="L490" s="6"/>
    </row>
    <row r="491" spans="1:12" x14ac:dyDescent="0.3">
      <c r="A491" s="8"/>
      <c r="C491" s="6"/>
      <c r="E491" s="6"/>
      <c r="J491" s="8"/>
      <c r="L491" s="6"/>
    </row>
    <row r="492" spans="1:12" x14ac:dyDescent="0.3">
      <c r="A492" s="8"/>
      <c r="C492" s="6"/>
      <c r="E492" s="6"/>
      <c r="J492" s="8"/>
      <c r="L492" s="6"/>
    </row>
    <row r="493" spans="1:12" x14ac:dyDescent="0.3">
      <c r="A493" s="8"/>
      <c r="C493" s="6"/>
      <c r="E493" s="6"/>
      <c r="J493" s="8"/>
      <c r="L493" s="6"/>
    </row>
    <row r="494" spans="1:12" x14ac:dyDescent="0.3">
      <c r="A494" s="8"/>
      <c r="C494" s="6"/>
      <c r="E494" s="6"/>
      <c r="J494" s="8"/>
      <c r="L494" s="6"/>
    </row>
    <row r="495" spans="1:12" x14ac:dyDescent="0.3">
      <c r="A495" s="8"/>
      <c r="C495" s="6"/>
      <c r="E495" s="6"/>
      <c r="J495" s="8"/>
      <c r="L495" s="6"/>
    </row>
    <row r="496" spans="1:12" x14ac:dyDescent="0.3">
      <c r="A496" s="8"/>
      <c r="C496" s="6"/>
      <c r="E496" s="6"/>
      <c r="J496" s="8"/>
      <c r="L496" s="6"/>
    </row>
    <row r="497" spans="1:12" x14ac:dyDescent="0.3">
      <c r="A497" s="8"/>
      <c r="C497" s="6"/>
      <c r="E497" s="6"/>
      <c r="J497" s="8"/>
      <c r="L497" s="6"/>
    </row>
    <row r="498" spans="1:12" x14ac:dyDescent="0.3">
      <c r="A498" s="8"/>
      <c r="C498" s="6"/>
      <c r="E498" s="6"/>
      <c r="J498" s="8"/>
      <c r="L498" s="6"/>
    </row>
    <row r="499" spans="1:12" x14ac:dyDescent="0.3">
      <c r="A499" s="8"/>
      <c r="C499" s="6"/>
      <c r="E499" s="6"/>
      <c r="J499" s="8"/>
      <c r="L499" s="6"/>
    </row>
    <row r="500" spans="1:12" x14ac:dyDescent="0.3">
      <c r="A500" s="8"/>
      <c r="C500" s="6"/>
      <c r="E500" s="6"/>
      <c r="J500" s="8"/>
      <c r="L500" s="6"/>
    </row>
    <row r="501" spans="1:12" x14ac:dyDescent="0.3">
      <c r="A501" s="8"/>
      <c r="C501" s="6"/>
      <c r="E501" s="6"/>
      <c r="J501" s="8"/>
      <c r="L501" s="6"/>
    </row>
    <row r="502" spans="1:12" x14ac:dyDescent="0.3">
      <c r="A502" s="8"/>
      <c r="C502" s="6"/>
      <c r="E502" s="6"/>
      <c r="J502" s="8"/>
      <c r="L502" s="6"/>
    </row>
    <row r="503" spans="1:12" x14ac:dyDescent="0.3">
      <c r="A503" s="8"/>
      <c r="C503" s="6"/>
      <c r="E503" s="6"/>
      <c r="J503" s="8"/>
      <c r="L503" s="6"/>
    </row>
    <row r="504" spans="1:12" x14ac:dyDescent="0.3">
      <c r="A504" s="8"/>
      <c r="C504" s="6"/>
      <c r="E504" s="6"/>
      <c r="J504" s="8"/>
      <c r="L504" s="6"/>
    </row>
    <row r="505" spans="1:12" x14ac:dyDescent="0.3">
      <c r="A505" s="8"/>
      <c r="C505" s="6"/>
      <c r="E505" s="6"/>
      <c r="J505" s="8"/>
      <c r="L505" s="6"/>
    </row>
    <row r="506" spans="1:12" x14ac:dyDescent="0.3">
      <c r="A506" s="8"/>
      <c r="C506" s="6"/>
      <c r="E506" s="6"/>
      <c r="J506" s="8"/>
      <c r="L506" s="6"/>
    </row>
    <row r="507" spans="1:12" x14ac:dyDescent="0.3">
      <c r="A507" s="8"/>
      <c r="C507" s="6"/>
      <c r="E507" s="6"/>
      <c r="J507" s="8"/>
      <c r="L507" s="6"/>
    </row>
    <row r="508" spans="1:12" x14ac:dyDescent="0.3">
      <c r="A508" s="8"/>
      <c r="C508" s="6"/>
      <c r="E508" s="6"/>
      <c r="J508" s="8"/>
      <c r="L508" s="6"/>
    </row>
    <row r="509" spans="1:12" x14ac:dyDescent="0.3">
      <c r="A509" s="8"/>
      <c r="C509" s="6"/>
      <c r="E509" s="6"/>
      <c r="J509" s="8"/>
      <c r="L509" s="6"/>
    </row>
    <row r="510" spans="1:12" x14ac:dyDescent="0.3">
      <c r="A510" s="8"/>
      <c r="C510" s="6"/>
      <c r="E510" s="6"/>
      <c r="J510" s="8"/>
      <c r="L510" s="6"/>
    </row>
    <row r="511" spans="1:12" x14ac:dyDescent="0.3">
      <c r="A511" s="8"/>
      <c r="C511" s="6"/>
      <c r="E511" s="6"/>
      <c r="J511" s="8"/>
      <c r="L511" s="6"/>
    </row>
    <row r="512" spans="1:12" x14ac:dyDescent="0.3">
      <c r="A512" s="8"/>
      <c r="C512" s="6"/>
      <c r="E512" s="6"/>
      <c r="J512" s="8"/>
      <c r="L512" s="6"/>
    </row>
    <row r="513" spans="1:12" x14ac:dyDescent="0.3">
      <c r="A513" s="8"/>
      <c r="C513" s="6"/>
      <c r="E513" s="6"/>
      <c r="J513" s="8"/>
      <c r="L513" s="6"/>
    </row>
    <row r="514" spans="1:12" x14ac:dyDescent="0.3">
      <c r="A514" s="8"/>
      <c r="C514" s="6"/>
      <c r="E514" s="6"/>
      <c r="J514" s="8"/>
      <c r="L514" s="6"/>
    </row>
    <row r="515" spans="1:12" x14ac:dyDescent="0.3">
      <c r="A515" s="8"/>
      <c r="C515" s="6"/>
      <c r="E515" s="6"/>
      <c r="J515" s="8"/>
      <c r="L515" s="6"/>
    </row>
    <row r="516" spans="1:12" x14ac:dyDescent="0.3">
      <c r="A516" s="8"/>
      <c r="C516" s="6"/>
      <c r="E516" s="6"/>
      <c r="J516" s="8"/>
      <c r="L516" s="6"/>
    </row>
    <row r="517" spans="1:12" x14ac:dyDescent="0.3">
      <c r="A517" s="8"/>
      <c r="C517" s="6"/>
      <c r="E517" s="6"/>
      <c r="J517" s="8"/>
      <c r="L517" s="6"/>
    </row>
    <row r="518" spans="1:12" x14ac:dyDescent="0.3">
      <c r="A518" s="8"/>
      <c r="C518" s="6"/>
      <c r="E518" s="6"/>
      <c r="J518" s="8"/>
      <c r="L518" s="6"/>
    </row>
    <row r="519" spans="1:12" x14ac:dyDescent="0.3">
      <c r="A519" s="8"/>
      <c r="C519" s="6"/>
      <c r="E519" s="6"/>
      <c r="J519" s="8"/>
      <c r="L519" s="6"/>
    </row>
    <row r="520" spans="1:12" x14ac:dyDescent="0.3">
      <c r="A520" s="8"/>
      <c r="C520" s="6"/>
      <c r="E520" s="6"/>
      <c r="J520" s="8"/>
      <c r="L520" s="6"/>
    </row>
    <row r="521" spans="1:12" x14ac:dyDescent="0.3">
      <c r="A521" s="8"/>
      <c r="C521" s="6"/>
      <c r="E521" s="6"/>
      <c r="J521" s="8"/>
      <c r="L521" s="6"/>
    </row>
    <row r="522" spans="1:12" x14ac:dyDescent="0.3">
      <c r="A522" s="8"/>
      <c r="C522" s="6"/>
      <c r="E522" s="6"/>
      <c r="J522" s="8"/>
      <c r="L522" s="6"/>
    </row>
    <row r="523" spans="1:12" x14ac:dyDescent="0.3">
      <c r="A523" s="8"/>
      <c r="C523" s="6"/>
      <c r="E523" s="6"/>
      <c r="J523" s="8"/>
      <c r="L523" s="6"/>
    </row>
    <row r="524" spans="1:12" x14ac:dyDescent="0.3">
      <c r="A524" s="8"/>
      <c r="C524" s="6"/>
      <c r="E524" s="6"/>
      <c r="J524" s="8"/>
      <c r="L524" s="6"/>
    </row>
    <row r="525" spans="1:12" x14ac:dyDescent="0.3">
      <c r="A525" s="8"/>
      <c r="C525" s="6"/>
      <c r="E525" s="6"/>
      <c r="J525" s="8"/>
      <c r="L525" s="6"/>
    </row>
    <row r="526" spans="1:12" x14ac:dyDescent="0.3">
      <c r="A526" s="8"/>
      <c r="C526" s="6"/>
      <c r="E526" s="6"/>
      <c r="J526" s="8"/>
      <c r="L526" s="6"/>
    </row>
    <row r="527" spans="1:12" x14ac:dyDescent="0.3">
      <c r="A527" s="8"/>
      <c r="C527" s="6"/>
      <c r="E527" s="6"/>
      <c r="J527" s="8"/>
      <c r="L527" s="6"/>
    </row>
    <row r="528" spans="1:12" x14ac:dyDescent="0.3">
      <c r="A528" s="8"/>
      <c r="C528" s="6"/>
      <c r="E528" s="6"/>
      <c r="J528" s="8"/>
      <c r="L528" s="6"/>
    </row>
    <row r="529" spans="1:12" x14ac:dyDescent="0.3">
      <c r="A529" s="8"/>
      <c r="C529" s="6"/>
      <c r="E529" s="6"/>
      <c r="J529" s="8"/>
      <c r="L529" s="6"/>
    </row>
    <row r="530" spans="1:12" x14ac:dyDescent="0.3">
      <c r="A530" s="8"/>
      <c r="C530" s="6"/>
      <c r="E530" s="6"/>
      <c r="J530" s="8"/>
      <c r="L530" s="6"/>
    </row>
    <row r="531" spans="1:12" x14ac:dyDescent="0.3">
      <c r="A531" s="8"/>
      <c r="C531" s="6"/>
      <c r="E531" s="6"/>
      <c r="J531" s="8"/>
      <c r="L531" s="6"/>
    </row>
    <row r="532" spans="1:12" x14ac:dyDescent="0.3">
      <c r="A532" s="8"/>
      <c r="C532" s="6"/>
      <c r="E532" s="6"/>
      <c r="J532" s="8"/>
      <c r="L532" s="6"/>
    </row>
    <row r="533" spans="1:12" x14ac:dyDescent="0.3">
      <c r="A533" s="8"/>
      <c r="C533" s="6"/>
      <c r="E533" s="6"/>
      <c r="J533" s="8"/>
      <c r="L533" s="6"/>
    </row>
    <row r="534" spans="1:12" x14ac:dyDescent="0.3">
      <c r="A534" s="8"/>
      <c r="C534" s="6"/>
      <c r="E534" s="6"/>
      <c r="J534" s="8"/>
      <c r="L534" s="6"/>
    </row>
    <row r="535" spans="1:12" x14ac:dyDescent="0.3">
      <c r="A535" s="8"/>
      <c r="C535" s="6"/>
      <c r="E535" s="6"/>
      <c r="J535" s="8"/>
      <c r="L535" s="6"/>
    </row>
    <row r="536" spans="1:12" x14ac:dyDescent="0.3">
      <c r="A536" s="8"/>
      <c r="C536" s="6"/>
      <c r="E536" s="6"/>
      <c r="J536" s="8"/>
      <c r="L536" s="6"/>
    </row>
    <row r="537" spans="1:12" x14ac:dyDescent="0.3">
      <c r="A537" s="8"/>
      <c r="C537" s="6"/>
      <c r="E537" s="6"/>
      <c r="J537" s="8"/>
      <c r="L537" s="6"/>
    </row>
    <row r="538" spans="1:12" x14ac:dyDescent="0.3">
      <c r="A538" s="8"/>
      <c r="C538" s="6"/>
      <c r="E538" s="6"/>
      <c r="J538" s="8"/>
      <c r="L538" s="6"/>
    </row>
    <row r="539" spans="1:12" x14ac:dyDescent="0.3">
      <c r="A539" s="8"/>
      <c r="C539" s="6"/>
      <c r="E539" s="6"/>
      <c r="J539" s="8"/>
      <c r="L539" s="6"/>
    </row>
    <row r="540" spans="1:12" x14ac:dyDescent="0.3">
      <c r="A540" s="8"/>
      <c r="C540" s="6"/>
      <c r="E540" s="6"/>
      <c r="J540" s="8"/>
      <c r="L540" s="6"/>
    </row>
    <row r="541" spans="1:12" x14ac:dyDescent="0.3">
      <c r="A541" s="8"/>
      <c r="C541" s="6"/>
      <c r="E541" s="6"/>
      <c r="J541" s="8"/>
      <c r="L541" s="6"/>
    </row>
    <row r="542" spans="1:12" x14ac:dyDescent="0.3">
      <c r="A542" s="8"/>
      <c r="C542" s="6"/>
      <c r="E542" s="6"/>
      <c r="J542" s="8"/>
      <c r="L542" s="6"/>
    </row>
    <row r="543" spans="1:12" x14ac:dyDescent="0.3">
      <c r="A543" s="8"/>
      <c r="C543" s="6"/>
      <c r="E543" s="6"/>
      <c r="J543" s="8"/>
      <c r="L543" s="6"/>
    </row>
    <row r="544" spans="1:12" x14ac:dyDescent="0.3">
      <c r="A544" s="8"/>
      <c r="C544" s="6"/>
      <c r="E544" s="6"/>
      <c r="J544" s="8"/>
      <c r="L544" s="6"/>
    </row>
    <row r="545" spans="1:12" x14ac:dyDescent="0.3">
      <c r="A545" s="8"/>
      <c r="C545" s="6"/>
      <c r="E545" s="6"/>
      <c r="J545" s="8"/>
      <c r="L545" s="6"/>
    </row>
    <row r="546" spans="1:12" x14ac:dyDescent="0.3">
      <c r="A546" s="8"/>
      <c r="C546" s="6"/>
      <c r="E546" s="6"/>
      <c r="J546" s="8"/>
      <c r="L546" s="6"/>
    </row>
    <row r="547" spans="1:12" x14ac:dyDescent="0.3">
      <c r="A547" s="8"/>
      <c r="C547" s="6"/>
      <c r="E547" s="6"/>
      <c r="J547" s="8"/>
      <c r="L547" s="6"/>
    </row>
    <row r="548" spans="1:12" x14ac:dyDescent="0.3">
      <c r="A548" s="8"/>
      <c r="C548" s="6"/>
      <c r="E548" s="6"/>
      <c r="J548" s="8"/>
      <c r="L548" s="6"/>
    </row>
    <row r="549" spans="1:12" x14ac:dyDescent="0.3">
      <c r="A549" s="8"/>
      <c r="C549" s="6"/>
      <c r="E549" s="6"/>
      <c r="J549" s="8"/>
      <c r="L549" s="6"/>
    </row>
    <row r="550" spans="1:12" x14ac:dyDescent="0.3">
      <c r="A550" s="8"/>
      <c r="C550" s="6"/>
      <c r="E550" s="6"/>
      <c r="J550" s="8"/>
      <c r="L550" s="6"/>
    </row>
    <row r="551" spans="1:12" x14ac:dyDescent="0.3">
      <c r="A551" s="8"/>
      <c r="C551" s="6"/>
      <c r="E551" s="6"/>
      <c r="J551" s="8"/>
      <c r="L551" s="6"/>
    </row>
    <row r="552" spans="1:12" x14ac:dyDescent="0.3">
      <c r="A552" s="8"/>
      <c r="C552" s="6"/>
      <c r="E552" s="6"/>
      <c r="J552" s="8"/>
      <c r="L552" s="6"/>
    </row>
    <row r="553" spans="1:12" x14ac:dyDescent="0.3">
      <c r="A553" s="8"/>
      <c r="C553" s="6"/>
      <c r="E553" s="6"/>
      <c r="J553" s="8"/>
      <c r="L553" s="6"/>
    </row>
    <row r="554" spans="1:12" x14ac:dyDescent="0.3">
      <c r="A554" s="8"/>
      <c r="C554" s="6"/>
      <c r="E554" s="6"/>
      <c r="J554" s="8"/>
      <c r="L554" s="6"/>
    </row>
    <row r="555" spans="1:12" x14ac:dyDescent="0.3">
      <c r="A555" s="8"/>
      <c r="C555" s="6"/>
      <c r="E555" s="6"/>
      <c r="J555" s="8"/>
      <c r="L555" s="6"/>
    </row>
    <row r="556" spans="1:12" x14ac:dyDescent="0.3">
      <c r="A556" s="8"/>
      <c r="C556" s="6"/>
      <c r="E556" s="6"/>
      <c r="J556" s="8"/>
      <c r="L556" s="6"/>
    </row>
    <row r="557" spans="1:12" x14ac:dyDescent="0.3">
      <c r="A557" s="8"/>
      <c r="C557" s="6"/>
      <c r="E557" s="6"/>
      <c r="J557" s="8"/>
      <c r="L557" s="6"/>
    </row>
    <row r="558" spans="1:12" x14ac:dyDescent="0.3">
      <c r="A558" s="8"/>
      <c r="C558" s="6"/>
      <c r="E558" s="6"/>
      <c r="J558" s="8"/>
      <c r="L558" s="6"/>
    </row>
    <row r="559" spans="1:12" x14ac:dyDescent="0.3">
      <c r="A559" s="8"/>
      <c r="C559" s="6"/>
      <c r="E559" s="6"/>
      <c r="J559" s="8"/>
      <c r="L559" s="6"/>
    </row>
    <row r="560" spans="1:12" x14ac:dyDescent="0.3">
      <c r="A560" s="8"/>
      <c r="C560" s="6"/>
      <c r="E560" s="6"/>
      <c r="J560" s="8"/>
      <c r="L560" s="6"/>
    </row>
    <row r="561" spans="1:12" x14ac:dyDescent="0.3">
      <c r="A561" s="8"/>
      <c r="C561" s="6"/>
      <c r="E561" s="6"/>
      <c r="J561" s="8"/>
      <c r="L561" s="6"/>
    </row>
    <row r="562" spans="1:12" x14ac:dyDescent="0.3">
      <c r="A562" s="8"/>
      <c r="C562" s="6"/>
      <c r="E562" s="6"/>
      <c r="J562" s="8"/>
      <c r="L562" s="6"/>
    </row>
    <row r="563" spans="1:12" x14ac:dyDescent="0.3">
      <c r="A563" s="8"/>
      <c r="C563" s="6"/>
      <c r="E563" s="6"/>
      <c r="J563" s="8"/>
      <c r="L563" s="6"/>
    </row>
    <row r="564" spans="1:12" x14ac:dyDescent="0.3">
      <c r="A564" s="8"/>
      <c r="C564" s="6"/>
      <c r="E564" s="6"/>
      <c r="J564" s="8"/>
      <c r="L564" s="6"/>
    </row>
    <row r="565" spans="1:12" x14ac:dyDescent="0.3">
      <c r="A565" s="8"/>
      <c r="C565" s="6"/>
      <c r="E565" s="6"/>
      <c r="J565" s="8"/>
      <c r="L565" s="6"/>
    </row>
    <row r="566" spans="1:12" x14ac:dyDescent="0.3">
      <c r="A566" s="8"/>
      <c r="C566" s="6"/>
      <c r="E566" s="6"/>
      <c r="J566" s="8"/>
      <c r="L566" s="6"/>
    </row>
    <row r="567" spans="1:12" x14ac:dyDescent="0.3">
      <c r="A567" s="8"/>
      <c r="C567" s="6"/>
      <c r="E567" s="6"/>
      <c r="J567" s="8"/>
      <c r="L567" s="6"/>
    </row>
    <row r="568" spans="1:12" x14ac:dyDescent="0.3">
      <c r="A568" s="8"/>
      <c r="C568" s="6"/>
      <c r="E568" s="6"/>
      <c r="J568" s="8"/>
      <c r="L568" s="6"/>
    </row>
    <row r="569" spans="1:12" x14ac:dyDescent="0.3">
      <c r="A569" s="8"/>
      <c r="C569" s="6"/>
      <c r="E569" s="6"/>
      <c r="J569" s="8"/>
      <c r="L569" s="6"/>
    </row>
    <row r="570" spans="1:12" x14ac:dyDescent="0.3">
      <c r="A570" s="8"/>
      <c r="C570" s="6"/>
      <c r="E570" s="6"/>
      <c r="J570" s="8"/>
      <c r="L570" s="6"/>
    </row>
    <row r="571" spans="1:12" x14ac:dyDescent="0.3">
      <c r="A571" s="8"/>
      <c r="C571" s="6"/>
      <c r="E571" s="6"/>
      <c r="J571" s="8"/>
      <c r="L571" s="6"/>
    </row>
    <row r="572" spans="1:12" x14ac:dyDescent="0.3">
      <c r="A572" s="8"/>
      <c r="C572" s="6"/>
      <c r="E572" s="6"/>
      <c r="J572" s="8"/>
      <c r="L572" s="6"/>
    </row>
    <row r="573" spans="1:12" x14ac:dyDescent="0.3">
      <c r="A573" s="8"/>
      <c r="C573" s="6"/>
      <c r="E573" s="6"/>
      <c r="J573" s="8"/>
      <c r="L573" s="6"/>
    </row>
    <row r="574" spans="1:12" x14ac:dyDescent="0.3">
      <c r="A574" s="8"/>
      <c r="C574" s="6"/>
      <c r="E574" s="6"/>
      <c r="J574" s="8"/>
      <c r="L574" s="6"/>
    </row>
    <row r="575" spans="1:12" x14ac:dyDescent="0.3">
      <c r="A575" s="8"/>
      <c r="C575" s="6"/>
      <c r="E575" s="6"/>
      <c r="J575" s="8"/>
      <c r="L575" s="6"/>
    </row>
    <row r="576" spans="1:12" x14ac:dyDescent="0.3">
      <c r="A576" s="8"/>
      <c r="C576" s="6"/>
      <c r="E576" s="6"/>
      <c r="J576" s="8"/>
      <c r="L576" s="6"/>
    </row>
    <row r="577" spans="1:12" x14ac:dyDescent="0.3">
      <c r="A577" s="8"/>
      <c r="C577" s="6"/>
      <c r="E577" s="6"/>
      <c r="J577" s="8"/>
      <c r="L577" s="6"/>
    </row>
    <row r="578" spans="1:12" x14ac:dyDescent="0.3">
      <c r="A578" s="8"/>
      <c r="C578" s="6"/>
      <c r="E578" s="6"/>
      <c r="J578" s="8"/>
      <c r="L578" s="6"/>
    </row>
    <row r="579" spans="1:12" x14ac:dyDescent="0.3">
      <c r="A579" s="8"/>
      <c r="C579" s="6"/>
      <c r="E579" s="6"/>
      <c r="J579" s="8"/>
      <c r="L579" s="6"/>
    </row>
    <row r="580" spans="1:12" x14ac:dyDescent="0.3">
      <c r="A580" s="8"/>
      <c r="C580" s="6"/>
      <c r="E580" s="6"/>
      <c r="J580" s="8"/>
      <c r="L580" s="6"/>
    </row>
    <row r="581" spans="1:12" x14ac:dyDescent="0.3">
      <c r="A581" s="8"/>
      <c r="C581" s="6"/>
      <c r="E581" s="6"/>
      <c r="J581" s="8"/>
      <c r="L581" s="6"/>
    </row>
    <row r="582" spans="1:12" x14ac:dyDescent="0.3">
      <c r="A582" s="8"/>
      <c r="C582" s="6"/>
      <c r="E582" s="6"/>
      <c r="J582" s="8"/>
      <c r="L582" s="6"/>
    </row>
    <row r="583" spans="1:12" x14ac:dyDescent="0.3">
      <c r="A583" s="8"/>
      <c r="C583" s="6"/>
      <c r="E583" s="6"/>
      <c r="J583" s="8"/>
      <c r="L583" s="6"/>
    </row>
    <row r="584" spans="1:12" x14ac:dyDescent="0.3">
      <c r="A584" s="8"/>
      <c r="C584" s="6"/>
      <c r="E584" s="6"/>
      <c r="J584" s="8"/>
      <c r="L584" s="6"/>
    </row>
    <row r="585" spans="1:12" x14ac:dyDescent="0.3">
      <c r="A585" s="8"/>
      <c r="C585" s="6"/>
      <c r="E585" s="6"/>
      <c r="J585" s="8"/>
      <c r="L585" s="6"/>
    </row>
    <row r="586" spans="1:12" x14ac:dyDescent="0.3">
      <c r="A586" s="8"/>
      <c r="C586" s="6"/>
      <c r="E586" s="6"/>
      <c r="J586" s="8"/>
      <c r="L586" s="6"/>
    </row>
    <row r="587" spans="1:12" x14ac:dyDescent="0.3">
      <c r="A587" s="8"/>
      <c r="C587" s="6"/>
      <c r="E587" s="6"/>
      <c r="J587" s="8"/>
      <c r="L587" s="6"/>
    </row>
    <row r="588" spans="1:12" x14ac:dyDescent="0.3">
      <c r="A588" s="8"/>
      <c r="C588" s="6"/>
      <c r="E588" s="6"/>
      <c r="J588" s="8"/>
      <c r="L588" s="6"/>
    </row>
    <row r="589" spans="1:12" x14ac:dyDescent="0.3">
      <c r="A589" s="8"/>
      <c r="C589" s="6"/>
      <c r="E589" s="6"/>
      <c r="J589" s="8"/>
      <c r="L589" s="6"/>
    </row>
    <row r="590" spans="1:12" x14ac:dyDescent="0.3">
      <c r="A590" s="8"/>
      <c r="C590" s="6"/>
      <c r="E590" s="6"/>
      <c r="J590" s="8"/>
      <c r="L590" s="6"/>
    </row>
    <row r="591" spans="1:12" x14ac:dyDescent="0.3">
      <c r="A591" s="8"/>
      <c r="C591" s="6"/>
      <c r="E591" s="6"/>
      <c r="J591" s="8"/>
      <c r="L591" s="6"/>
    </row>
    <row r="592" spans="1:12" x14ac:dyDescent="0.3">
      <c r="A592" s="8"/>
      <c r="C592" s="6"/>
      <c r="E592" s="6"/>
      <c r="J592" s="8"/>
      <c r="L592" s="6"/>
    </row>
    <row r="593" spans="1:12" x14ac:dyDescent="0.3">
      <c r="A593" s="8"/>
      <c r="C593" s="6"/>
      <c r="E593" s="6"/>
      <c r="J593" s="8"/>
      <c r="L593" s="6"/>
    </row>
    <row r="594" spans="1:12" x14ac:dyDescent="0.3">
      <c r="A594" s="8"/>
      <c r="C594" s="6"/>
      <c r="E594" s="6"/>
      <c r="J594" s="8"/>
      <c r="L594" s="6"/>
    </row>
    <row r="595" spans="1:12" x14ac:dyDescent="0.3">
      <c r="A595" s="8"/>
      <c r="C595" s="6"/>
      <c r="E595" s="6"/>
      <c r="J595" s="8"/>
      <c r="L595" s="6"/>
    </row>
    <row r="596" spans="1:12" x14ac:dyDescent="0.3">
      <c r="A596" s="8"/>
      <c r="C596" s="6"/>
      <c r="E596" s="6"/>
      <c r="J596" s="8"/>
      <c r="L596" s="6"/>
    </row>
    <row r="597" spans="1:12" x14ac:dyDescent="0.3">
      <c r="A597" s="8"/>
      <c r="C597" s="6"/>
      <c r="E597" s="6"/>
      <c r="J597" s="8"/>
      <c r="L597" s="6"/>
    </row>
    <row r="598" spans="1:12" x14ac:dyDescent="0.3">
      <c r="A598" s="8"/>
      <c r="C598" s="6"/>
      <c r="E598" s="6"/>
      <c r="J598" s="8"/>
      <c r="L598" s="6"/>
    </row>
    <row r="599" spans="1:12" x14ac:dyDescent="0.3">
      <c r="A599" s="8"/>
      <c r="C599" s="6"/>
      <c r="E599" s="6"/>
      <c r="J599" s="8"/>
      <c r="L599" s="6"/>
    </row>
    <row r="600" spans="1:12" x14ac:dyDescent="0.3">
      <c r="A600" s="8"/>
      <c r="C600" s="6"/>
      <c r="E600" s="6"/>
      <c r="J600" s="8"/>
      <c r="L600" s="6"/>
    </row>
    <row r="601" spans="1:12" x14ac:dyDescent="0.3">
      <c r="A601" s="8"/>
      <c r="C601" s="6"/>
      <c r="E601" s="6"/>
      <c r="J601" s="8"/>
      <c r="L601" s="6"/>
    </row>
    <row r="602" spans="1:12" x14ac:dyDescent="0.3">
      <c r="A602" s="8"/>
      <c r="C602" s="6"/>
      <c r="E602" s="6"/>
      <c r="J602" s="8"/>
      <c r="L602" s="6"/>
    </row>
    <row r="603" spans="1:12" x14ac:dyDescent="0.3">
      <c r="A603" s="8"/>
      <c r="C603" s="6"/>
      <c r="E603" s="6"/>
      <c r="J603" s="8"/>
      <c r="L603" s="6"/>
    </row>
    <row r="604" spans="1:12" x14ac:dyDescent="0.3">
      <c r="A604" s="8"/>
      <c r="C604" s="6"/>
      <c r="E604" s="6"/>
      <c r="J604" s="8"/>
      <c r="L604" s="6"/>
    </row>
    <row r="605" spans="1:12" x14ac:dyDescent="0.3">
      <c r="A605" s="8"/>
      <c r="C605" s="6"/>
      <c r="E605" s="6"/>
      <c r="J605" s="8"/>
      <c r="L605" s="6"/>
    </row>
    <row r="606" spans="1:12" x14ac:dyDescent="0.3">
      <c r="A606" s="8"/>
      <c r="C606" s="6"/>
      <c r="E606" s="6"/>
      <c r="J606" s="8"/>
      <c r="L606" s="6"/>
    </row>
    <row r="607" spans="1:12" x14ac:dyDescent="0.3">
      <c r="A607" s="8"/>
      <c r="C607" s="6"/>
      <c r="E607" s="6"/>
      <c r="J607" s="8"/>
      <c r="L607" s="6"/>
    </row>
    <row r="608" spans="1:12" x14ac:dyDescent="0.3">
      <c r="A608" s="8"/>
      <c r="C608" s="6"/>
      <c r="E608" s="6"/>
      <c r="J608" s="8"/>
      <c r="L608" s="6"/>
    </row>
    <row r="609" spans="1:12" x14ac:dyDescent="0.3">
      <c r="A609" s="8"/>
      <c r="C609" s="6"/>
      <c r="E609" s="6"/>
      <c r="J609" s="8"/>
      <c r="L609" s="6"/>
    </row>
    <row r="610" spans="1:12" x14ac:dyDescent="0.3">
      <c r="A610" s="8"/>
      <c r="C610" s="6"/>
      <c r="E610" s="6"/>
      <c r="J610" s="8"/>
      <c r="L610" s="6"/>
    </row>
    <row r="611" spans="1:12" x14ac:dyDescent="0.3">
      <c r="A611" s="8"/>
      <c r="C611" s="6"/>
      <c r="E611" s="6"/>
      <c r="J611" s="8"/>
      <c r="L611" s="6"/>
    </row>
    <row r="612" spans="1:12" x14ac:dyDescent="0.3">
      <c r="A612" s="8"/>
      <c r="C612" s="6"/>
      <c r="E612" s="6"/>
      <c r="J612" s="8"/>
      <c r="L612" s="6"/>
    </row>
    <row r="613" spans="1:12" x14ac:dyDescent="0.3">
      <c r="A613" s="8"/>
      <c r="C613" s="6"/>
      <c r="E613" s="6"/>
      <c r="J613" s="8"/>
      <c r="L613" s="6"/>
    </row>
    <row r="614" spans="1:12" x14ac:dyDescent="0.3">
      <c r="A614" s="8"/>
      <c r="C614" s="6"/>
      <c r="E614" s="6"/>
      <c r="J614" s="8"/>
      <c r="L614" s="6"/>
    </row>
    <row r="615" spans="1:12" x14ac:dyDescent="0.3">
      <c r="A615" s="8"/>
      <c r="C615" s="6"/>
      <c r="E615" s="6"/>
      <c r="J615" s="8"/>
      <c r="L615" s="6"/>
    </row>
    <row r="616" spans="1:12" x14ac:dyDescent="0.3">
      <c r="A616" s="8"/>
      <c r="C616" s="6"/>
      <c r="E616" s="6"/>
      <c r="J616" s="8"/>
      <c r="L616" s="6"/>
    </row>
    <row r="617" spans="1:12" x14ac:dyDescent="0.3">
      <c r="A617" s="8"/>
      <c r="C617" s="6"/>
      <c r="E617" s="6"/>
      <c r="J617" s="8"/>
      <c r="L617" s="6"/>
    </row>
    <row r="618" spans="1:12" x14ac:dyDescent="0.3">
      <c r="A618" s="8"/>
      <c r="C618" s="6"/>
      <c r="E618" s="6"/>
      <c r="J618" s="8"/>
      <c r="L618" s="6"/>
    </row>
    <row r="619" spans="1:12" x14ac:dyDescent="0.3">
      <c r="A619" s="8"/>
      <c r="C619" s="6"/>
      <c r="E619" s="6"/>
      <c r="J619" s="8"/>
      <c r="L619" s="6"/>
    </row>
    <row r="620" spans="1:12" x14ac:dyDescent="0.3">
      <c r="A620" s="8"/>
      <c r="C620" s="6"/>
      <c r="E620" s="6"/>
      <c r="J620" s="8"/>
      <c r="L620" s="6"/>
    </row>
    <row r="621" spans="1:12" x14ac:dyDescent="0.3">
      <c r="A621" s="8"/>
      <c r="C621" s="6"/>
      <c r="E621" s="6"/>
      <c r="J621" s="8"/>
      <c r="L621" s="6"/>
    </row>
    <row r="622" spans="1:12" x14ac:dyDescent="0.3">
      <c r="A622" s="8"/>
      <c r="C622" s="6"/>
      <c r="E622" s="6"/>
      <c r="J622" s="8"/>
      <c r="L622" s="6"/>
    </row>
    <row r="623" spans="1:12" x14ac:dyDescent="0.3">
      <c r="A623" s="8"/>
      <c r="C623" s="6"/>
      <c r="E623" s="6"/>
      <c r="J623" s="8"/>
      <c r="L623" s="6"/>
    </row>
    <row r="624" spans="1:12" x14ac:dyDescent="0.3">
      <c r="A624" s="8"/>
      <c r="C624" s="6"/>
      <c r="E624" s="6"/>
      <c r="J624" s="8"/>
      <c r="L624" s="6"/>
    </row>
    <row r="625" spans="1:12" x14ac:dyDescent="0.3">
      <c r="A625" s="8"/>
      <c r="C625" s="6"/>
      <c r="E625" s="6"/>
      <c r="J625" s="8"/>
      <c r="L625" s="6"/>
    </row>
    <row r="626" spans="1:12" x14ac:dyDescent="0.3">
      <c r="A626" s="8"/>
      <c r="C626" s="6"/>
      <c r="E626" s="6"/>
      <c r="J626" s="8"/>
      <c r="L626" s="6"/>
    </row>
    <row r="627" spans="1:12" x14ac:dyDescent="0.3">
      <c r="A627" s="8"/>
      <c r="C627" s="6"/>
      <c r="E627" s="6"/>
      <c r="J627" s="8"/>
      <c r="L627" s="6"/>
    </row>
    <row r="628" spans="1:12" x14ac:dyDescent="0.3">
      <c r="A628" s="8"/>
      <c r="C628" s="6"/>
      <c r="E628" s="6"/>
      <c r="J628" s="8"/>
      <c r="L628" s="6"/>
    </row>
    <row r="629" spans="1:12" x14ac:dyDescent="0.3">
      <c r="A629" s="8"/>
      <c r="C629" s="6"/>
      <c r="E629" s="6"/>
      <c r="J629" s="8"/>
      <c r="L629" s="6"/>
    </row>
    <row r="630" spans="1:12" x14ac:dyDescent="0.3">
      <c r="A630" s="8"/>
      <c r="C630" s="6"/>
      <c r="E630" s="6"/>
      <c r="J630" s="8"/>
      <c r="L630" s="6"/>
    </row>
    <row r="631" spans="1:12" x14ac:dyDescent="0.3">
      <c r="A631" s="8"/>
      <c r="C631" s="6"/>
      <c r="E631" s="6"/>
      <c r="J631" s="8"/>
      <c r="L631" s="6"/>
    </row>
    <row r="632" spans="1:12" x14ac:dyDescent="0.3">
      <c r="A632" s="8"/>
      <c r="C632" s="6"/>
      <c r="E632" s="6"/>
      <c r="J632" s="8"/>
      <c r="L632" s="6"/>
    </row>
    <row r="633" spans="1:12" x14ac:dyDescent="0.3">
      <c r="A633" s="8"/>
      <c r="C633" s="6"/>
      <c r="E633" s="6"/>
      <c r="J633" s="8"/>
      <c r="L633" s="6"/>
    </row>
    <row r="634" spans="1:12" x14ac:dyDescent="0.3">
      <c r="A634" s="8"/>
      <c r="C634" s="6"/>
      <c r="E634" s="6"/>
      <c r="J634" s="8"/>
      <c r="L634" s="6"/>
    </row>
    <row r="635" spans="1:12" x14ac:dyDescent="0.3">
      <c r="A635" s="8"/>
      <c r="C635" s="6"/>
      <c r="E635" s="6"/>
      <c r="J635" s="8"/>
      <c r="L635" s="6"/>
    </row>
    <row r="636" spans="1:12" x14ac:dyDescent="0.3">
      <c r="A636" s="8"/>
      <c r="C636" s="6"/>
      <c r="E636" s="6"/>
      <c r="J636" s="8"/>
      <c r="L636" s="6"/>
    </row>
    <row r="637" spans="1:12" x14ac:dyDescent="0.3">
      <c r="A637" s="8"/>
      <c r="C637" s="6"/>
      <c r="E637" s="6"/>
      <c r="J637" s="8"/>
      <c r="L637" s="6"/>
    </row>
    <row r="638" spans="1:12" x14ac:dyDescent="0.3">
      <c r="A638" s="8"/>
      <c r="C638" s="6"/>
      <c r="E638" s="6"/>
      <c r="J638" s="8"/>
      <c r="L638" s="6"/>
    </row>
    <row r="639" spans="1:12" x14ac:dyDescent="0.3">
      <c r="A639" s="8"/>
      <c r="C639" s="6"/>
      <c r="E639" s="6"/>
      <c r="J639" s="8"/>
      <c r="L639" s="6"/>
    </row>
    <row r="640" spans="1:12" x14ac:dyDescent="0.3">
      <c r="A640" s="8"/>
      <c r="C640" s="6"/>
      <c r="E640" s="6"/>
      <c r="J640" s="8"/>
      <c r="L640" s="6"/>
    </row>
    <row r="641" spans="1:12" x14ac:dyDescent="0.3">
      <c r="A641" s="8"/>
      <c r="C641" s="6"/>
      <c r="E641" s="6"/>
      <c r="J641" s="8"/>
      <c r="L641" s="6"/>
    </row>
    <row r="642" spans="1:12" x14ac:dyDescent="0.3">
      <c r="A642" s="8"/>
      <c r="C642" s="6"/>
      <c r="E642" s="6"/>
      <c r="J642" s="8"/>
      <c r="L642" s="6"/>
    </row>
    <row r="643" spans="1:12" x14ac:dyDescent="0.3">
      <c r="A643" s="8"/>
      <c r="C643" s="6"/>
      <c r="E643" s="6"/>
      <c r="J643" s="8"/>
      <c r="L643" s="6"/>
    </row>
    <row r="644" spans="1:12" x14ac:dyDescent="0.3">
      <c r="A644" s="8"/>
      <c r="C644" s="6"/>
      <c r="E644" s="6"/>
      <c r="J644" s="8"/>
      <c r="L644" s="6"/>
    </row>
    <row r="645" spans="1:12" x14ac:dyDescent="0.3">
      <c r="A645" s="8"/>
      <c r="C645" s="6"/>
      <c r="E645" s="6"/>
      <c r="J645" s="8"/>
      <c r="L645" s="6"/>
    </row>
    <row r="646" spans="1:12" x14ac:dyDescent="0.3">
      <c r="A646" s="8"/>
      <c r="C646" s="6"/>
      <c r="E646" s="6"/>
      <c r="J646" s="8"/>
      <c r="L646" s="6"/>
    </row>
    <row r="647" spans="1:12" x14ac:dyDescent="0.3">
      <c r="A647" s="8"/>
      <c r="C647" s="6"/>
      <c r="E647" s="6"/>
      <c r="J647" s="8"/>
      <c r="L647" s="6"/>
    </row>
    <row r="648" spans="1:12" x14ac:dyDescent="0.3">
      <c r="A648" s="8"/>
      <c r="C648" s="6"/>
      <c r="E648" s="6"/>
      <c r="J648" s="8"/>
      <c r="L648" s="6"/>
    </row>
    <row r="649" spans="1:12" x14ac:dyDescent="0.3">
      <c r="A649" s="8"/>
      <c r="C649" s="6"/>
      <c r="E649" s="6"/>
      <c r="J649" s="8"/>
      <c r="L649" s="6"/>
    </row>
    <row r="650" spans="1:12" x14ac:dyDescent="0.3">
      <c r="A650" s="8"/>
      <c r="C650" s="6"/>
      <c r="E650" s="6"/>
      <c r="J650" s="8"/>
      <c r="L650" s="6"/>
    </row>
    <row r="651" spans="1:12" x14ac:dyDescent="0.3">
      <c r="A651" s="8"/>
      <c r="C651" s="6"/>
      <c r="E651" s="6"/>
      <c r="J651" s="8"/>
      <c r="L651" s="6"/>
    </row>
    <row r="652" spans="1:12" x14ac:dyDescent="0.3">
      <c r="A652" s="8"/>
      <c r="C652" s="6"/>
      <c r="E652" s="6"/>
      <c r="J652" s="8"/>
      <c r="L652" s="6"/>
    </row>
    <row r="653" spans="1:12" x14ac:dyDescent="0.3">
      <c r="A653" s="8"/>
      <c r="C653" s="6"/>
      <c r="E653" s="6"/>
      <c r="J653" s="8"/>
      <c r="L653" s="6"/>
    </row>
    <row r="654" spans="1:12" x14ac:dyDescent="0.3">
      <c r="A654" s="8"/>
      <c r="C654" s="6"/>
      <c r="E654" s="6"/>
      <c r="J654" s="8"/>
      <c r="L654" s="6"/>
    </row>
    <row r="655" spans="1:12" x14ac:dyDescent="0.3">
      <c r="A655" s="8"/>
      <c r="C655" s="6"/>
      <c r="E655" s="6"/>
      <c r="J655" s="8"/>
      <c r="L655" s="6"/>
    </row>
    <row r="656" spans="1:12" x14ac:dyDescent="0.3">
      <c r="A656" s="8"/>
      <c r="C656" s="6"/>
      <c r="E656" s="6"/>
      <c r="J656" s="8"/>
      <c r="L656" s="6"/>
    </row>
    <row r="657" spans="1:12" x14ac:dyDescent="0.3">
      <c r="A657" s="8"/>
      <c r="C657" s="6"/>
      <c r="E657" s="6"/>
      <c r="J657" s="8"/>
      <c r="L657" s="6"/>
    </row>
    <row r="658" spans="1:12" x14ac:dyDescent="0.3">
      <c r="A658" s="8"/>
      <c r="C658" s="6"/>
      <c r="E658" s="6"/>
      <c r="J658" s="8"/>
      <c r="L658" s="6"/>
    </row>
    <row r="659" spans="1:12" x14ac:dyDescent="0.3">
      <c r="A659" s="8"/>
      <c r="C659" s="6"/>
      <c r="E659" s="6"/>
      <c r="J659" s="8"/>
      <c r="L659" s="6"/>
    </row>
    <row r="660" spans="1:12" x14ac:dyDescent="0.3">
      <c r="A660" s="8"/>
      <c r="C660" s="6"/>
      <c r="E660" s="6"/>
      <c r="J660" s="8"/>
      <c r="L660" s="6"/>
    </row>
    <row r="661" spans="1:12" x14ac:dyDescent="0.3">
      <c r="A661" s="8"/>
      <c r="C661" s="6"/>
      <c r="E661" s="6"/>
      <c r="J661" s="8"/>
      <c r="L661" s="6"/>
    </row>
    <row r="662" spans="1:12" x14ac:dyDescent="0.3">
      <c r="A662" s="8"/>
      <c r="C662" s="6"/>
      <c r="E662" s="6"/>
      <c r="J662" s="8"/>
      <c r="L662" s="6"/>
    </row>
    <row r="663" spans="1:12" x14ac:dyDescent="0.3">
      <c r="A663" s="8"/>
      <c r="C663" s="6"/>
      <c r="E663" s="6"/>
      <c r="J663" s="8"/>
      <c r="L663" s="6"/>
    </row>
    <row r="664" spans="1:12" x14ac:dyDescent="0.3">
      <c r="A664" s="8"/>
      <c r="C664" s="6"/>
      <c r="E664" s="6"/>
      <c r="J664" s="8"/>
      <c r="L664" s="6"/>
    </row>
    <row r="665" spans="1:12" x14ac:dyDescent="0.3">
      <c r="A665" s="8"/>
      <c r="C665" s="6"/>
      <c r="E665" s="6"/>
      <c r="J665" s="8"/>
      <c r="L665" s="6"/>
    </row>
    <row r="666" spans="1:12" x14ac:dyDescent="0.3">
      <c r="A666" s="8"/>
      <c r="C666" s="6"/>
      <c r="E666" s="6"/>
      <c r="J666" s="8"/>
      <c r="L666" s="6"/>
    </row>
    <row r="667" spans="1:12" x14ac:dyDescent="0.3">
      <c r="A667" s="8"/>
      <c r="C667" s="6"/>
      <c r="E667" s="6"/>
      <c r="J667" s="8"/>
      <c r="L667" s="6"/>
    </row>
    <row r="668" spans="1:12" x14ac:dyDescent="0.3">
      <c r="A668" s="8"/>
      <c r="C668" s="6"/>
      <c r="E668" s="6"/>
      <c r="J668" s="8"/>
      <c r="L668" s="6"/>
    </row>
    <row r="669" spans="1:12" x14ac:dyDescent="0.3">
      <c r="A669" s="8"/>
      <c r="C669" s="6"/>
      <c r="E669" s="6"/>
      <c r="J669" s="8"/>
      <c r="L669" s="6"/>
    </row>
    <row r="670" spans="1:12" x14ac:dyDescent="0.3">
      <c r="A670" s="8"/>
      <c r="C670" s="6"/>
      <c r="E670" s="6"/>
      <c r="J670" s="8"/>
      <c r="L670" s="6"/>
    </row>
    <row r="671" spans="1:12" x14ac:dyDescent="0.3">
      <c r="A671" s="8"/>
      <c r="C671" s="6"/>
      <c r="E671" s="6"/>
      <c r="J671" s="8"/>
      <c r="L671" s="6"/>
    </row>
    <row r="672" spans="1:12" x14ac:dyDescent="0.3">
      <c r="A672" s="8"/>
      <c r="C672" s="6"/>
      <c r="E672" s="6"/>
      <c r="J672" s="8"/>
      <c r="L672" s="6"/>
    </row>
    <row r="673" spans="1:12" x14ac:dyDescent="0.3">
      <c r="A673" s="8"/>
      <c r="C673" s="6"/>
      <c r="E673" s="6"/>
      <c r="J673" s="8"/>
      <c r="L673" s="6"/>
    </row>
    <row r="674" spans="1:12" x14ac:dyDescent="0.3">
      <c r="A674" s="8"/>
      <c r="C674" s="6"/>
      <c r="E674" s="6"/>
      <c r="J674" s="8"/>
      <c r="L674" s="6"/>
    </row>
    <row r="675" spans="1:12" x14ac:dyDescent="0.3">
      <c r="A675" s="8"/>
      <c r="C675" s="6"/>
      <c r="E675" s="6"/>
      <c r="J675" s="8"/>
      <c r="L675" s="6"/>
    </row>
    <row r="676" spans="1:12" x14ac:dyDescent="0.3">
      <c r="A676" s="8"/>
      <c r="C676" s="6"/>
      <c r="E676" s="6"/>
      <c r="J676" s="8"/>
      <c r="L676" s="6"/>
    </row>
    <row r="677" spans="1:12" x14ac:dyDescent="0.3">
      <c r="A677" s="8"/>
      <c r="C677" s="6"/>
      <c r="E677" s="6"/>
      <c r="J677" s="8"/>
      <c r="L677" s="6"/>
    </row>
    <row r="678" spans="1:12" x14ac:dyDescent="0.3">
      <c r="A678" s="8"/>
      <c r="C678" s="6"/>
      <c r="E678" s="6"/>
      <c r="J678" s="8"/>
      <c r="L678" s="6"/>
    </row>
    <row r="679" spans="1:12" x14ac:dyDescent="0.3">
      <c r="A679" s="8"/>
      <c r="C679" s="6"/>
      <c r="E679" s="6"/>
      <c r="J679" s="8"/>
      <c r="L679" s="6"/>
    </row>
    <row r="680" spans="1:12" x14ac:dyDescent="0.3">
      <c r="A680" s="8"/>
      <c r="C680" s="6"/>
      <c r="E680" s="6"/>
      <c r="J680" s="8"/>
      <c r="L680" s="6"/>
    </row>
    <row r="681" spans="1:12" x14ac:dyDescent="0.3">
      <c r="A681" s="8"/>
      <c r="C681" s="6"/>
      <c r="E681" s="6"/>
      <c r="J681" s="8"/>
      <c r="L681" s="6"/>
    </row>
    <row r="682" spans="1:12" x14ac:dyDescent="0.3">
      <c r="A682" s="8"/>
      <c r="C682" s="6"/>
      <c r="E682" s="6"/>
      <c r="J682" s="8"/>
      <c r="L682" s="6"/>
    </row>
    <row r="683" spans="1:12" x14ac:dyDescent="0.3">
      <c r="A683" s="8"/>
      <c r="C683" s="6"/>
      <c r="E683" s="6"/>
      <c r="J683" s="8"/>
      <c r="L683" s="6"/>
    </row>
    <row r="684" spans="1:12" x14ac:dyDescent="0.3">
      <c r="A684" s="8"/>
      <c r="C684" s="6"/>
      <c r="E684" s="6"/>
      <c r="J684" s="8"/>
      <c r="L684" s="6"/>
    </row>
    <row r="685" spans="1:12" x14ac:dyDescent="0.3">
      <c r="A685" s="8"/>
      <c r="C685" s="6"/>
      <c r="E685" s="6"/>
      <c r="J685" s="8"/>
      <c r="L685" s="6"/>
    </row>
    <row r="686" spans="1:12" x14ac:dyDescent="0.3">
      <c r="A686" s="8"/>
      <c r="C686" s="6"/>
      <c r="E686" s="6"/>
      <c r="J686" s="8"/>
      <c r="L686" s="6"/>
    </row>
    <row r="687" spans="1:12" x14ac:dyDescent="0.3">
      <c r="A687" s="8"/>
      <c r="C687" s="6"/>
      <c r="E687" s="6"/>
      <c r="J687" s="8"/>
      <c r="L687" s="6"/>
    </row>
    <row r="688" spans="1:12" x14ac:dyDescent="0.3">
      <c r="A688" s="8"/>
      <c r="C688" s="6"/>
      <c r="E688" s="6"/>
      <c r="J688" s="8"/>
      <c r="L688" s="6"/>
    </row>
    <row r="689" spans="1:12" x14ac:dyDescent="0.3">
      <c r="A689" s="8"/>
      <c r="C689" s="6"/>
      <c r="E689" s="6"/>
      <c r="J689" s="8"/>
      <c r="L689" s="6"/>
    </row>
    <row r="690" spans="1:12" x14ac:dyDescent="0.3">
      <c r="A690" s="8"/>
      <c r="C690" s="6"/>
      <c r="E690" s="6"/>
      <c r="J690" s="8"/>
      <c r="L690" s="6"/>
    </row>
    <row r="691" spans="1:12" x14ac:dyDescent="0.3">
      <c r="A691" s="8"/>
      <c r="C691" s="6"/>
      <c r="E691" s="6"/>
      <c r="J691" s="8"/>
      <c r="L691" s="6"/>
    </row>
    <row r="692" spans="1:12" x14ac:dyDescent="0.3">
      <c r="A692" s="8"/>
      <c r="C692" s="6"/>
      <c r="E692" s="6"/>
      <c r="J692" s="8"/>
      <c r="L692" s="6"/>
    </row>
    <row r="693" spans="1:12" x14ac:dyDescent="0.3">
      <c r="A693" s="8"/>
      <c r="C693" s="6"/>
      <c r="E693" s="6"/>
      <c r="J693" s="8"/>
      <c r="L693" s="6"/>
    </row>
    <row r="694" spans="1:12" x14ac:dyDescent="0.3">
      <c r="A694" s="8"/>
      <c r="C694" s="6"/>
      <c r="E694" s="6"/>
      <c r="J694" s="8"/>
      <c r="L694" s="6"/>
    </row>
    <row r="695" spans="1:12" x14ac:dyDescent="0.3">
      <c r="A695" s="8"/>
      <c r="C695" s="6"/>
      <c r="E695" s="6"/>
      <c r="J695" s="8"/>
      <c r="L695" s="6"/>
    </row>
    <row r="696" spans="1:12" x14ac:dyDescent="0.3">
      <c r="A696" s="8"/>
      <c r="C696" s="6"/>
      <c r="E696" s="6"/>
      <c r="J696" s="8"/>
      <c r="L696" s="6"/>
    </row>
    <row r="697" spans="1:12" x14ac:dyDescent="0.3">
      <c r="A697" s="8"/>
      <c r="C697" s="6"/>
      <c r="E697" s="6"/>
      <c r="J697" s="8"/>
      <c r="L697" s="6"/>
    </row>
    <row r="698" spans="1:12" x14ac:dyDescent="0.3">
      <c r="A698" s="8"/>
      <c r="C698" s="6"/>
      <c r="E698" s="6"/>
      <c r="J698" s="8"/>
      <c r="L698" s="6"/>
    </row>
    <row r="699" spans="1:12" x14ac:dyDescent="0.3">
      <c r="A699" s="8"/>
      <c r="C699" s="6"/>
      <c r="E699" s="6"/>
      <c r="J699" s="8"/>
      <c r="L699" s="6"/>
    </row>
    <row r="700" spans="1:12" x14ac:dyDescent="0.3">
      <c r="A700" s="8"/>
      <c r="C700" s="6"/>
      <c r="E700" s="6"/>
      <c r="J700" s="8"/>
      <c r="L700" s="6"/>
    </row>
    <row r="701" spans="1:12" x14ac:dyDescent="0.3">
      <c r="A701" s="8"/>
      <c r="C701" s="6"/>
      <c r="E701" s="6"/>
      <c r="J701" s="8"/>
      <c r="L701" s="6"/>
    </row>
    <row r="702" spans="1:12" x14ac:dyDescent="0.3">
      <c r="A702" s="8"/>
      <c r="C702" s="6"/>
      <c r="E702" s="6"/>
      <c r="J702" s="8"/>
      <c r="L702" s="6"/>
    </row>
    <row r="703" spans="1:12" x14ac:dyDescent="0.3">
      <c r="A703" s="8"/>
      <c r="C703" s="6"/>
      <c r="E703" s="6"/>
      <c r="J703" s="8"/>
      <c r="L703" s="6"/>
    </row>
    <row r="704" spans="1:12" x14ac:dyDescent="0.3">
      <c r="A704" s="8"/>
      <c r="C704" s="6"/>
      <c r="E704" s="6"/>
      <c r="J704" s="8"/>
      <c r="L704" s="6"/>
    </row>
    <row r="705" spans="1:12" x14ac:dyDescent="0.3">
      <c r="A705" s="8"/>
      <c r="C705" s="6"/>
      <c r="E705" s="6"/>
      <c r="J705" s="8"/>
      <c r="L705" s="6"/>
    </row>
    <row r="706" spans="1:12" x14ac:dyDescent="0.3">
      <c r="A706" s="8"/>
      <c r="C706" s="6"/>
      <c r="E706" s="6"/>
      <c r="J706" s="8"/>
      <c r="L706" s="6"/>
    </row>
    <row r="707" spans="1:12" x14ac:dyDescent="0.3">
      <c r="A707" s="8"/>
      <c r="C707" s="6"/>
      <c r="E707" s="6"/>
      <c r="J707" s="8"/>
      <c r="L707" s="6"/>
    </row>
    <row r="708" spans="1:12" x14ac:dyDescent="0.3">
      <c r="A708" s="8"/>
      <c r="C708" s="6"/>
      <c r="E708" s="6"/>
      <c r="J708" s="8"/>
      <c r="L708" s="6"/>
    </row>
    <row r="709" spans="1:12" x14ac:dyDescent="0.3">
      <c r="A709" s="8"/>
      <c r="C709" s="6"/>
      <c r="E709" s="6"/>
      <c r="J709" s="8"/>
      <c r="L709" s="6"/>
    </row>
    <row r="710" spans="1:12" x14ac:dyDescent="0.3">
      <c r="A710" s="8"/>
      <c r="C710" s="6"/>
      <c r="E710" s="6"/>
      <c r="J710" s="8"/>
      <c r="L710" s="6"/>
    </row>
    <row r="711" spans="1:12" x14ac:dyDescent="0.3">
      <c r="A711" s="8"/>
      <c r="C711" s="6"/>
      <c r="E711" s="6"/>
      <c r="J711" s="8"/>
      <c r="L711" s="6"/>
    </row>
    <row r="712" spans="1:12" x14ac:dyDescent="0.3">
      <c r="A712" s="8"/>
      <c r="C712" s="6"/>
      <c r="E712" s="6"/>
      <c r="J712" s="8"/>
      <c r="L712" s="6"/>
    </row>
    <row r="713" spans="1:12" x14ac:dyDescent="0.3">
      <c r="A713" s="8"/>
      <c r="C713" s="6"/>
      <c r="E713" s="6"/>
      <c r="J713" s="8"/>
      <c r="L713" s="6"/>
    </row>
    <row r="714" spans="1:12" x14ac:dyDescent="0.3">
      <c r="A714" s="8"/>
      <c r="C714" s="6"/>
      <c r="E714" s="6"/>
      <c r="J714" s="8"/>
      <c r="L714" s="6"/>
    </row>
    <row r="715" spans="1:12" x14ac:dyDescent="0.3">
      <c r="A715" s="8"/>
      <c r="C715" s="6"/>
      <c r="E715" s="6"/>
      <c r="J715" s="8"/>
      <c r="L715" s="6"/>
    </row>
    <row r="716" spans="1:12" x14ac:dyDescent="0.3">
      <c r="A716" s="8"/>
      <c r="C716" s="6"/>
      <c r="E716" s="6"/>
      <c r="J716" s="8"/>
      <c r="L716" s="6"/>
    </row>
    <row r="717" spans="1:12" x14ac:dyDescent="0.3">
      <c r="A717" s="8"/>
      <c r="C717" s="6"/>
      <c r="E717" s="6"/>
      <c r="J717" s="8"/>
      <c r="L717" s="6"/>
    </row>
    <row r="718" spans="1:12" x14ac:dyDescent="0.3">
      <c r="A718" s="8"/>
      <c r="C718" s="6"/>
      <c r="E718" s="6"/>
      <c r="J718" s="8"/>
      <c r="L718" s="6"/>
    </row>
    <row r="719" spans="1:12" x14ac:dyDescent="0.3">
      <c r="A719" s="8"/>
      <c r="C719" s="6"/>
      <c r="E719" s="6"/>
      <c r="J719" s="8"/>
      <c r="L719" s="6"/>
    </row>
    <row r="720" spans="1:12" x14ac:dyDescent="0.3">
      <c r="A720" s="8"/>
      <c r="C720" s="6"/>
      <c r="E720" s="6"/>
      <c r="J720" s="8"/>
      <c r="L720" s="6"/>
    </row>
    <row r="721" spans="1:12" x14ac:dyDescent="0.3">
      <c r="A721" s="8"/>
      <c r="C721" s="6"/>
      <c r="E721" s="6"/>
      <c r="J721" s="8"/>
      <c r="L721" s="6"/>
    </row>
    <row r="722" spans="1:12" x14ac:dyDescent="0.3">
      <c r="A722" s="8"/>
      <c r="C722" s="6"/>
      <c r="E722" s="6"/>
      <c r="J722" s="8"/>
      <c r="L722" s="6"/>
    </row>
    <row r="723" spans="1:12" x14ac:dyDescent="0.3">
      <c r="A723" s="8"/>
      <c r="C723" s="6"/>
      <c r="E723" s="6"/>
      <c r="J723" s="8"/>
      <c r="L723" s="6"/>
    </row>
    <row r="724" spans="1:12" x14ac:dyDescent="0.3">
      <c r="A724" s="8"/>
      <c r="C724" s="6"/>
      <c r="E724" s="6"/>
      <c r="J724" s="8"/>
      <c r="L724" s="6"/>
    </row>
    <row r="725" spans="1:12" x14ac:dyDescent="0.3">
      <c r="A725" s="8"/>
      <c r="C725" s="6"/>
      <c r="E725" s="6"/>
      <c r="J725" s="8"/>
      <c r="L725" s="6"/>
    </row>
    <row r="726" spans="1:12" x14ac:dyDescent="0.3">
      <c r="A726" s="8"/>
      <c r="C726" s="6"/>
      <c r="E726" s="6"/>
      <c r="J726" s="8"/>
      <c r="L726" s="6"/>
    </row>
    <row r="727" spans="1:12" x14ac:dyDescent="0.3">
      <c r="A727" s="8"/>
      <c r="C727" s="6"/>
      <c r="E727" s="6"/>
      <c r="J727" s="8"/>
      <c r="L727" s="6"/>
    </row>
    <row r="728" spans="1:12" x14ac:dyDescent="0.3">
      <c r="A728" s="8"/>
      <c r="C728" s="6"/>
      <c r="E728" s="6"/>
      <c r="J728" s="8"/>
      <c r="L728" s="6"/>
    </row>
    <row r="729" spans="1:12" x14ac:dyDescent="0.3">
      <c r="A729" s="8"/>
      <c r="C729" s="6"/>
      <c r="E729" s="6"/>
      <c r="J729" s="8"/>
      <c r="L729" s="6"/>
    </row>
    <row r="730" spans="1:12" x14ac:dyDescent="0.3">
      <c r="A730" s="8"/>
      <c r="C730" s="6"/>
      <c r="E730" s="6"/>
      <c r="J730" s="8"/>
      <c r="L730" s="6"/>
    </row>
    <row r="731" spans="1:12" x14ac:dyDescent="0.3">
      <c r="A731" s="8"/>
      <c r="C731" s="6"/>
      <c r="E731" s="6"/>
      <c r="J731" s="8"/>
      <c r="L731" s="6"/>
    </row>
    <row r="732" spans="1:12" x14ac:dyDescent="0.3">
      <c r="A732" s="8"/>
      <c r="C732" s="6"/>
      <c r="E732" s="6"/>
      <c r="J732" s="8"/>
      <c r="L732" s="6"/>
    </row>
    <row r="733" spans="1:12" x14ac:dyDescent="0.3">
      <c r="A733" s="8"/>
      <c r="C733" s="6"/>
      <c r="E733" s="6"/>
      <c r="J733" s="8"/>
      <c r="L733" s="6"/>
    </row>
    <row r="734" spans="1:12" x14ac:dyDescent="0.3">
      <c r="A734" s="8"/>
      <c r="C734" s="6"/>
      <c r="E734" s="6"/>
      <c r="J734" s="8"/>
      <c r="L734" s="6"/>
    </row>
    <row r="735" spans="1:12" x14ac:dyDescent="0.3">
      <c r="A735" s="8"/>
      <c r="C735" s="6"/>
      <c r="E735" s="6"/>
      <c r="J735" s="8"/>
      <c r="L735" s="6"/>
    </row>
    <row r="736" spans="1:12" x14ac:dyDescent="0.3">
      <c r="A736" s="8"/>
      <c r="C736" s="6"/>
      <c r="E736" s="6"/>
      <c r="J736" s="8"/>
      <c r="L736" s="6"/>
    </row>
    <row r="737" spans="1:12" x14ac:dyDescent="0.3">
      <c r="A737" s="8"/>
      <c r="C737" s="6"/>
      <c r="E737" s="6"/>
      <c r="J737" s="8"/>
      <c r="L737" s="6"/>
    </row>
    <row r="738" spans="1:12" x14ac:dyDescent="0.3">
      <c r="A738" s="8"/>
      <c r="C738" s="6"/>
      <c r="E738" s="6"/>
      <c r="J738" s="8"/>
      <c r="L738" s="6"/>
    </row>
    <row r="739" spans="1:12" x14ac:dyDescent="0.3">
      <c r="A739" s="8"/>
      <c r="C739" s="6"/>
      <c r="E739" s="6"/>
      <c r="J739" s="8"/>
      <c r="L739" s="6"/>
    </row>
    <row r="740" spans="1:12" x14ac:dyDescent="0.3">
      <c r="A740" s="8"/>
      <c r="C740" s="6"/>
      <c r="E740" s="6"/>
      <c r="J740" s="8"/>
      <c r="L740" s="6"/>
    </row>
    <row r="741" spans="1:12" x14ac:dyDescent="0.3">
      <c r="A741" s="8"/>
      <c r="C741" s="6"/>
      <c r="E741" s="6"/>
      <c r="J741" s="8"/>
      <c r="L741" s="6"/>
    </row>
    <row r="742" spans="1:12" x14ac:dyDescent="0.3">
      <c r="A742" s="8"/>
      <c r="C742" s="6"/>
      <c r="E742" s="6"/>
      <c r="J742" s="8"/>
      <c r="L742" s="6"/>
    </row>
    <row r="743" spans="1:12" x14ac:dyDescent="0.3">
      <c r="A743" s="8"/>
      <c r="C743" s="6"/>
      <c r="E743" s="6"/>
      <c r="J743" s="8"/>
      <c r="L743" s="6"/>
    </row>
    <row r="744" spans="1:12" x14ac:dyDescent="0.3">
      <c r="A744" s="8"/>
      <c r="C744" s="6"/>
      <c r="E744" s="6"/>
      <c r="J744" s="8"/>
      <c r="L744" s="6"/>
    </row>
    <row r="745" spans="1:12" x14ac:dyDescent="0.3">
      <c r="A745" s="8"/>
      <c r="C745" s="6"/>
      <c r="E745" s="6"/>
      <c r="J745" s="8"/>
      <c r="L745" s="6"/>
    </row>
    <row r="746" spans="1:12" x14ac:dyDescent="0.3">
      <c r="A746" s="8"/>
      <c r="C746" s="6"/>
      <c r="E746" s="6"/>
      <c r="J746" s="8"/>
      <c r="L746" s="6"/>
    </row>
    <row r="747" spans="1:12" x14ac:dyDescent="0.3">
      <c r="A747" s="8"/>
      <c r="C747" s="6"/>
      <c r="E747" s="6"/>
      <c r="J747" s="8"/>
      <c r="L747" s="6"/>
    </row>
    <row r="748" spans="1:12" x14ac:dyDescent="0.3">
      <c r="A748" s="8"/>
      <c r="C748" s="6"/>
      <c r="E748" s="6"/>
      <c r="J748" s="8"/>
      <c r="L748" s="6"/>
    </row>
    <row r="749" spans="1:12" x14ac:dyDescent="0.3">
      <c r="A749" s="8"/>
      <c r="C749" s="6"/>
      <c r="E749" s="6"/>
      <c r="J749" s="8"/>
      <c r="L749" s="6"/>
    </row>
    <row r="750" spans="1:12" x14ac:dyDescent="0.3">
      <c r="A750" s="8"/>
      <c r="C750" s="6"/>
      <c r="E750" s="6"/>
      <c r="J750" s="8"/>
      <c r="L750" s="6"/>
    </row>
    <row r="751" spans="1:12" x14ac:dyDescent="0.3">
      <c r="A751" s="8"/>
      <c r="C751" s="6"/>
      <c r="E751" s="6"/>
      <c r="J751" s="8"/>
      <c r="L751" s="6"/>
    </row>
    <row r="752" spans="1:12" x14ac:dyDescent="0.3">
      <c r="A752" s="8"/>
      <c r="C752" s="6"/>
      <c r="E752" s="6"/>
      <c r="J752" s="8"/>
      <c r="L752" s="6"/>
    </row>
    <row r="753" spans="1:12" x14ac:dyDescent="0.3">
      <c r="A753" s="8"/>
      <c r="C753" s="6"/>
      <c r="E753" s="6"/>
      <c r="J753" s="8"/>
      <c r="L753" s="6"/>
    </row>
    <row r="754" spans="1:12" x14ac:dyDescent="0.3">
      <c r="A754" s="8"/>
      <c r="C754" s="6"/>
      <c r="E754" s="6"/>
      <c r="J754" s="8"/>
      <c r="L754" s="6"/>
    </row>
    <row r="755" spans="1:12" x14ac:dyDescent="0.3">
      <c r="A755" s="8"/>
      <c r="C755" s="6"/>
      <c r="E755" s="6"/>
      <c r="J755" s="8"/>
      <c r="L755" s="6"/>
    </row>
    <row r="756" spans="1:12" x14ac:dyDescent="0.3">
      <c r="A756" s="8"/>
      <c r="C756" s="6"/>
      <c r="E756" s="6"/>
      <c r="J756" s="8"/>
      <c r="L756" s="6"/>
    </row>
    <row r="757" spans="1:12" x14ac:dyDescent="0.3">
      <c r="A757" s="8"/>
      <c r="C757" s="6"/>
      <c r="E757" s="6"/>
      <c r="J757" s="8"/>
      <c r="L757" s="6"/>
    </row>
    <row r="758" spans="1:12" x14ac:dyDescent="0.3">
      <c r="A758" s="8"/>
      <c r="C758" s="6"/>
      <c r="E758" s="6"/>
      <c r="J758" s="8"/>
      <c r="L758" s="6"/>
    </row>
    <row r="759" spans="1:12" x14ac:dyDescent="0.3">
      <c r="A759" s="8"/>
      <c r="C759" s="6"/>
      <c r="E759" s="6"/>
      <c r="J759" s="8"/>
      <c r="L759" s="6"/>
    </row>
    <row r="760" spans="1:12" x14ac:dyDescent="0.3">
      <c r="A760" s="8"/>
      <c r="C760" s="6"/>
      <c r="E760" s="6"/>
      <c r="J760" s="8"/>
      <c r="L760" s="6"/>
    </row>
    <row r="761" spans="1:12" x14ac:dyDescent="0.3">
      <c r="A761" s="8"/>
      <c r="C761" s="6"/>
      <c r="E761" s="6"/>
      <c r="J761" s="8"/>
      <c r="L761" s="6"/>
    </row>
    <row r="762" spans="1:12" x14ac:dyDescent="0.3">
      <c r="A762" s="8"/>
      <c r="C762" s="6"/>
      <c r="E762" s="6"/>
      <c r="J762" s="8"/>
      <c r="L762" s="6"/>
    </row>
    <row r="763" spans="1:12" x14ac:dyDescent="0.3">
      <c r="A763" s="8"/>
      <c r="C763" s="6"/>
      <c r="E763" s="6"/>
      <c r="J763" s="8"/>
      <c r="L763" s="6"/>
    </row>
    <row r="764" spans="1:12" x14ac:dyDescent="0.3">
      <c r="A764" s="8"/>
      <c r="C764" s="6"/>
      <c r="E764" s="6"/>
      <c r="J764" s="8"/>
      <c r="L764" s="6"/>
    </row>
    <row r="765" spans="1:12" x14ac:dyDescent="0.3">
      <c r="A765" s="8"/>
      <c r="C765" s="6"/>
      <c r="E765" s="6"/>
      <c r="J765" s="8"/>
      <c r="L765" s="6"/>
    </row>
    <row r="766" spans="1:12" x14ac:dyDescent="0.3">
      <c r="A766" s="8"/>
      <c r="C766" s="6"/>
      <c r="E766" s="6"/>
      <c r="J766" s="8"/>
      <c r="L766" s="6"/>
    </row>
    <row r="767" spans="1:12" x14ac:dyDescent="0.3">
      <c r="A767" s="8"/>
      <c r="C767" s="6"/>
      <c r="E767" s="6"/>
      <c r="J767" s="8"/>
      <c r="L767" s="6"/>
    </row>
    <row r="768" spans="1:12" x14ac:dyDescent="0.3">
      <c r="A768" s="8"/>
      <c r="C768" s="6"/>
      <c r="E768" s="6"/>
      <c r="J768" s="8"/>
      <c r="L768" s="6"/>
    </row>
    <row r="769" spans="1:12" x14ac:dyDescent="0.3">
      <c r="A769" s="8"/>
      <c r="C769" s="6"/>
      <c r="E769" s="6"/>
      <c r="J769" s="8"/>
      <c r="L769" s="6"/>
    </row>
    <row r="770" spans="1:12" x14ac:dyDescent="0.3">
      <c r="A770" s="8"/>
      <c r="C770" s="6"/>
      <c r="E770" s="6"/>
      <c r="J770" s="8"/>
      <c r="L770" s="6"/>
    </row>
    <row r="771" spans="1:12" x14ac:dyDescent="0.3">
      <c r="A771" s="8"/>
      <c r="C771" s="6"/>
      <c r="E771" s="6"/>
      <c r="J771" s="8"/>
      <c r="L771" s="6"/>
    </row>
    <row r="772" spans="1:12" x14ac:dyDescent="0.3">
      <c r="A772" s="8"/>
      <c r="C772" s="6"/>
      <c r="E772" s="6"/>
      <c r="J772" s="8"/>
      <c r="L772" s="6"/>
    </row>
    <row r="773" spans="1:12" x14ac:dyDescent="0.3">
      <c r="A773" s="8"/>
      <c r="C773" s="6"/>
      <c r="E773" s="6"/>
      <c r="J773" s="8"/>
      <c r="L773" s="6"/>
    </row>
    <row r="774" spans="1:12" x14ac:dyDescent="0.3">
      <c r="A774" s="8"/>
      <c r="C774" s="6"/>
      <c r="E774" s="6"/>
      <c r="J774" s="8"/>
      <c r="L774" s="6"/>
    </row>
    <row r="775" spans="1:12" x14ac:dyDescent="0.3">
      <c r="A775" s="8"/>
      <c r="C775" s="6"/>
      <c r="E775" s="6"/>
      <c r="J775" s="8"/>
      <c r="L775" s="6"/>
    </row>
    <row r="776" spans="1:12" x14ac:dyDescent="0.3">
      <c r="A776" s="8"/>
      <c r="C776" s="6"/>
      <c r="E776" s="6"/>
      <c r="J776" s="8"/>
      <c r="L776" s="6"/>
    </row>
    <row r="777" spans="1:12" x14ac:dyDescent="0.3">
      <c r="A777" s="8"/>
      <c r="C777" s="6"/>
      <c r="E777" s="6"/>
      <c r="J777" s="8"/>
      <c r="L777" s="6"/>
    </row>
    <row r="778" spans="1:12" x14ac:dyDescent="0.3">
      <c r="A778" s="8"/>
      <c r="C778" s="6"/>
      <c r="E778" s="6"/>
      <c r="J778" s="8"/>
      <c r="L778" s="6"/>
    </row>
    <row r="779" spans="1:12" x14ac:dyDescent="0.3">
      <c r="A779" s="8"/>
      <c r="C779" s="6"/>
      <c r="E779" s="6"/>
      <c r="J779" s="8"/>
      <c r="L779" s="6"/>
    </row>
    <row r="780" spans="1:12" x14ac:dyDescent="0.3">
      <c r="A780" s="8"/>
      <c r="C780" s="6"/>
      <c r="E780" s="6"/>
      <c r="J780" s="8"/>
      <c r="L780" s="6"/>
    </row>
    <row r="781" spans="1:12" x14ac:dyDescent="0.3">
      <c r="A781" s="8"/>
      <c r="C781" s="6"/>
      <c r="E781" s="6"/>
      <c r="J781" s="8"/>
      <c r="L781" s="6"/>
    </row>
    <row r="782" spans="1:12" x14ac:dyDescent="0.3">
      <c r="A782" s="8"/>
      <c r="C782" s="6"/>
      <c r="E782" s="6"/>
      <c r="J782" s="8"/>
      <c r="L782" s="6"/>
    </row>
    <row r="783" spans="1:12" x14ac:dyDescent="0.3">
      <c r="A783" s="8"/>
      <c r="C783" s="6"/>
      <c r="E783" s="6"/>
      <c r="J783" s="8"/>
      <c r="L783" s="6"/>
    </row>
    <row r="784" spans="1:12" x14ac:dyDescent="0.3">
      <c r="A784" s="8"/>
      <c r="C784" s="6"/>
      <c r="E784" s="6"/>
      <c r="J784" s="8"/>
      <c r="L784" s="6"/>
    </row>
    <row r="785" spans="1:12" x14ac:dyDescent="0.3">
      <c r="A785" s="8"/>
      <c r="C785" s="6"/>
      <c r="E785" s="6"/>
      <c r="J785" s="8"/>
      <c r="L785" s="6"/>
    </row>
    <row r="786" spans="1:12" x14ac:dyDescent="0.3">
      <c r="A786" s="8"/>
      <c r="C786" s="6"/>
      <c r="E786" s="6"/>
      <c r="J786" s="8"/>
      <c r="L786" s="6"/>
    </row>
    <row r="787" spans="1:12" x14ac:dyDescent="0.3">
      <c r="A787" s="8"/>
      <c r="C787" s="6"/>
      <c r="E787" s="6"/>
      <c r="J787" s="8"/>
      <c r="L787" s="6"/>
    </row>
    <row r="788" spans="1:12" x14ac:dyDescent="0.3">
      <c r="A788" s="8"/>
      <c r="C788" s="6"/>
      <c r="E788" s="6"/>
      <c r="J788" s="8"/>
      <c r="L788" s="6"/>
    </row>
    <row r="789" spans="1:12" x14ac:dyDescent="0.3">
      <c r="A789" s="8"/>
      <c r="C789" s="6"/>
      <c r="E789" s="6"/>
      <c r="J789" s="8"/>
      <c r="L789" s="6"/>
    </row>
    <row r="790" spans="1:12" x14ac:dyDescent="0.3">
      <c r="A790" s="8"/>
      <c r="C790" s="6"/>
      <c r="E790" s="6"/>
      <c r="J790" s="8"/>
      <c r="L790" s="6"/>
    </row>
    <row r="791" spans="1:12" x14ac:dyDescent="0.3">
      <c r="A791" s="8"/>
      <c r="C791" s="6"/>
      <c r="E791" s="6"/>
      <c r="J791" s="8"/>
      <c r="L791" s="6"/>
    </row>
    <row r="792" spans="1:12" x14ac:dyDescent="0.3">
      <c r="A792" s="8"/>
      <c r="C792" s="6"/>
      <c r="E792" s="6"/>
      <c r="J792" s="8"/>
      <c r="L792" s="6"/>
    </row>
    <row r="793" spans="1:12" x14ac:dyDescent="0.3">
      <c r="A793" s="8"/>
      <c r="C793" s="6"/>
      <c r="E793" s="6"/>
      <c r="J793" s="8"/>
      <c r="L793" s="6"/>
    </row>
    <row r="794" spans="1:12" x14ac:dyDescent="0.3">
      <c r="A794" s="8"/>
      <c r="C794" s="6"/>
      <c r="E794" s="6"/>
      <c r="J794" s="8"/>
      <c r="L794" s="6"/>
    </row>
    <row r="795" spans="1:12" x14ac:dyDescent="0.3">
      <c r="A795" s="8"/>
      <c r="C795" s="6"/>
      <c r="E795" s="6"/>
      <c r="J795" s="8"/>
      <c r="L795" s="6"/>
    </row>
    <row r="796" spans="1:12" x14ac:dyDescent="0.3">
      <c r="A796" s="8"/>
      <c r="C796" s="6"/>
      <c r="E796" s="6"/>
      <c r="J796" s="8"/>
      <c r="L796" s="6"/>
    </row>
    <row r="797" spans="1:12" x14ac:dyDescent="0.3">
      <c r="A797" s="8"/>
      <c r="C797" s="6"/>
      <c r="E797" s="6"/>
      <c r="J797" s="8"/>
      <c r="L797" s="6"/>
    </row>
    <row r="798" spans="1:12" x14ac:dyDescent="0.3">
      <c r="A798" s="8"/>
      <c r="C798" s="6"/>
      <c r="E798" s="6"/>
      <c r="J798" s="8"/>
      <c r="L798" s="6"/>
    </row>
    <row r="799" spans="1:12" x14ac:dyDescent="0.3">
      <c r="A799" s="8"/>
      <c r="C799" s="6"/>
      <c r="E799" s="6"/>
      <c r="J799" s="8"/>
      <c r="L799" s="6"/>
    </row>
    <row r="800" spans="1:12" x14ac:dyDescent="0.3">
      <c r="A800" s="8"/>
      <c r="C800" s="6"/>
      <c r="E800" s="6"/>
      <c r="J800" s="8"/>
      <c r="L800" s="6"/>
    </row>
    <row r="801" spans="1:12" x14ac:dyDescent="0.3">
      <c r="A801" s="8"/>
      <c r="C801" s="6"/>
      <c r="E801" s="6"/>
      <c r="J801" s="8"/>
      <c r="L801" s="6"/>
    </row>
    <row r="802" spans="1:12" x14ac:dyDescent="0.3">
      <c r="A802" s="8"/>
      <c r="C802" s="6"/>
      <c r="E802" s="6"/>
      <c r="J802" s="8"/>
      <c r="L802" s="6"/>
    </row>
    <row r="803" spans="1:12" x14ac:dyDescent="0.3">
      <c r="A803" s="8"/>
      <c r="C803" s="6"/>
      <c r="E803" s="6"/>
      <c r="J803" s="8"/>
      <c r="L803" s="6"/>
    </row>
    <row r="804" spans="1:12" x14ac:dyDescent="0.3">
      <c r="A804" s="8"/>
      <c r="C804" s="6"/>
      <c r="E804" s="6"/>
      <c r="J804" s="8"/>
      <c r="L804" s="6"/>
    </row>
    <row r="805" spans="1:12" x14ac:dyDescent="0.3">
      <c r="A805" s="8"/>
      <c r="C805" s="6"/>
      <c r="E805" s="6"/>
      <c r="J805" s="8"/>
      <c r="L805" s="6"/>
    </row>
    <row r="806" spans="1:12" x14ac:dyDescent="0.3">
      <c r="A806" s="8"/>
      <c r="C806" s="6"/>
      <c r="E806" s="6"/>
      <c r="J806" s="8"/>
      <c r="L806" s="6"/>
    </row>
    <row r="807" spans="1:12" x14ac:dyDescent="0.3">
      <c r="A807" s="8"/>
      <c r="C807" s="6"/>
      <c r="E807" s="6"/>
      <c r="J807" s="8"/>
      <c r="L807" s="6"/>
    </row>
    <row r="808" spans="1:12" x14ac:dyDescent="0.3">
      <c r="A808" s="8"/>
      <c r="C808" s="6"/>
      <c r="E808" s="6"/>
      <c r="J808" s="8"/>
      <c r="L808" s="6"/>
    </row>
    <row r="809" spans="1:12" x14ac:dyDescent="0.3">
      <c r="A809" s="8"/>
      <c r="C809" s="6"/>
      <c r="E809" s="6"/>
      <c r="J809" s="8"/>
      <c r="L809" s="6"/>
    </row>
    <row r="810" spans="1:12" x14ac:dyDescent="0.3">
      <c r="A810" s="8"/>
      <c r="C810" s="6"/>
      <c r="E810" s="6"/>
      <c r="J810" s="8"/>
      <c r="L810" s="6"/>
    </row>
    <row r="811" spans="1:12" x14ac:dyDescent="0.3">
      <c r="A811" s="8"/>
      <c r="C811" s="6"/>
      <c r="E811" s="6"/>
      <c r="J811" s="8"/>
      <c r="L811" s="6"/>
    </row>
    <row r="812" spans="1:12" x14ac:dyDescent="0.3">
      <c r="A812" s="8"/>
      <c r="C812" s="6"/>
      <c r="E812" s="6"/>
      <c r="J812" s="8"/>
      <c r="L812" s="6"/>
    </row>
    <row r="813" spans="1:12" x14ac:dyDescent="0.3">
      <c r="A813" s="8"/>
      <c r="C813" s="6"/>
      <c r="E813" s="6"/>
      <c r="J813" s="8"/>
      <c r="L813" s="6"/>
    </row>
    <row r="814" spans="1:12" x14ac:dyDescent="0.3">
      <c r="A814" s="8"/>
      <c r="C814" s="6"/>
      <c r="E814" s="6"/>
      <c r="J814" s="8"/>
      <c r="L814" s="6"/>
    </row>
    <row r="815" spans="1:12" x14ac:dyDescent="0.3">
      <c r="A815" s="8"/>
      <c r="C815" s="6"/>
      <c r="E815" s="6"/>
      <c r="J815" s="8"/>
      <c r="L815" s="6"/>
    </row>
    <row r="816" spans="1:12" x14ac:dyDescent="0.3">
      <c r="A816" s="8"/>
      <c r="C816" s="6"/>
      <c r="E816" s="6"/>
      <c r="J816" s="8"/>
      <c r="L816" s="6"/>
    </row>
    <row r="817" spans="1:12" x14ac:dyDescent="0.3">
      <c r="A817" s="8"/>
      <c r="C817" s="6"/>
      <c r="E817" s="6"/>
      <c r="J817" s="8"/>
      <c r="L817" s="6"/>
    </row>
    <row r="818" spans="1:12" x14ac:dyDescent="0.3">
      <c r="A818" s="8"/>
      <c r="C818" s="6"/>
      <c r="E818" s="6"/>
      <c r="J818" s="8"/>
      <c r="L818" s="6"/>
    </row>
    <row r="819" spans="1:12" x14ac:dyDescent="0.3">
      <c r="A819" s="8"/>
      <c r="C819" s="6"/>
      <c r="E819" s="6"/>
      <c r="J819" s="8"/>
      <c r="L819" s="6"/>
    </row>
    <row r="820" spans="1:12" x14ac:dyDescent="0.3">
      <c r="A820" s="8"/>
      <c r="C820" s="6"/>
      <c r="E820" s="6"/>
      <c r="J820" s="8"/>
      <c r="L820" s="6"/>
    </row>
    <row r="821" spans="1:12" x14ac:dyDescent="0.3">
      <c r="A821" s="8"/>
      <c r="C821" s="6"/>
      <c r="E821" s="6"/>
      <c r="J821" s="8"/>
      <c r="L821" s="6"/>
    </row>
    <row r="822" spans="1:12" x14ac:dyDescent="0.3">
      <c r="A822" s="8"/>
      <c r="C822" s="6"/>
      <c r="E822" s="6"/>
      <c r="J822" s="8"/>
      <c r="L822" s="6"/>
    </row>
    <row r="823" spans="1:12" x14ac:dyDescent="0.3">
      <c r="A823" s="8"/>
      <c r="C823" s="6"/>
      <c r="E823" s="6"/>
      <c r="J823" s="8"/>
      <c r="L823" s="6"/>
    </row>
    <row r="824" spans="1:12" x14ac:dyDescent="0.3">
      <c r="A824" s="8"/>
      <c r="C824" s="6"/>
      <c r="E824" s="6"/>
      <c r="J824" s="8"/>
      <c r="L824" s="6"/>
    </row>
    <row r="825" spans="1:12" x14ac:dyDescent="0.3">
      <c r="A825" s="8"/>
      <c r="C825" s="6"/>
      <c r="E825" s="6"/>
      <c r="J825" s="8"/>
      <c r="L825" s="6"/>
    </row>
    <row r="826" spans="1:12" x14ac:dyDescent="0.3">
      <c r="A826" s="8"/>
      <c r="C826" s="6"/>
      <c r="E826" s="6"/>
      <c r="J826" s="8"/>
      <c r="L826" s="6"/>
    </row>
    <row r="827" spans="1:12" x14ac:dyDescent="0.3">
      <c r="A827" s="8"/>
      <c r="C827" s="6"/>
      <c r="E827" s="6"/>
      <c r="J827" s="8"/>
      <c r="L827" s="6"/>
    </row>
    <row r="828" spans="1:12" x14ac:dyDescent="0.3">
      <c r="A828" s="8"/>
      <c r="C828" s="6"/>
      <c r="E828" s="6"/>
      <c r="J828" s="8"/>
      <c r="L828" s="6"/>
    </row>
    <row r="829" spans="1:12" x14ac:dyDescent="0.3">
      <c r="A829" s="8"/>
      <c r="C829" s="6"/>
      <c r="E829" s="6"/>
      <c r="J829" s="8"/>
      <c r="L829" s="6"/>
    </row>
    <row r="830" spans="1:12" x14ac:dyDescent="0.3">
      <c r="A830" s="8"/>
      <c r="C830" s="6"/>
      <c r="E830" s="6"/>
      <c r="J830" s="8"/>
      <c r="L830" s="6"/>
    </row>
    <row r="831" spans="1:12" x14ac:dyDescent="0.3">
      <c r="A831" s="8"/>
      <c r="C831" s="6"/>
      <c r="E831" s="6"/>
      <c r="J831" s="8"/>
      <c r="L831" s="6"/>
    </row>
    <row r="832" spans="1:12" x14ac:dyDescent="0.3">
      <c r="A832" s="8"/>
      <c r="C832" s="6"/>
      <c r="E832" s="6"/>
      <c r="J832" s="8"/>
      <c r="L832" s="6"/>
    </row>
    <row r="833" spans="1:12" x14ac:dyDescent="0.3">
      <c r="A833" s="8"/>
      <c r="C833" s="6"/>
      <c r="E833" s="6"/>
      <c r="J833" s="8"/>
      <c r="L833" s="6"/>
    </row>
    <row r="834" spans="1:12" x14ac:dyDescent="0.3">
      <c r="A834" s="8"/>
      <c r="C834" s="6"/>
      <c r="E834" s="6"/>
      <c r="J834" s="8"/>
      <c r="L834" s="6"/>
    </row>
    <row r="835" spans="1:12" x14ac:dyDescent="0.3">
      <c r="A835" s="8"/>
      <c r="C835" s="6"/>
      <c r="E835" s="6"/>
      <c r="J835" s="8"/>
      <c r="L835" s="6"/>
    </row>
    <row r="836" spans="1:12" x14ac:dyDescent="0.3">
      <c r="A836" s="8"/>
      <c r="C836" s="6"/>
      <c r="E836" s="6"/>
      <c r="J836" s="8"/>
      <c r="L836" s="6"/>
    </row>
    <row r="837" spans="1:12" x14ac:dyDescent="0.3">
      <c r="A837" s="8"/>
      <c r="C837" s="6"/>
      <c r="E837" s="6"/>
      <c r="J837" s="8"/>
      <c r="L837" s="6"/>
    </row>
    <row r="838" spans="1:12" x14ac:dyDescent="0.3">
      <c r="A838" s="8"/>
      <c r="C838" s="6"/>
      <c r="E838" s="6"/>
      <c r="J838" s="8"/>
      <c r="L838" s="6"/>
    </row>
    <row r="839" spans="1:12" x14ac:dyDescent="0.3">
      <c r="A839" s="8"/>
      <c r="C839" s="6"/>
      <c r="E839" s="6"/>
      <c r="J839" s="8"/>
      <c r="L839" s="6"/>
    </row>
    <row r="840" spans="1:12" x14ac:dyDescent="0.3">
      <c r="A840" s="8"/>
      <c r="C840" s="6"/>
      <c r="E840" s="6"/>
      <c r="J840" s="8"/>
      <c r="L840" s="6"/>
    </row>
    <row r="841" spans="1:12" x14ac:dyDescent="0.3">
      <c r="A841" s="8"/>
      <c r="C841" s="6"/>
      <c r="E841" s="6"/>
      <c r="J841" s="8"/>
      <c r="L841" s="6"/>
    </row>
    <row r="842" spans="1:12" x14ac:dyDescent="0.3">
      <c r="A842" s="8"/>
      <c r="C842" s="6"/>
      <c r="E842" s="6"/>
      <c r="J842" s="8"/>
      <c r="L842" s="6"/>
    </row>
    <row r="843" spans="1:12" x14ac:dyDescent="0.3">
      <c r="A843" s="8"/>
      <c r="C843" s="6"/>
      <c r="E843" s="6"/>
      <c r="J843" s="8"/>
      <c r="L843" s="6"/>
    </row>
    <row r="844" spans="1:12" x14ac:dyDescent="0.3">
      <c r="A844" s="8"/>
      <c r="C844" s="6"/>
      <c r="E844" s="6"/>
      <c r="J844" s="8"/>
      <c r="L844" s="6"/>
    </row>
    <row r="845" spans="1:12" x14ac:dyDescent="0.3">
      <c r="A845" s="8"/>
      <c r="C845" s="6"/>
      <c r="E845" s="6"/>
      <c r="J845" s="8"/>
      <c r="L845" s="6"/>
    </row>
    <row r="846" spans="1:12" x14ac:dyDescent="0.3">
      <c r="A846" s="8"/>
      <c r="C846" s="6"/>
      <c r="E846" s="6"/>
      <c r="J846" s="8"/>
      <c r="L846" s="6"/>
    </row>
    <row r="847" spans="1:12" x14ac:dyDescent="0.3">
      <c r="A847" s="8"/>
      <c r="C847" s="6"/>
      <c r="E847" s="6"/>
      <c r="J847" s="8"/>
      <c r="L847" s="6"/>
    </row>
    <row r="848" spans="1:12" x14ac:dyDescent="0.3">
      <c r="A848" s="8"/>
      <c r="C848" s="6"/>
      <c r="E848" s="6"/>
      <c r="J848" s="8"/>
      <c r="L848" s="6"/>
    </row>
    <row r="849" spans="1:12" x14ac:dyDescent="0.3">
      <c r="A849" s="8"/>
      <c r="C849" s="6"/>
      <c r="E849" s="6"/>
      <c r="J849" s="8"/>
      <c r="L849" s="6"/>
    </row>
    <row r="850" spans="1:12" x14ac:dyDescent="0.3">
      <c r="A850" s="8"/>
      <c r="C850" s="6"/>
      <c r="E850" s="6"/>
      <c r="J850" s="8"/>
      <c r="L850" s="6"/>
    </row>
    <row r="851" spans="1:12" x14ac:dyDescent="0.3">
      <c r="A851" s="8"/>
      <c r="C851" s="6"/>
      <c r="E851" s="6"/>
      <c r="J851" s="8"/>
      <c r="L851" s="6"/>
    </row>
    <row r="852" spans="1:12" x14ac:dyDescent="0.3">
      <c r="A852" s="8"/>
      <c r="C852" s="6"/>
      <c r="E852" s="6"/>
      <c r="J852" s="8"/>
      <c r="L852" s="6"/>
    </row>
    <row r="853" spans="1:12" x14ac:dyDescent="0.3">
      <c r="A853" s="8"/>
      <c r="C853" s="6"/>
      <c r="E853" s="6"/>
      <c r="J853" s="8"/>
      <c r="L853" s="6"/>
    </row>
    <row r="854" spans="1:12" x14ac:dyDescent="0.3">
      <c r="A854" s="8"/>
      <c r="C854" s="6"/>
      <c r="E854" s="6"/>
      <c r="J854" s="8"/>
      <c r="L854" s="6"/>
    </row>
    <row r="855" spans="1:12" x14ac:dyDescent="0.3">
      <c r="A855" s="8"/>
      <c r="C855" s="6"/>
      <c r="E855" s="6"/>
      <c r="J855" s="8"/>
      <c r="L855" s="6"/>
    </row>
    <row r="856" spans="1:12" x14ac:dyDescent="0.3">
      <c r="A856" s="8"/>
      <c r="C856" s="6"/>
      <c r="E856" s="6"/>
      <c r="J856" s="8"/>
      <c r="L856" s="6"/>
    </row>
    <row r="857" spans="1:12" x14ac:dyDescent="0.3">
      <c r="A857" s="8"/>
      <c r="C857" s="6"/>
      <c r="E857" s="6"/>
      <c r="J857" s="8"/>
      <c r="L857" s="6"/>
    </row>
    <row r="858" spans="1:12" x14ac:dyDescent="0.3">
      <c r="A858" s="8"/>
      <c r="C858" s="6"/>
      <c r="E858" s="6"/>
      <c r="J858" s="8"/>
      <c r="L858" s="6"/>
    </row>
    <row r="859" spans="1:12" x14ac:dyDescent="0.3">
      <c r="A859" s="8"/>
      <c r="C859" s="6"/>
      <c r="E859" s="6"/>
      <c r="J859" s="8"/>
      <c r="L859" s="6"/>
    </row>
    <row r="860" spans="1:12" x14ac:dyDescent="0.3">
      <c r="A860" s="8"/>
      <c r="C860" s="6"/>
      <c r="E860" s="6"/>
      <c r="J860" s="8"/>
      <c r="L860" s="6"/>
    </row>
    <row r="861" spans="1:12" x14ac:dyDescent="0.3">
      <c r="A861" s="8"/>
      <c r="C861" s="6"/>
      <c r="E861" s="6"/>
      <c r="J861" s="8"/>
      <c r="L861" s="6"/>
    </row>
    <row r="862" spans="1:12" x14ac:dyDescent="0.3">
      <c r="A862" s="8"/>
      <c r="C862" s="6"/>
      <c r="E862" s="6"/>
      <c r="J862" s="8"/>
      <c r="L862" s="6"/>
    </row>
    <row r="863" spans="1:12" x14ac:dyDescent="0.3">
      <c r="A863" s="8"/>
      <c r="C863" s="6"/>
      <c r="E863" s="6"/>
      <c r="J863" s="8"/>
      <c r="L863" s="6"/>
    </row>
    <row r="864" spans="1:12" x14ac:dyDescent="0.3">
      <c r="A864" s="8"/>
      <c r="C864" s="6"/>
      <c r="E864" s="6"/>
      <c r="J864" s="8"/>
      <c r="L864" s="6"/>
    </row>
    <row r="865" spans="1:12" x14ac:dyDescent="0.3">
      <c r="A865" s="8"/>
      <c r="C865" s="6"/>
      <c r="E865" s="6"/>
      <c r="J865" s="8"/>
      <c r="L865" s="6"/>
    </row>
    <row r="866" spans="1:12" x14ac:dyDescent="0.3">
      <c r="A866" s="8"/>
      <c r="C866" s="6"/>
      <c r="E866" s="6"/>
      <c r="J866" s="8"/>
      <c r="L866" s="6"/>
    </row>
    <row r="867" spans="1:12" x14ac:dyDescent="0.3">
      <c r="A867" s="8"/>
      <c r="C867" s="6"/>
      <c r="E867" s="6"/>
      <c r="J867" s="8"/>
      <c r="L867" s="6"/>
    </row>
    <row r="868" spans="1:12" x14ac:dyDescent="0.3">
      <c r="A868" s="8"/>
      <c r="C868" s="6"/>
      <c r="E868" s="6"/>
      <c r="J868" s="8"/>
      <c r="L868" s="6"/>
    </row>
    <row r="869" spans="1:12" x14ac:dyDescent="0.3">
      <c r="A869" s="8"/>
      <c r="C869" s="6"/>
      <c r="E869" s="6"/>
      <c r="J869" s="8"/>
      <c r="L869" s="6"/>
    </row>
    <row r="870" spans="1:12" x14ac:dyDescent="0.3">
      <c r="A870" s="8"/>
      <c r="C870" s="6"/>
      <c r="E870" s="6"/>
      <c r="J870" s="8"/>
      <c r="L870" s="6"/>
    </row>
    <row r="871" spans="1:12" x14ac:dyDescent="0.3">
      <c r="A871" s="8"/>
      <c r="C871" s="6"/>
      <c r="E871" s="6"/>
      <c r="J871" s="8"/>
      <c r="L871" s="6"/>
    </row>
    <row r="872" spans="1:12" x14ac:dyDescent="0.3">
      <c r="A872" s="8"/>
      <c r="C872" s="6"/>
      <c r="E872" s="6"/>
      <c r="J872" s="8"/>
      <c r="L872" s="6"/>
    </row>
    <row r="873" spans="1:12" x14ac:dyDescent="0.3">
      <c r="A873" s="8"/>
      <c r="C873" s="6"/>
      <c r="E873" s="6"/>
      <c r="J873" s="8"/>
      <c r="L873" s="6"/>
    </row>
    <row r="874" spans="1:12" x14ac:dyDescent="0.3">
      <c r="A874" s="8"/>
      <c r="C874" s="6"/>
      <c r="E874" s="6"/>
      <c r="J874" s="8"/>
      <c r="L874" s="6"/>
    </row>
    <row r="875" spans="1:12" x14ac:dyDescent="0.3">
      <c r="A875" s="8"/>
      <c r="C875" s="6"/>
      <c r="E875" s="6"/>
      <c r="J875" s="8"/>
      <c r="L875" s="6"/>
    </row>
    <row r="876" spans="1:12" x14ac:dyDescent="0.3">
      <c r="A876" s="8"/>
      <c r="C876" s="6"/>
      <c r="E876" s="6"/>
      <c r="J876" s="8"/>
      <c r="L876" s="6"/>
    </row>
    <row r="877" spans="1:12" x14ac:dyDescent="0.3">
      <c r="A877" s="8"/>
      <c r="C877" s="6"/>
      <c r="E877" s="6"/>
      <c r="J877" s="8"/>
      <c r="L877" s="6"/>
    </row>
    <row r="878" spans="1:12" x14ac:dyDescent="0.3">
      <c r="A878" s="8"/>
      <c r="C878" s="6"/>
      <c r="E878" s="6"/>
      <c r="J878" s="8"/>
      <c r="L878" s="6"/>
    </row>
    <row r="879" spans="1:12" x14ac:dyDescent="0.3">
      <c r="A879" s="8"/>
      <c r="C879" s="6"/>
      <c r="E879" s="6"/>
      <c r="J879" s="8"/>
      <c r="L879" s="6"/>
    </row>
    <row r="880" spans="1:12" x14ac:dyDescent="0.3">
      <c r="A880" s="8"/>
      <c r="C880" s="6"/>
      <c r="E880" s="6"/>
      <c r="J880" s="8"/>
      <c r="L880" s="6"/>
    </row>
    <row r="881" spans="1:12" x14ac:dyDescent="0.3">
      <c r="A881" s="8"/>
      <c r="C881" s="6"/>
      <c r="E881" s="6"/>
      <c r="J881" s="8"/>
      <c r="L881" s="6"/>
    </row>
    <row r="882" spans="1:12" x14ac:dyDescent="0.3">
      <c r="A882" s="8"/>
      <c r="C882" s="6"/>
      <c r="E882" s="6"/>
      <c r="J882" s="8"/>
      <c r="L882" s="6"/>
    </row>
    <row r="883" spans="1:12" x14ac:dyDescent="0.3">
      <c r="A883" s="8"/>
      <c r="C883" s="6"/>
      <c r="E883" s="6"/>
      <c r="J883" s="8"/>
      <c r="L883" s="6"/>
    </row>
    <row r="884" spans="1:12" x14ac:dyDescent="0.3">
      <c r="A884" s="8"/>
      <c r="C884" s="6"/>
      <c r="E884" s="6"/>
      <c r="J884" s="8"/>
      <c r="L884" s="6"/>
    </row>
    <row r="885" spans="1:12" x14ac:dyDescent="0.3">
      <c r="A885" s="8"/>
      <c r="C885" s="6"/>
      <c r="E885" s="6"/>
      <c r="J885" s="8"/>
      <c r="L885" s="6"/>
    </row>
    <row r="886" spans="1:12" x14ac:dyDescent="0.3">
      <c r="A886" s="8"/>
      <c r="C886" s="6"/>
      <c r="E886" s="6"/>
      <c r="J886" s="8"/>
      <c r="L886" s="6"/>
    </row>
    <row r="887" spans="1:12" x14ac:dyDescent="0.3">
      <c r="A887" s="8"/>
      <c r="C887" s="6"/>
      <c r="E887" s="6"/>
      <c r="J887" s="8"/>
      <c r="L887" s="6"/>
    </row>
    <row r="888" spans="1:12" x14ac:dyDescent="0.3">
      <c r="A888" s="8"/>
      <c r="C888" s="6"/>
      <c r="E888" s="6"/>
      <c r="J888" s="8"/>
      <c r="L888" s="6"/>
    </row>
    <row r="889" spans="1:12" x14ac:dyDescent="0.3">
      <c r="A889" s="8"/>
      <c r="C889" s="6"/>
      <c r="E889" s="6"/>
      <c r="J889" s="8"/>
      <c r="L889" s="6"/>
    </row>
    <row r="890" spans="1:12" x14ac:dyDescent="0.3">
      <c r="A890" s="8"/>
      <c r="C890" s="6"/>
      <c r="E890" s="6"/>
      <c r="J890" s="8"/>
      <c r="L890" s="6"/>
    </row>
    <row r="891" spans="1:12" x14ac:dyDescent="0.3">
      <c r="A891" s="8"/>
      <c r="C891" s="6"/>
      <c r="E891" s="6"/>
      <c r="J891" s="8"/>
      <c r="L891" s="6"/>
    </row>
    <row r="892" spans="1:12" x14ac:dyDescent="0.3">
      <c r="A892" s="8"/>
      <c r="C892" s="6"/>
      <c r="E892" s="6"/>
      <c r="J892" s="8"/>
      <c r="L892" s="6"/>
    </row>
    <row r="893" spans="1:12" x14ac:dyDescent="0.3">
      <c r="A893" s="8"/>
      <c r="C893" s="6"/>
      <c r="E893" s="6"/>
      <c r="J893" s="8"/>
      <c r="L893" s="6"/>
    </row>
    <row r="894" spans="1:12" x14ac:dyDescent="0.3">
      <c r="A894" s="8"/>
      <c r="C894" s="6"/>
      <c r="E894" s="6"/>
      <c r="J894" s="8"/>
      <c r="L894" s="6"/>
    </row>
    <row r="895" spans="1:12" x14ac:dyDescent="0.3">
      <c r="A895" s="8"/>
      <c r="C895" s="6"/>
      <c r="E895" s="6"/>
      <c r="J895" s="8"/>
      <c r="L895" s="6"/>
    </row>
    <row r="896" spans="1:12" x14ac:dyDescent="0.3">
      <c r="A896" s="8"/>
      <c r="C896" s="6"/>
      <c r="E896" s="6"/>
      <c r="J896" s="8"/>
      <c r="L896" s="6"/>
    </row>
    <row r="897" spans="1:12" x14ac:dyDescent="0.3">
      <c r="A897" s="8"/>
      <c r="C897" s="6"/>
      <c r="E897" s="6"/>
      <c r="J897" s="8"/>
      <c r="L897" s="6"/>
    </row>
    <row r="898" spans="1:12" x14ac:dyDescent="0.3">
      <c r="A898" s="8"/>
      <c r="C898" s="6"/>
      <c r="E898" s="6"/>
      <c r="J898" s="8"/>
      <c r="L898" s="6"/>
    </row>
    <row r="899" spans="1:12" x14ac:dyDescent="0.3">
      <c r="A899" s="8"/>
      <c r="C899" s="6"/>
      <c r="E899" s="6"/>
      <c r="J899" s="8"/>
      <c r="L899" s="6"/>
    </row>
    <row r="900" spans="1:12" x14ac:dyDescent="0.3">
      <c r="A900" s="8"/>
      <c r="C900" s="6"/>
      <c r="E900" s="6"/>
      <c r="J900" s="8"/>
      <c r="L900" s="6"/>
    </row>
    <row r="901" spans="1:12" x14ac:dyDescent="0.3">
      <c r="A901" s="8"/>
      <c r="C901" s="6"/>
      <c r="E901" s="6"/>
      <c r="J901" s="8"/>
      <c r="L901" s="6"/>
    </row>
    <row r="902" spans="1:12" x14ac:dyDescent="0.3">
      <c r="A902" s="8"/>
      <c r="C902" s="6"/>
      <c r="E902" s="6"/>
      <c r="J902" s="8"/>
      <c r="L902" s="6"/>
    </row>
    <row r="903" spans="1:12" x14ac:dyDescent="0.3">
      <c r="A903" s="8"/>
      <c r="C903" s="6"/>
      <c r="E903" s="6"/>
      <c r="J903" s="8"/>
      <c r="L903" s="6"/>
    </row>
    <row r="904" spans="1:12" x14ac:dyDescent="0.3">
      <c r="A904" s="8"/>
      <c r="C904" s="6"/>
      <c r="E904" s="6"/>
      <c r="J904" s="8"/>
      <c r="L904" s="6"/>
    </row>
    <row r="905" spans="1:12" x14ac:dyDescent="0.3">
      <c r="A905" s="8"/>
      <c r="C905" s="6"/>
      <c r="E905" s="6"/>
      <c r="J905" s="8"/>
      <c r="L905" s="6"/>
    </row>
    <row r="906" spans="1:12" x14ac:dyDescent="0.3">
      <c r="A906" s="8"/>
      <c r="C906" s="6"/>
      <c r="E906" s="6"/>
      <c r="J906" s="8"/>
      <c r="L906" s="6"/>
    </row>
    <row r="907" spans="1:12" x14ac:dyDescent="0.3">
      <c r="A907" s="8"/>
      <c r="C907" s="6"/>
      <c r="E907" s="6"/>
      <c r="J907" s="8"/>
      <c r="L907" s="6"/>
    </row>
    <row r="908" spans="1:12" x14ac:dyDescent="0.3">
      <c r="A908" s="8"/>
      <c r="C908" s="6"/>
      <c r="E908" s="6"/>
      <c r="J908" s="8"/>
      <c r="L908" s="6"/>
    </row>
    <row r="909" spans="1:12" x14ac:dyDescent="0.3">
      <c r="A909" s="8"/>
      <c r="C909" s="6"/>
      <c r="E909" s="6"/>
      <c r="J909" s="8"/>
      <c r="L909" s="6"/>
    </row>
    <row r="910" spans="1:12" x14ac:dyDescent="0.3">
      <c r="A910" s="8"/>
      <c r="C910" s="6"/>
      <c r="E910" s="6"/>
      <c r="J910" s="8"/>
      <c r="L910" s="6"/>
    </row>
    <row r="911" spans="1:12" x14ac:dyDescent="0.3">
      <c r="A911" s="8"/>
      <c r="C911" s="6"/>
      <c r="E911" s="6"/>
      <c r="J911" s="8"/>
      <c r="L911" s="6"/>
    </row>
    <row r="912" spans="1:12" x14ac:dyDescent="0.3">
      <c r="A912" s="8"/>
      <c r="C912" s="6"/>
      <c r="E912" s="6"/>
      <c r="J912" s="8"/>
      <c r="L912" s="6"/>
    </row>
    <row r="913" spans="1:12" x14ac:dyDescent="0.3">
      <c r="A913" s="8"/>
      <c r="C913" s="6"/>
      <c r="E913" s="6"/>
      <c r="J913" s="8"/>
      <c r="L913" s="6"/>
    </row>
    <row r="914" spans="1:12" x14ac:dyDescent="0.3">
      <c r="A914" s="8"/>
      <c r="C914" s="6"/>
      <c r="E914" s="6"/>
      <c r="J914" s="8"/>
      <c r="L914" s="6"/>
    </row>
    <row r="915" spans="1:12" x14ac:dyDescent="0.3">
      <c r="A915" s="8"/>
      <c r="C915" s="6"/>
      <c r="E915" s="6"/>
      <c r="J915" s="8"/>
      <c r="L915" s="6"/>
    </row>
    <row r="916" spans="1:12" x14ac:dyDescent="0.3">
      <c r="A916" s="8"/>
      <c r="C916" s="6"/>
      <c r="E916" s="6"/>
      <c r="J916" s="8"/>
      <c r="L916" s="6"/>
    </row>
    <row r="917" spans="1:12" x14ac:dyDescent="0.3">
      <c r="A917" s="8"/>
      <c r="C917" s="6"/>
      <c r="E917" s="6"/>
      <c r="J917" s="8"/>
      <c r="L917" s="6"/>
    </row>
    <row r="918" spans="1:12" x14ac:dyDescent="0.3">
      <c r="A918" s="8"/>
      <c r="C918" s="6"/>
      <c r="E918" s="6"/>
      <c r="J918" s="8"/>
      <c r="L918" s="6"/>
    </row>
    <row r="919" spans="1:12" x14ac:dyDescent="0.3">
      <c r="A919" s="8"/>
      <c r="C919" s="6"/>
      <c r="E919" s="6"/>
      <c r="J919" s="8"/>
      <c r="L919" s="6"/>
    </row>
    <row r="920" spans="1:12" x14ac:dyDescent="0.3">
      <c r="A920" s="8"/>
      <c r="C920" s="6"/>
      <c r="E920" s="6"/>
      <c r="J920" s="8"/>
      <c r="L920" s="6"/>
    </row>
    <row r="921" spans="1:12" x14ac:dyDescent="0.3">
      <c r="A921" s="8"/>
      <c r="C921" s="6"/>
      <c r="E921" s="6"/>
      <c r="J921" s="8"/>
      <c r="L921" s="6"/>
    </row>
    <row r="922" spans="1:12" x14ac:dyDescent="0.3">
      <c r="A922" s="8"/>
      <c r="C922" s="6"/>
      <c r="E922" s="6"/>
      <c r="J922" s="8"/>
      <c r="L922" s="6"/>
    </row>
    <row r="923" spans="1:12" x14ac:dyDescent="0.3">
      <c r="A923" s="8"/>
      <c r="C923" s="6"/>
      <c r="E923" s="6"/>
      <c r="J923" s="8"/>
      <c r="L923" s="6"/>
    </row>
    <row r="924" spans="1:12" x14ac:dyDescent="0.3">
      <c r="A924" s="8"/>
      <c r="C924" s="6"/>
      <c r="E924" s="6"/>
      <c r="J924" s="8"/>
      <c r="L924" s="6"/>
    </row>
    <row r="925" spans="1:12" x14ac:dyDescent="0.3">
      <c r="A925" s="8"/>
      <c r="C925" s="6"/>
      <c r="E925" s="6"/>
      <c r="J925" s="8"/>
      <c r="L925" s="6"/>
    </row>
    <row r="926" spans="1:12" x14ac:dyDescent="0.3">
      <c r="A926" s="8"/>
      <c r="C926" s="6"/>
      <c r="E926" s="6"/>
      <c r="J926" s="8"/>
      <c r="L926" s="6"/>
    </row>
    <row r="927" spans="1:12" x14ac:dyDescent="0.3">
      <c r="A927" s="8"/>
      <c r="C927" s="6"/>
      <c r="E927" s="6"/>
      <c r="J927" s="8"/>
      <c r="L927" s="6"/>
    </row>
    <row r="928" spans="1:12" x14ac:dyDescent="0.3">
      <c r="A928" s="8"/>
      <c r="C928" s="6"/>
      <c r="E928" s="6"/>
      <c r="J928" s="8"/>
      <c r="L928" s="6"/>
    </row>
    <row r="929" spans="1:12" x14ac:dyDescent="0.3">
      <c r="A929" s="8"/>
      <c r="C929" s="6"/>
      <c r="E929" s="6"/>
      <c r="J929" s="8"/>
      <c r="L929" s="6"/>
    </row>
    <row r="930" spans="1:12" x14ac:dyDescent="0.3">
      <c r="A930" s="8"/>
      <c r="C930" s="6"/>
      <c r="E930" s="6"/>
      <c r="J930" s="8"/>
      <c r="L930" s="6"/>
    </row>
    <row r="931" spans="1:12" x14ac:dyDescent="0.3">
      <c r="A931" s="8"/>
      <c r="C931" s="6"/>
      <c r="E931" s="6"/>
      <c r="J931" s="8"/>
      <c r="L931" s="6"/>
    </row>
    <row r="932" spans="1:12" x14ac:dyDescent="0.3">
      <c r="A932" s="8"/>
      <c r="C932" s="6"/>
      <c r="E932" s="6"/>
      <c r="J932" s="8"/>
      <c r="L932" s="6"/>
    </row>
    <row r="933" spans="1:12" x14ac:dyDescent="0.3">
      <c r="A933" s="8"/>
      <c r="C933" s="6"/>
      <c r="E933" s="6"/>
      <c r="J933" s="8"/>
      <c r="L933" s="6"/>
    </row>
    <row r="934" spans="1:12" x14ac:dyDescent="0.3">
      <c r="A934" s="8"/>
      <c r="C934" s="6"/>
      <c r="E934" s="6"/>
      <c r="J934" s="8"/>
      <c r="L934" s="6"/>
    </row>
    <row r="935" spans="1:12" x14ac:dyDescent="0.3">
      <c r="A935" s="8"/>
      <c r="C935" s="6"/>
      <c r="E935" s="6"/>
      <c r="J935" s="8"/>
      <c r="L935" s="6"/>
    </row>
    <row r="936" spans="1:12" x14ac:dyDescent="0.3">
      <c r="A936" s="8"/>
      <c r="C936" s="6"/>
      <c r="E936" s="6"/>
      <c r="J936" s="8"/>
      <c r="L936" s="6"/>
    </row>
    <row r="937" spans="1:12" x14ac:dyDescent="0.3">
      <c r="A937" s="8"/>
      <c r="C937" s="6"/>
      <c r="E937" s="6"/>
      <c r="J937" s="8"/>
      <c r="L937" s="6"/>
    </row>
    <row r="938" spans="1:12" x14ac:dyDescent="0.3">
      <c r="A938" s="8"/>
      <c r="C938" s="6"/>
      <c r="E938" s="6"/>
      <c r="J938" s="8"/>
      <c r="L938" s="6"/>
    </row>
    <row r="939" spans="1:12" x14ac:dyDescent="0.3">
      <c r="A939" s="8"/>
      <c r="C939" s="6"/>
      <c r="E939" s="6"/>
      <c r="J939" s="8"/>
      <c r="L939" s="6"/>
    </row>
    <row r="940" spans="1:12" x14ac:dyDescent="0.3">
      <c r="A940" s="8"/>
      <c r="C940" s="6"/>
      <c r="E940" s="6"/>
      <c r="J940" s="8"/>
      <c r="L940" s="6"/>
    </row>
    <row r="941" spans="1:12" x14ac:dyDescent="0.3">
      <c r="A941" s="8"/>
      <c r="C941" s="6"/>
      <c r="E941" s="6"/>
      <c r="J941" s="8"/>
      <c r="L941" s="6"/>
    </row>
    <row r="942" spans="1:12" x14ac:dyDescent="0.3">
      <c r="A942" s="8"/>
      <c r="C942" s="6"/>
      <c r="E942" s="6"/>
      <c r="J942" s="8"/>
      <c r="L942" s="6"/>
    </row>
    <row r="943" spans="1:12" x14ac:dyDescent="0.3">
      <c r="A943" s="8"/>
      <c r="C943" s="6"/>
      <c r="E943" s="6"/>
      <c r="J943" s="8"/>
      <c r="L943" s="6"/>
    </row>
    <row r="944" spans="1:12" x14ac:dyDescent="0.3">
      <c r="A944" s="8"/>
      <c r="C944" s="6"/>
      <c r="E944" s="6"/>
      <c r="J944" s="8"/>
      <c r="L944" s="6"/>
    </row>
    <row r="945" spans="1:12" x14ac:dyDescent="0.3">
      <c r="A945" s="8"/>
      <c r="C945" s="6"/>
      <c r="E945" s="6"/>
      <c r="J945" s="8"/>
      <c r="L945" s="6"/>
    </row>
    <row r="946" spans="1:12" x14ac:dyDescent="0.3">
      <c r="A946" s="8"/>
      <c r="C946" s="6"/>
      <c r="E946" s="6"/>
      <c r="J946" s="8"/>
      <c r="L946" s="6"/>
    </row>
    <row r="947" spans="1:12" x14ac:dyDescent="0.3">
      <c r="A947" s="8"/>
      <c r="C947" s="6"/>
      <c r="E947" s="6"/>
      <c r="J947" s="8"/>
      <c r="L947" s="6"/>
    </row>
    <row r="948" spans="1:12" x14ac:dyDescent="0.3">
      <c r="A948" s="8"/>
      <c r="C948" s="6"/>
      <c r="E948" s="6"/>
      <c r="J948" s="8"/>
      <c r="L948" s="6"/>
    </row>
    <row r="949" spans="1:12" x14ac:dyDescent="0.3">
      <c r="A949" s="8"/>
      <c r="C949" s="6"/>
      <c r="E949" s="6"/>
      <c r="J949" s="8"/>
      <c r="L949" s="6"/>
    </row>
    <row r="950" spans="1:12" x14ac:dyDescent="0.3">
      <c r="A950" s="8"/>
      <c r="C950" s="6"/>
      <c r="E950" s="6"/>
      <c r="J950" s="8"/>
      <c r="L950" s="6"/>
    </row>
    <row r="951" spans="1:12" x14ac:dyDescent="0.3">
      <c r="A951" s="8"/>
      <c r="C951" s="6"/>
      <c r="E951" s="6"/>
      <c r="J951" s="8"/>
      <c r="L951" s="6"/>
    </row>
    <row r="952" spans="1:12" x14ac:dyDescent="0.3">
      <c r="A952" s="8"/>
      <c r="C952" s="6"/>
      <c r="E952" s="6"/>
      <c r="J952" s="8"/>
      <c r="L952" s="6"/>
    </row>
    <row r="953" spans="1:12" x14ac:dyDescent="0.3">
      <c r="A953" s="8"/>
      <c r="C953" s="6"/>
      <c r="E953" s="6"/>
      <c r="J953" s="8"/>
      <c r="L953" s="6"/>
    </row>
    <row r="954" spans="1:12" x14ac:dyDescent="0.3">
      <c r="A954" s="8"/>
      <c r="C954" s="6"/>
      <c r="E954" s="6"/>
      <c r="J954" s="8"/>
      <c r="L954" s="6"/>
    </row>
    <row r="955" spans="1:12" x14ac:dyDescent="0.3">
      <c r="A955" s="8"/>
      <c r="C955" s="6"/>
      <c r="E955" s="6"/>
      <c r="J955" s="8"/>
      <c r="L955" s="6"/>
    </row>
    <row r="956" spans="1:12" x14ac:dyDescent="0.3">
      <c r="A956" s="8"/>
      <c r="C956" s="6"/>
      <c r="E956" s="6"/>
      <c r="J956" s="8"/>
      <c r="L956" s="6"/>
    </row>
    <row r="957" spans="1:12" x14ac:dyDescent="0.3">
      <c r="A957" s="8"/>
      <c r="C957" s="6"/>
      <c r="E957" s="6"/>
      <c r="J957" s="8"/>
      <c r="L957" s="6"/>
    </row>
    <row r="958" spans="1:12" x14ac:dyDescent="0.3">
      <c r="A958" s="8"/>
      <c r="C958" s="6"/>
      <c r="E958" s="6"/>
      <c r="J958" s="8"/>
      <c r="L958" s="6"/>
    </row>
    <row r="959" spans="1:12" x14ac:dyDescent="0.3">
      <c r="A959" s="8"/>
      <c r="C959" s="6"/>
      <c r="E959" s="6"/>
      <c r="J959" s="8"/>
      <c r="L959" s="6"/>
    </row>
    <row r="960" spans="1:12" x14ac:dyDescent="0.3">
      <c r="A960" s="8"/>
      <c r="C960" s="6"/>
      <c r="E960" s="6"/>
      <c r="J960" s="8"/>
      <c r="L960" s="6"/>
    </row>
    <row r="961" spans="1:12" x14ac:dyDescent="0.3">
      <c r="A961" s="8"/>
      <c r="C961" s="6"/>
      <c r="E961" s="6"/>
      <c r="J961" s="8"/>
      <c r="L961" s="6"/>
    </row>
    <row r="962" spans="1:12" x14ac:dyDescent="0.3">
      <c r="A962" s="8"/>
      <c r="C962" s="6"/>
      <c r="E962" s="6"/>
      <c r="J962" s="8"/>
      <c r="L962" s="6"/>
    </row>
    <row r="963" spans="1:12" x14ac:dyDescent="0.3">
      <c r="A963" s="8"/>
      <c r="C963" s="6"/>
      <c r="E963" s="6"/>
      <c r="J963" s="8"/>
      <c r="L963" s="6"/>
    </row>
    <row r="964" spans="1:12" x14ac:dyDescent="0.3">
      <c r="A964" s="8"/>
      <c r="C964" s="6"/>
      <c r="E964" s="6"/>
      <c r="J964" s="8"/>
      <c r="L964" s="6"/>
    </row>
    <row r="965" spans="1:12" x14ac:dyDescent="0.3">
      <c r="A965" s="8"/>
      <c r="C965" s="6"/>
      <c r="E965" s="6"/>
      <c r="J965" s="8"/>
      <c r="L965" s="6"/>
    </row>
    <row r="966" spans="1:12" x14ac:dyDescent="0.3">
      <c r="A966" s="8"/>
      <c r="C966" s="6"/>
      <c r="E966" s="6"/>
      <c r="J966" s="8"/>
      <c r="L966" s="6"/>
    </row>
    <row r="967" spans="1:12" x14ac:dyDescent="0.3">
      <c r="A967" s="8"/>
      <c r="C967" s="6"/>
      <c r="E967" s="6"/>
      <c r="J967" s="8"/>
      <c r="L967" s="6"/>
    </row>
    <row r="968" spans="1:12" x14ac:dyDescent="0.3">
      <c r="A968" s="8"/>
      <c r="C968" s="6"/>
      <c r="E968" s="6"/>
      <c r="J968" s="8"/>
      <c r="L968" s="6"/>
    </row>
    <row r="969" spans="1:12" x14ac:dyDescent="0.3">
      <c r="A969" s="8"/>
      <c r="C969" s="6"/>
      <c r="E969" s="6"/>
      <c r="J969" s="8"/>
      <c r="L969" s="6"/>
    </row>
    <row r="970" spans="1:12" x14ac:dyDescent="0.3">
      <c r="A970" s="8"/>
      <c r="C970" s="6"/>
      <c r="E970" s="6"/>
      <c r="J970" s="8"/>
      <c r="L970" s="6"/>
    </row>
    <row r="971" spans="1:12" x14ac:dyDescent="0.3">
      <c r="A971" s="8"/>
      <c r="C971" s="6"/>
      <c r="E971" s="6"/>
      <c r="J971" s="8"/>
      <c r="L971" s="6"/>
    </row>
    <row r="972" spans="1:12" x14ac:dyDescent="0.3">
      <c r="A972" s="8"/>
      <c r="C972" s="6"/>
      <c r="E972" s="6"/>
      <c r="J972" s="8"/>
      <c r="L972" s="6"/>
    </row>
    <row r="973" spans="1:12" x14ac:dyDescent="0.3">
      <c r="A973" s="8"/>
      <c r="C973" s="6"/>
      <c r="E973" s="6"/>
      <c r="J973" s="8"/>
      <c r="L973" s="6"/>
    </row>
    <row r="974" spans="1:12" x14ac:dyDescent="0.3">
      <c r="A974" s="8"/>
      <c r="C974" s="6"/>
      <c r="E974" s="6"/>
      <c r="J974" s="8"/>
      <c r="L974" s="6"/>
    </row>
    <row r="975" spans="1:12" x14ac:dyDescent="0.3">
      <c r="A975" s="8"/>
      <c r="C975" s="6"/>
      <c r="E975" s="6"/>
      <c r="J975" s="8"/>
      <c r="L975" s="6"/>
    </row>
    <row r="976" spans="1:12" x14ac:dyDescent="0.3">
      <c r="A976" s="8"/>
      <c r="C976" s="6"/>
      <c r="E976" s="6"/>
      <c r="J976" s="8"/>
      <c r="L976" s="6"/>
    </row>
    <row r="977" spans="1:12" x14ac:dyDescent="0.3">
      <c r="A977" s="8"/>
      <c r="C977" s="6"/>
      <c r="E977" s="6"/>
      <c r="J977" s="8"/>
      <c r="L977" s="6"/>
    </row>
    <row r="978" spans="1:12" x14ac:dyDescent="0.3">
      <c r="A978" s="8"/>
      <c r="C978" s="6"/>
      <c r="E978" s="6"/>
      <c r="J978" s="8"/>
      <c r="L978" s="6"/>
    </row>
    <row r="979" spans="1:12" x14ac:dyDescent="0.3">
      <c r="A979" s="8"/>
      <c r="C979" s="6"/>
      <c r="E979" s="6"/>
      <c r="J979" s="8"/>
      <c r="L979" s="6"/>
    </row>
    <row r="980" spans="1:12" x14ac:dyDescent="0.3">
      <c r="A980" s="8"/>
      <c r="C980" s="6"/>
      <c r="E980" s="6"/>
      <c r="J980" s="8"/>
      <c r="L980" s="6"/>
    </row>
    <row r="981" spans="1:12" x14ac:dyDescent="0.3">
      <c r="A981" s="8"/>
      <c r="C981" s="6"/>
      <c r="E981" s="6"/>
      <c r="J981" s="8"/>
      <c r="L981" s="6"/>
    </row>
    <row r="982" spans="1:12" x14ac:dyDescent="0.3">
      <c r="A982" s="8"/>
      <c r="C982" s="6"/>
      <c r="E982" s="6"/>
      <c r="J982" s="8"/>
      <c r="L982" s="6"/>
    </row>
    <row r="983" spans="1:12" x14ac:dyDescent="0.3">
      <c r="A983" s="8"/>
      <c r="C983" s="6"/>
      <c r="E983" s="6"/>
      <c r="J983" s="8"/>
      <c r="L983" s="6"/>
    </row>
    <row r="984" spans="1:12" x14ac:dyDescent="0.3">
      <c r="A984" s="8"/>
      <c r="C984" s="6"/>
      <c r="E984" s="6"/>
      <c r="J984" s="8"/>
      <c r="L984" s="6"/>
    </row>
    <row r="985" spans="1:12" x14ac:dyDescent="0.3">
      <c r="A985" s="8"/>
      <c r="C985" s="6"/>
      <c r="E985" s="6"/>
      <c r="J985" s="8"/>
      <c r="L985" s="6"/>
    </row>
    <row r="986" spans="1:12" x14ac:dyDescent="0.3">
      <c r="A986" s="8"/>
      <c r="C986" s="6"/>
      <c r="E986" s="6"/>
      <c r="J986" s="8"/>
      <c r="L986" s="6"/>
    </row>
    <row r="987" spans="1:12" x14ac:dyDescent="0.3">
      <c r="A987" s="8"/>
      <c r="C987" s="6"/>
      <c r="E987" s="6"/>
      <c r="J987" s="8"/>
      <c r="L987" s="6"/>
    </row>
    <row r="988" spans="1:12" x14ac:dyDescent="0.3">
      <c r="A988" s="8"/>
      <c r="C988" s="6"/>
      <c r="E988" s="6"/>
      <c r="J988" s="8"/>
      <c r="L988" s="6"/>
    </row>
    <row r="989" spans="1:12" x14ac:dyDescent="0.3">
      <c r="A989" s="8"/>
      <c r="C989" s="6"/>
      <c r="E989" s="6"/>
      <c r="J989" s="8"/>
      <c r="L989" s="6"/>
    </row>
    <row r="990" spans="1:12" x14ac:dyDescent="0.3">
      <c r="A990" s="8"/>
      <c r="C990" s="6"/>
      <c r="E990" s="6"/>
      <c r="J990" s="8"/>
      <c r="L990" s="6"/>
    </row>
    <row r="991" spans="1:12" x14ac:dyDescent="0.3">
      <c r="A991" s="8"/>
      <c r="C991" s="6"/>
      <c r="E991" s="6"/>
      <c r="J991" s="8"/>
      <c r="L991" s="6"/>
    </row>
    <row r="992" spans="1:12" x14ac:dyDescent="0.3">
      <c r="A992" s="8"/>
      <c r="C992" s="6"/>
      <c r="E992" s="6"/>
      <c r="J992" s="8"/>
      <c r="L992" s="6"/>
    </row>
    <row r="993" spans="1:12" x14ac:dyDescent="0.3">
      <c r="A993" s="8"/>
      <c r="C993" s="6"/>
      <c r="E993" s="6"/>
      <c r="J993" s="8"/>
      <c r="L993" s="6"/>
    </row>
    <row r="994" spans="1:12" x14ac:dyDescent="0.3">
      <c r="A994" s="8"/>
      <c r="C994" s="6"/>
      <c r="E994" s="6"/>
      <c r="J994" s="8"/>
      <c r="L994" s="6"/>
    </row>
    <row r="995" spans="1:12" x14ac:dyDescent="0.3">
      <c r="A995" s="8"/>
      <c r="C995" s="6"/>
      <c r="E995" s="6"/>
      <c r="J995" s="8"/>
      <c r="L995" s="6"/>
    </row>
    <row r="996" spans="1:12" x14ac:dyDescent="0.3">
      <c r="A996" s="8"/>
      <c r="C996" s="6"/>
      <c r="E996" s="6"/>
      <c r="J996" s="8"/>
      <c r="L996" s="6"/>
    </row>
    <row r="997" spans="1:12" x14ac:dyDescent="0.3">
      <c r="A997" s="8"/>
      <c r="C997" s="6"/>
      <c r="E997" s="6"/>
      <c r="J997" s="8"/>
      <c r="L997" s="6"/>
    </row>
    <row r="998" spans="1:12" x14ac:dyDescent="0.3">
      <c r="A998" s="8"/>
      <c r="C998" s="6"/>
      <c r="E998" s="6"/>
      <c r="J998" s="8"/>
      <c r="L998" s="6"/>
    </row>
    <row r="999" spans="1:12" x14ac:dyDescent="0.3">
      <c r="A999" s="8"/>
      <c r="C999" s="6"/>
      <c r="E999" s="6"/>
      <c r="J999" s="8"/>
      <c r="L999" s="6"/>
    </row>
    <row r="1000" spans="1:12" x14ac:dyDescent="0.3">
      <c r="A1000" s="8"/>
      <c r="C1000" s="6"/>
      <c r="E1000" s="6"/>
      <c r="J1000" s="8"/>
      <c r="L1000" s="6"/>
    </row>
    <row r="1001" spans="1:12" x14ac:dyDescent="0.3">
      <c r="A1001" s="8"/>
      <c r="C1001" s="6"/>
      <c r="E1001" s="6"/>
      <c r="J1001" s="8"/>
      <c r="L1001" s="6"/>
    </row>
    <row r="1002" spans="1:12" x14ac:dyDescent="0.3">
      <c r="A1002" s="8"/>
      <c r="C1002" s="6"/>
      <c r="E1002" s="6"/>
      <c r="J1002" s="8"/>
      <c r="L1002" s="6"/>
    </row>
    <row r="1003" spans="1:12" x14ac:dyDescent="0.3">
      <c r="A1003" s="8"/>
      <c r="C1003" s="6"/>
      <c r="E1003" s="6"/>
      <c r="J1003" s="8"/>
      <c r="L1003" s="6"/>
    </row>
    <row r="1004" spans="1:12" x14ac:dyDescent="0.3">
      <c r="A1004" s="8"/>
      <c r="C1004" s="6"/>
      <c r="E1004" s="6"/>
      <c r="J1004" s="8"/>
      <c r="L1004" s="6"/>
    </row>
    <row r="1005" spans="1:12" x14ac:dyDescent="0.3">
      <c r="A1005" s="8"/>
      <c r="C1005" s="6"/>
      <c r="E1005" s="6"/>
      <c r="J1005" s="8"/>
      <c r="L1005" s="6"/>
    </row>
    <row r="1006" spans="1:12" x14ac:dyDescent="0.3">
      <c r="A1006" s="8"/>
      <c r="C1006" s="6"/>
      <c r="E1006" s="6"/>
      <c r="J1006" s="8"/>
      <c r="L1006" s="6"/>
    </row>
    <row r="1007" spans="1:12" x14ac:dyDescent="0.3">
      <c r="A1007" s="8"/>
      <c r="C1007" s="6"/>
      <c r="E1007" s="6"/>
      <c r="J1007" s="8"/>
      <c r="L1007" s="6"/>
    </row>
    <row r="1008" spans="1:12" x14ac:dyDescent="0.3">
      <c r="A1008" s="8"/>
      <c r="C1008" s="6"/>
      <c r="E1008" s="6"/>
      <c r="J1008" s="8"/>
      <c r="L1008" s="6"/>
    </row>
    <row r="1009" spans="1:12" x14ac:dyDescent="0.3">
      <c r="A1009" s="8"/>
      <c r="C1009" s="6"/>
      <c r="E1009" s="6"/>
      <c r="J1009" s="8"/>
      <c r="L1009" s="6"/>
    </row>
    <row r="1010" spans="1:12" x14ac:dyDescent="0.3">
      <c r="A1010" s="8"/>
      <c r="C1010" s="6"/>
      <c r="E1010" s="6"/>
      <c r="J1010" s="8"/>
      <c r="L1010" s="6"/>
    </row>
    <row r="1011" spans="1:12" x14ac:dyDescent="0.3">
      <c r="A1011" s="8"/>
      <c r="C1011" s="6"/>
      <c r="E1011" s="6"/>
      <c r="J1011" s="8"/>
      <c r="L1011" s="6"/>
    </row>
    <row r="1012" spans="1:12" x14ac:dyDescent="0.3">
      <c r="A1012" s="8"/>
      <c r="C1012" s="6"/>
      <c r="E1012" s="6"/>
      <c r="J1012" s="8"/>
      <c r="L1012" s="6"/>
    </row>
    <row r="1013" spans="1:12" x14ac:dyDescent="0.3">
      <c r="A1013" s="8"/>
      <c r="C1013" s="6"/>
      <c r="E1013" s="6"/>
      <c r="J1013" s="8"/>
      <c r="L1013" s="6"/>
    </row>
    <row r="1014" spans="1:12" x14ac:dyDescent="0.3">
      <c r="A1014" s="8"/>
      <c r="C1014" s="6"/>
      <c r="E1014" s="6"/>
      <c r="J1014" s="8"/>
      <c r="L1014" s="6"/>
    </row>
    <row r="1015" spans="1:12" x14ac:dyDescent="0.3">
      <c r="A1015" s="8"/>
      <c r="C1015" s="6"/>
      <c r="E1015" s="6"/>
      <c r="J1015" s="8"/>
      <c r="L1015" s="6"/>
    </row>
    <row r="1016" spans="1:12" x14ac:dyDescent="0.3">
      <c r="A1016" s="8"/>
      <c r="C1016" s="6"/>
      <c r="E1016" s="6"/>
      <c r="J1016" s="8"/>
      <c r="L1016" s="6"/>
    </row>
    <row r="1017" spans="1:12" x14ac:dyDescent="0.3">
      <c r="A1017" s="8"/>
      <c r="C1017" s="6"/>
      <c r="E1017" s="6"/>
      <c r="J1017" s="8"/>
      <c r="L1017" s="6"/>
    </row>
    <row r="1018" spans="1:12" x14ac:dyDescent="0.3">
      <c r="A1018" s="8"/>
      <c r="C1018" s="6"/>
      <c r="E1018" s="6"/>
      <c r="J1018" s="8"/>
      <c r="L1018" s="6"/>
    </row>
    <row r="1019" spans="1:12" x14ac:dyDescent="0.3">
      <c r="A1019" s="8"/>
      <c r="C1019" s="6"/>
      <c r="E1019" s="6"/>
      <c r="J1019" s="8"/>
      <c r="L1019" s="6"/>
    </row>
    <row r="1020" spans="1:12" x14ac:dyDescent="0.3">
      <c r="A1020" s="8"/>
      <c r="C1020" s="6"/>
      <c r="E1020" s="6"/>
      <c r="J1020" s="8"/>
      <c r="L1020" s="6"/>
    </row>
    <row r="1021" spans="1:12" x14ac:dyDescent="0.3">
      <c r="A1021" s="8"/>
      <c r="C1021" s="6"/>
      <c r="E1021" s="6"/>
      <c r="J1021" s="8"/>
      <c r="L1021" s="6"/>
    </row>
    <row r="1022" spans="1:12" x14ac:dyDescent="0.3">
      <c r="A1022" s="8"/>
      <c r="C1022" s="6"/>
      <c r="E1022" s="6"/>
      <c r="J1022" s="8"/>
      <c r="L1022" s="6"/>
    </row>
    <row r="1023" spans="1:12" x14ac:dyDescent="0.3">
      <c r="A1023" s="8"/>
      <c r="C1023" s="6"/>
      <c r="E1023" s="6"/>
      <c r="J1023" s="8"/>
      <c r="L1023" s="6"/>
    </row>
    <row r="1024" spans="1:12" x14ac:dyDescent="0.3">
      <c r="A1024" s="8"/>
      <c r="C1024" s="6"/>
      <c r="E1024" s="6"/>
      <c r="J1024" s="8"/>
      <c r="L1024" s="6"/>
    </row>
    <row r="1025" spans="1:12" x14ac:dyDescent="0.3">
      <c r="A1025" s="8"/>
      <c r="C1025" s="6"/>
      <c r="E1025" s="6"/>
      <c r="J1025" s="8"/>
      <c r="L1025" s="6"/>
    </row>
    <row r="1026" spans="1:12" x14ac:dyDescent="0.3">
      <c r="A1026" s="8"/>
      <c r="C1026" s="6"/>
      <c r="E1026" s="6"/>
      <c r="J1026" s="8"/>
      <c r="L1026" s="6"/>
    </row>
    <row r="1027" spans="1:12" x14ac:dyDescent="0.3">
      <c r="A1027" s="8"/>
      <c r="C1027" s="6"/>
      <c r="E1027" s="6"/>
      <c r="J1027" s="8"/>
      <c r="L1027" s="6"/>
    </row>
    <row r="1028" spans="1:12" x14ac:dyDescent="0.3">
      <c r="A1028" s="8"/>
      <c r="C1028" s="6"/>
      <c r="E1028" s="6"/>
      <c r="J1028" s="8"/>
      <c r="L1028" s="6"/>
    </row>
    <row r="1029" spans="1:12" x14ac:dyDescent="0.3">
      <c r="A1029" s="8"/>
      <c r="C1029" s="6"/>
      <c r="E1029" s="6"/>
      <c r="J1029" s="8"/>
      <c r="L1029" s="6"/>
    </row>
    <row r="1030" spans="1:12" x14ac:dyDescent="0.3">
      <c r="A1030" s="8"/>
      <c r="C1030" s="6"/>
      <c r="E1030" s="6"/>
      <c r="J1030" s="8"/>
      <c r="L1030" s="6"/>
    </row>
    <row r="1031" spans="1:12" x14ac:dyDescent="0.3">
      <c r="A1031" s="8"/>
      <c r="C1031" s="6"/>
      <c r="E1031" s="6"/>
      <c r="J1031" s="8"/>
      <c r="L1031" s="6"/>
    </row>
    <row r="1032" spans="1:12" x14ac:dyDescent="0.3">
      <c r="A1032" s="8"/>
      <c r="C1032" s="6"/>
      <c r="E1032" s="6"/>
      <c r="J1032" s="8"/>
      <c r="L1032" s="6"/>
    </row>
    <row r="1033" spans="1:12" x14ac:dyDescent="0.3">
      <c r="A1033" s="8"/>
      <c r="C1033" s="6"/>
      <c r="E1033" s="6"/>
      <c r="J1033" s="8"/>
      <c r="L1033" s="6"/>
    </row>
    <row r="1034" spans="1:12" x14ac:dyDescent="0.3">
      <c r="A1034" s="8"/>
      <c r="C1034" s="6"/>
      <c r="E1034" s="6"/>
      <c r="J1034" s="8"/>
      <c r="L1034" s="6"/>
    </row>
    <row r="1035" spans="1:12" x14ac:dyDescent="0.3">
      <c r="A1035" s="8"/>
      <c r="C1035" s="6"/>
      <c r="E1035" s="6"/>
      <c r="J1035" s="8"/>
      <c r="L1035" s="6"/>
    </row>
    <row r="1036" spans="1:12" x14ac:dyDescent="0.3">
      <c r="A1036" s="8"/>
      <c r="C1036" s="6"/>
      <c r="E1036" s="6"/>
      <c r="J1036" s="8"/>
      <c r="L1036" s="6"/>
    </row>
    <row r="1037" spans="1:12" x14ac:dyDescent="0.3">
      <c r="A1037" s="8"/>
      <c r="C1037" s="6"/>
      <c r="E1037" s="6"/>
      <c r="J1037" s="8"/>
      <c r="L1037" s="6"/>
    </row>
    <row r="1038" spans="1:12" x14ac:dyDescent="0.3">
      <c r="A1038" s="8"/>
      <c r="C1038" s="6"/>
      <c r="E1038" s="6"/>
      <c r="J1038" s="8"/>
      <c r="L1038" s="6"/>
    </row>
    <row r="1039" spans="1:12" x14ac:dyDescent="0.3">
      <c r="A1039" s="8"/>
      <c r="C1039" s="6"/>
      <c r="E1039" s="6"/>
      <c r="J1039" s="8"/>
      <c r="L1039" s="6"/>
    </row>
    <row r="1040" spans="1:12" x14ac:dyDescent="0.3">
      <c r="A1040" s="8"/>
      <c r="C1040" s="6"/>
      <c r="E1040" s="6"/>
      <c r="J1040" s="8"/>
      <c r="L1040" s="6"/>
    </row>
    <row r="1041" spans="1:12" x14ac:dyDescent="0.3">
      <c r="A1041" s="8"/>
      <c r="C1041" s="6"/>
      <c r="E1041" s="6"/>
      <c r="J1041" s="8"/>
      <c r="L1041" s="6"/>
    </row>
    <row r="1042" spans="1:12" x14ac:dyDescent="0.3">
      <c r="A1042" s="8"/>
      <c r="C1042" s="6"/>
      <c r="E1042" s="6"/>
      <c r="J1042" s="8"/>
      <c r="L1042" s="6"/>
    </row>
    <row r="1043" spans="1:12" x14ac:dyDescent="0.3">
      <c r="A1043" s="8"/>
      <c r="C1043" s="6"/>
      <c r="E1043" s="6"/>
      <c r="J1043" s="8"/>
      <c r="L1043" s="6"/>
    </row>
    <row r="1044" spans="1:12" x14ac:dyDescent="0.3">
      <c r="A1044" s="8"/>
      <c r="C1044" s="6"/>
      <c r="E1044" s="6"/>
      <c r="J1044" s="8"/>
      <c r="L1044" s="6"/>
    </row>
    <row r="1045" spans="1:12" x14ac:dyDescent="0.3">
      <c r="A1045" s="8"/>
      <c r="C1045" s="6"/>
      <c r="E1045" s="6"/>
      <c r="J1045" s="8"/>
      <c r="L1045" s="6"/>
    </row>
    <row r="1046" spans="1:12" x14ac:dyDescent="0.3">
      <c r="A1046" s="8"/>
      <c r="C1046" s="6"/>
      <c r="E1046" s="6"/>
      <c r="J1046" s="8"/>
      <c r="L1046" s="6"/>
    </row>
    <row r="1047" spans="1:12" x14ac:dyDescent="0.3">
      <c r="A1047" s="8"/>
      <c r="C1047" s="6"/>
      <c r="E1047" s="6"/>
      <c r="J1047" s="8"/>
      <c r="L1047" s="6"/>
    </row>
    <row r="1048" spans="1:12" x14ac:dyDescent="0.3">
      <c r="A1048" s="8"/>
      <c r="C1048" s="6"/>
      <c r="E1048" s="6"/>
      <c r="J1048" s="8"/>
      <c r="L1048" s="6"/>
    </row>
    <row r="1049" spans="1:12" x14ac:dyDescent="0.3">
      <c r="A1049" s="8"/>
      <c r="C1049" s="6"/>
      <c r="E1049" s="6"/>
      <c r="J1049" s="8"/>
      <c r="L1049" s="6"/>
    </row>
    <row r="1050" spans="1:12" x14ac:dyDescent="0.3">
      <c r="A1050" s="8"/>
      <c r="C1050" s="6"/>
      <c r="E1050" s="6"/>
      <c r="J1050" s="8"/>
      <c r="L1050" s="6"/>
    </row>
    <row r="1051" spans="1:12" x14ac:dyDescent="0.3">
      <c r="A1051" s="8"/>
      <c r="C1051" s="6"/>
      <c r="E1051" s="6"/>
      <c r="J1051" s="8"/>
      <c r="L1051" s="6"/>
    </row>
    <row r="1052" spans="1:12" x14ac:dyDescent="0.3">
      <c r="A1052" s="8"/>
      <c r="C1052" s="6"/>
      <c r="E1052" s="6"/>
      <c r="J1052" s="8"/>
      <c r="L1052" s="6"/>
    </row>
    <row r="1053" spans="1:12" x14ac:dyDescent="0.3">
      <c r="A1053" s="8"/>
      <c r="C1053" s="6"/>
      <c r="E1053" s="6"/>
      <c r="J1053" s="8"/>
      <c r="L1053" s="6"/>
    </row>
    <row r="1054" spans="1:12" x14ac:dyDescent="0.3">
      <c r="A1054" s="8"/>
      <c r="C1054" s="6"/>
      <c r="E1054" s="6"/>
      <c r="J1054" s="8"/>
      <c r="L1054" s="6"/>
    </row>
    <row r="1055" spans="1:12" x14ac:dyDescent="0.3">
      <c r="A1055" s="8"/>
      <c r="C1055" s="6"/>
      <c r="E1055" s="6"/>
      <c r="J1055" s="8"/>
      <c r="L1055" s="6"/>
    </row>
    <row r="1056" spans="1:12" x14ac:dyDescent="0.3">
      <c r="A1056" s="8"/>
      <c r="C1056" s="6"/>
      <c r="E1056" s="6"/>
      <c r="J1056" s="8"/>
      <c r="L1056" s="6"/>
    </row>
    <row r="1057" spans="1:12" x14ac:dyDescent="0.3">
      <c r="A1057" s="8"/>
      <c r="C1057" s="6"/>
      <c r="E1057" s="6"/>
      <c r="J1057" s="8"/>
      <c r="L1057" s="6"/>
    </row>
    <row r="1058" spans="1:12" x14ac:dyDescent="0.3">
      <c r="A1058" s="8"/>
      <c r="C1058" s="6"/>
      <c r="E1058" s="6"/>
      <c r="J1058" s="8"/>
      <c r="L1058" s="6"/>
    </row>
    <row r="1059" spans="1:12" x14ac:dyDescent="0.3">
      <c r="A1059" s="8"/>
      <c r="C1059" s="6"/>
      <c r="E1059" s="6"/>
      <c r="J1059" s="8"/>
      <c r="L1059" s="6"/>
    </row>
    <row r="1060" spans="1:12" x14ac:dyDescent="0.3">
      <c r="A1060" s="8"/>
      <c r="C1060" s="6"/>
      <c r="E1060" s="6"/>
      <c r="J1060" s="8"/>
      <c r="L1060" s="6"/>
    </row>
    <row r="1061" spans="1:12" x14ac:dyDescent="0.3">
      <c r="A1061" s="8"/>
      <c r="C1061" s="6"/>
      <c r="E1061" s="6"/>
      <c r="J1061" s="8"/>
      <c r="L1061" s="6"/>
    </row>
    <row r="1062" spans="1:12" x14ac:dyDescent="0.3">
      <c r="A1062" s="8"/>
      <c r="C1062" s="6"/>
      <c r="E1062" s="6"/>
      <c r="J1062" s="8"/>
      <c r="L1062" s="6"/>
    </row>
    <row r="1063" spans="1:12" x14ac:dyDescent="0.3">
      <c r="A1063" s="8"/>
      <c r="C1063" s="6"/>
      <c r="E1063" s="6"/>
      <c r="J1063" s="8"/>
      <c r="L1063" s="6"/>
    </row>
    <row r="1064" spans="1:12" x14ac:dyDescent="0.3">
      <c r="A1064" s="8"/>
      <c r="C1064" s="6"/>
      <c r="E1064" s="6"/>
      <c r="J1064" s="8"/>
      <c r="L1064" s="6"/>
    </row>
    <row r="1065" spans="1:12" x14ac:dyDescent="0.3">
      <c r="A1065" s="8"/>
      <c r="C1065" s="6"/>
      <c r="E1065" s="6"/>
      <c r="J1065" s="8"/>
      <c r="L1065" s="6"/>
    </row>
    <row r="1066" spans="1:12" x14ac:dyDescent="0.3">
      <c r="A1066" s="8"/>
      <c r="C1066" s="6"/>
      <c r="E1066" s="6"/>
      <c r="J1066" s="8"/>
      <c r="L1066" s="6"/>
    </row>
    <row r="1067" spans="1:12" x14ac:dyDescent="0.3">
      <c r="A1067" s="8"/>
      <c r="C1067" s="6"/>
      <c r="E1067" s="6"/>
      <c r="J1067" s="8"/>
      <c r="L1067" s="6"/>
    </row>
    <row r="1068" spans="1:12" x14ac:dyDescent="0.3">
      <c r="A1068" s="8"/>
      <c r="C1068" s="6"/>
      <c r="E1068" s="6"/>
      <c r="J1068" s="8"/>
      <c r="L1068" s="6"/>
    </row>
    <row r="1069" spans="1:12" x14ac:dyDescent="0.3">
      <c r="A1069" s="8"/>
      <c r="C1069" s="6"/>
      <c r="E1069" s="6"/>
      <c r="J1069" s="8"/>
      <c r="L1069" s="6"/>
    </row>
    <row r="1070" spans="1:12" x14ac:dyDescent="0.3">
      <c r="A1070" s="8"/>
      <c r="C1070" s="6"/>
      <c r="E1070" s="6"/>
      <c r="J1070" s="8"/>
      <c r="L1070" s="6"/>
    </row>
    <row r="1071" spans="1:12" x14ac:dyDescent="0.3">
      <c r="A1071" s="8"/>
      <c r="C1071" s="6"/>
      <c r="E1071" s="6"/>
      <c r="J1071" s="8"/>
      <c r="L1071" s="6"/>
    </row>
    <row r="1072" spans="1:12" x14ac:dyDescent="0.3">
      <c r="A1072" s="8"/>
      <c r="C1072" s="6"/>
      <c r="E1072" s="6"/>
      <c r="J1072" s="8"/>
      <c r="L1072" s="6"/>
    </row>
    <row r="1073" spans="1:12" x14ac:dyDescent="0.3">
      <c r="A1073" s="8"/>
      <c r="C1073" s="6"/>
      <c r="E1073" s="6"/>
      <c r="J1073" s="8"/>
      <c r="L1073" s="6"/>
    </row>
    <row r="1074" spans="1:12" x14ac:dyDescent="0.3">
      <c r="A1074" s="8"/>
      <c r="C1074" s="6"/>
      <c r="E1074" s="6"/>
      <c r="J1074" s="8"/>
      <c r="L1074" s="6"/>
    </row>
    <row r="1075" spans="1:12" x14ac:dyDescent="0.3">
      <c r="A1075" s="8"/>
      <c r="C1075" s="6"/>
      <c r="E1075" s="6"/>
      <c r="J1075" s="8"/>
      <c r="L1075" s="6"/>
    </row>
    <row r="1076" spans="1:12" x14ac:dyDescent="0.3">
      <c r="A1076" s="8"/>
      <c r="C1076" s="6"/>
      <c r="E1076" s="6"/>
      <c r="J1076" s="8"/>
      <c r="L1076" s="6"/>
    </row>
    <row r="1077" spans="1:12" x14ac:dyDescent="0.3">
      <c r="A1077" s="8"/>
      <c r="C1077" s="6"/>
      <c r="E1077" s="6"/>
      <c r="J1077" s="8"/>
      <c r="L1077" s="6"/>
    </row>
    <row r="1078" spans="1:12" x14ac:dyDescent="0.3">
      <c r="A1078" s="8"/>
      <c r="C1078" s="6"/>
      <c r="E1078" s="6"/>
      <c r="J1078" s="8"/>
      <c r="L1078" s="6"/>
    </row>
    <row r="1079" spans="1:12" x14ac:dyDescent="0.3">
      <c r="A1079" s="8"/>
      <c r="C1079" s="6"/>
      <c r="E1079" s="6"/>
      <c r="J1079" s="8"/>
      <c r="L1079" s="6"/>
    </row>
    <row r="1080" spans="1:12" x14ac:dyDescent="0.3">
      <c r="A1080" s="8"/>
      <c r="C1080" s="6"/>
      <c r="E1080" s="6"/>
      <c r="J1080" s="8"/>
      <c r="L1080" s="6"/>
    </row>
    <row r="1081" spans="1:12" x14ac:dyDescent="0.3">
      <c r="A1081" s="8"/>
      <c r="C1081" s="6"/>
      <c r="E1081" s="6"/>
      <c r="J1081" s="8"/>
      <c r="L1081" s="6"/>
    </row>
    <row r="1082" spans="1:12" x14ac:dyDescent="0.3">
      <c r="A1082" s="8"/>
      <c r="C1082" s="6"/>
      <c r="E1082" s="6"/>
      <c r="J1082" s="8"/>
      <c r="L1082" s="6"/>
    </row>
    <row r="1083" spans="1:12" x14ac:dyDescent="0.3">
      <c r="A1083" s="8"/>
      <c r="C1083" s="6"/>
      <c r="E1083" s="6"/>
      <c r="J1083" s="8"/>
      <c r="L1083" s="6"/>
    </row>
    <row r="1084" spans="1:12" x14ac:dyDescent="0.3">
      <c r="A1084" s="8"/>
      <c r="C1084" s="6"/>
      <c r="E1084" s="6"/>
      <c r="J1084" s="8"/>
      <c r="L1084" s="6"/>
    </row>
    <row r="1085" spans="1:12" x14ac:dyDescent="0.3">
      <c r="A1085" s="8"/>
      <c r="C1085" s="6"/>
      <c r="E1085" s="6"/>
      <c r="J1085" s="8"/>
      <c r="L1085" s="6"/>
    </row>
    <row r="1086" spans="1:12" x14ac:dyDescent="0.3">
      <c r="A1086" s="8"/>
      <c r="C1086" s="6"/>
      <c r="E1086" s="6"/>
      <c r="J1086" s="8"/>
      <c r="L1086" s="6"/>
    </row>
    <row r="1087" spans="1:12" x14ac:dyDescent="0.3">
      <c r="A1087" s="8"/>
      <c r="C1087" s="6"/>
      <c r="E1087" s="6"/>
      <c r="J1087" s="8"/>
      <c r="L1087" s="6"/>
    </row>
    <row r="1088" spans="1:12" x14ac:dyDescent="0.3">
      <c r="A1088" s="8"/>
      <c r="C1088" s="6"/>
      <c r="E1088" s="6"/>
      <c r="J1088" s="8"/>
      <c r="L1088" s="6"/>
    </row>
    <row r="1089" spans="1:12" x14ac:dyDescent="0.3">
      <c r="A1089" s="8"/>
      <c r="C1089" s="6"/>
      <c r="E1089" s="6"/>
      <c r="J1089" s="8"/>
      <c r="L1089" s="6"/>
    </row>
    <row r="1090" spans="1:12" x14ac:dyDescent="0.3">
      <c r="A1090" s="8"/>
      <c r="C1090" s="6"/>
      <c r="E1090" s="6"/>
      <c r="J1090" s="8"/>
      <c r="L1090" s="6"/>
    </row>
    <row r="1091" spans="1:12" x14ac:dyDescent="0.3">
      <c r="A1091" s="8"/>
      <c r="C1091" s="6"/>
      <c r="E1091" s="6"/>
      <c r="J1091" s="8"/>
      <c r="L1091" s="6"/>
    </row>
    <row r="1092" spans="1:12" x14ac:dyDescent="0.3">
      <c r="A1092" s="8"/>
      <c r="C1092" s="6"/>
      <c r="E1092" s="6"/>
      <c r="J1092" s="8"/>
      <c r="L1092" s="6"/>
    </row>
    <row r="1093" spans="1:12" x14ac:dyDescent="0.3">
      <c r="A1093" s="8"/>
      <c r="C1093" s="6"/>
      <c r="E1093" s="6"/>
      <c r="J1093" s="8"/>
      <c r="L1093" s="6"/>
    </row>
    <row r="1094" spans="1:12" x14ac:dyDescent="0.3">
      <c r="A1094" s="8"/>
      <c r="C1094" s="6"/>
      <c r="E1094" s="6"/>
      <c r="J1094" s="8"/>
      <c r="L1094" s="6"/>
    </row>
    <row r="1095" spans="1:12" x14ac:dyDescent="0.3">
      <c r="A1095" s="8"/>
      <c r="C1095" s="6"/>
      <c r="E1095" s="6"/>
      <c r="J1095" s="8"/>
      <c r="L1095" s="6"/>
    </row>
    <row r="1096" spans="1:12" x14ac:dyDescent="0.3">
      <c r="A1096" s="8"/>
      <c r="C1096" s="6"/>
      <c r="E1096" s="6"/>
      <c r="J1096" s="8"/>
      <c r="L1096" s="6"/>
    </row>
    <row r="1097" spans="1:12" x14ac:dyDescent="0.3">
      <c r="A1097" s="8"/>
      <c r="C1097" s="6"/>
      <c r="E1097" s="6"/>
      <c r="J1097" s="8"/>
      <c r="L1097" s="6"/>
    </row>
    <row r="1098" spans="1:12" x14ac:dyDescent="0.3">
      <c r="A1098" s="8"/>
      <c r="C1098" s="6"/>
      <c r="E1098" s="6"/>
      <c r="J1098" s="8"/>
      <c r="L1098" s="6"/>
    </row>
    <row r="1099" spans="1:12" x14ac:dyDescent="0.3">
      <c r="A1099" s="8"/>
      <c r="C1099" s="6"/>
      <c r="E1099" s="6"/>
      <c r="J1099" s="8"/>
      <c r="L1099" s="6"/>
    </row>
    <row r="1100" spans="1:12" x14ac:dyDescent="0.3">
      <c r="A1100" s="8"/>
      <c r="C1100" s="6"/>
      <c r="E1100" s="6"/>
      <c r="J1100" s="8"/>
      <c r="L1100" s="6"/>
    </row>
    <row r="1101" spans="1:12" x14ac:dyDescent="0.3">
      <c r="A1101" s="8"/>
      <c r="C1101" s="6"/>
      <c r="E1101" s="6"/>
      <c r="J1101" s="8"/>
      <c r="L1101" s="6"/>
    </row>
    <row r="1102" spans="1:12" x14ac:dyDescent="0.3">
      <c r="A1102" s="8"/>
      <c r="C1102" s="6"/>
      <c r="E1102" s="6"/>
      <c r="J1102" s="8"/>
      <c r="L1102" s="6"/>
    </row>
    <row r="1103" spans="1:12" x14ac:dyDescent="0.3">
      <c r="A1103" s="8"/>
      <c r="C1103" s="6"/>
      <c r="E1103" s="6"/>
      <c r="J1103" s="8"/>
      <c r="L1103" s="6"/>
    </row>
    <row r="1104" spans="1:12" x14ac:dyDescent="0.3">
      <c r="A1104" s="8"/>
      <c r="C1104" s="6"/>
      <c r="E1104" s="6"/>
      <c r="J1104" s="8"/>
      <c r="L1104" s="6"/>
    </row>
    <row r="1105" spans="1:12" x14ac:dyDescent="0.3">
      <c r="A1105" s="8"/>
      <c r="C1105" s="6"/>
      <c r="E1105" s="6"/>
      <c r="J1105" s="8"/>
      <c r="L1105" s="6"/>
    </row>
    <row r="1106" spans="1:12" x14ac:dyDescent="0.3">
      <c r="A1106" s="8"/>
      <c r="C1106" s="6"/>
      <c r="E1106" s="6"/>
      <c r="J1106" s="8"/>
      <c r="L1106" s="6"/>
    </row>
    <row r="1107" spans="1:12" x14ac:dyDescent="0.3">
      <c r="A1107" s="8"/>
      <c r="C1107" s="6"/>
      <c r="E1107" s="6"/>
      <c r="J1107" s="8"/>
      <c r="L1107" s="6"/>
    </row>
    <row r="1108" spans="1:12" x14ac:dyDescent="0.3">
      <c r="A1108" s="8"/>
      <c r="C1108" s="6"/>
      <c r="E1108" s="6"/>
      <c r="J1108" s="8"/>
      <c r="L1108" s="6"/>
    </row>
    <row r="1109" spans="1:12" x14ac:dyDescent="0.3">
      <c r="A1109" s="8"/>
      <c r="C1109" s="6"/>
      <c r="E1109" s="6"/>
      <c r="J1109" s="8"/>
      <c r="L1109" s="6"/>
    </row>
    <row r="1110" spans="1:12" x14ac:dyDescent="0.3">
      <c r="A1110" s="8"/>
      <c r="C1110" s="6"/>
      <c r="E1110" s="6"/>
      <c r="J1110" s="8"/>
      <c r="L1110" s="6"/>
    </row>
    <row r="1111" spans="1:12" x14ac:dyDescent="0.3">
      <c r="A1111" s="8"/>
      <c r="C1111" s="6"/>
      <c r="E1111" s="6"/>
      <c r="J1111" s="8"/>
      <c r="L1111" s="6"/>
    </row>
    <row r="1112" spans="1:12" x14ac:dyDescent="0.3">
      <c r="A1112" s="8"/>
      <c r="C1112" s="6"/>
      <c r="E1112" s="6"/>
      <c r="J1112" s="8"/>
      <c r="L1112" s="6"/>
    </row>
    <row r="1113" spans="1:12" x14ac:dyDescent="0.3">
      <c r="A1113" s="8"/>
      <c r="C1113" s="6"/>
      <c r="E1113" s="6"/>
      <c r="J1113" s="8"/>
      <c r="L1113" s="6"/>
    </row>
    <row r="1114" spans="1:12" x14ac:dyDescent="0.3">
      <c r="A1114" s="8"/>
      <c r="C1114" s="6"/>
      <c r="E1114" s="6"/>
      <c r="J1114" s="8"/>
      <c r="L1114" s="6"/>
    </row>
    <row r="1115" spans="1:12" x14ac:dyDescent="0.3">
      <c r="A1115" s="8"/>
      <c r="C1115" s="6"/>
      <c r="E1115" s="6"/>
      <c r="J1115" s="8"/>
      <c r="L1115" s="6"/>
    </row>
    <row r="1116" spans="1:12" x14ac:dyDescent="0.3">
      <c r="A1116" s="8"/>
      <c r="C1116" s="6"/>
      <c r="E1116" s="6"/>
      <c r="J1116" s="8"/>
      <c r="L1116" s="6"/>
    </row>
    <row r="1117" spans="1:12" x14ac:dyDescent="0.3">
      <c r="A1117" s="8"/>
      <c r="C1117" s="6"/>
      <c r="E1117" s="6"/>
      <c r="J1117" s="8"/>
      <c r="L1117" s="6"/>
    </row>
    <row r="1118" spans="1:12" x14ac:dyDescent="0.3">
      <c r="A1118" s="8"/>
      <c r="C1118" s="6"/>
      <c r="E1118" s="6"/>
      <c r="J1118" s="8"/>
      <c r="L1118" s="6"/>
    </row>
    <row r="1119" spans="1:12" x14ac:dyDescent="0.3">
      <c r="A1119" s="8"/>
      <c r="C1119" s="6"/>
      <c r="E1119" s="6"/>
      <c r="J1119" s="8"/>
      <c r="L1119" s="6"/>
    </row>
    <row r="1120" spans="1:12" x14ac:dyDescent="0.3">
      <c r="A1120" s="8"/>
      <c r="C1120" s="6"/>
      <c r="E1120" s="6"/>
      <c r="J1120" s="8"/>
      <c r="L1120" s="6"/>
    </row>
    <row r="1121" spans="1:12" x14ac:dyDescent="0.3">
      <c r="A1121" s="8"/>
      <c r="C1121" s="6"/>
      <c r="E1121" s="6"/>
      <c r="J1121" s="8"/>
      <c r="L1121" s="6"/>
    </row>
    <row r="1122" spans="1:12" x14ac:dyDescent="0.3">
      <c r="A1122" s="8"/>
      <c r="C1122" s="6"/>
      <c r="E1122" s="6"/>
      <c r="J1122" s="8"/>
      <c r="L1122" s="6"/>
    </row>
    <row r="1123" spans="1:12" x14ac:dyDescent="0.3">
      <c r="A1123" s="8"/>
      <c r="C1123" s="6"/>
      <c r="E1123" s="6"/>
      <c r="J1123" s="8"/>
      <c r="L1123" s="6"/>
    </row>
    <row r="1124" spans="1:12" x14ac:dyDescent="0.3">
      <c r="A1124" s="8"/>
      <c r="C1124" s="6"/>
      <c r="E1124" s="6"/>
      <c r="J1124" s="8"/>
      <c r="L1124" s="6"/>
    </row>
    <row r="1125" spans="1:12" x14ac:dyDescent="0.3">
      <c r="A1125" s="8"/>
      <c r="C1125" s="6"/>
      <c r="E1125" s="6"/>
      <c r="J1125" s="8"/>
      <c r="L1125" s="6"/>
    </row>
    <row r="1126" spans="1:12" x14ac:dyDescent="0.3">
      <c r="A1126" s="8"/>
      <c r="C1126" s="6"/>
      <c r="E1126" s="6"/>
      <c r="J1126" s="8"/>
      <c r="L1126" s="6"/>
    </row>
    <row r="1127" spans="1:12" x14ac:dyDescent="0.3">
      <c r="A1127" s="8"/>
      <c r="C1127" s="6"/>
      <c r="E1127" s="6"/>
      <c r="J1127" s="8"/>
      <c r="L1127" s="6"/>
    </row>
    <row r="1128" spans="1:12" x14ac:dyDescent="0.3">
      <c r="A1128" s="8"/>
      <c r="C1128" s="6"/>
      <c r="E1128" s="6"/>
      <c r="J1128" s="8"/>
      <c r="L1128" s="6"/>
    </row>
    <row r="1129" spans="1:12" x14ac:dyDescent="0.3">
      <c r="A1129" s="8"/>
      <c r="C1129" s="6"/>
      <c r="E1129" s="6"/>
      <c r="J1129" s="8"/>
      <c r="L1129" s="6"/>
    </row>
    <row r="1130" spans="1:12" x14ac:dyDescent="0.3">
      <c r="A1130" s="8"/>
      <c r="C1130" s="6"/>
      <c r="E1130" s="6"/>
      <c r="J1130" s="8"/>
      <c r="L1130" s="6"/>
    </row>
    <row r="1131" spans="1:12" x14ac:dyDescent="0.3">
      <c r="A1131" s="8"/>
      <c r="C1131" s="6"/>
      <c r="E1131" s="6"/>
      <c r="J1131" s="8"/>
      <c r="L1131" s="6"/>
    </row>
    <row r="1132" spans="1:12" x14ac:dyDescent="0.3">
      <c r="A1132" s="8"/>
      <c r="C1132" s="6"/>
      <c r="E1132" s="6"/>
      <c r="J1132" s="8"/>
      <c r="L1132" s="6"/>
    </row>
    <row r="1133" spans="1:12" x14ac:dyDescent="0.3">
      <c r="A1133" s="8"/>
      <c r="C1133" s="6"/>
      <c r="E1133" s="6"/>
      <c r="J1133" s="8"/>
      <c r="L1133" s="6"/>
    </row>
    <row r="1134" spans="1:12" x14ac:dyDescent="0.3">
      <c r="A1134" s="8"/>
      <c r="C1134" s="6"/>
      <c r="E1134" s="6"/>
      <c r="J1134" s="8"/>
      <c r="L1134" s="6"/>
    </row>
    <row r="1135" spans="1:12" x14ac:dyDescent="0.3">
      <c r="A1135" s="8"/>
      <c r="C1135" s="6"/>
      <c r="E1135" s="6"/>
      <c r="J1135" s="8"/>
      <c r="L1135" s="6"/>
    </row>
    <row r="1136" spans="1:12" x14ac:dyDescent="0.3">
      <c r="A1136" s="8"/>
      <c r="C1136" s="6"/>
      <c r="E1136" s="6"/>
      <c r="J1136" s="8"/>
      <c r="L1136" s="6"/>
    </row>
    <row r="1137" spans="1:12" x14ac:dyDescent="0.3">
      <c r="A1137" s="8"/>
      <c r="C1137" s="6"/>
      <c r="E1137" s="6"/>
      <c r="J1137" s="8"/>
      <c r="L1137" s="6"/>
    </row>
    <row r="1138" spans="1:12" x14ac:dyDescent="0.3">
      <c r="A1138" s="8"/>
      <c r="C1138" s="6"/>
      <c r="E1138" s="6"/>
      <c r="J1138" s="8"/>
      <c r="L1138" s="6"/>
    </row>
    <row r="1139" spans="1:12" x14ac:dyDescent="0.3">
      <c r="A1139" s="8"/>
      <c r="C1139" s="6"/>
      <c r="E1139" s="6"/>
      <c r="J1139" s="8"/>
      <c r="L1139" s="6"/>
    </row>
    <row r="1140" spans="1:12" x14ac:dyDescent="0.3">
      <c r="A1140" s="8"/>
      <c r="C1140" s="6"/>
      <c r="E1140" s="6"/>
      <c r="J1140" s="8"/>
      <c r="L1140" s="6"/>
    </row>
    <row r="1141" spans="1:12" x14ac:dyDescent="0.3">
      <c r="A1141" s="8"/>
      <c r="C1141" s="6"/>
      <c r="E1141" s="6"/>
      <c r="J1141" s="8"/>
      <c r="L1141" s="6"/>
    </row>
    <row r="1142" spans="1:12" x14ac:dyDescent="0.3">
      <c r="A1142" s="8"/>
      <c r="C1142" s="6"/>
      <c r="E1142" s="6"/>
      <c r="J1142" s="8"/>
      <c r="L1142" s="6"/>
    </row>
    <row r="1143" spans="1:12" x14ac:dyDescent="0.3">
      <c r="A1143" s="8"/>
      <c r="C1143" s="6"/>
      <c r="E1143" s="6"/>
      <c r="J1143" s="8"/>
      <c r="L1143" s="6"/>
    </row>
    <row r="1144" spans="1:12" x14ac:dyDescent="0.3">
      <c r="A1144" s="8"/>
      <c r="C1144" s="6"/>
      <c r="E1144" s="6"/>
      <c r="J1144" s="8"/>
      <c r="L1144" s="6"/>
    </row>
    <row r="1145" spans="1:12" x14ac:dyDescent="0.3">
      <c r="A1145" s="8"/>
      <c r="C1145" s="6"/>
      <c r="E1145" s="6"/>
      <c r="J1145" s="8"/>
      <c r="L1145" s="6"/>
    </row>
    <row r="1146" spans="1:12" x14ac:dyDescent="0.3">
      <c r="A1146" s="8"/>
      <c r="C1146" s="6"/>
      <c r="E1146" s="6"/>
      <c r="J1146" s="8"/>
      <c r="L1146" s="6"/>
    </row>
    <row r="1147" spans="1:12" x14ac:dyDescent="0.3">
      <c r="A1147" s="8"/>
      <c r="C1147" s="6"/>
      <c r="E1147" s="6"/>
      <c r="J1147" s="8"/>
      <c r="L1147" s="6"/>
    </row>
    <row r="1148" spans="1:12" x14ac:dyDescent="0.3">
      <c r="A1148" s="8"/>
      <c r="C1148" s="6"/>
      <c r="E1148" s="6"/>
      <c r="J1148" s="8"/>
      <c r="L1148" s="6"/>
    </row>
    <row r="1149" spans="1:12" x14ac:dyDescent="0.3">
      <c r="A1149" s="8"/>
      <c r="C1149" s="6"/>
      <c r="E1149" s="6"/>
      <c r="J1149" s="8"/>
      <c r="L1149" s="6"/>
    </row>
    <row r="1150" spans="1:12" x14ac:dyDescent="0.3">
      <c r="A1150" s="8"/>
      <c r="C1150" s="6"/>
      <c r="E1150" s="6"/>
      <c r="J1150" s="8"/>
      <c r="L1150" s="6"/>
    </row>
    <row r="1151" spans="1:12" x14ac:dyDescent="0.3">
      <c r="A1151" s="8"/>
      <c r="C1151" s="6"/>
      <c r="E1151" s="6"/>
      <c r="J1151" s="8"/>
      <c r="L1151" s="6"/>
    </row>
    <row r="1152" spans="1:12" x14ac:dyDescent="0.3">
      <c r="A1152" s="8"/>
      <c r="C1152" s="6"/>
      <c r="E1152" s="6"/>
      <c r="J1152" s="8"/>
      <c r="L1152" s="6"/>
    </row>
    <row r="1153" spans="1:12" x14ac:dyDescent="0.3">
      <c r="A1153" s="8"/>
      <c r="C1153" s="6"/>
      <c r="E1153" s="6"/>
      <c r="J1153" s="8"/>
      <c r="L1153" s="6"/>
    </row>
    <row r="1154" spans="1:12" x14ac:dyDescent="0.3">
      <c r="A1154" s="8"/>
      <c r="C1154" s="6"/>
      <c r="E1154" s="6"/>
      <c r="J1154" s="8"/>
      <c r="L1154" s="6"/>
    </row>
    <row r="1155" spans="1:12" x14ac:dyDescent="0.3">
      <c r="A1155" s="8"/>
      <c r="C1155" s="6"/>
      <c r="E1155" s="6"/>
      <c r="J1155" s="8"/>
      <c r="L1155" s="6"/>
    </row>
    <row r="1156" spans="1:12" x14ac:dyDescent="0.3">
      <c r="A1156" s="8"/>
      <c r="C1156" s="6"/>
      <c r="E1156" s="6"/>
      <c r="J1156" s="8"/>
      <c r="L1156" s="6"/>
    </row>
    <row r="1157" spans="1:12" x14ac:dyDescent="0.3">
      <c r="A1157" s="8"/>
      <c r="C1157" s="6"/>
      <c r="E1157" s="6"/>
      <c r="J1157" s="8"/>
      <c r="L1157" s="6"/>
    </row>
    <row r="1158" spans="1:12" x14ac:dyDescent="0.3">
      <c r="A1158" s="8"/>
      <c r="C1158" s="6"/>
      <c r="E1158" s="6"/>
      <c r="J1158" s="8"/>
      <c r="L1158" s="6"/>
    </row>
    <row r="1159" spans="1:12" x14ac:dyDescent="0.3">
      <c r="A1159" s="8"/>
      <c r="C1159" s="6"/>
      <c r="E1159" s="6"/>
      <c r="J1159" s="8"/>
      <c r="L1159" s="6"/>
    </row>
    <row r="1160" spans="1:12" x14ac:dyDescent="0.3">
      <c r="A1160" s="8"/>
      <c r="C1160" s="6"/>
      <c r="E1160" s="6"/>
      <c r="J1160" s="8"/>
      <c r="L1160" s="6"/>
    </row>
    <row r="1161" spans="1:12" x14ac:dyDescent="0.3">
      <c r="A1161" s="8"/>
      <c r="C1161" s="6"/>
      <c r="E1161" s="6"/>
      <c r="J1161" s="8"/>
      <c r="L1161" s="6"/>
    </row>
    <row r="1162" spans="1:12" x14ac:dyDescent="0.3">
      <c r="A1162" s="8"/>
      <c r="C1162" s="6"/>
      <c r="E1162" s="6"/>
      <c r="J1162" s="8"/>
      <c r="L1162" s="6"/>
    </row>
    <row r="1163" spans="1:12" x14ac:dyDescent="0.3">
      <c r="A1163" s="8"/>
      <c r="C1163" s="6"/>
      <c r="E1163" s="6"/>
      <c r="J1163" s="8"/>
      <c r="L1163" s="6"/>
    </row>
    <row r="1164" spans="1:12" x14ac:dyDescent="0.3">
      <c r="A1164" s="8"/>
      <c r="C1164" s="6"/>
      <c r="E1164" s="6"/>
      <c r="J1164" s="8"/>
      <c r="L1164" s="6"/>
    </row>
    <row r="1165" spans="1:12" x14ac:dyDescent="0.3">
      <c r="A1165" s="8"/>
      <c r="C1165" s="6"/>
      <c r="E1165" s="6"/>
      <c r="J1165" s="8"/>
      <c r="L1165" s="6"/>
    </row>
    <row r="1166" spans="1:12" x14ac:dyDescent="0.3">
      <c r="A1166" s="8"/>
      <c r="C1166" s="6"/>
      <c r="E1166" s="6"/>
      <c r="J1166" s="8"/>
      <c r="L1166" s="6"/>
    </row>
    <row r="1167" spans="1:12" x14ac:dyDescent="0.3">
      <c r="A1167" s="8"/>
      <c r="C1167" s="6"/>
      <c r="E1167" s="6"/>
      <c r="J1167" s="8"/>
      <c r="L1167" s="6"/>
    </row>
    <row r="1168" spans="1:12" x14ac:dyDescent="0.3">
      <c r="A1168" s="8"/>
      <c r="C1168" s="6"/>
      <c r="E1168" s="6"/>
      <c r="J1168" s="8"/>
      <c r="L1168" s="6"/>
    </row>
    <row r="1169" spans="1:12" x14ac:dyDescent="0.3">
      <c r="A1169" s="8"/>
      <c r="C1169" s="6"/>
      <c r="E1169" s="6"/>
      <c r="J1169" s="8"/>
      <c r="L1169" s="6"/>
    </row>
    <row r="1170" spans="1:12" x14ac:dyDescent="0.3">
      <c r="A1170" s="8"/>
      <c r="C1170" s="6"/>
      <c r="E1170" s="6"/>
      <c r="J1170" s="8"/>
      <c r="L1170" s="6"/>
    </row>
    <row r="1171" spans="1:12" x14ac:dyDescent="0.3">
      <c r="A1171" s="8"/>
      <c r="C1171" s="6"/>
      <c r="E1171" s="6"/>
      <c r="J1171" s="8"/>
      <c r="L1171" s="6"/>
    </row>
    <row r="1172" spans="1:12" x14ac:dyDescent="0.3">
      <c r="A1172" s="8"/>
      <c r="C1172" s="6"/>
      <c r="E1172" s="6"/>
      <c r="J1172" s="8"/>
      <c r="L1172" s="6"/>
    </row>
    <row r="1173" spans="1:12" x14ac:dyDescent="0.3">
      <c r="A1173" s="8"/>
      <c r="C1173" s="6"/>
      <c r="E1173" s="6"/>
      <c r="J1173" s="8"/>
      <c r="L1173" s="6"/>
    </row>
    <row r="1174" spans="1:12" x14ac:dyDescent="0.3">
      <c r="A1174" s="8"/>
      <c r="C1174" s="6"/>
      <c r="E1174" s="6"/>
      <c r="J1174" s="8"/>
      <c r="L1174" s="6"/>
    </row>
    <row r="1175" spans="1:12" x14ac:dyDescent="0.3">
      <c r="A1175" s="8"/>
      <c r="C1175" s="6"/>
      <c r="E1175" s="6"/>
      <c r="J1175" s="8"/>
      <c r="L1175" s="6"/>
    </row>
    <row r="1176" spans="1:12" x14ac:dyDescent="0.3">
      <c r="A1176" s="8"/>
      <c r="C1176" s="6"/>
      <c r="E1176" s="6"/>
      <c r="J1176" s="8"/>
      <c r="L1176" s="6"/>
    </row>
    <row r="1177" spans="1:12" x14ac:dyDescent="0.3">
      <c r="A1177" s="8"/>
      <c r="C1177" s="6"/>
      <c r="E1177" s="6"/>
      <c r="J1177" s="8"/>
      <c r="L1177" s="6"/>
    </row>
    <row r="1178" spans="1:12" x14ac:dyDescent="0.3">
      <c r="A1178" s="8"/>
      <c r="C1178" s="6"/>
      <c r="E1178" s="6"/>
      <c r="J1178" s="8"/>
      <c r="L1178" s="6"/>
    </row>
    <row r="1179" spans="1:12" x14ac:dyDescent="0.3">
      <c r="A1179" s="8"/>
      <c r="C1179" s="6"/>
      <c r="E1179" s="6"/>
      <c r="J1179" s="8"/>
      <c r="L1179" s="6"/>
    </row>
    <row r="1180" spans="1:12" x14ac:dyDescent="0.3">
      <c r="A1180" s="8"/>
      <c r="C1180" s="6"/>
      <c r="E1180" s="6"/>
      <c r="J1180" s="8"/>
      <c r="L1180" s="6"/>
    </row>
    <row r="1181" spans="1:12" x14ac:dyDescent="0.3">
      <c r="A1181" s="8"/>
      <c r="C1181" s="6"/>
      <c r="E1181" s="6"/>
      <c r="J1181" s="8"/>
      <c r="L1181" s="6"/>
    </row>
    <row r="1182" spans="1:12" x14ac:dyDescent="0.3">
      <c r="A1182" s="8"/>
      <c r="C1182" s="6"/>
      <c r="E1182" s="6"/>
      <c r="J1182" s="8"/>
      <c r="L1182" s="6"/>
    </row>
    <row r="1183" spans="1:12" x14ac:dyDescent="0.3">
      <c r="A1183" s="8"/>
      <c r="C1183" s="6"/>
      <c r="E1183" s="6"/>
      <c r="J1183" s="8"/>
      <c r="L1183" s="6"/>
    </row>
    <row r="1184" spans="1:12" x14ac:dyDescent="0.3">
      <c r="A1184" s="8"/>
      <c r="C1184" s="6"/>
      <c r="E1184" s="6"/>
      <c r="J1184" s="8"/>
      <c r="L1184" s="6"/>
    </row>
    <row r="1185" spans="1:12" x14ac:dyDescent="0.3">
      <c r="A1185" s="8"/>
      <c r="C1185" s="6"/>
      <c r="E1185" s="6"/>
      <c r="J1185" s="8"/>
      <c r="L1185" s="6"/>
    </row>
    <row r="1186" spans="1:12" x14ac:dyDescent="0.3">
      <c r="A1186" s="8"/>
      <c r="C1186" s="6"/>
      <c r="E1186" s="6"/>
      <c r="J1186" s="8"/>
      <c r="L1186" s="6"/>
    </row>
    <row r="1187" spans="1:12" x14ac:dyDescent="0.3">
      <c r="A1187" s="8"/>
      <c r="C1187" s="6"/>
      <c r="E1187" s="6"/>
      <c r="J1187" s="8"/>
      <c r="L1187" s="6"/>
    </row>
    <row r="1188" spans="1:12" x14ac:dyDescent="0.3">
      <c r="A1188" s="8"/>
      <c r="C1188" s="6"/>
      <c r="E1188" s="6"/>
      <c r="J1188" s="8"/>
      <c r="L1188" s="6"/>
    </row>
    <row r="1189" spans="1:12" x14ac:dyDescent="0.3">
      <c r="A1189" s="8"/>
      <c r="C1189" s="6"/>
      <c r="E1189" s="6"/>
      <c r="J1189" s="8"/>
      <c r="L1189" s="6"/>
    </row>
    <row r="1190" spans="1:12" x14ac:dyDescent="0.3">
      <c r="A1190" s="8"/>
      <c r="C1190" s="6"/>
      <c r="E1190" s="6"/>
      <c r="J1190" s="8"/>
      <c r="L1190" s="6"/>
    </row>
    <row r="1191" spans="1:12" x14ac:dyDescent="0.3">
      <c r="A1191" s="8"/>
      <c r="C1191" s="6"/>
      <c r="E1191" s="6"/>
      <c r="J1191" s="8"/>
      <c r="L1191" s="6"/>
    </row>
    <row r="1192" spans="1:12" x14ac:dyDescent="0.3">
      <c r="A1192" s="8"/>
      <c r="C1192" s="6"/>
      <c r="E1192" s="6"/>
      <c r="J1192" s="8"/>
      <c r="L1192" s="6"/>
    </row>
    <row r="1193" spans="1:12" x14ac:dyDescent="0.3">
      <c r="A1193" s="8"/>
      <c r="C1193" s="6"/>
      <c r="E1193" s="6"/>
      <c r="J1193" s="8"/>
      <c r="L1193" s="6"/>
    </row>
    <row r="1194" spans="1:12" x14ac:dyDescent="0.3">
      <c r="A1194" s="8"/>
      <c r="C1194" s="6"/>
      <c r="E1194" s="6"/>
      <c r="J1194" s="8"/>
      <c r="L1194" s="6"/>
    </row>
    <row r="1195" spans="1:12" x14ac:dyDescent="0.3">
      <c r="A1195" s="8"/>
      <c r="C1195" s="6"/>
      <c r="E1195" s="6"/>
      <c r="J1195" s="8"/>
      <c r="L1195" s="6"/>
    </row>
    <row r="1196" spans="1:12" x14ac:dyDescent="0.3">
      <c r="A1196" s="8"/>
      <c r="C1196" s="6"/>
      <c r="E1196" s="6"/>
      <c r="J1196" s="8"/>
      <c r="L1196" s="6"/>
    </row>
    <row r="1197" spans="1:12" x14ac:dyDescent="0.3">
      <c r="A1197" s="8"/>
      <c r="C1197" s="6"/>
      <c r="E1197" s="6"/>
      <c r="J1197" s="8"/>
      <c r="L1197" s="6"/>
    </row>
    <row r="1198" spans="1:12" x14ac:dyDescent="0.3">
      <c r="A1198" s="8"/>
      <c r="C1198" s="6"/>
      <c r="E1198" s="6"/>
      <c r="J1198" s="8"/>
      <c r="L1198" s="6"/>
    </row>
    <row r="1199" spans="1:12" x14ac:dyDescent="0.3">
      <c r="A1199" s="8"/>
      <c r="C1199" s="6"/>
      <c r="E1199" s="6"/>
      <c r="J1199" s="8"/>
      <c r="L1199" s="6"/>
    </row>
    <row r="1200" spans="1:12" x14ac:dyDescent="0.3">
      <c r="A1200" s="8"/>
      <c r="C1200" s="6"/>
      <c r="E1200" s="6"/>
      <c r="J1200" s="8"/>
      <c r="L1200" s="6"/>
    </row>
    <row r="1201" spans="1:12" x14ac:dyDescent="0.3">
      <c r="A1201" s="8"/>
      <c r="C1201" s="6"/>
      <c r="E1201" s="6"/>
      <c r="J1201" s="8"/>
      <c r="L1201" s="6"/>
    </row>
    <row r="1202" spans="1:12" x14ac:dyDescent="0.3">
      <c r="A1202" s="8"/>
      <c r="C1202" s="6"/>
      <c r="E1202" s="6"/>
      <c r="J1202" s="8"/>
      <c r="L1202" s="6"/>
    </row>
    <row r="1203" spans="1:12" x14ac:dyDescent="0.3">
      <c r="A1203" s="8"/>
      <c r="C1203" s="6"/>
      <c r="E1203" s="6"/>
      <c r="J1203" s="8"/>
      <c r="L1203" s="6"/>
    </row>
    <row r="1204" spans="1:12" x14ac:dyDescent="0.3">
      <c r="A1204" s="8"/>
      <c r="C1204" s="6"/>
      <c r="E1204" s="6"/>
      <c r="J1204" s="8"/>
      <c r="L1204" s="6"/>
    </row>
    <row r="1205" spans="1:12" x14ac:dyDescent="0.3">
      <c r="A1205" s="8"/>
      <c r="C1205" s="6"/>
      <c r="E1205" s="6"/>
      <c r="J1205" s="8"/>
      <c r="L1205" s="6"/>
    </row>
    <row r="1206" spans="1:12" x14ac:dyDescent="0.3">
      <c r="A1206" s="8"/>
      <c r="C1206" s="6"/>
      <c r="E1206" s="6"/>
      <c r="J1206" s="8"/>
      <c r="L1206" s="6"/>
    </row>
    <row r="1207" spans="1:12" x14ac:dyDescent="0.3">
      <c r="A1207" s="8"/>
      <c r="C1207" s="6"/>
      <c r="E1207" s="6"/>
      <c r="J1207" s="8"/>
      <c r="L1207" s="6"/>
    </row>
    <row r="1208" spans="1:12" x14ac:dyDescent="0.3">
      <c r="A1208" s="8"/>
      <c r="C1208" s="6"/>
      <c r="E1208" s="6"/>
      <c r="J1208" s="8"/>
      <c r="L1208" s="6"/>
    </row>
    <row r="1209" spans="1:12" x14ac:dyDescent="0.3">
      <c r="A1209" s="8"/>
      <c r="C1209" s="6"/>
      <c r="E1209" s="6"/>
      <c r="J1209" s="8"/>
      <c r="L1209" s="6"/>
    </row>
    <row r="1210" spans="1:12" x14ac:dyDescent="0.3">
      <c r="A1210" s="8"/>
      <c r="C1210" s="6"/>
      <c r="E1210" s="6"/>
      <c r="J1210" s="8"/>
      <c r="L1210" s="6"/>
    </row>
    <row r="1211" spans="1:12" x14ac:dyDescent="0.3">
      <c r="A1211" s="8"/>
      <c r="C1211" s="6"/>
      <c r="E1211" s="6"/>
      <c r="J1211" s="8"/>
      <c r="L1211" s="6"/>
    </row>
    <row r="1212" spans="1:12" x14ac:dyDescent="0.3">
      <c r="A1212" s="8"/>
      <c r="C1212" s="6"/>
      <c r="E1212" s="6"/>
      <c r="J1212" s="8"/>
      <c r="L1212" s="6"/>
    </row>
    <row r="1213" spans="1:12" x14ac:dyDescent="0.3">
      <c r="A1213" s="8"/>
      <c r="C1213" s="6"/>
      <c r="E1213" s="6"/>
      <c r="J1213" s="8"/>
      <c r="L1213" s="6"/>
    </row>
    <row r="1214" spans="1:12" x14ac:dyDescent="0.3">
      <c r="A1214" s="8"/>
      <c r="C1214" s="6"/>
      <c r="E1214" s="6"/>
      <c r="J1214" s="8"/>
      <c r="L1214" s="6"/>
    </row>
    <row r="1215" spans="1:12" x14ac:dyDescent="0.3">
      <c r="A1215" s="8"/>
      <c r="C1215" s="6"/>
      <c r="E1215" s="6"/>
      <c r="J1215" s="8"/>
      <c r="L1215" s="6"/>
    </row>
    <row r="1216" spans="1:12" x14ac:dyDescent="0.3">
      <c r="A1216" s="8"/>
      <c r="C1216" s="6"/>
      <c r="E1216" s="6"/>
      <c r="J1216" s="8"/>
      <c r="L1216" s="6"/>
    </row>
    <row r="1217" spans="1:12" x14ac:dyDescent="0.3">
      <c r="A1217" s="8"/>
      <c r="C1217" s="6"/>
      <c r="E1217" s="6"/>
      <c r="J1217" s="8"/>
      <c r="L1217" s="6"/>
    </row>
    <row r="1218" spans="1:12" x14ac:dyDescent="0.3">
      <c r="A1218" s="8"/>
      <c r="C1218" s="6"/>
      <c r="E1218" s="6"/>
      <c r="J1218" s="8"/>
      <c r="L1218" s="6"/>
    </row>
    <row r="1219" spans="1:12" x14ac:dyDescent="0.3">
      <c r="A1219" s="8"/>
      <c r="C1219" s="6"/>
      <c r="E1219" s="6"/>
      <c r="J1219" s="8"/>
      <c r="L1219" s="6"/>
    </row>
    <row r="1220" spans="1:12" x14ac:dyDescent="0.3">
      <c r="A1220" s="8"/>
      <c r="C1220" s="6"/>
      <c r="E1220" s="6"/>
      <c r="J1220" s="8"/>
      <c r="L1220" s="6"/>
    </row>
    <row r="1221" spans="1:12" x14ac:dyDescent="0.3">
      <c r="A1221" s="8"/>
      <c r="C1221" s="6"/>
      <c r="E1221" s="6"/>
      <c r="J1221" s="8"/>
      <c r="L1221" s="6"/>
    </row>
    <row r="1222" spans="1:12" x14ac:dyDescent="0.3">
      <c r="A1222" s="8"/>
      <c r="C1222" s="6"/>
      <c r="E1222" s="6"/>
      <c r="J1222" s="8"/>
      <c r="L1222" s="6"/>
    </row>
    <row r="1223" spans="1:12" x14ac:dyDescent="0.3">
      <c r="A1223" s="8"/>
      <c r="C1223" s="6"/>
      <c r="E1223" s="6"/>
      <c r="J1223" s="8"/>
      <c r="L1223" s="6"/>
    </row>
    <row r="1224" spans="1:12" x14ac:dyDescent="0.3">
      <c r="A1224" s="8"/>
      <c r="C1224" s="6"/>
      <c r="E1224" s="6"/>
      <c r="J1224" s="8"/>
      <c r="L1224" s="6"/>
    </row>
    <row r="1225" spans="1:12" x14ac:dyDescent="0.3">
      <c r="A1225" s="8"/>
      <c r="C1225" s="6"/>
      <c r="E1225" s="6"/>
      <c r="J1225" s="8"/>
      <c r="L1225" s="6"/>
    </row>
    <row r="1226" spans="1:12" x14ac:dyDescent="0.3">
      <c r="A1226" s="8"/>
      <c r="C1226" s="6"/>
      <c r="E1226" s="6"/>
      <c r="J1226" s="8"/>
      <c r="L1226" s="6"/>
    </row>
    <row r="1227" spans="1:12" x14ac:dyDescent="0.3">
      <c r="A1227" s="8"/>
      <c r="C1227" s="6"/>
      <c r="E1227" s="6"/>
      <c r="J1227" s="8"/>
      <c r="L1227" s="6"/>
    </row>
    <row r="1228" spans="1:12" x14ac:dyDescent="0.3">
      <c r="A1228" s="8"/>
      <c r="C1228" s="6"/>
      <c r="E1228" s="6"/>
      <c r="J1228" s="8"/>
      <c r="L1228" s="6"/>
    </row>
    <row r="1229" spans="1:12" x14ac:dyDescent="0.3">
      <c r="A1229" s="8"/>
      <c r="C1229" s="6"/>
      <c r="E1229" s="6"/>
      <c r="J1229" s="8"/>
      <c r="L1229" s="6"/>
    </row>
    <row r="1230" spans="1:12" x14ac:dyDescent="0.3">
      <c r="A1230" s="8"/>
      <c r="C1230" s="6"/>
      <c r="E1230" s="6"/>
      <c r="J1230" s="8"/>
      <c r="L1230" s="6"/>
    </row>
    <row r="1231" spans="1:12" x14ac:dyDescent="0.3">
      <c r="A1231" s="8"/>
      <c r="C1231" s="6"/>
      <c r="E1231" s="6"/>
      <c r="J1231" s="8"/>
      <c r="L1231" s="6"/>
    </row>
    <row r="1232" spans="1:12" x14ac:dyDescent="0.3">
      <c r="A1232" s="8"/>
      <c r="C1232" s="6"/>
      <c r="E1232" s="6"/>
      <c r="J1232" s="8"/>
      <c r="L1232" s="6"/>
    </row>
    <row r="1233" spans="1:12" x14ac:dyDescent="0.3">
      <c r="A1233" s="8"/>
      <c r="C1233" s="6"/>
      <c r="E1233" s="6"/>
      <c r="J1233" s="8"/>
      <c r="L1233" s="6"/>
    </row>
    <row r="1234" spans="1:12" x14ac:dyDescent="0.3">
      <c r="A1234" s="8"/>
      <c r="C1234" s="6"/>
      <c r="E1234" s="6"/>
      <c r="J1234" s="8"/>
      <c r="L1234" s="6"/>
    </row>
    <row r="1235" spans="1:12" x14ac:dyDescent="0.3">
      <c r="A1235" s="8"/>
      <c r="C1235" s="6"/>
      <c r="E1235" s="6"/>
      <c r="J1235" s="8"/>
      <c r="L1235" s="6"/>
    </row>
    <row r="1236" spans="1:12" x14ac:dyDescent="0.3">
      <c r="A1236" s="8"/>
      <c r="C1236" s="6"/>
      <c r="E1236" s="6"/>
      <c r="J1236" s="8"/>
      <c r="L1236" s="6"/>
    </row>
    <row r="1237" spans="1:12" x14ac:dyDescent="0.3">
      <c r="A1237" s="8"/>
      <c r="C1237" s="6"/>
      <c r="E1237" s="6"/>
      <c r="J1237" s="8"/>
      <c r="L1237" s="6"/>
    </row>
    <row r="1238" spans="1:12" x14ac:dyDescent="0.3">
      <c r="A1238" s="8"/>
      <c r="C1238" s="6"/>
      <c r="E1238" s="6"/>
      <c r="J1238" s="8"/>
      <c r="L1238" s="6"/>
    </row>
    <row r="1239" spans="1:12" x14ac:dyDescent="0.3">
      <c r="A1239" s="8"/>
      <c r="C1239" s="6"/>
      <c r="E1239" s="6"/>
      <c r="J1239" s="8"/>
      <c r="L1239" s="6"/>
    </row>
    <row r="1240" spans="1:12" x14ac:dyDescent="0.3">
      <c r="A1240" s="8"/>
      <c r="C1240" s="6"/>
      <c r="E1240" s="6"/>
      <c r="J1240" s="8"/>
      <c r="L1240" s="6"/>
    </row>
    <row r="1241" spans="1:12" x14ac:dyDescent="0.3">
      <c r="A1241" s="8"/>
      <c r="C1241" s="6"/>
      <c r="E1241" s="6"/>
      <c r="J1241" s="8"/>
      <c r="L1241" s="6"/>
    </row>
    <row r="1242" spans="1:12" x14ac:dyDescent="0.3">
      <c r="A1242" s="8"/>
      <c r="C1242" s="6"/>
      <c r="E1242" s="6"/>
      <c r="J1242" s="8"/>
      <c r="L1242" s="6"/>
    </row>
    <row r="1243" spans="1:12" x14ac:dyDescent="0.3">
      <c r="A1243" s="8"/>
      <c r="C1243" s="6"/>
      <c r="E1243" s="6"/>
      <c r="J1243" s="8"/>
      <c r="L1243" s="6"/>
    </row>
    <row r="1244" spans="1:12" x14ac:dyDescent="0.3">
      <c r="A1244" s="8"/>
      <c r="C1244" s="6"/>
      <c r="E1244" s="6"/>
      <c r="J1244" s="8"/>
      <c r="L1244" s="6"/>
    </row>
    <row r="1245" spans="1:12" x14ac:dyDescent="0.3">
      <c r="A1245" s="8"/>
      <c r="C1245" s="6"/>
      <c r="E1245" s="6"/>
      <c r="J1245" s="8"/>
      <c r="L1245" s="6"/>
    </row>
    <row r="1246" spans="1:12" x14ac:dyDescent="0.3">
      <c r="A1246" s="8"/>
      <c r="C1246" s="6"/>
      <c r="E1246" s="6"/>
      <c r="J1246" s="8"/>
      <c r="L1246" s="6"/>
    </row>
    <row r="1247" spans="1:12" x14ac:dyDescent="0.3">
      <c r="A1247" s="8"/>
      <c r="C1247" s="6"/>
      <c r="E1247" s="6"/>
      <c r="J1247" s="8"/>
      <c r="L1247" s="6"/>
    </row>
    <row r="1248" spans="1:12" x14ac:dyDescent="0.3">
      <c r="A1248" s="8"/>
      <c r="C1248" s="6"/>
      <c r="E1248" s="6"/>
      <c r="J1248" s="8"/>
      <c r="L1248" s="6"/>
    </row>
    <row r="1249" spans="1:12" x14ac:dyDescent="0.3">
      <c r="A1249" s="8"/>
      <c r="C1249" s="6"/>
      <c r="E1249" s="6"/>
      <c r="J1249" s="8"/>
      <c r="L1249" s="6"/>
    </row>
    <row r="1250" spans="1:12" x14ac:dyDescent="0.3">
      <c r="A1250" s="8"/>
      <c r="C1250" s="6"/>
      <c r="E1250" s="6"/>
      <c r="J1250" s="8"/>
      <c r="L1250" s="6"/>
    </row>
    <row r="1251" spans="1:12" x14ac:dyDescent="0.3">
      <c r="A1251" s="8"/>
      <c r="C1251" s="6"/>
      <c r="E1251" s="6"/>
      <c r="J1251" s="8"/>
      <c r="L1251" s="6"/>
    </row>
    <row r="1252" spans="1:12" x14ac:dyDescent="0.3">
      <c r="A1252" s="8"/>
      <c r="C1252" s="6"/>
      <c r="E1252" s="6"/>
      <c r="J1252" s="8"/>
      <c r="L1252" s="6"/>
    </row>
    <row r="1253" spans="1:12" x14ac:dyDescent="0.3">
      <c r="A1253" s="8"/>
      <c r="C1253" s="6"/>
      <c r="E1253" s="6"/>
      <c r="J1253" s="8"/>
      <c r="L1253" s="6"/>
    </row>
    <row r="1254" spans="1:12" x14ac:dyDescent="0.3">
      <c r="A1254" s="8"/>
      <c r="C1254" s="6"/>
      <c r="E1254" s="6"/>
      <c r="J1254" s="8"/>
      <c r="L1254" s="6"/>
    </row>
    <row r="1255" spans="1:12" x14ac:dyDescent="0.3">
      <c r="A1255" s="8"/>
      <c r="C1255" s="6"/>
      <c r="E1255" s="6"/>
      <c r="J1255" s="8"/>
      <c r="L1255" s="6"/>
    </row>
    <row r="1256" spans="1:12" x14ac:dyDescent="0.3">
      <c r="A1256" s="8"/>
      <c r="C1256" s="6"/>
      <c r="E1256" s="6"/>
      <c r="J1256" s="8"/>
      <c r="L1256" s="6"/>
    </row>
    <row r="1257" spans="1:12" x14ac:dyDescent="0.3">
      <c r="A1257" s="8"/>
      <c r="C1257" s="6"/>
      <c r="E1257" s="6"/>
      <c r="J1257" s="8"/>
      <c r="L1257" s="6"/>
    </row>
    <row r="1258" spans="1:12" x14ac:dyDescent="0.3">
      <c r="A1258" s="8"/>
      <c r="C1258" s="6"/>
      <c r="E1258" s="6"/>
      <c r="J1258" s="8"/>
      <c r="L1258" s="6"/>
    </row>
    <row r="1259" spans="1:12" x14ac:dyDescent="0.3">
      <c r="A1259" s="8"/>
      <c r="C1259" s="6"/>
      <c r="E1259" s="6"/>
      <c r="J1259" s="8"/>
      <c r="L1259" s="6"/>
    </row>
    <row r="1260" spans="1:12" x14ac:dyDescent="0.3">
      <c r="A1260" s="8"/>
      <c r="C1260" s="6"/>
      <c r="E1260" s="6"/>
      <c r="J1260" s="8"/>
      <c r="L1260" s="6"/>
    </row>
    <row r="1261" spans="1:12" x14ac:dyDescent="0.3">
      <c r="A1261" s="8"/>
      <c r="C1261" s="6"/>
      <c r="E1261" s="6"/>
      <c r="J1261" s="8"/>
      <c r="L1261" s="6"/>
    </row>
    <row r="1262" spans="1:12" x14ac:dyDescent="0.3">
      <c r="A1262" s="8"/>
      <c r="C1262" s="6"/>
      <c r="E1262" s="6"/>
      <c r="J1262" s="8"/>
      <c r="L1262" s="6"/>
    </row>
    <row r="1263" spans="1:12" x14ac:dyDescent="0.3">
      <c r="A1263" s="8"/>
      <c r="C1263" s="6"/>
      <c r="E1263" s="6"/>
      <c r="J1263" s="8"/>
      <c r="L1263" s="6"/>
    </row>
    <row r="1264" spans="1:12" x14ac:dyDescent="0.3">
      <c r="A1264" s="8"/>
      <c r="C1264" s="6"/>
      <c r="E1264" s="6"/>
      <c r="J1264" s="8"/>
      <c r="L1264" s="6"/>
    </row>
    <row r="1265" spans="1:12" x14ac:dyDescent="0.3">
      <c r="A1265" s="8"/>
      <c r="C1265" s="6"/>
      <c r="E1265" s="6"/>
      <c r="J1265" s="8"/>
      <c r="L1265" s="6"/>
    </row>
    <row r="1266" spans="1:12" x14ac:dyDescent="0.3">
      <c r="A1266" s="8"/>
      <c r="C1266" s="6"/>
      <c r="E1266" s="6"/>
      <c r="J1266" s="8"/>
      <c r="L1266" s="6"/>
    </row>
    <row r="1267" spans="1:12" x14ac:dyDescent="0.3">
      <c r="A1267" s="8"/>
      <c r="C1267" s="6"/>
      <c r="E1267" s="6"/>
      <c r="J1267" s="8"/>
      <c r="L1267" s="6"/>
    </row>
    <row r="1268" spans="1:12" x14ac:dyDescent="0.3">
      <c r="A1268" s="8"/>
      <c r="C1268" s="6"/>
      <c r="E1268" s="6"/>
      <c r="J1268" s="8"/>
      <c r="L1268" s="6"/>
    </row>
    <row r="1269" spans="1:12" x14ac:dyDescent="0.3">
      <c r="A1269" s="8"/>
      <c r="C1269" s="6"/>
      <c r="E1269" s="6"/>
      <c r="J1269" s="8"/>
      <c r="L1269" s="6"/>
    </row>
    <row r="1270" spans="1:12" x14ac:dyDescent="0.3">
      <c r="A1270" s="8"/>
      <c r="C1270" s="6"/>
      <c r="E1270" s="6"/>
      <c r="J1270" s="8"/>
      <c r="L1270" s="6"/>
    </row>
    <row r="1271" spans="1:12" x14ac:dyDescent="0.3">
      <c r="A1271" s="8"/>
      <c r="C1271" s="6"/>
      <c r="E1271" s="6"/>
      <c r="J1271" s="8"/>
      <c r="L1271" s="6"/>
    </row>
    <row r="1272" spans="1:12" x14ac:dyDescent="0.3">
      <c r="A1272" s="8"/>
      <c r="C1272" s="6"/>
      <c r="E1272" s="6"/>
      <c r="J1272" s="8"/>
      <c r="L1272" s="6"/>
    </row>
    <row r="1273" spans="1:12" x14ac:dyDescent="0.3">
      <c r="A1273" s="8"/>
      <c r="C1273" s="6"/>
      <c r="E1273" s="6"/>
      <c r="J1273" s="8"/>
      <c r="L1273" s="6"/>
    </row>
    <row r="1274" spans="1:12" x14ac:dyDescent="0.3">
      <c r="A1274" s="8"/>
      <c r="C1274" s="6"/>
      <c r="E1274" s="6"/>
      <c r="J1274" s="8"/>
      <c r="L1274" s="6"/>
    </row>
    <row r="1275" spans="1:12" x14ac:dyDescent="0.3">
      <c r="A1275" s="8"/>
      <c r="C1275" s="6"/>
      <c r="E1275" s="6"/>
      <c r="J1275" s="8"/>
      <c r="L1275" s="6"/>
    </row>
    <row r="1276" spans="1:12" x14ac:dyDescent="0.3">
      <c r="A1276" s="8"/>
      <c r="C1276" s="6"/>
      <c r="E1276" s="6"/>
      <c r="J1276" s="8"/>
      <c r="L1276" s="6"/>
    </row>
    <row r="1277" spans="1:12" x14ac:dyDescent="0.3">
      <c r="A1277" s="8"/>
      <c r="C1277" s="6"/>
      <c r="E1277" s="6"/>
      <c r="J1277" s="8"/>
      <c r="L1277" s="6"/>
    </row>
    <row r="1278" spans="1:12" x14ac:dyDescent="0.3">
      <c r="A1278" s="8"/>
      <c r="C1278" s="6"/>
      <c r="E1278" s="6"/>
      <c r="J1278" s="8"/>
      <c r="L1278" s="6"/>
    </row>
    <row r="1279" spans="1:12" x14ac:dyDescent="0.3">
      <c r="A1279" s="8"/>
      <c r="C1279" s="6"/>
      <c r="E1279" s="6"/>
      <c r="J1279" s="8"/>
      <c r="L1279" s="6"/>
    </row>
    <row r="1280" spans="1:12" x14ac:dyDescent="0.3">
      <c r="A1280" s="8"/>
      <c r="C1280" s="6"/>
      <c r="E1280" s="6"/>
      <c r="J1280" s="8"/>
      <c r="L1280" s="6"/>
    </row>
    <row r="1281" spans="1:12" x14ac:dyDescent="0.3">
      <c r="A1281" s="8"/>
      <c r="C1281" s="6"/>
      <c r="E1281" s="6"/>
      <c r="J1281" s="8"/>
      <c r="L1281" s="6"/>
    </row>
    <row r="1282" spans="1:12" x14ac:dyDescent="0.3">
      <c r="A1282" s="8"/>
      <c r="C1282" s="6"/>
      <c r="E1282" s="6"/>
      <c r="J1282" s="8"/>
      <c r="L1282" s="6"/>
    </row>
    <row r="1283" spans="1:12" x14ac:dyDescent="0.3">
      <c r="A1283" s="8"/>
      <c r="C1283" s="6"/>
      <c r="E1283" s="6"/>
      <c r="J1283" s="8"/>
      <c r="L1283" s="6"/>
    </row>
    <row r="1284" spans="1:12" x14ac:dyDescent="0.3">
      <c r="A1284" s="8"/>
      <c r="C1284" s="6"/>
      <c r="E1284" s="6"/>
      <c r="J1284" s="8"/>
      <c r="L1284" s="6"/>
    </row>
    <row r="1285" spans="1:12" x14ac:dyDescent="0.3">
      <c r="A1285" s="8"/>
      <c r="C1285" s="6"/>
      <c r="E1285" s="6"/>
      <c r="J1285" s="8"/>
      <c r="L1285" s="6"/>
    </row>
    <row r="1286" spans="1:12" x14ac:dyDescent="0.3">
      <c r="A1286" s="8"/>
      <c r="C1286" s="6"/>
      <c r="E1286" s="6"/>
      <c r="J1286" s="8"/>
      <c r="L1286" s="6"/>
    </row>
    <row r="1287" spans="1:12" x14ac:dyDescent="0.3">
      <c r="A1287" s="8"/>
      <c r="C1287" s="6"/>
      <c r="E1287" s="6"/>
      <c r="J1287" s="8"/>
      <c r="L1287" s="6"/>
    </row>
    <row r="1288" spans="1:12" x14ac:dyDescent="0.3">
      <c r="A1288" s="8"/>
      <c r="C1288" s="6"/>
      <c r="E1288" s="6"/>
      <c r="J1288" s="8"/>
      <c r="L1288" s="6"/>
    </row>
    <row r="1289" spans="1:12" x14ac:dyDescent="0.3">
      <c r="A1289" s="8"/>
      <c r="C1289" s="6"/>
      <c r="E1289" s="6"/>
      <c r="J1289" s="8"/>
      <c r="L1289" s="6"/>
    </row>
    <row r="1290" spans="1:12" x14ac:dyDescent="0.3">
      <c r="A1290" s="8"/>
      <c r="C1290" s="6"/>
      <c r="E1290" s="6"/>
      <c r="J1290" s="8"/>
      <c r="L1290" s="6"/>
    </row>
    <row r="1291" spans="1:12" x14ac:dyDescent="0.3">
      <c r="A1291" s="8"/>
      <c r="C1291" s="6"/>
      <c r="E1291" s="6"/>
      <c r="J1291" s="8"/>
      <c r="L1291" s="6"/>
    </row>
    <row r="1292" spans="1:12" x14ac:dyDescent="0.3">
      <c r="A1292" s="8"/>
      <c r="C1292" s="6"/>
      <c r="E1292" s="6"/>
      <c r="J1292" s="8"/>
      <c r="L1292" s="6"/>
    </row>
    <row r="1293" spans="1:12" x14ac:dyDescent="0.3">
      <c r="A1293" s="8"/>
      <c r="C1293" s="6"/>
      <c r="E1293" s="6"/>
      <c r="J1293" s="8"/>
      <c r="L1293" s="6"/>
    </row>
    <row r="1294" spans="1:12" x14ac:dyDescent="0.3">
      <c r="A1294" s="8"/>
      <c r="C1294" s="6"/>
      <c r="E1294" s="6"/>
      <c r="J1294" s="8"/>
      <c r="L1294" s="6"/>
    </row>
    <row r="1295" spans="1:12" x14ac:dyDescent="0.3">
      <c r="A1295" s="8"/>
      <c r="C1295" s="6"/>
      <c r="E1295" s="6"/>
      <c r="J1295" s="8"/>
      <c r="L1295" s="6"/>
    </row>
    <row r="1296" spans="1:12" x14ac:dyDescent="0.3">
      <c r="A1296" s="8"/>
      <c r="C1296" s="6"/>
      <c r="E1296" s="6"/>
      <c r="J1296" s="8"/>
      <c r="L1296" s="6"/>
    </row>
    <row r="1297" spans="1:12" x14ac:dyDescent="0.3">
      <c r="A1297" s="8"/>
      <c r="C1297" s="6"/>
      <c r="E1297" s="6"/>
      <c r="J1297" s="8"/>
      <c r="L1297" s="6"/>
    </row>
    <row r="1298" spans="1:12" x14ac:dyDescent="0.3">
      <c r="A1298" s="8"/>
      <c r="C1298" s="6"/>
      <c r="E1298" s="6"/>
      <c r="J1298" s="8"/>
      <c r="L1298" s="6"/>
    </row>
    <row r="1299" spans="1:12" x14ac:dyDescent="0.3">
      <c r="A1299" s="8"/>
      <c r="C1299" s="6"/>
      <c r="E1299" s="6"/>
      <c r="J1299" s="8"/>
      <c r="L1299" s="6"/>
    </row>
    <row r="1300" spans="1:12" x14ac:dyDescent="0.3">
      <c r="A1300" s="8"/>
      <c r="C1300" s="6"/>
      <c r="E1300" s="6"/>
      <c r="J1300" s="8"/>
      <c r="L1300" s="6"/>
    </row>
    <row r="1301" spans="1:12" x14ac:dyDescent="0.3">
      <c r="A1301" s="8"/>
      <c r="C1301" s="6"/>
      <c r="E1301" s="6"/>
      <c r="J1301" s="8"/>
      <c r="L1301" s="6"/>
    </row>
    <row r="1302" spans="1:12" x14ac:dyDescent="0.3">
      <c r="A1302" s="8"/>
      <c r="C1302" s="6"/>
      <c r="E1302" s="6"/>
      <c r="J1302" s="8"/>
      <c r="L1302" s="6"/>
    </row>
    <row r="1303" spans="1:12" x14ac:dyDescent="0.3">
      <c r="A1303" s="8"/>
      <c r="C1303" s="6"/>
      <c r="E1303" s="6"/>
      <c r="J1303" s="8"/>
      <c r="L1303" s="6"/>
    </row>
    <row r="1304" spans="1:12" x14ac:dyDescent="0.3">
      <c r="A1304" s="8"/>
      <c r="C1304" s="6"/>
      <c r="E1304" s="6"/>
      <c r="J1304" s="8"/>
      <c r="L1304" s="6"/>
    </row>
    <row r="1305" spans="1:12" x14ac:dyDescent="0.3">
      <c r="A1305" s="8"/>
      <c r="C1305" s="6"/>
      <c r="E1305" s="6"/>
      <c r="J1305" s="8"/>
      <c r="L1305" s="6"/>
    </row>
    <row r="1306" spans="1:12" x14ac:dyDescent="0.3">
      <c r="A1306" s="8"/>
      <c r="C1306" s="6"/>
      <c r="E1306" s="6"/>
      <c r="J1306" s="8"/>
      <c r="L1306" s="6"/>
    </row>
    <row r="1307" spans="1:12" x14ac:dyDescent="0.3">
      <c r="A1307" s="8"/>
      <c r="C1307" s="6"/>
      <c r="E1307" s="6"/>
      <c r="J1307" s="8"/>
      <c r="L1307" s="6"/>
    </row>
    <row r="1308" spans="1:12" x14ac:dyDescent="0.3">
      <c r="A1308" s="8"/>
      <c r="C1308" s="6"/>
      <c r="E1308" s="6"/>
      <c r="J1308" s="8"/>
      <c r="L1308" s="6"/>
    </row>
    <row r="1309" spans="1:12" x14ac:dyDescent="0.3">
      <c r="A1309" s="8"/>
      <c r="C1309" s="6"/>
      <c r="E1309" s="6"/>
      <c r="J1309" s="8"/>
      <c r="L1309" s="6"/>
    </row>
    <row r="1310" spans="1:12" x14ac:dyDescent="0.3">
      <c r="A1310" s="8"/>
      <c r="C1310" s="6"/>
      <c r="E1310" s="6"/>
      <c r="J1310" s="8"/>
      <c r="L1310" s="6"/>
    </row>
    <row r="1311" spans="1:12" x14ac:dyDescent="0.3">
      <c r="A1311" s="8"/>
      <c r="C1311" s="6"/>
      <c r="E1311" s="6"/>
      <c r="J1311" s="8"/>
      <c r="L1311" s="6"/>
    </row>
    <row r="1312" spans="1:12" x14ac:dyDescent="0.3">
      <c r="A1312" s="8"/>
      <c r="C1312" s="6"/>
      <c r="E1312" s="6"/>
      <c r="J1312" s="8"/>
      <c r="L1312" s="6"/>
    </row>
    <row r="1313" spans="1:12" x14ac:dyDescent="0.3">
      <c r="A1313" s="8"/>
      <c r="C1313" s="6"/>
      <c r="E1313" s="6"/>
      <c r="J1313" s="8"/>
      <c r="L1313" s="6"/>
    </row>
    <row r="1314" spans="1:12" x14ac:dyDescent="0.3">
      <c r="A1314" s="8"/>
      <c r="C1314" s="6"/>
      <c r="E1314" s="6"/>
      <c r="J1314" s="8"/>
      <c r="L1314" s="6"/>
    </row>
    <row r="1315" spans="1:12" x14ac:dyDescent="0.3">
      <c r="A1315" s="8"/>
      <c r="C1315" s="6"/>
      <c r="E1315" s="6"/>
      <c r="J1315" s="8"/>
      <c r="L1315" s="6"/>
    </row>
    <row r="1316" spans="1:12" x14ac:dyDescent="0.3">
      <c r="A1316" s="8"/>
      <c r="C1316" s="6"/>
      <c r="E1316" s="6"/>
      <c r="J1316" s="8"/>
      <c r="L1316" s="6"/>
    </row>
    <row r="1317" spans="1:12" x14ac:dyDescent="0.3">
      <c r="A1317" s="8"/>
      <c r="C1317" s="6"/>
      <c r="E1317" s="6"/>
      <c r="J1317" s="8"/>
      <c r="L1317" s="6"/>
    </row>
    <row r="1318" spans="1:12" x14ac:dyDescent="0.3">
      <c r="A1318" s="8"/>
      <c r="C1318" s="6"/>
      <c r="E1318" s="6"/>
      <c r="J1318" s="8"/>
      <c r="L1318" s="6"/>
    </row>
    <row r="1319" spans="1:12" x14ac:dyDescent="0.3">
      <c r="A1319" s="8"/>
      <c r="C1319" s="6"/>
      <c r="E1319" s="6"/>
      <c r="J1319" s="8"/>
      <c r="L1319" s="6"/>
    </row>
    <row r="1320" spans="1:12" x14ac:dyDescent="0.3">
      <c r="A1320" s="8"/>
      <c r="C1320" s="6"/>
      <c r="E1320" s="6"/>
      <c r="J1320" s="8"/>
      <c r="L1320" s="6"/>
    </row>
    <row r="1321" spans="1:12" x14ac:dyDescent="0.3">
      <c r="A1321" s="8"/>
      <c r="C1321" s="6"/>
      <c r="E1321" s="6"/>
      <c r="J1321" s="8"/>
      <c r="L1321" s="6"/>
    </row>
    <row r="1322" spans="1:12" x14ac:dyDescent="0.3">
      <c r="A1322" s="8"/>
      <c r="C1322" s="6"/>
      <c r="E1322" s="6"/>
      <c r="J1322" s="8"/>
      <c r="L1322" s="6"/>
    </row>
    <row r="1323" spans="1:12" x14ac:dyDescent="0.3">
      <c r="A1323" s="8"/>
      <c r="C1323" s="6"/>
      <c r="E1323" s="6"/>
      <c r="J1323" s="8"/>
      <c r="L1323" s="6"/>
    </row>
    <row r="1324" spans="1:12" x14ac:dyDescent="0.3">
      <c r="A1324" s="8"/>
      <c r="C1324" s="6"/>
      <c r="E1324" s="6"/>
      <c r="J1324" s="8"/>
      <c r="L1324" s="6"/>
    </row>
    <row r="1325" spans="1:12" x14ac:dyDescent="0.3">
      <c r="A1325" s="8"/>
      <c r="C1325" s="6"/>
      <c r="E1325" s="6"/>
      <c r="J1325" s="8"/>
      <c r="L1325" s="6"/>
    </row>
    <row r="1326" spans="1:12" x14ac:dyDescent="0.3">
      <c r="A1326" s="8"/>
      <c r="C1326" s="6"/>
      <c r="E1326" s="6"/>
      <c r="J1326" s="8"/>
      <c r="L1326" s="6"/>
    </row>
    <row r="1327" spans="1:12" x14ac:dyDescent="0.3">
      <c r="A1327" s="8"/>
      <c r="C1327" s="6"/>
      <c r="E1327" s="6"/>
      <c r="J1327" s="8"/>
      <c r="L1327" s="6"/>
    </row>
    <row r="1328" spans="1:12" x14ac:dyDescent="0.3">
      <c r="A1328" s="8"/>
      <c r="C1328" s="6"/>
      <c r="E1328" s="6"/>
      <c r="J1328" s="8"/>
      <c r="L1328" s="6"/>
    </row>
    <row r="1329" spans="1:12" x14ac:dyDescent="0.3">
      <c r="A1329" s="8"/>
      <c r="C1329" s="6"/>
      <c r="E1329" s="6"/>
      <c r="J1329" s="8"/>
      <c r="L1329" s="6"/>
    </row>
    <row r="1330" spans="1:12" x14ac:dyDescent="0.3">
      <c r="A1330" s="8"/>
      <c r="C1330" s="6"/>
      <c r="E1330" s="6"/>
      <c r="J1330" s="8"/>
      <c r="L1330" s="6"/>
    </row>
    <row r="1331" spans="1:12" x14ac:dyDescent="0.3">
      <c r="A1331" s="8"/>
      <c r="C1331" s="6"/>
      <c r="E1331" s="6"/>
      <c r="J1331" s="8"/>
      <c r="L1331" s="6"/>
    </row>
    <row r="1332" spans="1:12" x14ac:dyDescent="0.3">
      <c r="A1332" s="8"/>
      <c r="C1332" s="6"/>
      <c r="E1332" s="6"/>
      <c r="J1332" s="8"/>
      <c r="L1332" s="6"/>
    </row>
    <row r="1333" spans="1:12" x14ac:dyDescent="0.3">
      <c r="A1333" s="8"/>
      <c r="C1333" s="6"/>
      <c r="E1333" s="6"/>
      <c r="J1333" s="8"/>
      <c r="L1333" s="6"/>
    </row>
    <row r="1334" spans="1:12" x14ac:dyDescent="0.3">
      <c r="A1334" s="8"/>
      <c r="C1334" s="6"/>
      <c r="E1334" s="6"/>
      <c r="J1334" s="8"/>
      <c r="L1334" s="6"/>
    </row>
    <row r="1335" spans="1:12" x14ac:dyDescent="0.3">
      <c r="A1335" s="8"/>
      <c r="C1335" s="6"/>
      <c r="E1335" s="6"/>
      <c r="J1335" s="8"/>
      <c r="L1335" s="6"/>
    </row>
    <row r="1336" spans="1:12" x14ac:dyDescent="0.3">
      <c r="A1336" s="8"/>
      <c r="C1336" s="6"/>
      <c r="E1336" s="6"/>
      <c r="J1336" s="8"/>
      <c r="L1336" s="6"/>
    </row>
    <row r="1337" spans="1:12" x14ac:dyDescent="0.3">
      <c r="A1337" s="8"/>
      <c r="C1337" s="6"/>
      <c r="E1337" s="6"/>
      <c r="J1337" s="8"/>
      <c r="L1337" s="6"/>
    </row>
    <row r="1338" spans="1:12" x14ac:dyDescent="0.3">
      <c r="A1338" s="8"/>
      <c r="C1338" s="6"/>
      <c r="E1338" s="6"/>
      <c r="J1338" s="8"/>
      <c r="L1338" s="6"/>
    </row>
    <row r="1339" spans="1:12" x14ac:dyDescent="0.3">
      <c r="A1339" s="8"/>
      <c r="C1339" s="6"/>
      <c r="E1339" s="6"/>
      <c r="J1339" s="8"/>
      <c r="L1339" s="6"/>
    </row>
    <row r="1340" spans="1:12" x14ac:dyDescent="0.3">
      <c r="A1340" s="8"/>
      <c r="C1340" s="6"/>
      <c r="E1340" s="6"/>
      <c r="J1340" s="8"/>
      <c r="L1340" s="6"/>
    </row>
    <row r="1341" spans="1:12" x14ac:dyDescent="0.3">
      <c r="A1341" s="8"/>
      <c r="C1341" s="6"/>
      <c r="E1341" s="6"/>
      <c r="J1341" s="8"/>
      <c r="L1341" s="6"/>
    </row>
    <row r="1342" spans="1:12" x14ac:dyDescent="0.3">
      <c r="A1342" s="8"/>
      <c r="C1342" s="6"/>
      <c r="E1342" s="6"/>
      <c r="J1342" s="8"/>
      <c r="L1342" s="6"/>
    </row>
    <row r="1343" spans="1:12" x14ac:dyDescent="0.3">
      <c r="A1343" s="8"/>
      <c r="C1343" s="6"/>
      <c r="E1343" s="6"/>
      <c r="J1343" s="8"/>
      <c r="L1343" s="6"/>
    </row>
    <row r="1344" spans="1:12" x14ac:dyDescent="0.3">
      <c r="A1344" s="8"/>
      <c r="C1344" s="6"/>
      <c r="E1344" s="6"/>
      <c r="J1344" s="8"/>
      <c r="L1344" s="6"/>
    </row>
    <row r="1345" spans="1:12" x14ac:dyDescent="0.3">
      <c r="A1345" s="8"/>
      <c r="C1345" s="6"/>
      <c r="E1345" s="6"/>
      <c r="J1345" s="8"/>
      <c r="L1345" s="6"/>
    </row>
    <row r="1346" spans="1:12" x14ac:dyDescent="0.3">
      <c r="A1346" s="8"/>
      <c r="C1346" s="6"/>
      <c r="E1346" s="6"/>
      <c r="J1346" s="8"/>
      <c r="L1346" s="6"/>
    </row>
    <row r="1347" spans="1:12" x14ac:dyDescent="0.3">
      <c r="A1347" s="8"/>
      <c r="C1347" s="6"/>
      <c r="E1347" s="6"/>
      <c r="J1347" s="8"/>
      <c r="L1347" s="6"/>
    </row>
    <row r="1348" spans="1:12" x14ac:dyDescent="0.3">
      <c r="A1348" s="8"/>
      <c r="C1348" s="6"/>
      <c r="E1348" s="6"/>
      <c r="J1348" s="8"/>
      <c r="L1348" s="6"/>
    </row>
    <row r="1349" spans="1:12" x14ac:dyDescent="0.3">
      <c r="A1349" s="8"/>
      <c r="C1349" s="6"/>
      <c r="E1349" s="6"/>
      <c r="J1349" s="8"/>
      <c r="L1349" s="6"/>
    </row>
    <row r="1350" spans="1:12" x14ac:dyDescent="0.3">
      <c r="A1350" s="8"/>
      <c r="C1350" s="6"/>
      <c r="E1350" s="6"/>
      <c r="J1350" s="8"/>
      <c r="L1350" s="6"/>
    </row>
    <row r="1351" spans="1:12" x14ac:dyDescent="0.3">
      <c r="A1351" s="8"/>
      <c r="C1351" s="6"/>
      <c r="E1351" s="6"/>
      <c r="J1351" s="8"/>
      <c r="L1351" s="6"/>
    </row>
    <row r="1352" spans="1:12" x14ac:dyDescent="0.3">
      <c r="A1352" s="8"/>
      <c r="C1352" s="6"/>
      <c r="E1352" s="6"/>
      <c r="J1352" s="8"/>
      <c r="L1352" s="6"/>
    </row>
    <row r="1353" spans="1:12" x14ac:dyDescent="0.3">
      <c r="A1353" s="8"/>
      <c r="C1353" s="6"/>
      <c r="E1353" s="6"/>
      <c r="J1353" s="8"/>
      <c r="L1353" s="6"/>
    </row>
    <row r="1354" spans="1:12" x14ac:dyDescent="0.3">
      <c r="A1354" s="8"/>
      <c r="C1354" s="6"/>
      <c r="E1354" s="6"/>
      <c r="J1354" s="8"/>
      <c r="L1354" s="6"/>
    </row>
    <row r="1355" spans="1:12" x14ac:dyDescent="0.3">
      <c r="A1355" s="8"/>
      <c r="C1355" s="6"/>
      <c r="E1355" s="6"/>
      <c r="J1355" s="8"/>
      <c r="L1355" s="6"/>
    </row>
    <row r="1356" spans="1:12" x14ac:dyDescent="0.3">
      <c r="A1356" s="8"/>
      <c r="C1356" s="6"/>
      <c r="E1356" s="6"/>
      <c r="J1356" s="8"/>
      <c r="L1356" s="6"/>
    </row>
    <row r="1357" spans="1:12" x14ac:dyDescent="0.3">
      <c r="A1357" s="8"/>
      <c r="C1357" s="6"/>
      <c r="E1357" s="6"/>
      <c r="J1357" s="8"/>
      <c r="L1357" s="6"/>
    </row>
    <row r="1358" spans="1:12" x14ac:dyDescent="0.3">
      <c r="A1358" s="8"/>
      <c r="C1358" s="6"/>
      <c r="E1358" s="6"/>
      <c r="J1358" s="8"/>
      <c r="L1358" s="6"/>
    </row>
    <row r="1359" spans="1:12" x14ac:dyDescent="0.3">
      <c r="A1359" s="8"/>
      <c r="C1359" s="6"/>
      <c r="E1359" s="6"/>
      <c r="J1359" s="8"/>
      <c r="L1359" s="6"/>
    </row>
    <row r="1360" spans="1:12" x14ac:dyDescent="0.3">
      <c r="A1360" s="8"/>
      <c r="C1360" s="6"/>
      <c r="E1360" s="6"/>
      <c r="J1360" s="8"/>
      <c r="L1360" s="6"/>
    </row>
    <row r="1361" spans="1:12" x14ac:dyDescent="0.3">
      <c r="A1361" s="8"/>
      <c r="C1361" s="6"/>
      <c r="E1361" s="6"/>
      <c r="J1361" s="8"/>
      <c r="L1361" s="6"/>
    </row>
    <row r="1362" spans="1:12" x14ac:dyDescent="0.3">
      <c r="A1362" s="8"/>
      <c r="C1362" s="6"/>
      <c r="E1362" s="6"/>
      <c r="J1362" s="8"/>
      <c r="L1362" s="6"/>
    </row>
    <row r="1363" spans="1:12" x14ac:dyDescent="0.3">
      <c r="A1363" s="8"/>
      <c r="C1363" s="6"/>
      <c r="E1363" s="6"/>
      <c r="J1363" s="8"/>
      <c r="L1363" s="6"/>
    </row>
    <row r="1364" spans="1:12" x14ac:dyDescent="0.3">
      <c r="A1364" s="8"/>
      <c r="C1364" s="6"/>
      <c r="E1364" s="6"/>
      <c r="J1364" s="8"/>
      <c r="L1364" s="6"/>
    </row>
    <row r="1365" spans="1:12" x14ac:dyDescent="0.3">
      <c r="A1365" s="8"/>
      <c r="C1365" s="6"/>
      <c r="E1365" s="6"/>
      <c r="J1365" s="8"/>
      <c r="L1365" s="6"/>
    </row>
    <row r="1366" spans="1:12" x14ac:dyDescent="0.3">
      <c r="A1366" s="8"/>
      <c r="C1366" s="6"/>
      <c r="E1366" s="6"/>
      <c r="J1366" s="8"/>
      <c r="L1366" s="6"/>
    </row>
    <row r="1367" spans="1:12" x14ac:dyDescent="0.3">
      <c r="A1367" s="8"/>
      <c r="C1367" s="6"/>
      <c r="E1367" s="6"/>
      <c r="J1367" s="8"/>
      <c r="L1367" s="6"/>
    </row>
    <row r="1368" spans="1:12" x14ac:dyDescent="0.3">
      <c r="A1368" s="8"/>
      <c r="C1368" s="6"/>
      <c r="E1368" s="6"/>
      <c r="J1368" s="8"/>
      <c r="L1368" s="6"/>
    </row>
    <row r="1369" spans="1:12" x14ac:dyDescent="0.3">
      <c r="A1369" s="8"/>
      <c r="C1369" s="6"/>
      <c r="E1369" s="6"/>
      <c r="J1369" s="8"/>
      <c r="L1369" s="6"/>
    </row>
    <row r="1370" spans="1:12" x14ac:dyDescent="0.3">
      <c r="A1370" s="8"/>
      <c r="C1370" s="6"/>
      <c r="E1370" s="6"/>
      <c r="J1370" s="8"/>
      <c r="L1370" s="6"/>
    </row>
    <row r="1371" spans="1:12" x14ac:dyDescent="0.3">
      <c r="A1371" s="8"/>
      <c r="C1371" s="6"/>
      <c r="E1371" s="6"/>
      <c r="J1371" s="8"/>
      <c r="L1371" s="6"/>
    </row>
    <row r="1372" spans="1:12" x14ac:dyDescent="0.3">
      <c r="A1372" s="8"/>
      <c r="C1372" s="6"/>
      <c r="E1372" s="6"/>
      <c r="J1372" s="8"/>
      <c r="L1372" s="6"/>
    </row>
    <row r="1373" spans="1:12" x14ac:dyDescent="0.3">
      <c r="A1373" s="8"/>
      <c r="C1373" s="6"/>
      <c r="E1373" s="6"/>
      <c r="J1373" s="8"/>
      <c r="L1373" s="6"/>
    </row>
    <row r="1374" spans="1:12" x14ac:dyDescent="0.3">
      <c r="A1374" s="8"/>
      <c r="C1374" s="6"/>
      <c r="E1374" s="6"/>
      <c r="J1374" s="8"/>
      <c r="L1374" s="6"/>
    </row>
    <row r="1375" spans="1:12" x14ac:dyDescent="0.3">
      <c r="A1375" s="8"/>
      <c r="C1375" s="6"/>
      <c r="E1375" s="6"/>
      <c r="J1375" s="8"/>
      <c r="L1375" s="6"/>
    </row>
    <row r="1376" spans="1:12" x14ac:dyDescent="0.3">
      <c r="A1376" s="8"/>
      <c r="C1376" s="6"/>
      <c r="E1376" s="6"/>
      <c r="J1376" s="8"/>
      <c r="L1376" s="6"/>
    </row>
    <row r="1377" spans="1:12" x14ac:dyDescent="0.3">
      <c r="A1377" s="8"/>
      <c r="C1377" s="6"/>
      <c r="E1377" s="6"/>
      <c r="J1377" s="8"/>
      <c r="L1377" s="6"/>
    </row>
    <row r="1378" spans="1:12" x14ac:dyDescent="0.3">
      <c r="A1378" s="8"/>
      <c r="C1378" s="6"/>
      <c r="E1378" s="6"/>
      <c r="J1378" s="8"/>
      <c r="L1378" s="6"/>
    </row>
    <row r="1379" spans="1:12" x14ac:dyDescent="0.3">
      <c r="A1379" s="8"/>
      <c r="C1379" s="6"/>
      <c r="E1379" s="6"/>
      <c r="J1379" s="8"/>
      <c r="L1379" s="6"/>
    </row>
    <row r="1380" spans="1:12" x14ac:dyDescent="0.3">
      <c r="A1380" s="8"/>
      <c r="C1380" s="6"/>
      <c r="E1380" s="6"/>
      <c r="J1380" s="8"/>
      <c r="L1380" s="6"/>
    </row>
    <row r="1381" spans="1:12" x14ac:dyDescent="0.3">
      <c r="A1381" s="8"/>
      <c r="C1381" s="6"/>
      <c r="E1381" s="6"/>
      <c r="J1381" s="8"/>
      <c r="L1381" s="6"/>
    </row>
    <row r="1382" spans="1:12" x14ac:dyDescent="0.3">
      <c r="A1382" s="8"/>
      <c r="C1382" s="6"/>
      <c r="E1382" s="6"/>
      <c r="J1382" s="8"/>
      <c r="L1382" s="6"/>
    </row>
    <row r="1383" spans="1:12" x14ac:dyDescent="0.3">
      <c r="A1383" s="8"/>
      <c r="C1383" s="6"/>
      <c r="E1383" s="6"/>
      <c r="J1383" s="8"/>
      <c r="L1383" s="6"/>
    </row>
    <row r="1384" spans="1:12" x14ac:dyDescent="0.3">
      <c r="A1384" s="8"/>
      <c r="C1384" s="6"/>
      <c r="E1384" s="6"/>
      <c r="J1384" s="8"/>
      <c r="L1384" s="6"/>
    </row>
    <row r="1385" spans="1:12" x14ac:dyDescent="0.3">
      <c r="A1385" s="8"/>
      <c r="C1385" s="6"/>
      <c r="E1385" s="6"/>
      <c r="J1385" s="8"/>
      <c r="L1385" s="6"/>
    </row>
    <row r="1386" spans="1:12" x14ac:dyDescent="0.3">
      <c r="A1386" s="8"/>
      <c r="C1386" s="6"/>
      <c r="E1386" s="6"/>
      <c r="J1386" s="8"/>
      <c r="L1386" s="6"/>
    </row>
    <row r="1387" spans="1:12" x14ac:dyDescent="0.3">
      <c r="A1387" s="8"/>
      <c r="C1387" s="6"/>
      <c r="E1387" s="6"/>
      <c r="J1387" s="8"/>
      <c r="L1387" s="6"/>
    </row>
    <row r="1388" spans="1:12" x14ac:dyDescent="0.3">
      <c r="A1388" s="8"/>
      <c r="C1388" s="6"/>
      <c r="E1388" s="6"/>
      <c r="J1388" s="8"/>
      <c r="L1388" s="6"/>
    </row>
    <row r="1389" spans="1:12" x14ac:dyDescent="0.3">
      <c r="A1389" s="8"/>
      <c r="C1389" s="6"/>
      <c r="E1389" s="6"/>
      <c r="J1389" s="8"/>
      <c r="L1389" s="6"/>
    </row>
    <row r="1390" spans="1:12" x14ac:dyDescent="0.3">
      <c r="A1390" s="8"/>
      <c r="C1390" s="6"/>
      <c r="E1390" s="6"/>
      <c r="J1390" s="8"/>
      <c r="L1390" s="6"/>
    </row>
    <row r="1391" spans="1:12" x14ac:dyDescent="0.3">
      <c r="A1391" s="8"/>
      <c r="C1391" s="6"/>
      <c r="E1391" s="6"/>
      <c r="J1391" s="8"/>
      <c r="L1391" s="6"/>
    </row>
    <row r="1392" spans="1:12" x14ac:dyDescent="0.3">
      <c r="A1392" s="8"/>
      <c r="C1392" s="6"/>
      <c r="E1392" s="6"/>
      <c r="J1392" s="8"/>
      <c r="L1392" s="6"/>
    </row>
    <row r="1393" spans="1:12" x14ac:dyDescent="0.3">
      <c r="A1393" s="8"/>
      <c r="C1393" s="6"/>
      <c r="E1393" s="6"/>
      <c r="J1393" s="8"/>
      <c r="L1393" s="6"/>
    </row>
    <row r="1394" spans="1:12" x14ac:dyDescent="0.3">
      <c r="A1394" s="8"/>
      <c r="C1394" s="6"/>
      <c r="E1394" s="6"/>
      <c r="J1394" s="8"/>
      <c r="L1394" s="6"/>
    </row>
    <row r="1395" spans="1:12" x14ac:dyDescent="0.3">
      <c r="A1395" s="8"/>
      <c r="C1395" s="6"/>
      <c r="E1395" s="6"/>
      <c r="J1395" s="8"/>
      <c r="L1395" s="6"/>
    </row>
    <row r="1396" spans="1:12" x14ac:dyDescent="0.3">
      <c r="A1396" s="8"/>
      <c r="C1396" s="6"/>
      <c r="E1396" s="6"/>
      <c r="J1396" s="8"/>
      <c r="L1396" s="6"/>
    </row>
    <row r="1397" spans="1:12" x14ac:dyDescent="0.3">
      <c r="A1397" s="8"/>
      <c r="C1397" s="6"/>
      <c r="E1397" s="6"/>
      <c r="J1397" s="8"/>
      <c r="L1397" s="6"/>
    </row>
    <row r="1398" spans="1:12" x14ac:dyDescent="0.3">
      <c r="A1398" s="8"/>
      <c r="C1398" s="6"/>
      <c r="E1398" s="6"/>
      <c r="J1398" s="8"/>
      <c r="L1398" s="6"/>
    </row>
    <row r="1399" spans="1:12" x14ac:dyDescent="0.3">
      <c r="A1399" s="8"/>
      <c r="C1399" s="6"/>
      <c r="E1399" s="6"/>
      <c r="J1399" s="8"/>
      <c r="L1399" s="6"/>
    </row>
    <row r="1400" spans="1:12" x14ac:dyDescent="0.3">
      <c r="A1400" s="8"/>
      <c r="C1400" s="6"/>
      <c r="E1400" s="6"/>
      <c r="J1400" s="8"/>
      <c r="L1400" s="6"/>
    </row>
    <row r="1401" spans="1:12" x14ac:dyDescent="0.3">
      <c r="A1401" s="8"/>
      <c r="C1401" s="6"/>
      <c r="E1401" s="6"/>
      <c r="J1401" s="8"/>
      <c r="L1401" s="6"/>
    </row>
    <row r="1402" spans="1:12" x14ac:dyDescent="0.3">
      <c r="A1402" s="8"/>
      <c r="C1402" s="6"/>
      <c r="E1402" s="6"/>
      <c r="J1402" s="8"/>
      <c r="L1402" s="6"/>
    </row>
    <row r="1403" spans="1:12" x14ac:dyDescent="0.3">
      <c r="A1403" s="8"/>
      <c r="C1403" s="6"/>
      <c r="E1403" s="6"/>
      <c r="J1403" s="8"/>
      <c r="L1403" s="6"/>
    </row>
    <row r="1404" spans="1:12" x14ac:dyDescent="0.3">
      <c r="A1404" s="8"/>
      <c r="C1404" s="6"/>
      <c r="E1404" s="6"/>
      <c r="J1404" s="8"/>
      <c r="L1404" s="6"/>
    </row>
    <row r="1405" spans="1:12" x14ac:dyDescent="0.3">
      <c r="A1405" s="8"/>
      <c r="C1405" s="6"/>
      <c r="E1405" s="6"/>
      <c r="J1405" s="8"/>
      <c r="L1405" s="6"/>
    </row>
    <row r="1406" spans="1:12" x14ac:dyDescent="0.3">
      <c r="A1406" s="8"/>
      <c r="C1406" s="6"/>
      <c r="E1406" s="6"/>
      <c r="J1406" s="8"/>
      <c r="L1406" s="6"/>
    </row>
    <row r="1407" spans="1:12" x14ac:dyDescent="0.3">
      <c r="A1407" s="8"/>
      <c r="C1407" s="6"/>
      <c r="E1407" s="6"/>
      <c r="J1407" s="8"/>
      <c r="L1407" s="6"/>
    </row>
    <row r="1408" spans="1:12" x14ac:dyDescent="0.3">
      <c r="A1408" s="8"/>
      <c r="C1408" s="6"/>
      <c r="E1408" s="6"/>
      <c r="J1408" s="8"/>
      <c r="L1408" s="6"/>
    </row>
    <row r="1409" spans="1:12" x14ac:dyDescent="0.3">
      <c r="A1409" s="8"/>
      <c r="C1409" s="6"/>
      <c r="E1409" s="6"/>
      <c r="J1409" s="8"/>
      <c r="L1409" s="6"/>
    </row>
    <row r="1410" spans="1:12" x14ac:dyDescent="0.3">
      <c r="A1410" s="8"/>
      <c r="C1410" s="6"/>
      <c r="E1410" s="6"/>
      <c r="J1410" s="8"/>
      <c r="L1410" s="6"/>
    </row>
    <row r="1411" spans="1:12" x14ac:dyDescent="0.3">
      <c r="A1411" s="8"/>
      <c r="C1411" s="6"/>
      <c r="E1411" s="6"/>
      <c r="J1411" s="8"/>
      <c r="L1411" s="6"/>
    </row>
    <row r="1412" spans="1:12" x14ac:dyDescent="0.3">
      <c r="A1412" s="8"/>
      <c r="C1412" s="6"/>
      <c r="E1412" s="6"/>
      <c r="J1412" s="8"/>
      <c r="L1412" s="6"/>
    </row>
    <row r="1413" spans="1:12" x14ac:dyDescent="0.3">
      <c r="A1413" s="8"/>
      <c r="C1413" s="6"/>
      <c r="E1413" s="6"/>
      <c r="J1413" s="8"/>
      <c r="L1413" s="6"/>
    </row>
    <row r="1414" spans="1:12" x14ac:dyDescent="0.3">
      <c r="A1414" s="8"/>
      <c r="C1414" s="6"/>
      <c r="E1414" s="6"/>
      <c r="J1414" s="8"/>
      <c r="L1414" s="6"/>
    </row>
    <row r="1415" spans="1:12" x14ac:dyDescent="0.3">
      <c r="A1415" s="8"/>
      <c r="C1415" s="6"/>
      <c r="E1415" s="6"/>
      <c r="J1415" s="8"/>
      <c r="L1415" s="6"/>
    </row>
    <row r="1416" spans="1:12" x14ac:dyDescent="0.3">
      <c r="A1416" s="8"/>
      <c r="C1416" s="6"/>
      <c r="E1416" s="6"/>
      <c r="J1416" s="8"/>
      <c r="L1416" s="6"/>
    </row>
    <row r="1417" spans="1:12" x14ac:dyDescent="0.3">
      <c r="A1417" s="8"/>
      <c r="C1417" s="6"/>
      <c r="E1417" s="6"/>
      <c r="J1417" s="8"/>
      <c r="L1417" s="6"/>
    </row>
    <row r="1418" spans="1:12" x14ac:dyDescent="0.3">
      <c r="A1418" s="8"/>
      <c r="C1418" s="6"/>
      <c r="E1418" s="6"/>
      <c r="J1418" s="8"/>
      <c r="L1418" s="6"/>
    </row>
    <row r="1419" spans="1:12" x14ac:dyDescent="0.3">
      <c r="A1419" s="8"/>
      <c r="C1419" s="6"/>
      <c r="E1419" s="6"/>
      <c r="J1419" s="8"/>
      <c r="L1419" s="6"/>
    </row>
    <row r="1420" spans="1:12" x14ac:dyDescent="0.3">
      <c r="A1420" s="8"/>
      <c r="C1420" s="6"/>
      <c r="E1420" s="6"/>
      <c r="J1420" s="8"/>
      <c r="L1420" s="6"/>
    </row>
    <row r="1421" spans="1:12" x14ac:dyDescent="0.3">
      <c r="A1421" s="8"/>
      <c r="C1421" s="6"/>
      <c r="E1421" s="6"/>
      <c r="J1421" s="8"/>
      <c r="L1421" s="6"/>
    </row>
    <row r="1422" spans="1:12" x14ac:dyDescent="0.3">
      <c r="A1422" s="8"/>
      <c r="C1422" s="6"/>
      <c r="E1422" s="6"/>
      <c r="J1422" s="8"/>
      <c r="L1422" s="6"/>
    </row>
    <row r="1423" spans="1:12" x14ac:dyDescent="0.3">
      <c r="A1423" s="8"/>
      <c r="C1423" s="6"/>
      <c r="E1423" s="6"/>
      <c r="J1423" s="8"/>
      <c r="L1423" s="6"/>
    </row>
    <row r="1424" spans="1:12" x14ac:dyDescent="0.3">
      <c r="A1424" s="8"/>
      <c r="C1424" s="6"/>
      <c r="E1424" s="6"/>
      <c r="J1424" s="8"/>
      <c r="L1424" s="6"/>
    </row>
    <row r="1425" spans="1:12" x14ac:dyDescent="0.3">
      <c r="A1425" s="8"/>
      <c r="C1425" s="6"/>
      <c r="E1425" s="6"/>
      <c r="J1425" s="8"/>
      <c r="L1425" s="6"/>
    </row>
    <row r="1426" spans="1:12" x14ac:dyDescent="0.3">
      <c r="A1426" s="8"/>
      <c r="C1426" s="6"/>
      <c r="E1426" s="6"/>
      <c r="J1426" s="8"/>
      <c r="L1426" s="6"/>
    </row>
    <row r="1427" spans="1:12" x14ac:dyDescent="0.3">
      <c r="A1427" s="8"/>
      <c r="C1427" s="6"/>
      <c r="E1427" s="6"/>
      <c r="J1427" s="8"/>
      <c r="L1427" s="6"/>
    </row>
    <row r="1428" spans="1:12" x14ac:dyDescent="0.3">
      <c r="A1428" s="8"/>
      <c r="C1428" s="6"/>
      <c r="E1428" s="6"/>
      <c r="J1428" s="8"/>
      <c r="L1428" s="6"/>
    </row>
    <row r="1429" spans="1:12" x14ac:dyDescent="0.3">
      <c r="A1429" s="8"/>
      <c r="C1429" s="6"/>
      <c r="E1429" s="6"/>
      <c r="J1429" s="8"/>
      <c r="L1429" s="6"/>
    </row>
    <row r="1430" spans="1:12" x14ac:dyDescent="0.3">
      <c r="A1430" s="8"/>
      <c r="C1430" s="6"/>
      <c r="E1430" s="6"/>
      <c r="J1430" s="8"/>
      <c r="L1430" s="6"/>
    </row>
    <row r="1431" spans="1:12" x14ac:dyDescent="0.3">
      <c r="A1431" s="8"/>
      <c r="C1431" s="6"/>
      <c r="E1431" s="6"/>
      <c r="J1431" s="8"/>
      <c r="L1431" s="6"/>
    </row>
    <row r="1432" spans="1:12" x14ac:dyDescent="0.3">
      <c r="A1432" s="8"/>
      <c r="C1432" s="6"/>
      <c r="E1432" s="6"/>
      <c r="J1432" s="8"/>
      <c r="L1432" s="6"/>
    </row>
    <row r="1433" spans="1:12" x14ac:dyDescent="0.3">
      <c r="A1433" s="8"/>
      <c r="C1433" s="6"/>
      <c r="E1433" s="6"/>
      <c r="J1433" s="8"/>
      <c r="L1433" s="6"/>
    </row>
    <row r="1434" spans="1:12" x14ac:dyDescent="0.3">
      <c r="A1434" s="8"/>
      <c r="C1434" s="6"/>
      <c r="E1434" s="6"/>
      <c r="J1434" s="8"/>
      <c r="L1434" s="6"/>
    </row>
    <row r="1435" spans="1:12" x14ac:dyDescent="0.3">
      <c r="A1435" s="8"/>
      <c r="C1435" s="6"/>
      <c r="E1435" s="6"/>
      <c r="J1435" s="8"/>
      <c r="L1435" s="6"/>
    </row>
    <row r="1436" spans="1:12" x14ac:dyDescent="0.3">
      <c r="A1436" s="8"/>
      <c r="C1436" s="6"/>
      <c r="E1436" s="6"/>
      <c r="J1436" s="8"/>
      <c r="L1436" s="6"/>
    </row>
    <row r="1437" spans="1:12" x14ac:dyDescent="0.3">
      <c r="A1437" s="8"/>
      <c r="C1437" s="6"/>
      <c r="E1437" s="6"/>
      <c r="J1437" s="8"/>
      <c r="L1437" s="6"/>
    </row>
    <row r="1438" spans="1:12" x14ac:dyDescent="0.3">
      <c r="A1438" s="8"/>
      <c r="C1438" s="6"/>
      <c r="E1438" s="6"/>
      <c r="J1438" s="8"/>
      <c r="L1438" s="6"/>
    </row>
    <row r="1439" spans="1:12" x14ac:dyDescent="0.3">
      <c r="A1439" s="8"/>
      <c r="C1439" s="6"/>
      <c r="E1439" s="6"/>
      <c r="J1439" s="8"/>
      <c r="L1439" s="6"/>
    </row>
    <row r="1440" spans="1:12" x14ac:dyDescent="0.3">
      <c r="A1440" s="8"/>
      <c r="C1440" s="6"/>
      <c r="E1440" s="6"/>
      <c r="J1440" s="8"/>
      <c r="L1440" s="6"/>
    </row>
    <row r="1441" spans="1:12" x14ac:dyDescent="0.3">
      <c r="A1441" s="8"/>
      <c r="C1441" s="6"/>
      <c r="E1441" s="6"/>
      <c r="J1441" s="8"/>
      <c r="L1441" s="6"/>
    </row>
    <row r="1442" spans="1:12" x14ac:dyDescent="0.3">
      <c r="A1442" s="8"/>
      <c r="C1442" s="6"/>
      <c r="E1442" s="6"/>
      <c r="J1442" s="8"/>
      <c r="L1442" s="6"/>
    </row>
    <row r="1443" spans="1:12" x14ac:dyDescent="0.3">
      <c r="A1443" s="8"/>
      <c r="C1443" s="6"/>
      <c r="E1443" s="6"/>
      <c r="J1443" s="8"/>
      <c r="L1443" s="6"/>
    </row>
    <row r="1444" spans="1:12" x14ac:dyDescent="0.3">
      <c r="A1444" s="8"/>
      <c r="C1444" s="6"/>
      <c r="E1444" s="6"/>
      <c r="J1444" s="8"/>
      <c r="L1444" s="6"/>
    </row>
    <row r="1445" spans="1:12" x14ac:dyDescent="0.3">
      <c r="A1445" s="8"/>
      <c r="C1445" s="6"/>
      <c r="E1445" s="6"/>
      <c r="J1445" s="8"/>
      <c r="L1445" s="6"/>
    </row>
    <row r="1446" spans="1:12" x14ac:dyDescent="0.3">
      <c r="A1446" s="8"/>
      <c r="C1446" s="6"/>
      <c r="E1446" s="6"/>
      <c r="J1446" s="8"/>
      <c r="L1446" s="6"/>
    </row>
    <row r="1447" spans="1:12" x14ac:dyDescent="0.3">
      <c r="A1447" s="8"/>
      <c r="C1447" s="6"/>
      <c r="E1447" s="6"/>
      <c r="J1447" s="8"/>
      <c r="L1447" s="6"/>
    </row>
    <row r="1448" spans="1:12" x14ac:dyDescent="0.3">
      <c r="A1448" s="8"/>
      <c r="C1448" s="6"/>
      <c r="E1448" s="6"/>
      <c r="J1448" s="8"/>
      <c r="L1448" s="6"/>
    </row>
    <row r="1449" spans="1:12" x14ac:dyDescent="0.3">
      <c r="A1449" s="8"/>
      <c r="C1449" s="6"/>
      <c r="E1449" s="6"/>
      <c r="J1449" s="8"/>
      <c r="L1449" s="6"/>
    </row>
    <row r="1450" spans="1:12" x14ac:dyDescent="0.3">
      <c r="A1450" s="8"/>
      <c r="C1450" s="6"/>
      <c r="E1450" s="6"/>
      <c r="J1450" s="8"/>
      <c r="L1450" s="6"/>
    </row>
    <row r="1451" spans="1:12" x14ac:dyDescent="0.3">
      <c r="A1451" s="8"/>
      <c r="C1451" s="6"/>
      <c r="E1451" s="6"/>
      <c r="J1451" s="8"/>
      <c r="L1451" s="6"/>
    </row>
    <row r="1452" spans="1:12" x14ac:dyDescent="0.3">
      <c r="A1452" s="8"/>
      <c r="C1452" s="6"/>
      <c r="E1452" s="6"/>
      <c r="J1452" s="8"/>
      <c r="L1452" s="6"/>
    </row>
    <row r="1453" spans="1:12" x14ac:dyDescent="0.3">
      <c r="A1453" s="8"/>
      <c r="C1453" s="6"/>
      <c r="E1453" s="6"/>
      <c r="J1453" s="8"/>
      <c r="L1453" s="6"/>
    </row>
    <row r="1454" spans="1:12" x14ac:dyDescent="0.3">
      <c r="A1454" s="8"/>
      <c r="C1454" s="6"/>
      <c r="E1454" s="6"/>
      <c r="J1454" s="8"/>
      <c r="L1454" s="6"/>
    </row>
    <row r="1455" spans="1:12" x14ac:dyDescent="0.3">
      <c r="A1455" s="8"/>
      <c r="C1455" s="6"/>
      <c r="E1455" s="6"/>
      <c r="J1455" s="8"/>
      <c r="L1455" s="6"/>
    </row>
    <row r="1456" spans="1:12" x14ac:dyDescent="0.3">
      <c r="A1456" s="8"/>
      <c r="C1456" s="6"/>
      <c r="E1456" s="6"/>
      <c r="J1456" s="8"/>
      <c r="L1456" s="6"/>
    </row>
    <row r="1457" spans="1:12" x14ac:dyDescent="0.3">
      <c r="A1457" s="8"/>
      <c r="C1457" s="6"/>
      <c r="E1457" s="6"/>
      <c r="J1457" s="8"/>
      <c r="L1457" s="6"/>
    </row>
    <row r="1458" spans="1:12" x14ac:dyDescent="0.3">
      <c r="A1458" s="8"/>
      <c r="C1458" s="6"/>
      <c r="E1458" s="6"/>
      <c r="J1458" s="8"/>
      <c r="L1458" s="6"/>
    </row>
    <row r="1459" spans="1:12" x14ac:dyDescent="0.3">
      <c r="A1459" s="8"/>
      <c r="C1459" s="6"/>
      <c r="E1459" s="6"/>
      <c r="J1459" s="8"/>
      <c r="L1459" s="6"/>
    </row>
    <row r="1460" spans="1:12" x14ac:dyDescent="0.3">
      <c r="A1460" s="8"/>
      <c r="C1460" s="6"/>
      <c r="E1460" s="6"/>
      <c r="J1460" s="8"/>
      <c r="L1460" s="6"/>
    </row>
    <row r="1461" spans="1:12" x14ac:dyDescent="0.3">
      <c r="A1461" s="8"/>
      <c r="C1461" s="6"/>
      <c r="E1461" s="6"/>
      <c r="J1461" s="8"/>
      <c r="L1461" s="6"/>
    </row>
    <row r="1462" spans="1:12" x14ac:dyDescent="0.3">
      <c r="A1462" s="8"/>
      <c r="C1462" s="6"/>
      <c r="E1462" s="6"/>
      <c r="J1462" s="8"/>
      <c r="L1462" s="6"/>
    </row>
    <row r="1463" spans="1:12" x14ac:dyDescent="0.3">
      <c r="A1463" s="8"/>
      <c r="C1463" s="6"/>
      <c r="E1463" s="6"/>
      <c r="J1463" s="8"/>
      <c r="L1463" s="6"/>
    </row>
    <row r="1464" spans="1:12" x14ac:dyDescent="0.3">
      <c r="A1464" s="8"/>
      <c r="C1464" s="6"/>
      <c r="E1464" s="6"/>
      <c r="J1464" s="8"/>
      <c r="L1464" s="6"/>
    </row>
    <row r="1465" spans="1:12" x14ac:dyDescent="0.3">
      <c r="A1465" s="8"/>
      <c r="C1465" s="6"/>
      <c r="E1465" s="6"/>
      <c r="J1465" s="8"/>
      <c r="L1465" s="6"/>
    </row>
    <row r="1466" spans="1:12" x14ac:dyDescent="0.3">
      <c r="A1466" s="8"/>
      <c r="C1466" s="6"/>
      <c r="E1466" s="6"/>
      <c r="J1466" s="8"/>
      <c r="L1466" s="6"/>
    </row>
    <row r="1467" spans="1:12" x14ac:dyDescent="0.3">
      <c r="A1467" s="8"/>
      <c r="C1467" s="6"/>
      <c r="E1467" s="6"/>
      <c r="J1467" s="8"/>
      <c r="L1467" s="6"/>
    </row>
    <row r="1468" spans="1:12" x14ac:dyDescent="0.3">
      <c r="A1468" s="8"/>
      <c r="C1468" s="6"/>
      <c r="E1468" s="6"/>
      <c r="J1468" s="8"/>
      <c r="L1468" s="6"/>
    </row>
    <row r="1469" spans="1:12" x14ac:dyDescent="0.3">
      <c r="A1469" s="8"/>
      <c r="C1469" s="6"/>
      <c r="E1469" s="6"/>
      <c r="J1469" s="8"/>
      <c r="L1469" s="6"/>
    </row>
    <row r="1470" spans="1:12" x14ac:dyDescent="0.3">
      <c r="A1470" s="8"/>
      <c r="C1470" s="6"/>
      <c r="E1470" s="6"/>
      <c r="J1470" s="8"/>
      <c r="L1470" s="6"/>
    </row>
    <row r="1471" spans="1:12" x14ac:dyDescent="0.3">
      <c r="A1471" s="8"/>
      <c r="C1471" s="6"/>
      <c r="E1471" s="6"/>
      <c r="J1471" s="8"/>
      <c r="L1471" s="6"/>
    </row>
    <row r="1472" spans="1:12" x14ac:dyDescent="0.3">
      <c r="A1472" s="8"/>
      <c r="C1472" s="6"/>
      <c r="E1472" s="6"/>
      <c r="J1472" s="8"/>
      <c r="L1472" s="6"/>
    </row>
    <row r="1473" spans="1:12" x14ac:dyDescent="0.3">
      <c r="A1473" s="8"/>
      <c r="C1473" s="6"/>
      <c r="E1473" s="6"/>
      <c r="J1473" s="8"/>
      <c r="L1473" s="6"/>
    </row>
    <row r="1474" spans="1:12" x14ac:dyDescent="0.3">
      <c r="A1474" s="8"/>
      <c r="C1474" s="6"/>
      <c r="E1474" s="6"/>
      <c r="J1474" s="8"/>
      <c r="L1474" s="6"/>
    </row>
    <row r="1475" spans="1:12" x14ac:dyDescent="0.3">
      <c r="A1475" s="8"/>
      <c r="C1475" s="6"/>
      <c r="E1475" s="6"/>
      <c r="J1475" s="8"/>
      <c r="L1475" s="6"/>
    </row>
    <row r="1476" spans="1:12" x14ac:dyDescent="0.3">
      <c r="A1476" s="8"/>
      <c r="C1476" s="6"/>
      <c r="E1476" s="6"/>
      <c r="J1476" s="8"/>
      <c r="L1476" s="6"/>
    </row>
    <row r="1477" spans="1:12" x14ac:dyDescent="0.3">
      <c r="A1477" s="8"/>
      <c r="C1477" s="6"/>
      <c r="E1477" s="6"/>
      <c r="J1477" s="8"/>
      <c r="L1477" s="6"/>
    </row>
    <row r="1478" spans="1:12" x14ac:dyDescent="0.3">
      <c r="A1478" s="8"/>
      <c r="C1478" s="6"/>
      <c r="E1478" s="6"/>
      <c r="J1478" s="8"/>
      <c r="L1478" s="6"/>
    </row>
    <row r="1479" spans="1:12" x14ac:dyDescent="0.3">
      <c r="A1479" s="8"/>
      <c r="C1479" s="6"/>
      <c r="E1479" s="6"/>
      <c r="J1479" s="8"/>
      <c r="L1479" s="6"/>
    </row>
    <row r="1480" spans="1:12" x14ac:dyDescent="0.3">
      <c r="A1480" s="8"/>
      <c r="C1480" s="6"/>
      <c r="E1480" s="6"/>
      <c r="J1480" s="8"/>
      <c r="L1480" s="6"/>
    </row>
    <row r="1481" spans="1:12" x14ac:dyDescent="0.3">
      <c r="A1481" s="8"/>
      <c r="C1481" s="6"/>
      <c r="E1481" s="6"/>
      <c r="J1481" s="8"/>
      <c r="L1481" s="6"/>
    </row>
    <row r="1482" spans="1:12" x14ac:dyDescent="0.3">
      <c r="A1482" s="8"/>
      <c r="C1482" s="6"/>
      <c r="E1482" s="6"/>
      <c r="J1482" s="8"/>
      <c r="L1482" s="6"/>
    </row>
    <row r="1483" spans="1:12" x14ac:dyDescent="0.3">
      <c r="A1483" s="8"/>
      <c r="C1483" s="6"/>
      <c r="E1483" s="6"/>
      <c r="J1483" s="8"/>
      <c r="L1483" s="6"/>
    </row>
    <row r="1484" spans="1:12" x14ac:dyDescent="0.3">
      <c r="A1484" s="8"/>
      <c r="C1484" s="6"/>
      <c r="E1484" s="6"/>
      <c r="J1484" s="8"/>
      <c r="L1484" s="6"/>
    </row>
    <row r="1485" spans="1:12" x14ac:dyDescent="0.3">
      <c r="A1485" s="8"/>
      <c r="C1485" s="6"/>
      <c r="E1485" s="6"/>
      <c r="J1485" s="8"/>
      <c r="L1485" s="6"/>
    </row>
    <row r="1486" spans="1:12" x14ac:dyDescent="0.3">
      <c r="A1486" s="8"/>
      <c r="C1486" s="6"/>
      <c r="E1486" s="6"/>
      <c r="J1486" s="8"/>
      <c r="L1486" s="6"/>
    </row>
    <row r="1487" spans="1:12" x14ac:dyDescent="0.3">
      <c r="A1487" s="8"/>
      <c r="C1487" s="6"/>
      <c r="E1487" s="6"/>
      <c r="J1487" s="8"/>
      <c r="L1487" s="6"/>
    </row>
    <row r="1488" spans="1:12" x14ac:dyDescent="0.3">
      <c r="A1488" s="8"/>
      <c r="C1488" s="6"/>
      <c r="E1488" s="6"/>
      <c r="J1488" s="8"/>
      <c r="L1488" s="6"/>
    </row>
    <row r="1489" spans="1:12" x14ac:dyDescent="0.3">
      <c r="A1489" s="8"/>
      <c r="C1489" s="6"/>
      <c r="E1489" s="6"/>
      <c r="J1489" s="8"/>
      <c r="L1489" s="6"/>
    </row>
    <row r="1490" spans="1:12" x14ac:dyDescent="0.3">
      <c r="A1490" s="8"/>
      <c r="C1490" s="6"/>
      <c r="E1490" s="6"/>
      <c r="J1490" s="8"/>
      <c r="L1490" s="6"/>
    </row>
    <row r="1491" spans="1:12" x14ac:dyDescent="0.3">
      <c r="A1491" s="8"/>
      <c r="C1491" s="6"/>
      <c r="E1491" s="6"/>
      <c r="J1491" s="8"/>
      <c r="L1491" s="6"/>
    </row>
    <row r="1492" spans="1:12" x14ac:dyDescent="0.3">
      <c r="A1492" s="8"/>
      <c r="C1492" s="6"/>
      <c r="E1492" s="6"/>
      <c r="J1492" s="8"/>
      <c r="L1492" s="6"/>
    </row>
    <row r="1493" spans="1:12" x14ac:dyDescent="0.3">
      <c r="A1493" s="8"/>
      <c r="C1493" s="6"/>
      <c r="E1493" s="6"/>
      <c r="J1493" s="8"/>
      <c r="L1493" s="6"/>
    </row>
    <row r="1494" spans="1:12" x14ac:dyDescent="0.3">
      <c r="A1494" s="8"/>
      <c r="C1494" s="6"/>
      <c r="E1494" s="6"/>
      <c r="J1494" s="8"/>
      <c r="L1494" s="6"/>
    </row>
    <row r="1495" spans="1:12" x14ac:dyDescent="0.3">
      <c r="A1495" s="8"/>
      <c r="C1495" s="6"/>
      <c r="E1495" s="6"/>
      <c r="J1495" s="8"/>
      <c r="L1495" s="6"/>
    </row>
    <row r="1496" spans="1:12" x14ac:dyDescent="0.3">
      <c r="A1496" s="8"/>
      <c r="C1496" s="6"/>
      <c r="E1496" s="6"/>
      <c r="J1496" s="8"/>
      <c r="L1496" s="6"/>
    </row>
    <row r="1497" spans="1:12" x14ac:dyDescent="0.3">
      <c r="A1497" s="8"/>
      <c r="C1497" s="6"/>
      <c r="E1497" s="6"/>
      <c r="J1497" s="8"/>
      <c r="L1497" s="6"/>
    </row>
    <row r="1498" spans="1:12" x14ac:dyDescent="0.3">
      <c r="A1498" s="8"/>
      <c r="C1498" s="6"/>
      <c r="E1498" s="6"/>
      <c r="J1498" s="8"/>
      <c r="L1498" s="6"/>
    </row>
    <row r="1499" spans="1:12" x14ac:dyDescent="0.3">
      <c r="A1499" s="8"/>
      <c r="C1499" s="6"/>
      <c r="E1499" s="6"/>
      <c r="J1499" s="8"/>
      <c r="L1499" s="6"/>
    </row>
    <row r="1500" spans="1:12" x14ac:dyDescent="0.3">
      <c r="A1500" s="8"/>
      <c r="C1500" s="6"/>
      <c r="E1500" s="6"/>
      <c r="J1500" s="8"/>
      <c r="L1500" s="6"/>
    </row>
    <row r="1501" spans="1:12" x14ac:dyDescent="0.3">
      <c r="A1501" s="8"/>
      <c r="C1501" s="6"/>
      <c r="E1501" s="6"/>
      <c r="J1501" s="8"/>
      <c r="L1501" s="6"/>
    </row>
    <row r="1502" spans="1:12" x14ac:dyDescent="0.3">
      <c r="A1502" s="8"/>
      <c r="C1502" s="6"/>
      <c r="E1502" s="6"/>
      <c r="J1502" s="8"/>
      <c r="L1502" s="6"/>
    </row>
    <row r="1503" spans="1:12" x14ac:dyDescent="0.3">
      <c r="A1503" s="8"/>
      <c r="C1503" s="6"/>
      <c r="E1503" s="6"/>
      <c r="J1503" s="8"/>
      <c r="L1503" s="6"/>
    </row>
    <row r="1504" spans="1:12" x14ac:dyDescent="0.3">
      <c r="A1504" s="8"/>
      <c r="C1504" s="6"/>
      <c r="E1504" s="6"/>
      <c r="J1504" s="8"/>
      <c r="L1504" s="6"/>
    </row>
    <row r="1505" spans="1:12" x14ac:dyDescent="0.3">
      <c r="A1505" s="8"/>
      <c r="C1505" s="6"/>
      <c r="E1505" s="6"/>
      <c r="J1505" s="8"/>
      <c r="L1505" s="6"/>
    </row>
    <row r="1506" spans="1:12" x14ac:dyDescent="0.3">
      <c r="A1506" s="8"/>
      <c r="C1506" s="6"/>
      <c r="E1506" s="6"/>
      <c r="J1506" s="8"/>
      <c r="L1506" s="6"/>
    </row>
    <row r="1507" spans="1:12" x14ac:dyDescent="0.3">
      <c r="A1507" s="8"/>
      <c r="C1507" s="6"/>
      <c r="E1507" s="6"/>
      <c r="J1507" s="8"/>
      <c r="L1507" s="6"/>
    </row>
    <row r="1508" spans="1:12" x14ac:dyDescent="0.3">
      <c r="A1508" s="8"/>
      <c r="C1508" s="6"/>
      <c r="E1508" s="6"/>
      <c r="J1508" s="8"/>
      <c r="L1508" s="6"/>
    </row>
    <row r="1509" spans="1:12" x14ac:dyDescent="0.3">
      <c r="A1509" s="8"/>
      <c r="C1509" s="6"/>
      <c r="E1509" s="6"/>
      <c r="J1509" s="8"/>
      <c r="L1509" s="6"/>
    </row>
    <row r="1510" spans="1:12" x14ac:dyDescent="0.3">
      <c r="A1510" s="8"/>
      <c r="C1510" s="6"/>
      <c r="E1510" s="6"/>
      <c r="J1510" s="8"/>
      <c r="L1510" s="6"/>
    </row>
    <row r="1511" spans="1:12" x14ac:dyDescent="0.3">
      <c r="A1511" s="8"/>
      <c r="C1511" s="6"/>
      <c r="E1511" s="6"/>
      <c r="J1511" s="8"/>
      <c r="L1511" s="6"/>
    </row>
    <row r="1512" spans="1:12" x14ac:dyDescent="0.3">
      <c r="A1512" s="8"/>
      <c r="C1512" s="6"/>
      <c r="E1512" s="6"/>
      <c r="J1512" s="8"/>
      <c r="L1512" s="6"/>
    </row>
    <row r="1513" spans="1:12" x14ac:dyDescent="0.3">
      <c r="A1513" s="8"/>
      <c r="C1513" s="6"/>
      <c r="E1513" s="6"/>
      <c r="J1513" s="8"/>
      <c r="L1513" s="6"/>
    </row>
    <row r="1514" spans="1:12" x14ac:dyDescent="0.3">
      <c r="A1514" s="8"/>
      <c r="C1514" s="6"/>
      <c r="E1514" s="6"/>
      <c r="J1514" s="8"/>
      <c r="L1514" s="6"/>
    </row>
    <row r="1515" spans="1:12" x14ac:dyDescent="0.3">
      <c r="A1515" s="8"/>
      <c r="C1515" s="6"/>
      <c r="E1515" s="6"/>
      <c r="J1515" s="8"/>
      <c r="L1515" s="6"/>
    </row>
    <row r="1516" spans="1:12" x14ac:dyDescent="0.3">
      <c r="A1516" s="8"/>
      <c r="C1516" s="6"/>
      <c r="E1516" s="6"/>
      <c r="J1516" s="8"/>
      <c r="L1516" s="6"/>
    </row>
    <row r="1517" spans="1:12" x14ac:dyDescent="0.3">
      <c r="A1517" s="8"/>
      <c r="C1517" s="6"/>
      <c r="E1517" s="6"/>
      <c r="J1517" s="8"/>
      <c r="L1517" s="6"/>
    </row>
    <row r="1518" spans="1:12" x14ac:dyDescent="0.3">
      <c r="A1518" s="8"/>
      <c r="C1518" s="6"/>
      <c r="E1518" s="6"/>
      <c r="J1518" s="8"/>
      <c r="L1518" s="6"/>
    </row>
    <row r="1519" spans="1:12" x14ac:dyDescent="0.3">
      <c r="A1519" s="8"/>
      <c r="C1519" s="6"/>
      <c r="E1519" s="6"/>
      <c r="J1519" s="8"/>
      <c r="L1519" s="6"/>
    </row>
    <row r="1520" spans="1:12" x14ac:dyDescent="0.3">
      <c r="A1520" s="8"/>
      <c r="C1520" s="6"/>
      <c r="E1520" s="6"/>
      <c r="J1520" s="8"/>
      <c r="L1520" s="6"/>
    </row>
    <row r="1521" spans="1:12" x14ac:dyDescent="0.3">
      <c r="A1521" s="8"/>
      <c r="C1521" s="6"/>
      <c r="E1521" s="6"/>
      <c r="J1521" s="8"/>
      <c r="L1521" s="6"/>
    </row>
    <row r="1522" spans="1:12" x14ac:dyDescent="0.3">
      <c r="A1522" s="8"/>
      <c r="C1522" s="6"/>
      <c r="E1522" s="6"/>
      <c r="J1522" s="8"/>
      <c r="L1522" s="6"/>
    </row>
    <row r="1523" spans="1:12" x14ac:dyDescent="0.3">
      <c r="A1523" s="8"/>
      <c r="C1523" s="6"/>
      <c r="E1523" s="6"/>
      <c r="J1523" s="8"/>
      <c r="L1523" s="6"/>
    </row>
    <row r="1524" spans="1:12" x14ac:dyDescent="0.3">
      <c r="A1524" s="8"/>
      <c r="C1524" s="6"/>
      <c r="E1524" s="6"/>
      <c r="J1524" s="8"/>
      <c r="L1524" s="6"/>
    </row>
    <row r="1525" spans="1:12" x14ac:dyDescent="0.3">
      <c r="A1525" s="8"/>
      <c r="C1525" s="6"/>
      <c r="E1525" s="6"/>
      <c r="J1525" s="8"/>
      <c r="L1525" s="6"/>
    </row>
    <row r="1526" spans="1:12" x14ac:dyDescent="0.3">
      <c r="A1526" s="8"/>
      <c r="C1526" s="6"/>
      <c r="E1526" s="6"/>
      <c r="J1526" s="8"/>
      <c r="L1526" s="6"/>
    </row>
    <row r="1527" spans="1:12" x14ac:dyDescent="0.3">
      <c r="A1527" s="8"/>
      <c r="C1527" s="6"/>
      <c r="E1527" s="6"/>
      <c r="J1527" s="8"/>
      <c r="L1527" s="6"/>
    </row>
    <row r="1528" spans="1:12" x14ac:dyDescent="0.3">
      <c r="A1528" s="8"/>
      <c r="C1528" s="6"/>
      <c r="E1528" s="6"/>
      <c r="J1528" s="8"/>
      <c r="L1528" s="6"/>
    </row>
    <row r="1529" spans="1:12" x14ac:dyDescent="0.3">
      <c r="A1529" s="8"/>
      <c r="C1529" s="6"/>
      <c r="E1529" s="6"/>
      <c r="J1529" s="8"/>
      <c r="L1529" s="6"/>
    </row>
    <row r="1530" spans="1:12" x14ac:dyDescent="0.3">
      <c r="A1530" s="8"/>
      <c r="C1530" s="6"/>
      <c r="E1530" s="6"/>
      <c r="J1530" s="8"/>
      <c r="L1530" s="6"/>
    </row>
    <row r="1531" spans="1:12" x14ac:dyDescent="0.3">
      <c r="A1531" s="8"/>
      <c r="C1531" s="6"/>
      <c r="E1531" s="6"/>
      <c r="J1531" s="8"/>
      <c r="L1531" s="6"/>
    </row>
    <row r="1532" spans="1:12" x14ac:dyDescent="0.3">
      <c r="A1532" s="8"/>
      <c r="C1532" s="6"/>
      <c r="E1532" s="6"/>
      <c r="J1532" s="8"/>
      <c r="L1532" s="6"/>
    </row>
    <row r="1533" spans="1:12" x14ac:dyDescent="0.3">
      <c r="A1533" s="8"/>
      <c r="C1533" s="6"/>
      <c r="E1533" s="6"/>
      <c r="J1533" s="8"/>
      <c r="L1533" s="6"/>
    </row>
    <row r="1534" spans="1:12" x14ac:dyDescent="0.3">
      <c r="A1534" s="8"/>
      <c r="C1534" s="6"/>
      <c r="E1534" s="6"/>
      <c r="J1534" s="8"/>
      <c r="L1534" s="6"/>
    </row>
    <row r="1535" spans="1:12" x14ac:dyDescent="0.3">
      <c r="A1535" s="8"/>
      <c r="C1535" s="6"/>
      <c r="E1535" s="6"/>
      <c r="J1535" s="8"/>
      <c r="L1535" s="6"/>
    </row>
    <row r="1536" spans="1:12" x14ac:dyDescent="0.3">
      <c r="A1536" s="8"/>
      <c r="C1536" s="6"/>
      <c r="E1536" s="6"/>
      <c r="J1536" s="8"/>
      <c r="L1536" s="6"/>
    </row>
    <row r="1537" spans="1:12" x14ac:dyDescent="0.3">
      <c r="A1537" s="8"/>
      <c r="C1537" s="6"/>
      <c r="E1537" s="6"/>
      <c r="J1537" s="8"/>
      <c r="L1537" s="6"/>
    </row>
    <row r="1538" spans="1:12" x14ac:dyDescent="0.3">
      <c r="A1538" s="8"/>
      <c r="C1538" s="6"/>
      <c r="E1538" s="6"/>
      <c r="J1538" s="8"/>
      <c r="L1538" s="6"/>
    </row>
    <row r="1539" spans="1:12" x14ac:dyDescent="0.3">
      <c r="A1539" s="8"/>
      <c r="C1539" s="6"/>
      <c r="E1539" s="6"/>
      <c r="J1539" s="8"/>
      <c r="L1539" s="6"/>
    </row>
    <row r="1540" spans="1:12" x14ac:dyDescent="0.3">
      <c r="A1540" s="8"/>
      <c r="C1540" s="6"/>
      <c r="E1540" s="6"/>
      <c r="J1540" s="8"/>
      <c r="L1540" s="6"/>
    </row>
    <row r="1541" spans="1:12" x14ac:dyDescent="0.3">
      <c r="A1541" s="8"/>
      <c r="C1541" s="6"/>
      <c r="E1541" s="6"/>
      <c r="J1541" s="8"/>
      <c r="L1541" s="6"/>
    </row>
    <row r="1542" spans="1:12" x14ac:dyDescent="0.3">
      <c r="A1542" s="8"/>
      <c r="C1542" s="6"/>
      <c r="E1542" s="6"/>
      <c r="J1542" s="8"/>
      <c r="L1542" s="6"/>
    </row>
    <row r="1543" spans="1:12" x14ac:dyDescent="0.3">
      <c r="A1543" s="8"/>
      <c r="C1543" s="6"/>
      <c r="E1543" s="6"/>
      <c r="J1543" s="8"/>
      <c r="L1543" s="6"/>
    </row>
    <row r="1544" spans="1:12" x14ac:dyDescent="0.3">
      <c r="A1544" s="8"/>
      <c r="C1544" s="6"/>
      <c r="E1544" s="6"/>
      <c r="J1544" s="8"/>
      <c r="L1544" s="6"/>
    </row>
    <row r="1545" spans="1:12" x14ac:dyDescent="0.3">
      <c r="A1545" s="8"/>
      <c r="C1545" s="6"/>
      <c r="E1545" s="6"/>
      <c r="J1545" s="8"/>
      <c r="L1545" s="6"/>
    </row>
    <row r="1546" spans="1:12" x14ac:dyDescent="0.3">
      <c r="A1546" s="8"/>
      <c r="C1546" s="6"/>
      <c r="E1546" s="6"/>
      <c r="J1546" s="8"/>
      <c r="L1546" s="6"/>
    </row>
    <row r="1547" spans="1:12" x14ac:dyDescent="0.3">
      <c r="A1547" s="8"/>
      <c r="C1547" s="6"/>
      <c r="E1547" s="6"/>
      <c r="J1547" s="8"/>
      <c r="L1547" s="6"/>
    </row>
    <row r="1548" spans="1:12" x14ac:dyDescent="0.3">
      <c r="A1548" s="8"/>
      <c r="C1548" s="6"/>
      <c r="E1548" s="6"/>
      <c r="J1548" s="8"/>
      <c r="L1548" s="6"/>
    </row>
    <row r="1549" spans="1:12" x14ac:dyDescent="0.3">
      <c r="A1549" s="8"/>
      <c r="C1549" s="6"/>
      <c r="E1549" s="6"/>
      <c r="J1549" s="8"/>
      <c r="L1549" s="6"/>
    </row>
    <row r="1550" spans="1:12" x14ac:dyDescent="0.3">
      <c r="A1550" s="8"/>
      <c r="C1550" s="6"/>
      <c r="E1550" s="6"/>
      <c r="J1550" s="8"/>
      <c r="L1550" s="6"/>
    </row>
    <row r="1551" spans="1:12" x14ac:dyDescent="0.3">
      <c r="A1551" s="8"/>
      <c r="C1551" s="6"/>
      <c r="E1551" s="6"/>
      <c r="J1551" s="8"/>
      <c r="L1551" s="6"/>
    </row>
    <row r="1552" spans="1:12" x14ac:dyDescent="0.3">
      <c r="A1552" s="8"/>
      <c r="C1552" s="6"/>
      <c r="E1552" s="6"/>
      <c r="J1552" s="8"/>
      <c r="L1552" s="6"/>
    </row>
    <row r="1553" spans="1:12" x14ac:dyDescent="0.3">
      <c r="A1553" s="8"/>
      <c r="C1553" s="6"/>
      <c r="E1553" s="6"/>
      <c r="J1553" s="8"/>
      <c r="L1553" s="6"/>
    </row>
    <row r="1554" spans="1:12" x14ac:dyDescent="0.3">
      <c r="A1554" s="8"/>
      <c r="C1554" s="6"/>
      <c r="E1554" s="6"/>
      <c r="J1554" s="8"/>
      <c r="L1554" s="6"/>
    </row>
    <row r="1555" spans="1:12" x14ac:dyDescent="0.3">
      <c r="A1555" s="8"/>
      <c r="C1555" s="6"/>
      <c r="E1555" s="6"/>
      <c r="J1555" s="8"/>
      <c r="L1555" s="6"/>
    </row>
    <row r="1556" spans="1:12" x14ac:dyDescent="0.3">
      <c r="A1556" s="8"/>
      <c r="C1556" s="6"/>
      <c r="E1556" s="6"/>
      <c r="J1556" s="8"/>
      <c r="L1556" s="6"/>
    </row>
    <row r="1557" spans="1:12" x14ac:dyDescent="0.3">
      <c r="A1557" s="8"/>
      <c r="C1557" s="6"/>
      <c r="E1557" s="6"/>
      <c r="J1557" s="8"/>
      <c r="L1557" s="6"/>
    </row>
    <row r="1558" spans="1:12" x14ac:dyDescent="0.3">
      <c r="A1558" s="8"/>
      <c r="C1558" s="6"/>
      <c r="E1558" s="6"/>
      <c r="J1558" s="8"/>
      <c r="L1558" s="6"/>
    </row>
    <row r="1559" spans="1:12" x14ac:dyDescent="0.3">
      <c r="A1559" s="8"/>
      <c r="C1559" s="6"/>
      <c r="E1559" s="6"/>
      <c r="J1559" s="8"/>
      <c r="L1559" s="6"/>
    </row>
    <row r="1560" spans="1:12" x14ac:dyDescent="0.3">
      <c r="A1560" s="8"/>
      <c r="C1560" s="6"/>
      <c r="E1560" s="6"/>
      <c r="J1560" s="8"/>
      <c r="L1560" s="6"/>
    </row>
    <row r="1561" spans="1:12" x14ac:dyDescent="0.3">
      <c r="A1561" s="8"/>
      <c r="C1561" s="6"/>
      <c r="E1561" s="6"/>
      <c r="J1561" s="8"/>
      <c r="L1561" s="6"/>
    </row>
    <row r="1562" spans="1:12" x14ac:dyDescent="0.3">
      <c r="A1562" s="8"/>
      <c r="C1562" s="6"/>
      <c r="E1562" s="6"/>
      <c r="J1562" s="8"/>
      <c r="L1562" s="6"/>
    </row>
    <row r="1563" spans="1:12" x14ac:dyDescent="0.3">
      <c r="A1563" s="8"/>
      <c r="C1563" s="6"/>
      <c r="E1563" s="6"/>
      <c r="J1563" s="8"/>
      <c r="L1563" s="6"/>
    </row>
    <row r="1564" spans="1:12" x14ac:dyDescent="0.3">
      <c r="A1564" s="8"/>
      <c r="C1564" s="6"/>
      <c r="E1564" s="6"/>
      <c r="J1564" s="8"/>
      <c r="L1564" s="6"/>
    </row>
    <row r="1565" spans="1:12" x14ac:dyDescent="0.3">
      <c r="A1565" s="8"/>
      <c r="C1565" s="6"/>
      <c r="E1565" s="6"/>
      <c r="J1565" s="8"/>
      <c r="L1565" s="6"/>
    </row>
    <row r="1566" spans="1:12" x14ac:dyDescent="0.3">
      <c r="A1566" s="8"/>
      <c r="C1566" s="6"/>
      <c r="E1566" s="6"/>
      <c r="J1566" s="8"/>
      <c r="L1566" s="6"/>
    </row>
    <row r="1567" spans="1:12" x14ac:dyDescent="0.3">
      <c r="A1567" s="8"/>
      <c r="C1567" s="6"/>
      <c r="E1567" s="6"/>
      <c r="J1567" s="8"/>
      <c r="L1567" s="6"/>
    </row>
    <row r="1568" spans="1:12" x14ac:dyDescent="0.3">
      <c r="A1568" s="8"/>
      <c r="C1568" s="6"/>
      <c r="E1568" s="6"/>
      <c r="J1568" s="8"/>
      <c r="L1568" s="6"/>
    </row>
    <row r="1569" spans="1:12" x14ac:dyDescent="0.3">
      <c r="A1569" s="8"/>
      <c r="C1569" s="6"/>
      <c r="E1569" s="6"/>
      <c r="J1569" s="8"/>
      <c r="L1569" s="6"/>
    </row>
    <row r="1570" spans="1:12" x14ac:dyDescent="0.3">
      <c r="A1570" s="8"/>
      <c r="C1570" s="6"/>
      <c r="E1570" s="6"/>
      <c r="J1570" s="8"/>
      <c r="L1570" s="6"/>
    </row>
    <row r="1571" spans="1:12" x14ac:dyDescent="0.3">
      <c r="A1571" s="8"/>
      <c r="C1571" s="6"/>
      <c r="E1571" s="6"/>
      <c r="J1571" s="8"/>
      <c r="L1571" s="6"/>
    </row>
    <row r="1572" spans="1:12" x14ac:dyDescent="0.3">
      <c r="A1572" s="8"/>
      <c r="C1572" s="6"/>
      <c r="E1572" s="6"/>
      <c r="J1572" s="8"/>
      <c r="L1572" s="6"/>
    </row>
    <row r="1573" spans="1:12" x14ac:dyDescent="0.3">
      <c r="A1573" s="8"/>
      <c r="C1573" s="6"/>
      <c r="E1573" s="6"/>
      <c r="J1573" s="8"/>
      <c r="L1573" s="6"/>
    </row>
    <row r="1574" spans="1:12" x14ac:dyDescent="0.3">
      <c r="A1574" s="8"/>
      <c r="C1574" s="6"/>
      <c r="E1574" s="6"/>
      <c r="J1574" s="8"/>
      <c r="L1574" s="6"/>
    </row>
    <row r="1575" spans="1:12" x14ac:dyDescent="0.3">
      <c r="A1575" s="8"/>
      <c r="C1575" s="6"/>
      <c r="E1575" s="6"/>
      <c r="J1575" s="8"/>
      <c r="L1575" s="6"/>
    </row>
    <row r="1576" spans="1:12" x14ac:dyDescent="0.3">
      <c r="A1576" s="8"/>
      <c r="C1576" s="6"/>
      <c r="E1576" s="6"/>
      <c r="J1576" s="8"/>
      <c r="L1576" s="6"/>
    </row>
    <row r="1577" spans="1:12" x14ac:dyDescent="0.3">
      <c r="A1577" s="8"/>
      <c r="C1577" s="6"/>
      <c r="E1577" s="6"/>
      <c r="J1577" s="8"/>
      <c r="L1577" s="6"/>
    </row>
    <row r="1578" spans="1:12" x14ac:dyDescent="0.3">
      <c r="A1578" s="8"/>
      <c r="C1578" s="6"/>
      <c r="E1578" s="6"/>
      <c r="J1578" s="8"/>
      <c r="L1578" s="6"/>
    </row>
    <row r="1579" spans="1:12" x14ac:dyDescent="0.3">
      <c r="A1579" s="8"/>
      <c r="C1579" s="6"/>
      <c r="E1579" s="6"/>
      <c r="J1579" s="8"/>
      <c r="L1579" s="6"/>
    </row>
    <row r="1580" spans="1:12" x14ac:dyDescent="0.3">
      <c r="A1580" s="8"/>
      <c r="C1580" s="6"/>
      <c r="E1580" s="6"/>
      <c r="J1580" s="8"/>
      <c r="L1580" s="6"/>
    </row>
    <row r="1581" spans="1:12" x14ac:dyDescent="0.3">
      <c r="A1581" s="8"/>
      <c r="C1581" s="6"/>
      <c r="E1581" s="6"/>
      <c r="J1581" s="8"/>
      <c r="L1581" s="6"/>
    </row>
    <row r="1582" spans="1:12" x14ac:dyDescent="0.3">
      <c r="A1582" s="8"/>
      <c r="C1582" s="6"/>
      <c r="E1582" s="6"/>
      <c r="J1582" s="8"/>
      <c r="L1582" s="6"/>
    </row>
    <row r="1583" spans="1:12" x14ac:dyDescent="0.3">
      <c r="A1583" s="8"/>
      <c r="C1583" s="6"/>
      <c r="E1583" s="6"/>
      <c r="J1583" s="8"/>
      <c r="L1583" s="6"/>
    </row>
    <row r="1584" spans="1:12" x14ac:dyDescent="0.3">
      <c r="A1584" s="8"/>
      <c r="C1584" s="6"/>
      <c r="E1584" s="6"/>
      <c r="J1584" s="8"/>
      <c r="L1584" s="6"/>
    </row>
    <row r="1585" spans="1:12" x14ac:dyDescent="0.3">
      <c r="A1585" s="8"/>
      <c r="C1585" s="6"/>
      <c r="E1585" s="6"/>
      <c r="J1585" s="8"/>
      <c r="L1585" s="6"/>
    </row>
    <row r="1586" spans="1:12" x14ac:dyDescent="0.3">
      <c r="A1586" s="8"/>
      <c r="C1586" s="6"/>
      <c r="E1586" s="6"/>
      <c r="J1586" s="8"/>
      <c r="L1586" s="6"/>
    </row>
    <row r="1587" spans="1:12" x14ac:dyDescent="0.3">
      <c r="A1587" s="8"/>
      <c r="C1587" s="6"/>
      <c r="E1587" s="6"/>
      <c r="J1587" s="8"/>
      <c r="L1587" s="6"/>
    </row>
    <row r="1588" spans="1:12" x14ac:dyDescent="0.3">
      <c r="A1588" s="8"/>
      <c r="C1588" s="6"/>
      <c r="E1588" s="6"/>
      <c r="J1588" s="8"/>
      <c r="L1588" s="6"/>
    </row>
    <row r="1589" spans="1:12" x14ac:dyDescent="0.3">
      <c r="A1589" s="8"/>
      <c r="C1589" s="6"/>
      <c r="E1589" s="6"/>
      <c r="J1589" s="8"/>
      <c r="L1589" s="6"/>
    </row>
    <row r="1590" spans="1:12" x14ac:dyDescent="0.3">
      <c r="A1590" s="8"/>
      <c r="C1590" s="6"/>
      <c r="E1590" s="6"/>
      <c r="J1590" s="8"/>
      <c r="L1590" s="6"/>
    </row>
    <row r="1591" spans="1:12" x14ac:dyDescent="0.3">
      <c r="A1591" s="8"/>
      <c r="C1591" s="6"/>
      <c r="E1591" s="6"/>
      <c r="J1591" s="8"/>
      <c r="L1591" s="6"/>
    </row>
    <row r="1592" spans="1:12" x14ac:dyDescent="0.3">
      <c r="A1592" s="8"/>
      <c r="C1592" s="6"/>
      <c r="E1592" s="6"/>
      <c r="J1592" s="8"/>
      <c r="L1592" s="6"/>
    </row>
    <row r="1593" spans="1:12" x14ac:dyDescent="0.3">
      <c r="A1593" s="8"/>
      <c r="C1593" s="6"/>
      <c r="E1593" s="6"/>
      <c r="J1593" s="8"/>
      <c r="L1593" s="6"/>
    </row>
    <row r="1594" spans="1:12" x14ac:dyDescent="0.3">
      <c r="A1594" s="8"/>
      <c r="C1594" s="6"/>
      <c r="E1594" s="6"/>
      <c r="J1594" s="8"/>
      <c r="L1594" s="6"/>
    </row>
    <row r="1595" spans="1:12" x14ac:dyDescent="0.3">
      <c r="A1595" s="8"/>
      <c r="C1595" s="6"/>
      <c r="E1595" s="6"/>
      <c r="J1595" s="8"/>
      <c r="L1595" s="6"/>
    </row>
    <row r="1596" spans="1:12" x14ac:dyDescent="0.3">
      <c r="A1596" s="8"/>
      <c r="C1596" s="6"/>
      <c r="E1596" s="6"/>
      <c r="J1596" s="8"/>
      <c r="L1596" s="6"/>
    </row>
    <row r="1597" spans="1:12" x14ac:dyDescent="0.3">
      <c r="A1597" s="8"/>
      <c r="C1597" s="6"/>
      <c r="E1597" s="6"/>
      <c r="J1597" s="8"/>
      <c r="L1597" s="6"/>
    </row>
    <row r="1598" spans="1:12" x14ac:dyDescent="0.3">
      <c r="A1598" s="8"/>
      <c r="C1598" s="6"/>
      <c r="E1598" s="6"/>
      <c r="J1598" s="8"/>
      <c r="L1598" s="6"/>
    </row>
    <row r="1599" spans="1:12" x14ac:dyDescent="0.3">
      <c r="A1599" s="8"/>
      <c r="C1599" s="6"/>
      <c r="E1599" s="6"/>
      <c r="J1599" s="8"/>
      <c r="L1599" s="6"/>
    </row>
    <row r="1600" spans="1:12" x14ac:dyDescent="0.3">
      <c r="A1600" s="8"/>
      <c r="C1600" s="6"/>
      <c r="E1600" s="6"/>
      <c r="J1600" s="8"/>
      <c r="L1600" s="6"/>
    </row>
    <row r="1601" spans="1:12" x14ac:dyDescent="0.3">
      <c r="A1601" s="8"/>
      <c r="C1601" s="6"/>
      <c r="E1601" s="6"/>
      <c r="J1601" s="8"/>
      <c r="L1601" s="6"/>
    </row>
    <row r="1602" spans="1:12" x14ac:dyDescent="0.3">
      <c r="A1602" s="8"/>
      <c r="C1602" s="6"/>
      <c r="E1602" s="6"/>
      <c r="J1602" s="8"/>
      <c r="L1602" s="6"/>
    </row>
    <row r="1603" spans="1:12" x14ac:dyDescent="0.3">
      <c r="A1603" s="8"/>
      <c r="C1603" s="6"/>
      <c r="E1603" s="6"/>
      <c r="J1603" s="8"/>
      <c r="L1603" s="6"/>
    </row>
    <row r="1604" spans="1:12" x14ac:dyDescent="0.3">
      <c r="A1604" s="8"/>
      <c r="C1604" s="6"/>
      <c r="E1604" s="6"/>
      <c r="J1604" s="8"/>
      <c r="L1604" s="6"/>
    </row>
    <row r="1605" spans="1:12" x14ac:dyDescent="0.3">
      <c r="A1605" s="8"/>
      <c r="C1605" s="6"/>
      <c r="E1605" s="6"/>
      <c r="J1605" s="8"/>
      <c r="L1605" s="6"/>
    </row>
    <row r="1606" spans="1:12" x14ac:dyDescent="0.3">
      <c r="A1606" s="8"/>
      <c r="C1606" s="6"/>
      <c r="E1606" s="6"/>
      <c r="J1606" s="8"/>
      <c r="L1606" s="6"/>
    </row>
    <row r="1607" spans="1:12" x14ac:dyDescent="0.3">
      <c r="A1607" s="8"/>
      <c r="C1607" s="6"/>
      <c r="E1607" s="6"/>
      <c r="J1607" s="8"/>
      <c r="L1607" s="6"/>
    </row>
    <row r="1608" spans="1:12" x14ac:dyDescent="0.3">
      <c r="A1608" s="8"/>
      <c r="C1608" s="6"/>
      <c r="E1608" s="6"/>
      <c r="J1608" s="8"/>
      <c r="L1608" s="6"/>
    </row>
    <row r="1609" spans="1:12" x14ac:dyDescent="0.3">
      <c r="A1609" s="8"/>
      <c r="C1609" s="6"/>
      <c r="E1609" s="6"/>
      <c r="J1609" s="8"/>
      <c r="L1609" s="6"/>
    </row>
    <row r="1610" spans="1:12" x14ac:dyDescent="0.3">
      <c r="A1610" s="8"/>
      <c r="C1610" s="6"/>
      <c r="E1610" s="6"/>
      <c r="J1610" s="8"/>
      <c r="L1610" s="6"/>
    </row>
    <row r="1611" spans="1:12" x14ac:dyDescent="0.3">
      <c r="A1611" s="8"/>
      <c r="C1611" s="6"/>
      <c r="E1611" s="6"/>
      <c r="J1611" s="8"/>
      <c r="L1611" s="6"/>
    </row>
    <row r="1612" spans="1:12" x14ac:dyDescent="0.3">
      <c r="A1612" s="8"/>
      <c r="C1612" s="6"/>
      <c r="E1612" s="6"/>
      <c r="J1612" s="8"/>
      <c r="L1612" s="6"/>
    </row>
    <row r="1613" spans="1:12" x14ac:dyDescent="0.3">
      <c r="A1613" s="8"/>
      <c r="C1613" s="6"/>
      <c r="E1613" s="6"/>
      <c r="J1613" s="8"/>
      <c r="L1613" s="6"/>
    </row>
    <row r="1614" spans="1:12" x14ac:dyDescent="0.3">
      <c r="A1614" s="8"/>
      <c r="C1614" s="6"/>
      <c r="E1614" s="6"/>
      <c r="J1614" s="8"/>
      <c r="L1614" s="6"/>
    </row>
    <row r="1615" spans="1:12" x14ac:dyDescent="0.3">
      <c r="A1615" s="8"/>
      <c r="C1615" s="6"/>
      <c r="E1615" s="6"/>
      <c r="J1615" s="8"/>
      <c r="L1615" s="6"/>
    </row>
    <row r="1616" spans="1:12" x14ac:dyDescent="0.3">
      <c r="A1616" s="8"/>
      <c r="C1616" s="6"/>
      <c r="E1616" s="6"/>
      <c r="J1616" s="8"/>
      <c r="L1616" s="6"/>
    </row>
    <row r="1617" spans="1:12" x14ac:dyDescent="0.3">
      <c r="A1617" s="8"/>
      <c r="C1617" s="6"/>
      <c r="E1617" s="6"/>
      <c r="J1617" s="8"/>
      <c r="L1617" s="6"/>
    </row>
    <row r="1618" spans="1:12" x14ac:dyDescent="0.3">
      <c r="A1618" s="8"/>
      <c r="C1618" s="6"/>
      <c r="E1618" s="6"/>
      <c r="J1618" s="8"/>
      <c r="L1618" s="6"/>
    </row>
    <row r="1619" spans="1:12" x14ac:dyDescent="0.3">
      <c r="A1619" s="8"/>
      <c r="C1619" s="6"/>
      <c r="E1619" s="6"/>
      <c r="J1619" s="8"/>
      <c r="L1619" s="6"/>
    </row>
    <row r="1620" spans="1:12" x14ac:dyDescent="0.3">
      <c r="A1620" s="8"/>
      <c r="C1620" s="6"/>
      <c r="E1620" s="6"/>
      <c r="J1620" s="8"/>
      <c r="L1620" s="6"/>
    </row>
    <row r="1621" spans="1:12" x14ac:dyDescent="0.3">
      <c r="A1621" s="8"/>
      <c r="C1621" s="6"/>
      <c r="E1621" s="6"/>
      <c r="J1621" s="8"/>
      <c r="L1621" s="6"/>
    </row>
    <row r="1622" spans="1:12" x14ac:dyDescent="0.3">
      <c r="A1622" s="8"/>
      <c r="C1622" s="6"/>
      <c r="E1622" s="6"/>
      <c r="J1622" s="8"/>
      <c r="L1622" s="6"/>
    </row>
    <row r="1623" spans="1:12" x14ac:dyDescent="0.3">
      <c r="A1623" s="8"/>
      <c r="C1623" s="6"/>
      <c r="E1623" s="6"/>
      <c r="J1623" s="8"/>
      <c r="L1623" s="6"/>
    </row>
    <row r="1624" spans="1:12" x14ac:dyDescent="0.3">
      <c r="A1624" s="8"/>
      <c r="C1624" s="6"/>
      <c r="E1624" s="6"/>
      <c r="J1624" s="8"/>
      <c r="L1624" s="6"/>
    </row>
    <row r="1625" spans="1:12" x14ac:dyDescent="0.3">
      <c r="A1625" s="8"/>
      <c r="C1625" s="6"/>
      <c r="E1625" s="6"/>
      <c r="J1625" s="8"/>
      <c r="L1625" s="6"/>
    </row>
    <row r="1626" spans="1:12" x14ac:dyDescent="0.3">
      <c r="A1626" s="8"/>
      <c r="C1626" s="6"/>
      <c r="E1626" s="6"/>
      <c r="J1626" s="8"/>
      <c r="L1626" s="6"/>
    </row>
    <row r="1627" spans="1:12" x14ac:dyDescent="0.3">
      <c r="A1627" s="8"/>
      <c r="C1627" s="6"/>
      <c r="E1627" s="6"/>
      <c r="J1627" s="8"/>
      <c r="L1627" s="6"/>
    </row>
    <row r="1628" spans="1:12" x14ac:dyDescent="0.3">
      <c r="A1628" s="8"/>
      <c r="C1628" s="6"/>
      <c r="E1628" s="6"/>
      <c r="J1628" s="8"/>
      <c r="L1628" s="6"/>
    </row>
    <row r="1629" spans="1:12" x14ac:dyDescent="0.3">
      <c r="A1629" s="8"/>
      <c r="C1629" s="6"/>
      <c r="E1629" s="6"/>
      <c r="J1629" s="8"/>
      <c r="L1629" s="6"/>
    </row>
    <row r="1630" spans="1:12" x14ac:dyDescent="0.3">
      <c r="A1630" s="8"/>
      <c r="C1630" s="6"/>
      <c r="E1630" s="6"/>
      <c r="J1630" s="8"/>
      <c r="L1630" s="6"/>
    </row>
    <row r="1631" spans="1:12" x14ac:dyDescent="0.3">
      <c r="A1631" s="8"/>
      <c r="C1631" s="6"/>
      <c r="E1631" s="6"/>
      <c r="J1631" s="8"/>
      <c r="L1631" s="6"/>
    </row>
    <row r="1632" spans="1:12" x14ac:dyDescent="0.3">
      <c r="A1632" s="8"/>
      <c r="C1632" s="6"/>
      <c r="E1632" s="6"/>
      <c r="J1632" s="8"/>
      <c r="L1632" s="6"/>
    </row>
    <row r="1633" spans="1:12" x14ac:dyDescent="0.3">
      <c r="A1633" s="8"/>
      <c r="C1633" s="6"/>
      <c r="E1633" s="6"/>
      <c r="J1633" s="8"/>
      <c r="L1633" s="6"/>
    </row>
    <row r="1634" spans="1:12" x14ac:dyDescent="0.3">
      <c r="A1634" s="8"/>
      <c r="C1634" s="6"/>
      <c r="E1634" s="6"/>
      <c r="J1634" s="8"/>
      <c r="L1634" s="6"/>
    </row>
    <row r="1635" spans="1:12" x14ac:dyDescent="0.3">
      <c r="A1635" s="8"/>
      <c r="C1635" s="6"/>
      <c r="E1635" s="6"/>
      <c r="J1635" s="8"/>
      <c r="L1635" s="6"/>
    </row>
    <row r="1636" spans="1:12" x14ac:dyDescent="0.3">
      <c r="A1636" s="8"/>
      <c r="C1636" s="6"/>
      <c r="E1636" s="6"/>
      <c r="J1636" s="8"/>
      <c r="L1636" s="6"/>
    </row>
    <row r="1637" spans="1:12" x14ac:dyDescent="0.3">
      <c r="A1637" s="8"/>
      <c r="C1637" s="6"/>
      <c r="E1637" s="6"/>
      <c r="J1637" s="8"/>
      <c r="L1637" s="6"/>
    </row>
    <row r="1638" spans="1:12" x14ac:dyDescent="0.3">
      <c r="A1638" s="8"/>
      <c r="C1638" s="6"/>
      <c r="E1638" s="6"/>
      <c r="J1638" s="8"/>
      <c r="L1638" s="6"/>
    </row>
    <row r="1639" spans="1:12" x14ac:dyDescent="0.3">
      <c r="A1639" s="8"/>
      <c r="C1639" s="6"/>
      <c r="E1639" s="6"/>
      <c r="J1639" s="8"/>
      <c r="L1639" s="6"/>
    </row>
    <row r="1640" spans="1:12" x14ac:dyDescent="0.3">
      <c r="A1640" s="8"/>
      <c r="C1640" s="6"/>
      <c r="E1640" s="6"/>
      <c r="J1640" s="8"/>
      <c r="L1640" s="6"/>
    </row>
    <row r="1641" spans="1:12" x14ac:dyDescent="0.3">
      <c r="A1641" s="8"/>
      <c r="C1641" s="6"/>
      <c r="E1641" s="6"/>
      <c r="J1641" s="8"/>
      <c r="L1641" s="6"/>
    </row>
    <row r="1642" spans="1:12" x14ac:dyDescent="0.3">
      <c r="A1642" s="8"/>
      <c r="C1642" s="6"/>
      <c r="E1642" s="6"/>
      <c r="J1642" s="8"/>
      <c r="L1642" s="6"/>
    </row>
    <row r="1643" spans="1:12" x14ac:dyDescent="0.3">
      <c r="A1643" s="8"/>
      <c r="C1643" s="6"/>
      <c r="E1643" s="6"/>
      <c r="J1643" s="8"/>
      <c r="L1643" s="6"/>
    </row>
    <row r="1644" spans="1:12" x14ac:dyDescent="0.3">
      <c r="A1644" s="8"/>
      <c r="C1644" s="6"/>
      <c r="E1644" s="6"/>
      <c r="J1644" s="8"/>
      <c r="L1644" s="6"/>
    </row>
    <row r="1645" spans="1:12" x14ac:dyDescent="0.3">
      <c r="A1645" s="8"/>
      <c r="C1645" s="6"/>
      <c r="E1645" s="6"/>
      <c r="J1645" s="8"/>
      <c r="L1645" s="6"/>
    </row>
    <row r="1646" spans="1:12" x14ac:dyDescent="0.3">
      <c r="A1646" s="8"/>
      <c r="C1646" s="6"/>
      <c r="E1646" s="6"/>
      <c r="J1646" s="8"/>
      <c r="L1646" s="6"/>
    </row>
    <row r="1647" spans="1:12" x14ac:dyDescent="0.3">
      <c r="A1647" s="8"/>
      <c r="C1647" s="6"/>
      <c r="E1647" s="6"/>
      <c r="J1647" s="8"/>
      <c r="L1647" s="6"/>
    </row>
    <row r="1648" spans="1:12" x14ac:dyDescent="0.3">
      <c r="A1648" s="8"/>
      <c r="C1648" s="6"/>
      <c r="E1648" s="6"/>
      <c r="J1648" s="8"/>
      <c r="L1648" s="6"/>
    </row>
    <row r="1649" spans="1:12" x14ac:dyDescent="0.3">
      <c r="A1649" s="8"/>
      <c r="C1649" s="6"/>
      <c r="E1649" s="6"/>
      <c r="J1649" s="8"/>
      <c r="L1649" s="6"/>
    </row>
    <row r="1650" spans="1:12" x14ac:dyDescent="0.3">
      <c r="A1650" s="8"/>
      <c r="C1650" s="6"/>
      <c r="E1650" s="6"/>
      <c r="J1650" s="8"/>
      <c r="L1650" s="6"/>
    </row>
    <row r="1651" spans="1:12" x14ac:dyDescent="0.3">
      <c r="A1651" s="8"/>
      <c r="C1651" s="6"/>
      <c r="E1651" s="6"/>
      <c r="J1651" s="8"/>
      <c r="L1651" s="6"/>
    </row>
    <row r="1652" spans="1:12" x14ac:dyDescent="0.3">
      <c r="A1652" s="8"/>
      <c r="C1652" s="6"/>
      <c r="E1652" s="6"/>
      <c r="J1652" s="8"/>
      <c r="L1652" s="6"/>
    </row>
    <row r="1653" spans="1:12" x14ac:dyDescent="0.3">
      <c r="A1653" s="8"/>
      <c r="C1653" s="6"/>
      <c r="E1653" s="6"/>
      <c r="J1653" s="8"/>
      <c r="L1653" s="6"/>
    </row>
    <row r="1654" spans="1:12" x14ac:dyDescent="0.3">
      <c r="A1654" s="8"/>
      <c r="C1654" s="6"/>
      <c r="E1654" s="6"/>
      <c r="J1654" s="8"/>
      <c r="L1654" s="6"/>
    </row>
    <row r="1655" spans="1:12" x14ac:dyDescent="0.3">
      <c r="A1655" s="8"/>
      <c r="C1655" s="6"/>
      <c r="E1655" s="6"/>
      <c r="J1655" s="8"/>
      <c r="L1655" s="6"/>
    </row>
    <row r="1656" spans="1:12" x14ac:dyDescent="0.3">
      <c r="A1656" s="8"/>
      <c r="C1656" s="6"/>
      <c r="E1656" s="6"/>
      <c r="J1656" s="8"/>
      <c r="L1656" s="6"/>
    </row>
    <row r="1657" spans="1:12" x14ac:dyDescent="0.3">
      <c r="A1657" s="8"/>
      <c r="C1657" s="6"/>
      <c r="E1657" s="6"/>
      <c r="J1657" s="8"/>
      <c r="L1657" s="6"/>
    </row>
    <row r="1658" spans="1:12" x14ac:dyDescent="0.3">
      <c r="A1658" s="8"/>
      <c r="C1658" s="6"/>
      <c r="E1658" s="6"/>
      <c r="J1658" s="8"/>
      <c r="L1658" s="6"/>
    </row>
    <row r="1659" spans="1:12" x14ac:dyDescent="0.3">
      <c r="A1659" s="8"/>
      <c r="C1659" s="6"/>
      <c r="E1659" s="6"/>
      <c r="J1659" s="8"/>
      <c r="L1659" s="6"/>
    </row>
    <row r="1660" spans="1:12" x14ac:dyDescent="0.3">
      <c r="A1660" s="8"/>
      <c r="C1660" s="6"/>
      <c r="E1660" s="6"/>
      <c r="J1660" s="8"/>
      <c r="L1660" s="6"/>
    </row>
    <row r="1661" spans="1:12" x14ac:dyDescent="0.3">
      <c r="A1661" s="8"/>
      <c r="C1661" s="6"/>
      <c r="E1661" s="6"/>
      <c r="J1661" s="8"/>
      <c r="L1661" s="6"/>
    </row>
    <row r="1662" spans="1:12" x14ac:dyDescent="0.3">
      <c r="A1662" s="8"/>
      <c r="C1662" s="6"/>
      <c r="E1662" s="6"/>
      <c r="J1662" s="8"/>
      <c r="L1662" s="6"/>
    </row>
    <row r="1663" spans="1:12" x14ac:dyDescent="0.3">
      <c r="A1663" s="8"/>
      <c r="C1663" s="6"/>
      <c r="E1663" s="6"/>
      <c r="J1663" s="8"/>
      <c r="L1663" s="6"/>
    </row>
    <row r="1664" spans="1:12" x14ac:dyDescent="0.3">
      <c r="A1664" s="8"/>
      <c r="C1664" s="6"/>
      <c r="E1664" s="6"/>
      <c r="J1664" s="8"/>
      <c r="L1664" s="6"/>
    </row>
    <row r="1665" spans="1:12" x14ac:dyDescent="0.3">
      <c r="A1665" s="8"/>
      <c r="C1665" s="6"/>
      <c r="E1665" s="6"/>
      <c r="J1665" s="8"/>
      <c r="L1665" s="6"/>
    </row>
    <row r="1666" spans="1:12" x14ac:dyDescent="0.3">
      <c r="A1666" s="8"/>
      <c r="C1666" s="6"/>
      <c r="E1666" s="6"/>
      <c r="J1666" s="8"/>
      <c r="L1666" s="6"/>
    </row>
    <row r="1667" spans="1:12" x14ac:dyDescent="0.3">
      <c r="A1667" s="8"/>
      <c r="C1667" s="6"/>
      <c r="E1667" s="6"/>
      <c r="J1667" s="8"/>
      <c r="L1667" s="6"/>
    </row>
    <row r="1668" spans="1:12" x14ac:dyDescent="0.3">
      <c r="A1668" s="8"/>
      <c r="C1668" s="6"/>
      <c r="E1668" s="6"/>
      <c r="J1668" s="8"/>
      <c r="L1668" s="6"/>
    </row>
    <row r="1669" spans="1:12" x14ac:dyDescent="0.3">
      <c r="A1669" s="8"/>
      <c r="C1669" s="6"/>
      <c r="E1669" s="6"/>
      <c r="J1669" s="8"/>
      <c r="L1669" s="6"/>
    </row>
    <row r="1670" spans="1:12" x14ac:dyDescent="0.3">
      <c r="A1670" s="8"/>
      <c r="C1670" s="6"/>
      <c r="E1670" s="6"/>
      <c r="J1670" s="8"/>
      <c r="L1670" s="6"/>
    </row>
    <row r="1671" spans="1:12" x14ac:dyDescent="0.3">
      <c r="A1671" s="8"/>
      <c r="C1671" s="6"/>
      <c r="E1671" s="6"/>
      <c r="J1671" s="8"/>
      <c r="L1671" s="6"/>
    </row>
    <row r="1672" spans="1:12" x14ac:dyDescent="0.3">
      <c r="A1672" s="8"/>
      <c r="C1672" s="6"/>
      <c r="E1672" s="6"/>
      <c r="J1672" s="8"/>
      <c r="L1672" s="6"/>
    </row>
    <row r="1673" spans="1:12" x14ac:dyDescent="0.3">
      <c r="A1673" s="8"/>
      <c r="C1673" s="6"/>
      <c r="E1673" s="6"/>
      <c r="J1673" s="8"/>
      <c r="L1673" s="6"/>
    </row>
    <row r="1674" spans="1:12" x14ac:dyDescent="0.3">
      <c r="A1674" s="8"/>
      <c r="C1674" s="6"/>
      <c r="E1674" s="6"/>
      <c r="J1674" s="8"/>
      <c r="L1674" s="6"/>
    </row>
    <row r="1675" spans="1:12" x14ac:dyDescent="0.3">
      <c r="A1675" s="8"/>
      <c r="C1675" s="6"/>
      <c r="E1675" s="6"/>
      <c r="J1675" s="8"/>
      <c r="L1675" s="6"/>
    </row>
    <row r="1676" spans="1:12" x14ac:dyDescent="0.3">
      <c r="A1676" s="8"/>
      <c r="C1676" s="6"/>
      <c r="E1676" s="6"/>
      <c r="J1676" s="8"/>
      <c r="L1676" s="6"/>
    </row>
    <row r="1677" spans="1:12" x14ac:dyDescent="0.3">
      <c r="A1677" s="8"/>
      <c r="C1677" s="6"/>
      <c r="E1677" s="6"/>
      <c r="J1677" s="8"/>
      <c r="L1677" s="6"/>
    </row>
    <row r="1678" spans="1:12" x14ac:dyDescent="0.3">
      <c r="A1678" s="8"/>
      <c r="C1678" s="6"/>
      <c r="E1678" s="6"/>
      <c r="J1678" s="8"/>
      <c r="L1678" s="6"/>
    </row>
    <row r="1679" spans="1:12" x14ac:dyDescent="0.3">
      <c r="A1679" s="8"/>
      <c r="C1679" s="6"/>
      <c r="E1679" s="6"/>
      <c r="J1679" s="8"/>
      <c r="L1679" s="6"/>
    </row>
    <row r="1680" spans="1:12" x14ac:dyDescent="0.3">
      <c r="A1680" s="8"/>
      <c r="C1680" s="6"/>
      <c r="E1680" s="6"/>
      <c r="J1680" s="8"/>
      <c r="L1680" s="6"/>
    </row>
    <row r="1681" spans="1:12" x14ac:dyDescent="0.3">
      <c r="A1681" s="8"/>
      <c r="C1681" s="6"/>
      <c r="E1681" s="6"/>
      <c r="J1681" s="8"/>
      <c r="L1681" s="6"/>
    </row>
    <row r="1682" spans="1:12" x14ac:dyDescent="0.3">
      <c r="A1682" s="8"/>
      <c r="C1682" s="6"/>
      <c r="E1682" s="6"/>
      <c r="J1682" s="8"/>
      <c r="L1682" s="6"/>
    </row>
    <row r="1683" spans="1:12" x14ac:dyDescent="0.3">
      <c r="A1683" s="8"/>
      <c r="C1683" s="6"/>
      <c r="E1683" s="6"/>
      <c r="J1683" s="8"/>
      <c r="L1683" s="6"/>
    </row>
    <row r="1684" spans="1:12" x14ac:dyDescent="0.3">
      <c r="A1684" s="8"/>
      <c r="C1684" s="6"/>
      <c r="E1684" s="6"/>
      <c r="J1684" s="8"/>
      <c r="L1684" s="6"/>
    </row>
    <row r="1685" spans="1:12" x14ac:dyDescent="0.3">
      <c r="A1685" s="8"/>
      <c r="C1685" s="6"/>
      <c r="E1685" s="6"/>
      <c r="J1685" s="8"/>
      <c r="L1685" s="6"/>
    </row>
    <row r="1686" spans="1:12" x14ac:dyDescent="0.3">
      <c r="A1686" s="8"/>
      <c r="C1686" s="6"/>
      <c r="E1686" s="6"/>
      <c r="J1686" s="8"/>
      <c r="L1686" s="6"/>
    </row>
    <row r="1687" spans="1:12" x14ac:dyDescent="0.3">
      <c r="A1687" s="8"/>
      <c r="C1687" s="6"/>
      <c r="E1687" s="6"/>
      <c r="J1687" s="8"/>
      <c r="L1687" s="6"/>
    </row>
    <row r="1688" spans="1:12" x14ac:dyDescent="0.3">
      <c r="A1688" s="8"/>
      <c r="C1688" s="6"/>
      <c r="E1688" s="6"/>
      <c r="J1688" s="8"/>
      <c r="L1688" s="6"/>
    </row>
    <row r="1689" spans="1:12" x14ac:dyDescent="0.3">
      <c r="A1689" s="8"/>
      <c r="C1689" s="6"/>
      <c r="E1689" s="6"/>
      <c r="J1689" s="8"/>
      <c r="L1689" s="6"/>
    </row>
    <row r="1690" spans="1:12" x14ac:dyDescent="0.3">
      <c r="A1690" s="8"/>
      <c r="C1690" s="6"/>
      <c r="E1690" s="6"/>
      <c r="J1690" s="8"/>
      <c r="L1690" s="6"/>
    </row>
    <row r="1691" spans="1:12" x14ac:dyDescent="0.3">
      <c r="A1691" s="8"/>
      <c r="C1691" s="6"/>
      <c r="E1691" s="6"/>
      <c r="J1691" s="8"/>
      <c r="L1691" s="6"/>
    </row>
    <row r="1692" spans="1:12" x14ac:dyDescent="0.3">
      <c r="A1692" s="8"/>
      <c r="C1692" s="6"/>
      <c r="E1692" s="6"/>
      <c r="J1692" s="8"/>
      <c r="L1692" s="6"/>
    </row>
    <row r="1693" spans="1:12" x14ac:dyDescent="0.3">
      <c r="A1693" s="8"/>
      <c r="C1693" s="6"/>
      <c r="E1693" s="6"/>
      <c r="J1693" s="8"/>
      <c r="L1693" s="6"/>
    </row>
    <row r="1694" spans="1:12" x14ac:dyDescent="0.3">
      <c r="A1694" s="8"/>
      <c r="C1694" s="6"/>
      <c r="E1694" s="6"/>
      <c r="J1694" s="8"/>
      <c r="L1694" s="6"/>
    </row>
    <row r="1695" spans="1:12" x14ac:dyDescent="0.3">
      <c r="A1695" s="8"/>
      <c r="C1695" s="6"/>
      <c r="E1695" s="6"/>
      <c r="J1695" s="8"/>
      <c r="L1695" s="6"/>
    </row>
    <row r="1696" spans="1:12" x14ac:dyDescent="0.3">
      <c r="A1696" s="8"/>
      <c r="C1696" s="6"/>
      <c r="E1696" s="6"/>
      <c r="J1696" s="8"/>
      <c r="L1696" s="6"/>
    </row>
    <row r="1697" spans="1:12" x14ac:dyDescent="0.3">
      <c r="A1697" s="8"/>
      <c r="C1697" s="6"/>
      <c r="E1697" s="6"/>
      <c r="J1697" s="8"/>
      <c r="L1697" s="6"/>
    </row>
    <row r="1698" spans="1:12" x14ac:dyDescent="0.3">
      <c r="A1698" s="8"/>
      <c r="C1698" s="6"/>
      <c r="E1698" s="6"/>
      <c r="J1698" s="8"/>
      <c r="L1698" s="6"/>
    </row>
    <row r="1699" spans="1:12" x14ac:dyDescent="0.3">
      <c r="A1699" s="8"/>
      <c r="C1699" s="6"/>
      <c r="E1699" s="6"/>
      <c r="J1699" s="8"/>
      <c r="L1699" s="6"/>
    </row>
    <row r="1700" spans="1:12" x14ac:dyDescent="0.3">
      <c r="A1700" s="8"/>
      <c r="C1700" s="6"/>
      <c r="E1700" s="6"/>
      <c r="J1700" s="8"/>
      <c r="L1700" s="6"/>
    </row>
    <row r="1701" spans="1:12" x14ac:dyDescent="0.3">
      <c r="A1701" s="8"/>
      <c r="C1701" s="6"/>
      <c r="E1701" s="6"/>
      <c r="J1701" s="8"/>
      <c r="L1701" s="6"/>
    </row>
    <row r="1702" spans="1:12" x14ac:dyDescent="0.3">
      <c r="A1702" s="8"/>
      <c r="C1702" s="6"/>
      <c r="E1702" s="6"/>
      <c r="J1702" s="8"/>
      <c r="L1702" s="6"/>
    </row>
    <row r="1703" spans="1:12" x14ac:dyDescent="0.3">
      <c r="A1703" s="8"/>
      <c r="C1703" s="6"/>
      <c r="E1703" s="6"/>
      <c r="J1703" s="8"/>
      <c r="L1703" s="6"/>
    </row>
    <row r="1704" spans="1:12" x14ac:dyDescent="0.3">
      <c r="A1704" s="8"/>
      <c r="C1704" s="6"/>
      <c r="E1704" s="6"/>
      <c r="J1704" s="8"/>
      <c r="L1704" s="6"/>
    </row>
    <row r="1705" spans="1:12" x14ac:dyDescent="0.3">
      <c r="A1705" s="8"/>
      <c r="C1705" s="6"/>
      <c r="E1705" s="6"/>
      <c r="J1705" s="8"/>
      <c r="L1705" s="6"/>
    </row>
    <row r="1706" spans="1:12" x14ac:dyDescent="0.3">
      <c r="A1706" s="8"/>
      <c r="C1706" s="6"/>
      <c r="E1706" s="6"/>
      <c r="J1706" s="8"/>
      <c r="L1706" s="6"/>
    </row>
    <row r="1707" spans="1:12" x14ac:dyDescent="0.3">
      <c r="A1707" s="8"/>
      <c r="C1707" s="6"/>
      <c r="E1707" s="6"/>
      <c r="J1707" s="8"/>
      <c r="L1707" s="6"/>
    </row>
    <row r="1708" spans="1:12" x14ac:dyDescent="0.3">
      <c r="A1708" s="8"/>
      <c r="C1708" s="6"/>
      <c r="E1708" s="6"/>
      <c r="J1708" s="8"/>
      <c r="L1708" s="6"/>
    </row>
    <row r="1709" spans="1:12" x14ac:dyDescent="0.3">
      <c r="A1709" s="8"/>
      <c r="C1709" s="6"/>
      <c r="E1709" s="6"/>
      <c r="J1709" s="8"/>
      <c r="L1709" s="6"/>
    </row>
    <row r="1710" spans="1:12" x14ac:dyDescent="0.3">
      <c r="A1710" s="8"/>
      <c r="C1710" s="6"/>
      <c r="E1710" s="6"/>
      <c r="J1710" s="8"/>
      <c r="L1710" s="6"/>
    </row>
    <row r="1711" spans="1:12" x14ac:dyDescent="0.3">
      <c r="A1711" s="8"/>
      <c r="C1711" s="6"/>
      <c r="E1711" s="6"/>
      <c r="J1711" s="8"/>
      <c r="L1711" s="6"/>
    </row>
    <row r="1712" spans="1:12" x14ac:dyDescent="0.3">
      <c r="A1712" s="8"/>
      <c r="C1712" s="6"/>
      <c r="E1712" s="6"/>
      <c r="J1712" s="8"/>
      <c r="L1712" s="6"/>
    </row>
    <row r="1713" spans="1:12" x14ac:dyDescent="0.3">
      <c r="A1713" s="8"/>
      <c r="C1713" s="6"/>
      <c r="E1713" s="6"/>
      <c r="J1713" s="8"/>
      <c r="L1713" s="6"/>
    </row>
    <row r="1714" spans="1:12" x14ac:dyDescent="0.3">
      <c r="A1714" s="8"/>
      <c r="C1714" s="6"/>
      <c r="E1714" s="6"/>
      <c r="J1714" s="8"/>
      <c r="L1714" s="6"/>
    </row>
    <row r="1715" spans="1:12" x14ac:dyDescent="0.3">
      <c r="A1715" s="8"/>
      <c r="C1715" s="6"/>
      <c r="E1715" s="6"/>
      <c r="J1715" s="8"/>
      <c r="L1715" s="6"/>
    </row>
    <row r="1716" spans="1:12" x14ac:dyDescent="0.3">
      <c r="A1716" s="8"/>
      <c r="C1716" s="6"/>
      <c r="E1716" s="6"/>
      <c r="J1716" s="8"/>
      <c r="L1716" s="6"/>
    </row>
    <row r="1717" spans="1:12" x14ac:dyDescent="0.3">
      <c r="A1717" s="8"/>
      <c r="C1717" s="6"/>
      <c r="E1717" s="6"/>
      <c r="J1717" s="8"/>
      <c r="L1717" s="6"/>
    </row>
    <row r="1718" spans="1:12" x14ac:dyDescent="0.3">
      <c r="A1718" s="8"/>
      <c r="C1718" s="6"/>
      <c r="E1718" s="6"/>
      <c r="J1718" s="8"/>
      <c r="L1718" s="6"/>
    </row>
    <row r="1719" spans="1:12" x14ac:dyDescent="0.3">
      <c r="A1719" s="8"/>
      <c r="C1719" s="6"/>
      <c r="E1719" s="6"/>
      <c r="J1719" s="8"/>
      <c r="L1719" s="6"/>
    </row>
    <row r="1720" spans="1:12" x14ac:dyDescent="0.3">
      <c r="A1720" s="8"/>
      <c r="C1720" s="6"/>
      <c r="E1720" s="6"/>
      <c r="J1720" s="8"/>
      <c r="L1720" s="6"/>
    </row>
    <row r="1721" spans="1:12" x14ac:dyDescent="0.3">
      <c r="A1721" s="8"/>
      <c r="C1721" s="6"/>
      <c r="E1721" s="6"/>
      <c r="J1721" s="8"/>
      <c r="L1721" s="6"/>
    </row>
    <row r="1722" spans="1:12" x14ac:dyDescent="0.3">
      <c r="A1722" s="8"/>
      <c r="C1722" s="6"/>
      <c r="E1722" s="6"/>
      <c r="J1722" s="8"/>
      <c r="L1722" s="6"/>
    </row>
    <row r="1723" spans="1:12" x14ac:dyDescent="0.3">
      <c r="A1723" s="8"/>
      <c r="C1723" s="6"/>
      <c r="E1723" s="6"/>
      <c r="J1723" s="8"/>
      <c r="L1723" s="6"/>
    </row>
    <row r="1724" spans="1:12" x14ac:dyDescent="0.3">
      <c r="A1724" s="8"/>
      <c r="C1724" s="6"/>
      <c r="E1724" s="6"/>
      <c r="J1724" s="8"/>
      <c r="L1724" s="6"/>
    </row>
    <row r="1725" spans="1:12" x14ac:dyDescent="0.3">
      <c r="A1725" s="8"/>
      <c r="C1725" s="6"/>
      <c r="E1725" s="6"/>
      <c r="J1725" s="8"/>
      <c r="L1725" s="6"/>
    </row>
    <row r="1726" spans="1:12" x14ac:dyDescent="0.3">
      <c r="A1726" s="8"/>
      <c r="C1726" s="6"/>
      <c r="E1726" s="6"/>
      <c r="J1726" s="8"/>
      <c r="L1726" s="6"/>
    </row>
    <row r="1727" spans="1:12" x14ac:dyDescent="0.3">
      <c r="A1727" s="8"/>
      <c r="C1727" s="6"/>
      <c r="E1727" s="6"/>
      <c r="J1727" s="8"/>
      <c r="L1727" s="6"/>
    </row>
    <row r="1728" spans="1:12" x14ac:dyDescent="0.3">
      <c r="A1728" s="8"/>
      <c r="C1728" s="6"/>
      <c r="E1728" s="6"/>
      <c r="J1728" s="8"/>
      <c r="L1728" s="6"/>
    </row>
    <row r="1729" spans="1:12" x14ac:dyDescent="0.3">
      <c r="A1729" s="8"/>
      <c r="C1729" s="6"/>
      <c r="E1729" s="6"/>
      <c r="J1729" s="8"/>
      <c r="L1729" s="6"/>
    </row>
    <row r="1730" spans="1:12" x14ac:dyDescent="0.3">
      <c r="A1730" s="8"/>
      <c r="C1730" s="6"/>
      <c r="E1730" s="6"/>
      <c r="J1730" s="8"/>
      <c r="L1730" s="6"/>
    </row>
    <row r="1731" spans="1:12" x14ac:dyDescent="0.3">
      <c r="A1731" s="8"/>
      <c r="C1731" s="6"/>
      <c r="E1731" s="6"/>
      <c r="J1731" s="8"/>
      <c r="L1731" s="6"/>
    </row>
    <row r="1732" spans="1:12" x14ac:dyDescent="0.3">
      <c r="A1732" s="8"/>
      <c r="C1732" s="6"/>
      <c r="E1732" s="6"/>
      <c r="J1732" s="8"/>
      <c r="L1732" s="6"/>
    </row>
    <row r="1733" spans="1:12" x14ac:dyDescent="0.3">
      <c r="A1733" s="8"/>
      <c r="C1733" s="6"/>
      <c r="E1733" s="6"/>
      <c r="J1733" s="8"/>
      <c r="L1733" s="6"/>
    </row>
    <row r="1734" spans="1:12" x14ac:dyDescent="0.3">
      <c r="A1734" s="8"/>
      <c r="C1734" s="6"/>
      <c r="E1734" s="6"/>
      <c r="J1734" s="8"/>
      <c r="L1734" s="6"/>
    </row>
    <row r="1735" spans="1:12" x14ac:dyDescent="0.3">
      <c r="A1735" s="8"/>
      <c r="C1735" s="6"/>
      <c r="E1735" s="6"/>
      <c r="J1735" s="8"/>
      <c r="L1735" s="6"/>
    </row>
    <row r="1736" spans="1:12" x14ac:dyDescent="0.3">
      <c r="A1736" s="8"/>
      <c r="C1736" s="6"/>
      <c r="E1736" s="6"/>
      <c r="J1736" s="8"/>
      <c r="L1736" s="6"/>
    </row>
    <row r="1737" spans="1:12" x14ac:dyDescent="0.3">
      <c r="A1737" s="8"/>
      <c r="C1737" s="6"/>
      <c r="E1737" s="6"/>
      <c r="J1737" s="8"/>
      <c r="L1737" s="6"/>
    </row>
    <row r="1738" spans="1:12" x14ac:dyDescent="0.3">
      <c r="A1738" s="8"/>
      <c r="C1738" s="6"/>
      <c r="E1738" s="6"/>
      <c r="J1738" s="8"/>
      <c r="L1738" s="6"/>
    </row>
    <row r="1739" spans="1:12" x14ac:dyDescent="0.3">
      <c r="A1739" s="8"/>
      <c r="C1739" s="6"/>
      <c r="E1739" s="6"/>
      <c r="J1739" s="8"/>
      <c r="L1739" s="6"/>
    </row>
    <row r="1740" spans="1:12" x14ac:dyDescent="0.3">
      <c r="A1740" s="8"/>
      <c r="C1740" s="6"/>
      <c r="E1740" s="6"/>
      <c r="J1740" s="8"/>
      <c r="L1740" s="6"/>
    </row>
    <row r="1741" spans="1:12" x14ac:dyDescent="0.3">
      <c r="A1741" s="8"/>
      <c r="C1741" s="6"/>
      <c r="E1741" s="6"/>
      <c r="J1741" s="8"/>
      <c r="L1741" s="6"/>
    </row>
    <row r="1742" spans="1:12" x14ac:dyDescent="0.3">
      <c r="A1742" s="8"/>
      <c r="C1742" s="6"/>
      <c r="E1742" s="6"/>
      <c r="J1742" s="8"/>
      <c r="L1742" s="6"/>
    </row>
    <row r="1743" spans="1:12" x14ac:dyDescent="0.3">
      <c r="A1743" s="8"/>
      <c r="C1743" s="6"/>
      <c r="E1743" s="6"/>
      <c r="J1743" s="8"/>
      <c r="L1743" s="6"/>
    </row>
    <row r="1744" spans="1:12" x14ac:dyDescent="0.3">
      <c r="A1744" s="8"/>
      <c r="C1744" s="6"/>
      <c r="E1744" s="6"/>
      <c r="J1744" s="8"/>
      <c r="L1744" s="6"/>
    </row>
    <row r="1745" spans="1:12" x14ac:dyDescent="0.3">
      <c r="A1745" s="8"/>
      <c r="C1745" s="6"/>
      <c r="E1745" s="6"/>
      <c r="J1745" s="8"/>
      <c r="L1745" s="6"/>
    </row>
    <row r="1746" spans="1:12" x14ac:dyDescent="0.3">
      <c r="A1746" s="8"/>
      <c r="C1746" s="6"/>
      <c r="E1746" s="6"/>
      <c r="J1746" s="8"/>
      <c r="L1746" s="6"/>
    </row>
    <row r="1747" spans="1:12" x14ac:dyDescent="0.3">
      <c r="A1747" s="8"/>
      <c r="C1747" s="6"/>
      <c r="E1747" s="6"/>
      <c r="J1747" s="8"/>
      <c r="L1747" s="6"/>
    </row>
    <row r="1748" spans="1:12" x14ac:dyDescent="0.3">
      <c r="A1748" s="8"/>
      <c r="C1748" s="6"/>
      <c r="E1748" s="6"/>
      <c r="J1748" s="8"/>
      <c r="L1748" s="6"/>
    </row>
    <row r="1749" spans="1:12" x14ac:dyDescent="0.3">
      <c r="A1749" s="8"/>
      <c r="C1749" s="6"/>
      <c r="E1749" s="6"/>
      <c r="J1749" s="8"/>
      <c r="L1749" s="6"/>
    </row>
    <row r="1750" spans="1:12" x14ac:dyDescent="0.3">
      <c r="A1750" s="8"/>
      <c r="C1750" s="6"/>
      <c r="E1750" s="6"/>
      <c r="J1750" s="8"/>
      <c r="L1750" s="6"/>
    </row>
    <row r="1751" spans="1:12" x14ac:dyDescent="0.3">
      <c r="A1751" s="8"/>
      <c r="C1751" s="6"/>
      <c r="E1751" s="6"/>
      <c r="J1751" s="8"/>
      <c r="L1751" s="6"/>
    </row>
    <row r="1752" spans="1:12" x14ac:dyDescent="0.3">
      <c r="A1752" s="8"/>
      <c r="C1752" s="6"/>
      <c r="E1752" s="6"/>
      <c r="J1752" s="8"/>
      <c r="L1752" s="6"/>
    </row>
    <row r="1753" spans="1:12" x14ac:dyDescent="0.3">
      <c r="A1753" s="8"/>
      <c r="C1753" s="6"/>
      <c r="E1753" s="6"/>
      <c r="J1753" s="8"/>
      <c r="L1753" s="6"/>
    </row>
    <row r="1754" spans="1:12" x14ac:dyDescent="0.3">
      <c r="A1754" s="8"/>
      <c r="C1754" s="6"/>
      <c r="E1754" s="6"/>
      <c r="J1754" s="8"/>
      <c r="L1754" s="6"/>
    </row>
    <row r="1755" spans="1:12" x14ac:dyDescent="0.3">
      <c r="A1755" s="8"/>
      <c r="C1755" s="6"/>
      <c r="E1755" s="6"/>
      <c r="J1755" s="8"/>
      <c r="L1755" s="6"/>
    </row>
    <row r="1756" spans="1:12" x14ac:dyDescent="0.3">
      <c r="A1756" s="8"/>
      <c r="C1756" s="6"/>
      <c r="E1756" s="6"/>
      <c r="J1756" s="8"/>
      <c r="L1756" s="6"/>
    </row>
    <row r="1757" spans="1:12" x14ac:dyDescent="0.3">
      <c r="A1757" s="8"/>
      <c r="C1757" s="6"/>
      <c r="E1757" s="6"/>
      <c r="J1757" s="8"/>
      <c r="L1757" s="6"/>
    </row>
    <row r="1758" spans="1:12" x14ac:dyDescent="0.3">
      <c r="A1758" s="8"/>
      <c r="C1758" s="6"/>
      <c r="E1758" s="6"/>
      <c r="J1758" s="8"/>
      <c r="L1758" s="6"/>
    </row>
    <row r="1759" spans="1:12" x14ac:dyDescent="0.3">
      <c r="A1759" s="8"/>
      <c r="C1759" s="6"/>
      <c r="E1759" s="6"/>
      <c r="J1759" s="8"/>
      <c r="L1759" s="6"/>
    </row>
    <row r="1760" spans="1:12" x14ac:dyDescent="0.3">
      <c r="A1760" s="8"/>
      <c r="C1760" s="6"/>
      <c r="E1760" s="6"/>
      <c r="J1760" s="8"/>
      <c r="L1760" s="6"/>
    </row>
    <row r="1761" spans="1:12" x14ac:dyDescent="0.3">
      <c r="A1761" s="8"/>
      <c r="C1761" s="6"/>
      <c r="E1761" s="6"/>
      <c r="J1761" s="8"/>
      <c r="L1761" s="6"/>
    </row>
    <row r="1762" spans="1:12" x14ac:dyDescent="0.3">
      <c r="A1762" s="8"/>
      <c r="C1762" s="6"/>
      <c r="E1762" s="6"/>
      <c r="J1762" s="8"/>
      <c r="L1762" s="6"/>
    </row>
    <row r="1763" spans="1:12" x14ac:dyDescent="0.3">
      <c r="A1763" s="8"/>
      <c r="C1763" s="6"/>
      <c r="E1763" s="6"/>
      <c r="J1763" s="8"/>
      <c r="L1763" s="6"/>
    </row>
    <row r="1764" spans="1:12" x14ac:dyDescent="0.3">
      <c r="A1764" s="8"/>
      <c r="C1764" s="6"/>
      <c r="E1764" s="6"/>
      <c r="J1764" s="8"/>
      <c r="L1764" s="6"/>
    </row>
    <row r="1765" spans="1:12" x14ac:dyDescent="0.3">
      <c r="A1765" s="8"/>
      <c r="C1765" s="6"/>
      <c r="E1765" s="6"/>
      <c r="J1765" s="8"/>
      <c r="L1765" s="6"/>
    </row>
    <row r="1766" spans="1:12" x14ac:dyDescent="0.3">
      <c r="A1766" s="8"/>
      <c r="C1766" s="6"/>
      <c r="E1766" s="6"/>
      <c r="J1766" s="8"/>
      <c r="L1766" s="6"/>
    </row>
    <row r="1767" spans="1:12" x14ac:dyDescent="0.3">
      <c r="A1767" s="8"/>
      <c r="C1767" s="6"/>
      <c r="E1767" s="6"/>
      <c r="J1767" s="8"/>
      <c r="L1767" s="6"/>
    </row>
    <row r="1768" spans="1:12" x14ac:dyDescent="0.3">
      <c r="A1768" s="8"/>
      <c r="C1768" s="6"/>
      <c r="E1768" s="6"/>
      <c r="J1768" s="8"/>
      <c r="L1768" s="6"/>
    </row>
    <row r="1769" spans="1:12" x14ac:dyDescent="0.3">
      <c r="A1769" s="8"/>
      <c r="C1769" s="6"/>
      <c r="E1769" s="6"/>
      <c r="J1769" s="8"/>
      <c r="L1769" s="6"/>
    </row>
    <row r="1770" spans="1:12" x14ac:dyDescent="0.3">
      <c r="A1770" s="8"/>
      <c r="C1770" s="6"/>
      <c r="E1770" s="6"/>
      <c r="J1770" s="8"/>
      <c r="L1770" s="6"/>
    </row>
    <row r="1771" spans="1:12" x14ac:dyDescent="0.3">
      <c r="A1771" s="8"/>
      <c r="C1771" s="6"/>
      <c r="E1771" s="6"/>
      <c r="J1771" s="8"/>
      <c r="L1771" s="6"/>
    </row>
    <row r="1772" spans="1:12" x14ac:dyDescent="0.3">
      <c r="A1772" s="8"/>
      <c r="C1772" s="6"/>
      <c r="E1772" s="6"/>
      <c r="J1772" s="8"/>
      <c r="L1772" s="6"/>
    </row>
    <row r="1773" spans="1:12" x14ac:dyDescent="0.3">
      <c r="A1773" s="8"/>
      <c r="C1773" s="6"/>
      <c r="E1773" s="6"/>
      <c r="J1773" s="8"/>
      <c r="L1773" s="6"/>
    </row>
    <row r="1774" spans="1:12" x14ac:dyDescent="0.3">
      <c r="A1774" s="8"/>
      <c r="C1774" s="6"/>
      <c r="E1774" s="6"/>
      <c r="J1774" s="8"/>
      <c r="L1774" s="6"/>
    </row>
    <row r="1775" spans="1:12" x14ac:dyDescent="0.3">
      <c r="A1775" s="8"/>
      <c r="C1775" s="6"/>
      <c r="E1775" s="6"/>
      <c r="J1775" s="8"/>
      <c r="L1775" s="6"/>
    </row>
    <row r="1776" spans="1:12" x14ac:dyDescent="0.3">
      <c r="A1776" s="8"/>
      <c r="C1776" s="6"/>
      <c r="E1776" s="6"/>
      <c r="J1776" s="8"/>
      <c r="L1776" s="6"/>
    </row>
    <row r="1777" spans="1:12" x14ac:dyDescent="0.3">
      <c r="A1777" s="8"/>
      <c r="C1777" s="6"/>
      <c r="E1777" s="6"/>
      <c r="J1777" s="8"/>
      <c r="L1777" s="6"/>
    </row>
    <row r="1778" spans="1:12" x14ac:dyDescent="0.3">
      <c r="A1778" s="8"/>
      <c r="C1778" s="6"/>
      <c r="E1778" s="6"/>
      <c r="J1778" s="8"/>
      <c r="L1778" s="6"/>
    </row>
    <row r="1779" spans="1:12" x14ac:dyDescent="0.3">
      <c r="A1779" s="8"/>
      <c r="C1779" s="6"/>
      <c r="E1779" s="6"/>
      <c r="J1779" s="8"/>
      <c r="L1779" s="6"/>
    </row>
    <row r="1780" spans="1:12" x14ac:dyDescent="0.3">
      <c r="A1780" s="8"/>
      <c r="C1780" s="6"/>
      <c r="E1780" s="6"/>
      <c r="J1780" s="8"/>
      <c r="L1780" s="6"/>
    </row>
    <row r="1781" spans="1:12" x14ac:dyDescent="0.3">
      <c r="A1781" s="8"/>
      <c r="C1781" s="6"/>
      <c r="E1781" s="6"/>
      <c r="J1781" s="8"/>
      <c r="L1781" s="6"/>
    </row>
    <row r="1782" spans="1:12" x14ac:dyDescent="0.3">
      <c r="A1782" s="8"/>
      <c r="C1782" s="6"/>
      <c r="E1782" s="6"/>
      <c r="J1782" s="8"/>
      <c r="L1782" s="6"/>
    </row>
    <row r="1783" spans="1:12" x14ac:dyDescent="0.3">
      <c r="A1783" s="8"/>
      <c r="C1783" s="6"/>
      <c r="E1783" s="6"/>
      <c r="J1783" s="8"/>
      <c r="L1783" s="6"/>
    </row>
    <row r="1784" spans="1:12" x14ac:dyDescent="0.3">
      <c r="A1784" s="8"/>
      <c r="C1784" s="6"/>
      <c r="E1784" s="6"/>
      <c r="J1784" s="8"/>
      <c r="L1784" s="6"/>
    </row>
    <row r="1785" spans="1:12" x14ac:dyDescent="0.3">
      <c r="A1785" s="8"/>
      <c r="C1785" s="6"/>
      <c r="E1785" s="6"/>
      <c r="J1785" s="8"/>
      <c r="L1785" s="6"/>
    </row>
    <row r="1786" spans="1:12" x14ac:dyDescent="0.3">
      <c r="A1786" s="8"/>
      <c r="C1786" s="6"/>
      <c r="E1786" s="6"/>
      <c r="J1786" s="8"/>
      <c r="L1786" s="6"/>
    </row>
    <row r="1787" spans="1:12" x14ac:dyDescent="0.3">
      <c r="A1787" s="8"/>
      <c r="C1787" s="6"/>
      <c r="E1787" s="6"/>
      <c r="J1787" s="8"/>
      <c r="L1787" s="6"/>
    </row>
    <row r="1788" spans="1:12" x14ac:dyDescent="0.3">
      <c r="A1788" s="8"/>
      <c r="C1788" s="6"/>
      <c r="E1788" s="6"/>
      <c r="J1788" s="8"/>
      <c r="L1788" s="6"/>
    </row>
    <row r="1789" spans="1:12" x14ac:dyDescent="0.3">
      <c r="A1789" s="8"/>
      <c r="C1789" s="6"/>
      <c r="E1789" s="6"/>
      <c r="J1789" s="8"/>
      <c r="L1789" s="6"/>
    </row>
    <row r="1790" spans="1:12" x14ac:dyDescent="0.3">
      <c r="A1790" s="8"/>
      <c r="C1790" s="6"/>
      <c r="E1790" s="6"/>
      <c r="J1790" s="8"/>
      <c r="L1790" s="6"/>
    </row>
    <row r="1791" spans="1:12" x14ac:dyDescent="0.3">
      <c r="A1791" s="8"/>
      <c r="C1791" s="6"/>
      <c r="E1791" s="6"/>
      <c r="J1791" s="8"/>
      <c r="L1791" s="6"/>
    </row>
    <row r="1792" spans="1:12" x14ac:dyDescent="0.3">
      <c r="A1792" s="8"/>
      <c r="C1792" s="6"/>
      <c r="E1792" s="6"/>
      <c r="J1792" s="8"/>
      <c r="L1792" s="6"/>
    </row>
    <row r="1793" spans="1:12" x14ac:dyDescent="0.3">
      <c r="A1793" s="8"/>
      <c r="C1793" s="6"/>
      <c r="E1793" s="6"/>
      <c r="J1793" s="8"/>
      <c r="L1793" s="6"/>
    </row>
    <row r="1794" spans="1:12" x14ac:dyDescent="0.3">
      <c r="A1794" s="8"/>
      <c r="C1794" s="6"/>
      <c r="E1794" s="6"/>
      <c r="J1794" s="8"/>
      <c r="L1794" s="6"/>
    </row>
    <row r="1795" spans="1:12" x14ac:dyDescent="0.3">
      <c r="A1795" s="8"/>
      <c r="C1795" s="6"/>
      <c r="E1795" s="6"/>
      <c r="J1795" s="8"/>
      <c r="L1795" s="6"/>
    </row>
    <row r="1796" spans="1:12" x14ac:dyDescent="0.3">
      <c r="A1796" s="8"/>
      <c r="C1796" s="6"/>
      <c r="E1796" s="6"/>
      <c r="J1796" s="8"/>
      <c r="L1796" s="6"/>
    </row>
    <row r="1797" spans="1:12" x14ac:dyDescent="0.3">
      <c r="A1797" s="8"/>
      <c r="C1797" s="6"/>
      <c r="E1797" s="6"/>
      <c r="J1797" s="8"/>
      <c r="L1797" s="6"/>
    </row>
    <row r="1798" spans="1:12" x14ac:dyDescent="0.3">
      <c r="A1798" s="8"/>
      <c r="C1798" s="6"/>
      <c r="E1798" s="6"/>
      <c r="J1798" s="8"/>
      <c r="L1798" s="6"/>
    </row>
    <row r="1799" spans="1:12" x14ac:dyDescent="0.3">
      <c r="A1799" s="8"/>
      <c r="C1799" s="6"/>
      <c r="E1799" s="6"/>
      <c r="J1799" s="8"/>
      <c r="L1799" s="6"/>
    </row>
    <row r="1800" spans="1:12" x14ac:dyDescent="0.3">
      <c r="A1800" s="8"/>
      <c r="C1800" s="6"/>
      <c r="E1800" s="6"/>
      <c r="J1800" s="8"/>
      <c r="L1800" s="6"/>
    </row>
    <row r="1801" spans="1:12" x14ac:dyDescent="0.3">
      <c r="A1801" s="8"/>
      <c r="C1801" s="6"/>
      <c r="E1801" s="6"/>
      <c r="J1801" s="8"/>
      <c r="L1801" s="6"/>
    </row>
    <row r="1802" spans="1:12" x14ac:dyDescent="0.3">
      <c r="A1802" s="8"/>
      <c r="C1802" s="6"/>
      <c r="E1802" s="6"/>
      <c r="J1802" s="8"/>
      <c r="L1802" s="6"/>
    </row>
    <row r="1803" spans="1:12" x14ac:dyDescent="0.3">
      <c r="A1803" s="8"/>
      <c r="C1803" s="6"/>
      <c r="E1803" s="6"/>
      <c r="J1803" s="8"/>
      <c r="L1803" s="6"/>
    </row>
    <row r="1804" spans="1:12" x14ac:dyDescent="0.3">
      <c r="A1804" s="8"/>
      <c r="C1804" s="6"/>
      <c r="E1804" s="6"/>
      <c r="J1804" s="8"/>
      <c r="L1804" s="6"/>
    </row>
    <row r="1805" spans="1:12" x14ac:dyDescent="0.3">
      <c r="A1805" s="8"/>
      <c r="C1805" s="6"/>
      <c r="E1805" s="6"/>
      <c r="J1805" s="8"/>
      <c r="L1805" s="6"/>
    </row>
    <row r="1806" spans="1:12" x14ac:dyDescent="0.3">
      <c r="A1806" s="8"/>
      <c r="C1806" s="6"/>
      <c r="E1806" s="6"/>
      <c r="J1806" s="8"/>
      <c r="L1806" s="6"/>
    </row>
    <row r="1807" spans="1:12" x14ac:dyDescent="0.3">
      <c r="A1807" s="8"/>
      <c r="C1807" s="6"/>
      <c r="E1807" s="6"/>
      <c r="J1807" s="8"/>
      <c r="L1807" s="6"/>
    </row>
    <row r="1808" spans="1:12" x14ac:dyDescent="0.3">
      <c r="A1808" s="8"/>
      <c r="C1808" s="6"/>
      <c r="E1808" s="6"/>
      <c r="J1808" s="8"/>
      <c r="L1808" s="6"/>
    </row>
    <row r="1809" spans="1:12" x14ac:dyDescent="0.3">
      <c r="A1809" s="8"/>
      <c r="C1809" s="6"/>
      <c r="E1809" s="6"/>
      <c r="J1809" s="8"/>
      <c r="L1809" s="6"/>
    </row>
    <row r="1810" spans="1:12" x14ac:dyDescent="0.3">
      <c r="A1810" s="8"/>
      <c r="C1810" s="6"/>
      <c r="E1810" s="6"/>
      <c r="J1810" s="8"/>
      <c r="L1810" s="6"/>
    </row>
    <row r="1811" spans="1:12" x14ac:dyDescent="0.3">
      <c r="A1811" s="8"/>
      <c r="C1811" s="6"/>
      <c r="E1811" s="6"/>
      <c r="J1811" s="8"/>
      <c r="L1811" s="6"/>
    </row>
    <row r="1812" spans="1:12" x14ac:dyDescent="0.3">
      <c r="A1812" s="8"/>
      <c r="C1812" s="6"/>
      <c r="E1812" s="6"/>
      <c r="J1812" s="8"/>
      <c r="L1812" s="6"/>
    </row>
    <row r="1813" spans="1:12" x14ac:dyDescent="0.3">
      <c r="A1813" s="8"/>
      <c r="C1813" s="6"/>
      <c r="E1813" s="6"/>
      <c r="J1813" s="8"/>
      <c r="L1813" s="6"/>
    </row>
    <row r="1814" spans="1:12" x14ac:dyDescent="0.3">
      <c r="A1814" s="8"/>
      <c r="C1814" s="6"/>
      <c r="E1814" s="6"/>
      <c r="J1814" s="8"/>
      <c r="L1814" s="6"/>
    </row>
    <row r="1815" spans="1:12" x14ac:dyDescent="0.3">
      <c r="A1815" s="8"/>
      <c r="C1815" s="6"/>
      <c r="E1815" s="6"/>
      <c r="J1815" s="8"/>
      <c r="L1815" s="6"/>
    </row>
    <row r="1816" spans="1:12" x14ac:dyDescent="0.3">
      <c r="A1816" s="8"/>
      <c r="C1816" s="6"/>
      <c r="E1816" s="6"/>
      <c r="J1816" s="8"/>
      <c r="L1816" s="6"/>
    </row>
    <row r="1817" spans="1:12" x14ac:dyDescent="0.3">
      <c r="A1817" s="8"/>
      <c r="C1817" s="6"/>
      <c r="E1817" s="6"/>
      <c r="J1817" s="8"/>
      <c r="L1817" s="6"/>
    </row>
    <row r="1818" spans="1:12" x14ac:dyDescent="0.3">
      <c r="A1818" s="8"/>
      <c r="C1818" s="6"/>
      <c r="E1818" s="6"/>
      <c r="J1818" s="8"/>
      <c r="L1818" s="6"/>
    </row>
    <row r="1819" spans="1:12" x14ac:dyDescent="0.3">
      <c r="A1819" s="8"/>
      <c r="C1819" s="6"/>
      <c r="E1819" s="6"/>
      <c r="J1819" s="8"/>
      <c r="L1819" s="6"/>
    </row>
    <row r="1820" spans="1:12" x14ac:dyDescent="0.3">
      <c r="A1820" s="8"/>
      <c r="C1820" s="6"/>
      <c r="E1820" s="6"/>
      <c r="J1820" s="8"/>
      <c r="L1820" s="6"/>
    </row>
    <row r="1821" spans="1:12" x14ac:dyDescent="0.3">
      <c r="A1821" s="8"/>
      <c r="C1821" s="6"/>
      <c r="E1821" s="6"/>
      <c r="J1821" s="8"/>
      <c r="L1821" s="6"/>
    </row>
    <row r="1822" spans="1:12" x14ac:dyDescent="0.3">
      <c r="A1822" s="8"/>
      <c r="C1822" s="6"/>
      <c r="E1822" s="6"/>
      <c r="J1822" s="8"/>
      <c r="L1822" s="6"/>
    </row>
    <row r="1823" spans="1:12" x14ac:dyDescent="0.3">
      <c r="A1823" s="8"/>
      <c r="C1823" s="6"/>
      <c r="E1823" s="6"/>
      <c r="J1823" s="8"/>
      <c r="L1823" s="6"/>
    </row>
    <row r="1824" spans="1:12" x14ac:dyDescent="0.3">
      <c r="A1824" s="8"/>
      <c r="C1824" s="6"/>
      <c r="E1824" s="6"/>
      <c r="J1824" s="8"/>
      <c r="L1824" s="6"/>
    </row>
    <row r="1825" spans="1:12" x14ac:dyDescent="0.3">
      <c r="A1825" s="8"/>
      <c r="C1825" s="6"/>
      <c r="E1825" s="6"/>
      <c r="J1825" s="8"/>
      <c r="L1825" s="6"/>
    </row>
    <row r="1826" spans="1:12" x14ac:dyDescent="0.3">
      <c r="A1826" s="8"/>
      <c r="C1826" s="6"/>
      <c r="E1826" s="6"/>
      <c r="J1826" s="8"/>
      <c r="L1826" s="6"/>
    </row>
    <row r="1827" spans="1:12" x14ac:dyDescent="0.3">
      <c r="A1827" s="8"/>
      <c r="C1827" s="6"/>
      <c r="E1827" s="6"/>
      <c r="J1827" s="8"/>
      <c r="L1827" s="6"/>
    </row>
    <row r="1828" spans="1:12" x14ac:dyDescent="0.3">
      <c r="A1828" s="8"/>
      <c r="C1828" s="6"/>
      <c r="E1828" s="6"/>
      <c r="J1828" s="8"/>
      <c r="L1828" s="6"/>
    </row>
    <row r="1829" spans="1:12" x14ac:dyDescent="0.3">
      <c r="A1829" s="8"/>
      <c r="C1829" s="6"/>
      <c r="E1829" s="6"/>
      <c r="J1829" s="8"/>
      <c r="L1829" s="6"/>
    </row>
    <row r="1830" spans="1:12" x14ac:dyDescent="0.3">
      <c r="A1830" s="8"/>
      <c r="C1830" s="6"/>
      <c r="E1830" s="6"/>
      <c r="J1830" s="8"/>
      <c r="L1830" s="6"/>
    </row>
    <row r="1831" spans="1:12" x14ac:dyDescent="0.3">
      <c r="A1831" s="8"/>
      <c r="C1831" s="6"/>
      <c r="E1831" s="6"/>
      <c r="J1831" s="8"/>
      <c r="L1831" s="6"/>
    </row>
    <row r="1832" spans="1:12" x14ac:dyDescent="0.3">
      <c r="A1832" s="8"/>
      <c r="C1832" s="6"/>
      <c r="E1832" s="6"/>
      <c r="J1832" s="8"/>
      <c r="L1832" s="6"/>
    </row>
    <row r="1833" spans="1:12" x14ac:dyDescent="0.3">
      <c r="A1833" s="8"/>
      <c r="C1833" s="6"/>
      <c r="E1833" s="6"/>
      <c r="J1833" s="8"/>
      <c r="L1833" s="6"/>
    </row>
    <row r="1834" spans="1:12" x14ac:dyDescent="0.3">
      <c r="A1834" s="8"/>
      <c r="C1834" s="6"/>
      <c r="E1834" s="6"/>
      <c r="J1834" s="8"/>
      <c r="L1834" s="6"/>
    </row>
    <row r="1835" spans="1:12" x14ac:dyDescent="0.3">
      <c r="A1835" s="8"/>
      <c r="C1835" s="6"/>
      <c r="E1835" s="6"/>
      <c r="J1835" s="8"/>
      <c r="L1835" s="6"/>
    </row>
    <row r="1836" spans="1:12" x14ac:dyDescent="0.3">
      <c r="A1836" s="8"/>
      <c r="C1836" s="6"/>
      <c r="E1836" s="6"/>
      <c r="J1836" s="8"/>
      <c r="L1836" s="6"/>
    </row>
    <row r="1837" spans="1:12" x14ac:dyDescent="0.3">
      <c r="A1837" s="8"/>
      <c r="C1837" s="6"/>
      <c r="E1837" s="6"/>
      <c r="J1837" s="8"/>
      <c r="L1837" s="6"/>
    </row>
    <row r="1838" spans="1:12" x14ac:dyDescent="0.3">
      <c r="A1838" s="8"/>
      <c r="C1838" s="6"/>
      <c r="E1838" s="6"/>
      <c r="J1838" s="8"/>
      <c r="L1838" s="6"/>
    </row>
    <row r="1839" spans="1:12" x14ac:dyDescent="0.3">
      <c r="A1839" s="8"/>
      <c r="C1839" s="6"/>
      <c r="E1839" s="6"/>
      <c r="J1839" s="8"/>
      <c r="L1839" s="6"/>
    </row>
    <row r="1840" spans="1:12" x14ac:dyDescent="0.3">
      <c r="A1840" s="8"/>
      <c r="C1840" s="6"/>
      <c r="E1840" s="6"/>
      <c r="J1840" s="8"/>
      <c r="L1840" s="6"/>
    </row>
    <row r="1841" spans="1:12" x14ac:dyDescent="0.3">
      <c r="A1841" s="8"/>
      <c r="C1841" s="6"/>
      <c r="E1841" s="6"/>
      <c r="J1841" s="8"/>
      <c r="L1841" s="6"/>
    </row>
    <row r="1842" spans="1:12" x14ac:dyDescent="0.3">
      <c r="A1842" s="8"/>
      <c r="C1842" s="6"/>
      <c r="E1842" s="6"/>
      <c r="J1842" s="8"/>
      <c r="L1842" s="6"/>
    </row>
    <row r="1843" spans="1:12" x14ac:dyDescent="0.3">
      <c r="A1843" s="8"/>
      <c r="C1843" s="6"/>
      <c r="E1843" s="6"/>
      <c r="J1843" s="8"/>
      <c r="L1843" s="6"/>
    </row>
    <row r="1844" spans="1:12" x14ac:dyDescent="0.3">
      <c r="A1844" s="8"/>
      <c r="C1844" s="6"/>
      <c r="E1844" s="6"/>
      <c r="J1844" s="8"/>
      <c r="L1844" s="6"/>
    </row>
    <row r="1845" spans="1:12" x14ac:dyDescent="0.3">
      <c r="A1845" s="8"/>
      <c r="C1845" s="6"/>
      <c r="E1845" s="6"/>
      <c r="J1845" s="8"/>
      <c r="L1845" s="6"/>
    </row>
    <row r="1846" spans="1:12" x14ac:dyDescent="0.3">
      <c r="A1846" s="8"/>
      <c r="C1846" s="6"/>
      <c r="E1846" s="6"/>
      <c r="J1846" s="8"/>
      <c r="L1846" s="6"/>
    </row>
    <row r="1847" spans="1:12" x14ac:dyDescent="0.3">
      <c r="A1847" s="8"/>
      <c r="C1847" s="6"/>
      <c r="E1847" s="6"/>
      <c r="J1847" s="8"/>
      <c r="L1847" s="6"/>
    </row>
    <row r="1848" spans="1:12" x14ac:dyDescent="0.3">
      <c r="A1848" s="8"/>
      <c r="C1848" s="6"/>
      <c r="E1848" s="6"/>
      <c r="J1848" s="8"/>
      <c r="L1848" s="6"/>
    </row>
    <row r="1849" spans="1:12" x14ac:dyDescent="0.3">
      <c r="A1849" s="8"/>
      <c r="C1849" s="6"/>
      <c r="E1849" s="6"/>
      <c r="J1849" s="8"/>
      <c r="L1849" s="6"/>
    </row>
    <row r="1850" spans="1:12" x14ac:dyDescent="0.3">
      <c r="A1850" s="8"/>
      <c r="C1850" s="6"/>
      <c r="E1850" s="6"/>
      <c r="J1850" s="8"/>
      <c r="L1850" s="6"/>
    </row>
    <row r="1851" spans="1:12" x14ac:dyDescent="0.3">
      <c r="A1851" s="8"/>
      <c r="C1851" s="6"/>
      <c r="E1851" s="6"/>
      <c r="J1851" s="8"/>
      <c r="L1851" s="6"/>
    </row>
    <row r="1852" spans="1:12" x14ac:dyDescent="0.3">
      <c r="A1852" s="8"/>
      <c r="C1852" s="6"/>
      <c r="E1852" s="6"/>
      <c r="J1852" s="8"/>
      <c r="L1852" s="6"/>
    </row>
    <row r="1853" spans="1:12" x14ac:dyDescent="0.3">
      <c r="A1853" s="8"/>
      <c r="C1853" s="6"/>
      <c r="E1853" s="6"/>
      <c r="J1853" s="8"/>
      <c r="L1853" s="6"/>
    </row>
    <row r="1854" spans="1:12" x14ac:dyDescent="0.3">
      <c r="A1854" s="8"/>
      <c r="C1854" s="6"/>
      <c r="E1854" s="6"/>
      <c r="J1854" s="8"/>
      <c r="L1854" s="6"/>
    </row>
    <row r="1855" spans="1:12" x14ac:dyDescent="0.3">
      <c r="A1855" s="8"/>
      <c r="C1855" s="6"/>
      <c r="E1855" s="6"/>
      <c r="J1855" s="8"/>
      <c r="L1855" s="6"/>
    </row>
    <row r="1856" spans="1:12" x14ac:dyDescent="0.3">
      <c r="A1856" s="8"/>
      <c r="C1856" s="6"/>
      <c r="E1856" s="6"/>
      <c r="J1856" s="8"/>
      <c r="L1856" s="6"/>
    </row>
    <row r="1857" spans="1:12" x14ac:dyDescent="0.3">
      <c r="A1857" s="8"/>
      <c r="C1857" s="6"/>
      <c r="E1857" s="6"/>
      <c r="J1857" s="8"/>
      <c r="L1857" s="6"/>
    </row>
    <row r="1858" spans="1:12" x14ac:dyDescent="0.3">
      <c r="A1858" s="8"/>
      <c r="C1858" s="6"/>
      <c r="E1858" s="6"/>
      <c r="J1858" s="8"/>
      <c r="L1858" s="6"/>
    </row>
    <row r="1859" spans="1:12" x14ac:dyDescent="0.3">
      <c r="A1859" s="8"/>
      <c r="C1859" s="6"/>
      <c r="E1859" s="6"/>
      <c r="J1859" s="8"/>
      <c r="L1859" s="6"/>
    </row>
    <row r="1860" spans="1:12" x14ac:dyDescent="0.3">
      <c r="A1860" s="8"/>
      <c r="C1860" s="6"/>
      <c r="E1860" s="6"/>
      <c r="J1860" s="8"/>
      <c r="L1860" s="6"/>
    </row>
    <row r="1861" spans="1:12" x14ac:dyDescent="0.3">
      <c r="A1861" s="8"/>
      <c r="C1861" s="6"/>
      <c r="E1861" s="6"/>
      <c r="J1861" s="8"/>
      <c r="L1861" s="6"/>
    </row>
    <row r="1862" spans="1:12" x14ac:dyDescent="0.3">
      <c r="A1862" s="8"/>
      <c r="C1862" s="6"/>
      <c r="E1862" s="6"/>
      <c r="J1862" s="8"/>
      <c r="L1862" s="6"/>
    </row>
    <row r="1863" spans="1:12" x14ac:dyDescent="0.3">
      <c r="A1863" s="8"/>
      <c r="C1863" s="6"/>
      <c r="E1863" s="6"/>
      <c r="J1863" s="8"/>
      <c r="L1863" s="6"/>
    </row>
    <row r="1864" spans="1:12" x14ac:dyDescent="0.3">
      <c r="A1864" s="8"/>
      <c r="C1864" s="6"/>
      <c r="E1864" s="6"/>
      <c r="J1864" s="8"/>
      <c r="L1864" s="6"/>
    </row>
    <row r="1865" spans="1:12" x14ac:dyDescent="0.3">
      <c r="A1865" s="8"/>
      <c r="C1865" s="6"/>
      <c r="E1865" s="6"/>
      <c r="J1865" s="8"/>
      <c r="L1865" s="6"/>
    </row>
    <row r="1866" spans="1:12" x14ac:dyDescent="0.3">
      <c r="A1866" s="8"/>
      <c r="C1866" s="6"/>
      <c r="E1866" s="6"/>
      <c r="J1866" s="8"/>
      <c r="L1866" s="6"/>
    </row>
    <row r="1867" spans="1:12" x14ac:dyDescent="0.3">
      <c r="A1867" s="8"/>
      <c r="C1867" s="6"/>
      <c r="E1867" s="6"/>
      <c r="J1867" s="8"/>
      <c r="L1867" s="6"/>
    </row>
    <row r="1868" spans="1:12" x14ac:dyDescent="0.3">
      <c r="A1868" s="8"/>
      <c r="C1868" s="6"/>
      <c r="E1868" s="6"/>
      <c r="J1868" s="8"/>
      <c r="L1868" s="6"/>
    </row>
    <row r="1869" spans="1:12" x14ac:dyDescent="0.3">
      <c r="A1869" s="8"/>
      <c r="C1869" s="6"/>
      <c r="E1869" s="6"/>
      <c r="J1869" s="8"/>
      <c r="L1869" s="6"/>
    </row>
    <row r="1870" spans="1:12" x14ac:dyDescent="0.3">
      <c r="A1870" s="8"/>
      <c r="C1870" s="6"/>
      <c r="E1870" s="6"/>
      <c r="J1870" s="8"/>
      <c r="L1870" s="6"/>
    </row>
    <row r="1871" spans="1:12" x14ac:dyDescent="0.3">
      <c r="A1871" s="8"/>
      <c r="C1871" s="6"/>
      <c r="E1871" s="6"/>
      <c r="J1871" s="8"/>
      <c r="L1871" s="6"/>
    </row>
    <row r="1872" spans="1:12" x14ac:dyDescent="0.3">
      <c r="A1872" s="8"/>
      <c r="C1872" s="6"/>
      <c r="E1872" s="6"/>
      <c r="J1872" s="8"/>
      <c r="L1872" s="6"/>
    </row>
    <row r="1873" spans="1:12" x14ac:dyDescent="0.3">
      <c r="A1873" s="8"/>
      <c r="C1873" s="6"/>
      <c r="E1873" s="6"/>
      <c r="J1873" s="8"/>
      <c r="L1873" s="6"/>
    </row>
    <row r="1874" spans="1:12" x14ac:dyDescent="0.3">
      <c r="A1874" s="8"/>
      <c r="C1874" s="6"/>
      <c r="E1874" s="6"/>
      <c r="J1874" s="8"/>
      <c r="L1874" s="6"/>
    </row>
    <row r="1875" spans="1:12" x14ac:dyDescent="0.3">
      <c r="A1875" s="8"/>
      <c r="C1875" s="6"/>
      <c r="E1875" s="6"/>
      <c r="J1875" s="8"/>
      <c r="L1875" s="6"/>
    </row>
    <row r="1876" spans="1:12" x14ac:dyDescent="0.3">
      <c r="A1876" s="8"/>
      <c r="C1876" s="6"/>
      <c r="E1876" s="6"/>
      <c r="J1876" s="8"/>
      <c r="L1876" s="6"/>
    </row>
    <row r="1877" spans="1:12" x14ac:dyDescent="0.3">
      <c r="A1877" s="8"/>
      <c r="C1877" s="6"/>
      <c r="E1877" s="6"/>
      <c r="J1877" s="8"/>
      <c r="L1877" s="6"/>
    </row>
    <row r="1878" spans="1:12" x14ac:dyDescent="0.3">
      <c r="A1878" s="8"/>
      <c r="C1878" s="6"/>
      <c r="E1878" s="6"/>
      <c r="J1878" s="8"/>
      <c r="L1878" s="6"/>
    </row>
    <row r="1879" spans="1:12" x14ac:dyDescent="0.3">
      <c r="A1879" s="8"/>
      <c r="C1879" s="6"/>
      <c r="E1879" s="6"/>
      <c r="J1879" s="8"/>
      <c r="L1879" s="6"/>
    </row>
    <row r="1880" spans="1:12" x14ac:dyDescent="0.3">
      <c r="A1880" s="8"/>
      <c r="C1880" s="6"/>
      <c r="E1880" s="6"/>
      <c r="J1880" s="8"/>
      <c r="L1880" s="6"/>
    </row>
    <row r="1881" spans="1:12" x14ac:dyDescent="0.3">
      <c r="A1881" s="8"/>
      <c r="C1881" s="6"/>
      <c r="E1881" s="6"/>
      <c r="J1881" s="8"/>
      <c r="L1881" s="6"/>
    </row>
    <row r="1882" spans="1:12" x14ac:dyDescent="0.3">
      <c r="A1882" s="8"/>
      <c r="C1882" s="6"/>
      <c r="E1882" s="6"/>
      <c r="J1882" s="8"/>
      <c r="L1882" s="6"/>
    </row>
    <row r="1883" spans="1:12" x14ac:dyDescent="0.3">
      <c r="A1883" s="8"/>
      <c r="C1883" s="6"/>
      <c r="E1883" s="6"/>
      <c r="J1883" s="8"/>
      <c r="L1883" s="6"/>
    </row>
    <row r="1884" spans="1:12" x14ac:dyDescent="0.3">
      <c r="A1884" s="8"/>
      <c r="C1884" s="6"/>
      <c r="E1884" s="6"/>
      <c r="J1884" s="8"/>
      <c r="L1884" s="6"/>
    </row>
    <row r="1885" spans="1:12" x14ac:dyDescent="0.3">
      <c r="A1885" s="8"/>
      <c r="C1885" s="6"/>
      <c r="E1885" s="6"/>
      <c r="J1885" s="8"/>
      <c r="L1885" s="6"/>
    </row>
    <row r="1886" spans="1:12" x14ac:dyDescent="0.3">
      <c r="A1886" s="8"/>
      <c r="C1886" s="6"/>
      <c r="E1886" s="6"/>
      <c r="J1886" s="8"/>
      <c r="L1886" s="6"/>
    </row>
    <row r="1887" spans="1:12" x14ac:dyDescent="0.3">
      <c r="A1887" s="8"/>
      <c r="C1887" s="6"/>
      <c r="E1887" s="6"/>
      <c r="J1887" s="8"/>
      <c r="L1887" s="6"/>
    </row>
    <row r="1888" spans="1:12" x14ac:dyDescent="0.3">
      <c r="A1888" s="8"/>
      <c r="C1888" s="6"/>
      <c r="E1888" s="6"/>
      <c r="J1888" s="8"/>
      <c r="L1888" s="6"/>
    </row>
    <row r="1889" spans="1:12" x14ac:dyDescent="0.3">
      <c r="A1889" s="8"/>
      <c r="C1889" s="6"/>
      <c r="E1889" s="6"/>
      <c r="J1889" s="8"/>
      <c r="L1889" s="6"/>
    </row>
    <row r="1890" spans="1:12" x14ac:dyDescent="0.3">
      <c r="A1890" s="8"/>
      <c r="C1890" s="6"/>
      <c r="E1890" s="6"/>
      <c r="J1890" s="8"/>
      <c r="L1890" s="6"/>
    </row>
    <row r="1891" spans="1:12" x14ac:dyDescent="0.3">
      <c r="A1891" s="8"/>
      <c r="C1891" s="6"/>
      <c r="E1891" s="6"/>
      <c r="J1891" s="8"/>
      <c r="L1891" s="6"/>
    </row>
    <row r="1892" spans="1:12" x14ac:dyDescent="0.3">
      <c r="A1892" s="8"/>
      <c r="C1892" s="6"/>
      <c r="E1892" s="6"/>
      <c r="J1892" s="8"/>
      <c r="L1892" s="6"/>
    </row>
    <row r="1893" spans="1:12" x14ac:dyDescent="0.3">
      <c r="A1893" s="8"/>
      <c r="C1893" s="6"/>
      <c r="E1893" s="6"/>
      <c r="J1893" s="8"/>
      <c r="L1893" s="6"/>
    </row>
    <row r="1894" spans="1:12" x14ac:dyDescent="0.3">
      <c r="A1894" s="8"/>
      <c r="C1894" s="6"/>
      <c r="E1894" s="6"/>
      <c r="J1894" s="8"/>
      <c r="L1894" s="6"/>
    </row>
    <row r="1895" spans="1:12" x14ac:dyDescent="0.3">
      <c r="A1895" s="8"/>
      <c r="C1895" s="6"/>
      <c r="E1895" s="6"/>
      <c r="J1895" s="8"/>
      <c r="L1895" s="6"/>
    </row>
    <row r="1896" spans="1:12" x14ac:dyDescent="0.3">
      <c r="A1896" s="8"/>
      <c r="C1896" s="6"/>
      <c r="E1896" s="6"/>
      <c r="J1896" s="8"/>
      <c r="L1896" s="6"/>
    </row>
    <row r="1897" spans="1:12" x14ac:dyDescent="0.3">
      <c r="A1897" s="8"/>
      <c r="C1897" s="6"/>
      <c r="E1897" s="6"/>
      <c r="J1897" s="8"/>
      <c r="L1897" s="6"/>
    </row>
    <row r="1898" spans="1:12" x14ac:dyDescent="0.3">
      <c r="A1898" s="8"/>
      <c r="C1898" s="6"/>
      <c r="E1898" s="6"/>
      <c r="J1898" s="8"/>
      <c r="L1898" s="6"/>
    </row>
    <row r="1899" spans="1:12" x14ac:dyDescent="0.3">
      <c r="A1899" s="8"/>
      <c r="C1899" s="6"/>
      <c r="E1899" s="6"/>
      <c r="J1899" s="8"/>
      <c r="L1899" s="6"/>
    </row>
    <row r="1900" spans="1:12" x14ac:dyDescent="0.3">
      <c r="A1900" s="8"/>
      <c r="C1900" s="6"/>
      <c r="E1900" s="6"/>
      <c r="J1900" s="8"/>
      <c r="L1900" s="6"/>
    </row>
    <row r="1901" spans="1:12" x14ac:dyDescent="0.3">
      <c r="A1901" s="8"/>
      <c r="C1901" s="6"/>
      <c r="E1901" s="6"/>
      <c r="J1901" s="8"/>
      <c r="L1901" s="6"/>
    </row>
    <row r="1902" spans="1:12" x14ac:dyDescent="0.3">
      <c r="A1902" s="8"/>
      <c r="C1902" s="6"/>
      <c r="E1902" s="6"/>
      <c r="J1902" s="8"/>
      <c r="L1902" s="6"/>
    </row>
    <row r="1903" spans="1:12" x14ac:dyDescent="0.3">
      <c r="A1903" s="8"/>
      <c r="C1903" s="6"/>
      <c r="E1903" s="6"/>
      <c r="J1903" s="8"/>
      <c r="L1903" s="6"/>
    </row>
    <row r="1904" spans="1:12" x14ac:dyDescent="0.3">
      <c r="A1904" s="8"/>
      <c r="C1904" s="6"/>
      <c r="E1904" s="6"/>
      <c r="J1904" s="8"/>
      <c r="L1904" s="6"/>
    </row>
    <row r="1905" spans="1:12" x14ac:dyDescent="0.3">
      <c r="A1905" s="8"/>
      <c r="C1905" s="6"/>
      <c r="E1905" s="6"/>
      <c r="J1905" s="8"/>
      <c r="L1905" s="6"/>
    </row>
    <row r="1906" spans="1:12" x14ac:dyDescent="0.3">
      <c r="A1906" s="8"/>
      <c r="C1906" s="6"/>
      <c r="E1906" s="6"/>
      <c r="J1906" s="8"/>
      <c r="L1906" s="6"/>
    </row>
    <row r="1907" spans="1:12" x14ac:dyDescent="0.3">
      <c r="A1907" s="8"/>
      <c r="C1907" s="6"/>
      <c r="E1907" s="6"/>
      <c r="J1907" s="8"/>
      <c r="L1907" s="6"/>
    </row>
    <row r="1908" spans="1:12" x14ac:dyDescent="0.3">
      <c r="A1908" s="8"/>
      <c r="C1908" s="6"/>
      <c r="E1908" s="6"/>
      <c r="J1908" s="8"/>
      <c r="L1908" s="6"/>
    </row>
    <row r="1909" spans="1:12" x14ac:dyDescent="0.3">
      <c r="A1909" s="8"/>
      <c r="C1909" s="6"/>
      <c r="E1909" s="6"/>
      <c r="J1909" s="8"/>
      <c r="L1909" s="6"/>
    </row>
    <row r="1910" spans="1:12" x14ac:dyDescent="0.3">
      <c r="A1910" s="8"/>
      <c r="C1910" s="6"/>
      <c r="E1910" s="6"/>
      <c r="J1910" s="8"/>
      <c r="L1910" s="6"/>
    </row>
    <row r="1911" spans="1:12" x14ac:dyDescent="0.3">
      <c r="A1911" s="8"/>
      <c r="C1911" s="6"/>
      <c r="E1911" s="6"/>
      <c r="J1911" s="8"/>
      <c r="L1911" s="6"/>
    </row>
    <row r="1912" spans="1:12" x14ac:dyDescent="0.3">
      <c r="A1912" s="8"/>
      <c r="C1912" s="6"/>
      <c r="E1912" s="6"/>
      <c r="J1912" s="8"/>
      <c r="L1912" s="6"/>
    </row>
    <row r="1913" spans="1:12" x14ac:dyDescent="0.3">
      <c r="A1913" s="8"/>
      <c r="C1913" s="6"/>
      <c r="E1913" s="6"/>
      <c r="J1913" s="8"/>
      <c r="L1913" s="6"/>
    </row>
    <row r="1914" spans="1:12" x14ac:dyDescent="0.3">
      <c r="A1914" s="8"/>
      <c r="C1914" s="6"/>
      <c r="E1914" s="6"/>
      <c r="J1914" s="8"/>
      <c r="L1914" s="6"/>
    </row>
    <row r="1915" spans="1:12" x14ac:dyDescent="0.3">
      <c r="A1915" s="8"/>
      <c r="C1915" s="6"/>
      <c r="E1915" s="6"/>
      <c r="J1915" s="8"/>
      <c r="L1915" s="6"/>
    </row>
    <row r="1916" spans="1:12" x14ac:dyDescent="0.3">
      <c r="A1916" s="8"/>
      <c r="C1916" s="6"/>
      <c r="E1916" s="6"/>
      <c r="J1916" s="8"/>
      <c r="L1916" s="6"/>
    </row>
    <row r="1917" spans="1:12" x14ac:dyDescent="0.3">
      <c r="A1917" s="8"/>
      <c r="C1917" s="6"/>
      <c r="E1917" s="6"/>
      <c r="J1917" s="8"/>
      <c r="L1917" s="6"/>
    </row>
    <row r="1918" spans="1:12" x14ac:dyDescent="0.3">
      <c r="A1918" s="8"/>
      <c r="C1918" s="6"/>
      <c r="E1918" s="6"/>
      <c r="J1918" s="8"/>
      <c r="L1918" s="6"/>
    </row>
    <row r="1919" spans="1:12" x14ac:dyDescent="0.3">
      <c r="A1919" s="8"/>
      <c r="C1919" s="6"/>
      <c r="E1919" s="6"/>
      <c r="J1919" s="8"/>
      <c r="L1919" s="6"/>
    </row>
    <row r="1920" spans="1:12" x14ac:dyDescent="0.3">
      <c r="A1920" s="8"/>
      <c r="C1920" s="6"/>
      <c r="E1920" s="6"/>
      <c r="J1920" s="8"/>
      <c r="L1920" s="6"/>
    </row>
    <row r="1921" spans="1:12" x14ac:dyDescent="0.3">
      <c r="A1921" s="8"/>
      <c r="C1921" s="6"/>
      <c r="E1921" s="6"/>
      <c r="J1921" s="8"/>
      <c r="L1921" s="6"/>
    </row>
    <row r="1922" spans="1:12" x14ac:dyDescent="0.3">
      <c r="A1922" s="8"/>
      <c r="C1922" s="6"/>
      <c r="E1922" s="6"/>
      <c r="J1922" s="8"/>
      <c r="L1922" s="6"/>
    </row>
    <row r="1923" spans="1:12" x14ac:dyDescent="0.3">
      <c r="A1923" s="8"/>
      <c r="C1923" s="6"/>
      <c r="E1923" s="6"/>
      <c r="J1923" s="8"/>
      <c r="L1923" s="6"/>
    </row>
    <row r="1924" spans="1:12" x14ac:dyDescent="0.3">
      <c r="A1924" s="8"/>
      <c r="C1924" s="6"/>
      <c r="E1924" s="6"/>
      <c r="J1924" s="8"/>
      <c r="L1924" s="6"/>
    </row>
    <row r="1925" spans="1:12" x14ac:dyDescent="0.3">
      <c r="A1925" s="8"/>
      <c r="C1925" s="6"/>
      <c r="E1925" s="6"/>
      <c r="J1925" s="8"/>
      <c r="L1925" s="6"/>
    </row>
    <row r="1926" spans="1:12" x14ac:dyDescent="0.3">
      <c r="A1926" s="8"/>
      <c r="C1926" s="6"/>
      <c r="E1926" s="6"/>
      <c r="J1926" s="8"/>
      <c r="L1926" s="6"/>
    </row>
    <row r="1927" spans="1:12" x14ac:dyDescent="0.3">
      <c r="A1927" s="8"/>
      <c r="C1927" s="6"/>
      <c r="E1927" s="6"/>
      <c r="J1927" s="8"/>
      <c r="L1927" s="6"/>
    </row>
    <row r="1928" spans="1:12" x14ac:dyDescent="0.3">
      <c r="A1928" s="8"/>
      <c r="C1928" s="6"/>
      <c r="E1928" s="6"/>
      <c r="J1928" s="8"/>
      <c r="L1928" s="6"/>
    </row>
    <row r="1929" spans="1:12" x14ac:dyDescent="0.3">
      <c r="A1929" s="8"/>
      <c r="C1929" s="6"/>
      <c r="E1929" s="6"/>
      <c r="J1929" s="8"/>
      <c r="L1929" s="6"/>
    </row>
    <row r="1930" spans="1:12" x14ac:dyDescent="0.3">
      <c r="A1930" s="8"/>
      <c r="C1930" s="6"/>
      <c r="E1930" s="6"/>
      <c r="J1930" s="8"/>
      <c r="L1930" s="6"/>
    </row>
    <row r="1931" spans="1:12" x14ac:dyDescent="0.3">
      <c r="A1931" s="8"/>
      <c r="C1931" s="6"/>
      <c r="E1931" s="6"/>
      <c r="J1931" s="8"/>
      <c r="L1931" s="6"/>
    </row>
    <row r="1932" spans="1:12" x14ac:dyDescent="0.3">
      <c r="A1932" s="8"/>
      <c r="C1932" s="6"/>
      <c r="E1932" s="6"/>
      <c r="J1932" s="8"/>
      <c r="L1932" s="6"/>
    </row>
    <row r="1933" spans="1:12" x14ac:dyDescent="0.3">
      <c r="A1933" s="8"/>
      <c r="C1933" s="6"/>
      <c r="E1933" s="6"/>
      <c r="J1933" s="8"/>
      <c r="L1933" s="6"/>
    </row>
    <row r="1934" spans="1:12" x14ac:dyDescent="0.3">
      <c r="A1934" s="8"/>
      <c r="C1934" s="6"/>
      <c r="E1934" s="6"/>
      <c r="J1934" s="8"/>
      <c r="L1934" s="6"/>
    </row>
    <row r="1935" spans="1:12" x14ac:dyDescent="0.3">
      <c r="A1935" s="8"/>
      <c r="C1935" s="6"/>
      <c r="E1935" s="6"/>
      <c r="J1935" s="8"/>
      <c r="L1935" s="6"/>
    </row>
    <row r="1936" spans="1:12" x14ac:dyDescent="0.3">
      <c r="A1936" s="8"/>
      <c r="C1936" s="6"/>
      <c r="E1936" s="6"/>
      <c r="J1936" s="8"/>
      <c r="L1936" s="6"/>
    </row>
    <row r="1937" spans="1:12" x14ac:dyDescent="0.3">
      <c r="A1937" s="8"/>
      <c r="C1937" s="6"/>
      <c r="E1937" s="6"/>
      <c r="J1937" s="8"/>
      <c r="L1937" s="6"/>
    </row>
    <row r="1938" spans="1:12" x14ac:dyDescent="0.3">
      <c r="A1938" s="8"/>
      <c r="C1938" s="6"/>
      <c r="E1938" s="6"/>
      <c r="J1938" s="8"/>
      <c r="L1938" s="6"/>
    </row>
    <row r="1939" spans="1:12" x14ac:dyDescent="0.3">
      <c r="A1939" s="8"/>
      <c r="C1939" s="6"/>
      <c r="E1939" s="6"/>
      <c r="J1939" s="8"/>
      <c r="L1939" s="6"/>
    </row>
    <row r="1940" spans="1:12" x14ac:dyDescent="0.3">
      <c r="A1940" s="8"/>
      <c r="C1940" s="6"/>
      <c r="E1940" s="6"/>
      <c r="J1940" s="8"/>
      <c r="L1940" s="6"/>
    </row>
    <row r="1941" spans="1:12" x14ac:dyDescent="0.3">
      <c r="A1941" s="8"/>
      <c r="C1941" s="6"/>
      <c r="E1941" s="6"/>
      <c r="J1941" s="8"/>
      <c r="L1941" s="6"/>
    </row>
    <row r="1942" spans="1:12" x14ac:dyDescent="0.3">
      <c r="A1942" s="8"/>
      <c r="C1942" s="6"/>
      <c r="E1942" s="6"/>
      <c r="J1942" s="8"/>
      <c r="L1942" s="6"/>
    </row>
    <row r="1943" spans="1:12" x14ac:dyDescent="0.3">
      <c r="A1943" s="8"/>
      <c r="C1943" s="6"/>
      <c r="E1943" s="6"/>
      <c r="J1943" s="8"/>
      <c r="L1943" s="6"/>
    </row>
    <row r="1944" spans="1:12" x14ac:dyDescent="0.3">
      <c r="A1944" s="8"/>
      <c r="C1944" s="6"/>
      <c r="E1944" s="6"/>
      <c r="J1944" s="8"/>
      <c r="L1944" s="6"/>
    </row>
    <row r="1945" spans="1:12" x14ac:dyDescent="0.3">
      <c r="A1945" s="8"/>
      <c r="C1945" s="6"/>
      <c r="E1945" s="6"/>
      <c r="J1945" s="8"/>
      <c r="L1945" s="6"/>
    </row>
    <row r="1946" spans="1:12" x14ac:dyDescent="0.3">
      <c r="A1946" s="8"/>
      <c r="C1946" s="6"/>
      <c r="E1946" s="6"/>
      <c r="J1946" s="8"/>
      <c r="L1946" s="6"/>
    </row>
    <row r="1947" spans="1:12" x14ac:dyDescent="0.3">
      <c r="A1947" s="8"/>
      <c r="C1947" s="6"/>
      <c r="E1947" s="6"/>
      <c r="J1947" s="8"/>
      <c r="L1947" s="6"/>
    </row>
    <row r="1948" spans="1:12" x14ac:dyDescent="0.3">
      <c r="A1948" s="8"/>
      <c r="C1948" s="6"/>
      <c r="E1948" s="6"/>
      <c r="J1948" s="8"/>
      <c r="L1948" s="6"/>
    </row>
    <row r="1949" spans="1:12" x14ac:dyDescent="0.3">
      <c r="A1949" s="8"/>
      <c r="C1949" s="6"/>
      <c r="E1949" s="6"/>
      <c r="J1949" s="8"/>
      <c r="L1949" s="6"/>
    </row>
    <row r="1950" spans="1:12" x14ac:dyDescent="0.3">
      <c r="A1950" s="8"/>
      <c r="C1950" s="6"/>
      <c r="E1950" s="6"/>
      <c r="J1950" s="8"/>
      <c r="L1950" s="6"/>
    </row>
    <row r="1951" spans="1:12" x14ac:dyDescent="0.3">
      <c r="A1951" s="8"/>
      <c r="C1951" s="6"/>
      <c r="E1951" s="6"/>
      <c r="J1951" s="8"/>
      <c r="L1951" s="6"/>
    </row>
    <row r="1952" spans="1:12" x14ac:dyDescent="0.3">
      <c r="A1952" s="8"/>
      <c r="C1952" s="6"/>
      <c r="E1952" s="6"/>
      <c r="J1952" s="8"/>
      <c r="L1952" s="6"/>
    </row>
    <row r="1953" spans="1:12" x14ac:dyDescent="0.3">
      <c r="A1953" s="8"/>
      <c r="C1953" s="6"/>
      <c r="E1953" s="6"/>
      <c r="J1953" s="8"/>
      <c r="L1953" s="6"/>
    </row>
    <row r="1954" spans="1:12" x14ac:dyDescent="0.3">
      <c r="A1954" s="8"/>
      <c r="C1954" s="6"/>
      <c r="E1954" s="6"/>
      <c r="J1954" s="8"/>
      <c r="L1954" s="6"/>
    </row>
    <row r="1955" spans="1:12" x14ac:dyDescent="0.3">
      <c r="A1955" s="8"/>
      <c r="C1955" s="6"/>
      <c r="E1955" s="6"/>
      <c r="J1955" s="8"/>
      <c r="L1955" s="6"/>
    </row>
    <row r="1956" spans="1:12" x14ac:dyDescent="0.3">
      <c r="A1956" s="8"/>
      <c r="C1956" s="6"/>
      <c r="E1956" s="6"/>
      <c r="J1956" s="8"/>
      <c r="L1956" s="6"/>
    </row>
    <row r="1957" spans="1:12" x14ac:dyDescent="0.3">
      <c r="A1957" s="8"/>
      <c r="C1957" s="6"/>
      <c r="E1957" s="6"/>
      <c r="J1957" s="8"/>
      <c r="L1957" s="6"/>
    </row>
    <row r="1958" spans="1:12" x14ac:dyDescent="0.3">
      <c r="A1958" s="8"/>
      <c r="C1958" s="6"/>
      <c r="E1958" s="6"/>
      <c r="J1958" s="8"/>
      <c r="L1958" s="6"/>
    </row>
    <row r="1959" spans="1:12" x14ac:dyDescent="0.3">
      <c r="A1959" s="8"/>
      <c r="C1959" s="6"/>
      <c r="E1959" s="6"/>
      <c r="J1959" s="8"/>
      <c r="L1959" s="6"/>
    </row>
    <row r="1960" spans="1:12" x14ac:dyDescent="0.3">
      <c r="A1960" s="8"/>
      <c r="C1960" s="6"/>
      <c r="E1960" s="6"/>
      <c r="J1960" s="8"/>
      <c r="L1960" s="6"/>
    </row>
    <row r="1961" spans="1:12" x14ac:dyDescent="0.3">
      <c r="A1961" s="8"/>
      <c r="C1961" s="6"/>
      <c r="E1961" s="6"/>
      <c r="J1961" s="8"/>
      <c r="L1961" s="6"/>
    </row>
    <row r="1962" spans="1:12" x14ac:dyDescent="0.3">
      <c r="A1962" s="8"/>
      <c r="C1962" s="6"/>
      <c r="E1962" s="6"/>
      <c r="J1962" s="8"/>
      <c r="L1962" s="6"/>
    </row>
    <row r="1963" spans="1:12" x14ac:dyDescent="0.3">
      <c r="A1963" s="8"/>
      <c r="C1963" s="6"/>
      <c r="E1963" s="6"/>
      <c r="J1963" s="8"/>
      <c r="L1963" s="6"/>
    </row>
    <row r="1964" spans="1:12" x14ac:dyDescent="0.3">
      <c r="A1964" s="8"/>
      <c r="C1964" s="6"/>
      <c r="E1964" s="6"/>
      <c r="J1964" s="8"/>
      <c r="L1964" s="6"/>
    </row>
    <row r="1965" spans="1:12" x14ac:dyDescent="0.3">
      <c r="A1965" s="8"/>
      <c r="C1965" s="6"/>
      <c r="E1965" s="6"/>
      <c r="J1965" s="8"/>
      <c r="L1965" s="6"/>
    </row>
    <row r="1966" spans="1:12" x14ac:dyDescent="0.3">
      <c r="A1966" s="8"/>
      <c r="C1966" s="6"/>
      <c r="E1966" s="6"/>
      <c r="J1966" s="8"/>
      <c r="L1966" s="6"/>
    </row>
    <row r="1967" spans="1:12" x14ac:dyDescent="0.3">
      <c r="A1967" s="8"/>
      <c r="C1967" s="6"/>
      <c r="E1967" s="6"/>
      <c r="J1967" s="8"/>
      <c r="L1967" s="6"/>
    </row>
    <row r="1968" spans="1:12" x14ac:dyDescent="0.3">
      <c r="A1968" s="8"/>
      <c r="C1968" s="6"/>
      <c r="E1968" s="6"/>
      <c r="J1968" s="8"/>
      <c r="L1968" s="6"/>
    </row>
    <row r="1969" spans="1:12" x14ac:dyDescent="0.3">
      <c r="A1969" s="8"/>
      <c r="C1969" s="6"/>
      <c r="E1969" s="6"/>
      <c r="J1969" s="8"/>
      <c r="L1969" s="6"/>
    </row>
    <row r="1970" spans="1:12" x14ac:dyDescent="0.3">
      <c r="A1970" s="8"/>
      <c r="C1970" s="6"/>
      <c r="E1970" s="6"/>
      <c r="J1970" s="8"/>
      <c r="L1970" s="6"/>
    </row>
    <row r="1971" spans="1:12" x14ac:dyDescent="0.3">
      <c r="A1971" s="8"/>
      <c r="C1971" s="6"/>
      <c r="E1971" s="6"/>
      <c r="J1971" s="8"/>
      <c r="L1971" s="6"/>
    </row>
    <row r="1972" spans="1:12" x14ac:dyDescent="0.3">
      <c r="A1972" s="8"/>
      <c r="C1972" s="6"/>
      <c r="E1972" s="6"/>
      <c r="J1972" s="8"/>
      <c r="L1972" s="6"/>
    </row>
    <row r="1973" spans="1:12" x14ac:dyDescent="0.3">
      <c r="A1973" s="8"/>
      <c r="C1973" s="6"/>
      <c r="E1973" s="6"/>
      <c r="J1973" s="8"/>
      <c r="L1973" s="6"/>
    </row>
    <row r="1974" spans="1:12" x14ac:dyDescent="0.3">
      <c r="A1974" s="8"/>
      <c r="C1974" s="6"/>
      <c r="E1974" s="6"/>
      <c r="J1974" s="8"/>
      <c r="L1974" s="6"/>
    </row>
    <row r="1975" spans="1:12" x14ac:dyDescent="0.3">
      <c r="A1975" s="8"/>
      <c r="C1975" s="6"/>
      <c r="E1975" s="6"/>
      <c r="J1975" s="8"/>
      <c r="L1975" s="6"/>
    </row>
    <row r="1976" spans="1:12" x14ac:dyDescent="0.3">
      <c r="A1976" s="8"/>
      <c r="C1976" s="6"/>
      <c r="E1976" s="6"/>
      <c r="J1976" s="8"/>
      <c r="L1976" s="6"/>
    </row>
    <row r="1977" spans="1:12" x14ac:dyDescent="0.3">
      <c r="A1977" s="8"/>
      <c r="C1977" s="6"/>
      <c r="E1977" s="6"/>
      <c r="J1977" s="8"/>
      <c r="L1977" s="6"/>
    </row>
    <row r="1978" spans="1:12" x14ac:dyDescent="0.3">
      <c r="A1978" s="8"/>
      <c r="C1978" s="6"/>
      <c r="E1978" s="6"/>
      <c r="J1978" s="8"/>
      <c r="L1978" s="6"/>
    </row>
    <row r="1979" spans="1:12" x14ac:dyDescent="0.3">
      <c r="A1979" s="8"/>
      <c r="C1979" s="6"/>
      <c r="E1979" s="6"/>
      <c r="J1979" s="8"/>
      <c r="L1979" s="6"/>
    </row>
    <row r="1980" spans="1:12" x14ac:dyDescent="0.3">
      <c r="A1980" s="8"/>
      <c r="C1980" s="6"/>
      <c r="E1980" s="6"/>
      <c r="J1980" s="8"/>
      <c r="L1980" s="6"/>
    </row>
    <row r="1981" spans="1:12" x14ac:dyDescent="0.3">
      <c r="A1981" s="8"/>
      <c r="C1981" s="6"/>
      <c r="E1981" s="6"/>
      <c r="J1981" s="8"/>
      <c r="L1981" s="6"/>
    </row>
    <row r="1982" spans="1:12" x14ac:dyDescent="0.3">
      <c r="A1982" s="8"/>
      <c r="C1982" s="6"/>
      <c r="E1982" s="6"/>
      <c r="J1982" s="8"/>
      <c r="L1982" s="6"/>
    </row>
    <row r="1983" spans="1:12" x14ac:dyDescent="0.3">
      <c r="A1983" s="8"/>
      <c r="C1983" s="6"/>
      <c r="E1983" s="6"/>
      <c r="J1983" s="8"/>
      <c r="L1983" s="6"/>
    </row>
    <row r="1984" spans="1:12" x14ac:dyDescent="0.3">
      <c r="A1984" s="8"/>
      <c r="C1984" s="6"/>
      <c r="E1984" s="6"/>
      <c r="J1984" s="8"/>
      <c r="L1984" s="6"/>
    </row>
    <row r="1985" spans="1:12" x14ac:dyDescent="0.3">
      <c r="A1985" s="8"/>
      <c r="C1985" s="6"/>
      <c r="E1985" s="6"/>
      <c r="J1985" s="8"/>
      <c r="L1985" s="6"/>
    </row>
    <row r="1986" spans="1:12" x14ac:dyDescent="0.3">
      <c r="A1986" s="8"/>
      <c r="C1986" s="6"/>
      <c r="E1986" s="6"/>
      <c r="J1986" s="8"/>
      <c r="L1986" s="6"/>
    </row>
    <row r="1987" spans="1:12" x14ac:dyDescent="0.3">
      <c r="A1987" s="8"/>
      <c r="C1987" s="6"/>
      <c r="E1987" s="6"/>
      <c r="J1987" s="8"/>
      <c r="L1987" s="6"/>
    </row>
    <row r="1988" spans="1:12" x14ac:dyDescent="0.3">
      <c r="A1988" s="8"/>
      <c r="C1988" s="6"/>
      <c r="E1988" s="6"/>
      <c r="J1988" s="8"/>
      <c r="L1988" s="6"/>
    </row>
    <row r="1989" spans="1:12" x14ac:dyDescent="0.3">
      <c r="A1989" s="8"/>
      <c r="C1989" s="6"/>
      <c r="E1989" s="6"/>
      <c r="J1989" s="8"/>
      <c r="L1989" s="6"/>
    </row>
    <row r="1990" spans="1:12" x14ac:dyDescent="0.3">
      <c r="A1990" s="8"/>
      <c r="C1990" s="6"/>
      <c r="E1990" s="6"/>
      <c r="J1990" s="8"/>
      <c r="L1990" s="6"/>
    </row>
    <row r="1991" spans="1:12" x14ac:dyDescent="0.3">
      <c r="A1991" s="8"/>
      <c r="C1991" s="6"/>
      <c r="E1991" s="6"/>
      <c r="J1991" s="8"/>
      <c r="L1991" s="6"/>
    </row>
    <row r="1992" spans="1:12" x14ac:dyDescent="0.3">
      <c r="A1992" s="8"/>
      <c r="C1992" s="6"/>
      <c r="E1992" s="6"/>
      <c r="J1992" s="8"/>
      <c r="L1992" s="6"/>
    </row>
    <row r="1993" spans="1:12" x14ac:dyDescent="0.3">
      <c r="A1993" s="8"/>
      <c r="C1993" s="6"/>
      <c r="E1993" s="6"/>
      <c r="J1993" s="8"/>
      <c r="L1993" s="6"/>
    </row>
    <row r="1994" spans="1:12" x14ac:dyDescent="0.3">
      <c r="A1994" s="8"/>
      <c r="C1994" s="6"/>
      <c r="E1994" s="6"/>
      <c r="J1994" s="8"/>
      <c r="L1994" s="6"/>
    </row>
    <row r="1995" spans="1:12" x14ac:dyDescent="0.3">
      <c r="A1995" s="8"/>
      <c r="C1995" s="6"/>
      <c r="E1995" s="6"/>
      <c r="J1995" s="8"/>
      <c r="L1995" s="6"/>
    </row>
    <row r="1996" spans="1:12" x14ac:dyDescent="0.3">
      <c r="A1996" s="8"/>
      <c r="C1996" s="6"/>
      <c r="E1996" s="6"/>
      <c r="J1996" s="8"/>
      <c r="L1996" s="6"/>
    </row>
    <row r="1997" spans="1:12" x14ac:dyDescent="0.3">
      <c r="A1997" s="8"/>
      <c r="C1997" s="6"/>
      <c r="E1997" s="6"/>
      <c r="J1997" s="8"/>
      <c r="L1997" s="6"/>
    </row>
    <row r="1998" spans="1:12" x14ac:dyDescent="0.3">
      <c r="A1998" s="8"/>
      <c r="C1998" s="6"/>
      <c r="E1998" s="6"/>
      <c r="J1998" s="8"/>
      <c r="L1998" s="6"/>
    </row>
    <row r="1999" spans="1:12" x14ac:dyDescent="0.3">
      <c r="A1999" s="8"/>
      <c r="C1999" s="6"/>
      <c r="E1999" s="6"/>
      <c r="J1999" s="8"/>
      <c r="L1999" s="6"/>
    </row>
    <row r="2000" spans="1:12" x14ac:dyDescent="0.3">
      <c r="A2000" s="8"/>
      <c r="C2000" s="6"/>
      <c r="E2000" s="6"/>
      <c r="J2000" s="8"/>
      <c r="L2000" s="6"/>
    </row>
    <row r="2001" spans="1:12" x14ac:dyDescent="0.3">
      <c r="A2001" s="8"/>
      <c r="C2001" s="6"/>
      <c r="E2001" s="6"/>
      <c r="J2001" s="8"/>
      <c r="L2001" s="6"/>
    </row>
    <row r="2002" spans="1:12" x14ac:dyDescent="0.3">
      <c r="A2002" s="8"/>
      <c r="C2002" s="6"/>
      <c r="E2002" s="6"/>
      <c r="J2002" s="8"/>
      <c r="L2002" s="6"/>
    </row>
    <row r="2003" spans="1:12" x14ac:dyDescent="0.3">
      <c r="A2003" s="8"/>
      <c r="C2003" s="6"/>
      <c r="E2003" s="6"/>
      <c r="J2003" s="8"/>
      <c r="L2003" s="6"/>
    </row>
    <row r="2004" spans="1:12" x14ac:dyDescent="0.3">
      <c r="A2004" s="8"/>
      <c r="C2004" s="6"/>
      <c r="E2004" s="6"/>
      <c r="J2004" s="8"/>
      <c r="L2004" s="6"/>
    </row>
    <row r="2005" spans="1:12" x14ac:dyDescent="0.3">
      <c r="A2005" s="8"/>
      <c r="C2005" s="6"/>
      <c r="E2005" s="6"/>
      <c r="J2005" s="8"/>
      <c r="L2005" s="6"/>
    </row>
    <row r="2006" spans="1:12" x14ac:dyDescent="0.3">
      <c r="A2006" s="8"/>
      <c r="C2006" s="6"/>
      <c r="E2006" s="6"/>
      <c r="J2006" s="8"/>
      <c r="L2006" s="6"/>
    </row>
    <row r="2007" spans="1:12" x14ac:dyDescent="0.3">
      <c r="A2007" s="8"/>
      <c r="C2007" s="6"/>
      <c r="E2007" s="6"/>
      <c r="J2007" s="8"/>
      <c r="L2007" s="6"/>
    </row>
    <row r="2008" spans="1:12" x14ac:dyDescent="0.3">
      <c r="A2008" s="8"/>
      <c r="C2008" s="6"/>
      <c r="E2008" s="6"/>
      <c r="J2008" s="8"/>
      <c r="L2008" s="6"/>
    </row>
    <row r="2009" spans="1:12" x14ac:dyDescent="0.3">
      <c r="A2009" s="8"/>
      <c r="C2009" s="6"/>
      <c r="E2009" s="6"/>
      <c r="J2009" s="8"/>
      <c r="L2009" s="6"/>
    </row>
    <row r="2010" spans="1:12" x14ac:dyDescent="0.3">
      <c r="A2010" s="8"/>
      <c r="C2010" s="6"/>
      <c r="E2010" s="6"/>
      <c r="J2010" s="8"/>
      <c r="L2010" s="6"/>
    </row>
    <row r="2011" spans="1:12" x14ac:dyDescent="0.3">
      <c r="A2011" s="8"/>
      <c r="C2011" s="6"/>
      <c r="E2011" s="6"/>
      <c r="J2011" s="8"/>
      <c r="L2011" s="6"/>
    </row>
    <row r="2012" spans="1:12" x14ac:dyDescent="0.3">
      <c r="A2012" s="8"/>
      <c r="C2012" s="6"/>
      <c r="E2012" s="6"/>
      <c r="J2012" s="8"/>
      <c r="L2012" s="6"/>
    </row>
    <row r="2013" spans="1:12" x14ac:dyDescent="0.3">
      <c r="A2013" s="8"/>
      <c r="C2013" s="6"/>
      <c r="E2013" s="6"/>
      <c r="J2013" s="8"/>
      <c r="L2013" s="6"/>
    </row>
    <row r="2014" spans="1:12" x14ac:dyDescent="0.3">
      <c r="A2014" s="8"/>
      <c r="C2014" s="6"/>
      <c r="E2014" s="6"/>
      <c r="J2014" s="8"/>
      <c r="L2014" s="6"/>
    </row>
    <row r="2015" spans="1:12" x14ac:dyDescent="0.3">
      <c r="A2015" s="8"/>
      <c r="C2015" s="6"/>
      <c r="E2015" s="6"/>
      <c r="J2015" s="8"/>
      <c r="L2015" s="6"/>
    </row>
    <row r="2016" spans="1:12" x14ac:dyDescent="0.3">
      <c r="A2016" s="8"/>
      <c r="C2016" s="6"/>
      <c r="E2016" s="6"/>
      <c r="J2016" s="8"/>
      <c r="L2016" s="6"/>
    </row>
    <row r="2017" spans="1:12" x14ac:dyDescent="0.3">
      <c r="A2017" s="8"/>
      <c r="C2017" s="6"/>
      <c r="E2017" s="6"/>
      <c r="J2017" s="8"/>
      <c r="L2017" s="6"/>
    </row>
    <row r="2018" spans="1:12" x14ac:dyDescent="0.3">
      <c r="A2018" s="8"/>
      <c r="C2018" s="6"/>
      <c r="E2018" s="6"/>
      <c r="J2018" s="8"/>
      <c r="L2018" s="6"/>
    </row>
    <row r="2019" spans="1:12" x14ac:dyDescent="0.3">
      <c r="A2019" s="8"/>
      <c r="C2019" s="6"/>
      <c r="E2019" s="6"/>
      <c r="J2019" s="8"/>
      <c r="L2019" s="6"/>
    </row>
    <row r="2020" spans="1:12" x14ac:dyDescent="0.3">
      <c r="A2020" s="8"/>
      <c r="C2020" s="6"/>
      <c r="E2020" s="6"/>
      <c r="J2020" s="8"/>
      <c r="L2020" s="6"/>
    </row>
    <row r="2021" spans="1:12" x14ac:dyDescent="0.3">
      <c r="A2021" s="8"/>
      <c r="C2021" s="6"/>
      <c r="E2021" s="6"/>
      <c r="J2021" s="8"/>
      <c r="L2021" s="6"/>
    </row>
    <row r="2022" spans="1:12" x14ac:dyDescent="0.3">
      <c r="A2022" s="8"/>
      <c r="C2022" s="6"/>
      <c r="E2022" s="6"/>
      <c r="J2022" s="8"/>
      <c r="L2022" s="6"/>
    </row>
    <row r="2023" spans="1:12" x14ac:dyDescent="0.3">
      <c r="A2023" s="8"/>
      <c r="C2023" s="6"/>
      <c r="E2023" s="6"/>
      <c r="J2023" s="8"/>
      <c r="L2023" s="6"/>
    </row>
    <row r="2024" spans="1:12" x14ac:dyDescent="0.3">
      <c r="A2024" s="8"/>
      <c r="C2024" s="6"/>
      <c r="E2024" s="6"/>
      <c r="J2024" s="8"/>
      <c r="L2024" s="6"/>
    </row>
    <row r="2025" spans="1:12" x14ac:dyDescent="0.3">
      <c r="A2025" s="8"/>
      <c r="C2025" s="6"/>
      <c r="E2025" s="6"/>
      <c r="J2025" s="8"/>
      <c r="L2025" s="6"/>
    </row>
    <row r="2026" spans="1:12" x14ac:dyDescent="0.3">
      <c r="A2026" s="8"/>
      <c r="C2026" s="6"/>
      <c r="E2026" s="6"/>
      <c r="J2026" s="8"/>
      <c r="L2026" s="6"/>
    </row>
    <row r="2027" spans="1:12" x14ac:dyDescent="0.3">
      <c r="A2027" s="8"/>
      <c r="C2027" s="6"/>
      <c r="E2027" s="6"/>
      <c r="J2027" s="8"/>
      <c r="L2027" s="6"/>
    </row>
    <row r="2028" spans="1:12" x14ac:dyDescent="0.3">
      <c r="A2028" s="8"/>
      <c r="C2028" s="6"/>
      <c r="E2028" s="6"/>
      <c r="J2028" s="8"/>
      <c r="L2028" s="6"/>
    </row>
    <row r="2029" spans="1:12" x14ac:dyDescent="0.3">
      <c r="A2029" s="8"/>
      <c r="C2029" s="6"/>
      <c r="E2029" s="6"/>
      <c r="J2029" s="8"/>
      <c r="L2029" s="6"/>
    </row>
    <row r="2030" spans="1:12" x14ac:dyDescent="0.3">
      <c r="A2030" s="8"/>
      <c r="C2030" s="6"/>
      <c r="E2030" s="6"/>
      <c r="J2030" s="8"/>
      <c r="L2030" s="6"/>
    </row>
    <row r="2031" spans="1:12" x14ac:dyDescent="0.3">
      <c r="A2031" s="8"/>
      <c r="C2031" s="6"/>
      <c r="E2031" s="6"/>
      <c r="J2031" s="8"/>
      <c r="L2031" s="6"/>
    </row>
    <row r="2032" spans="1:12" x14ac:dyDescent="0.3">
      <c r="A2032" s="8"/>
      <c r="C2032" s="6"/>
      <c r="E2032" s="6"/>
      <c r="J2032" s="8"/>
      <c r="L2032" s="6"/>
    </row>
    <row r="2033" spans="1:12" x14ac:dyDescent="0.3">
      <c r="A2033" s="8"/>
      <c r="C2033" s="6"/>
      <c r="E2033" s="6"/>
      <c r="J2033" s="8"/>
      <c r="L2033" s="6"/>
    </row>
    <row r="2034" spans="1:12" x14ac:dyDescent="0.3">
      <c r="A2034" s="8"/>
      <c r="C2034" s="6"/>
      <c r="E2034" s="6"/>
      <c r="J2034" s="8"/>
      <c r="L2034" s="6"/>
    </row>
    <row r="2035" spans="1:12" x14ac:dyDescent="0.3">
      <c r="A2035" s="8"/>
      <c r="C2035" s="6"/>
      <c r="E2035" s="6"/>
      <c r="J2035" s="8"/>
      <c r="L2035" s="6"/>
    </row>
    <row r="2036" spans="1:12" x14ac:dyDescent="0.3">
      <c r="A2036" s="8"/>
      <c r="C2036" s="6"/>
      <c r="E2036" s="6"/>
      <c r="J2036" s="8"/>
      <c r="L2036" s="6"/>
    </row>
    <row r="2037" spans="1:12" x14ac:dyDescent="0.3">
      <c r="A2037" s="8"/>
      <c r="C2037" s="6"/>
      <c r="E2037" s="6"/>
      <c r="J2037" s="8"/>
      <c r="L2037" s="6"/>
    </row>
    <row r="2038" spans="1:12" x14ac:dyDescent="0.3">
      <c r="A2038" s="8"/>
      <c r="C2038" s="6"/>
      <c r="E2038" s="6"/>
      <c r="J2038" s="8"/>
      <c r="L2038" s="6"/>
    </row>
    <row r="2039" spans="1:12" x14ac:dyDescent="0.3">
      <c r="A2039" s="8"/>
      <c r="C2039" s="6"/>
      <c r="E2039" s="6"/>
      <c r="J2039" s="8"/>
      <c r="L2039" s="6"/>
    </row>
    <row r="2040" spans="1:12" x14ac:dyDescent="0.3">
      <c r="A2040" s="8"/>
      <c r="C2040" s="6"/>
      <c r="E2040" s="6"/>
      <c r="J2040" s="8"/>
      <c r="L2040" s="6"/>
    </row>
    <row r="2041" spans="1:12" x14ac:dyDescent="0.3">
      <c r="A2041" s="8"/>
      <c r="C2041" s="6"/>
      <c r="E2041" s="6"/>
      <c r="J2041" s="8"/>
      <c r="L2041" s="6"/>
    </row>
    <row r="2042" spans="1:12" x14ac:dyDescent="0.3">
      <c r="A2042" s="8"/>
      <c r="C2042" s="6"/>
      <c r="E2042" s="6"/>
      <c r="J2042" s="8"/>
      <c r="L2042" s="6"/>
    </row>
    <row r="2043" spans="1:12" x14ac:dyDescent="0.3">
      <c r="A2043" s="8"/>
      <c r="C2043" s="6"/>
      <c r="E2043" s="6"/>
      <c r="J2043" s="8"/>
      <c r="L2043" s="6"/>
    </row>
    <row r="2044" spans="1:12" x14ac:dyDescent="0.3">
      <c r="A2044" s="8"/>
      <c r="C2044" s="6"/>
      <c r="E2044" s="6"/>
      <c r="J2044" s="8"/>
      <c r="L2044" s="6"/>
    </row>
    <row r="2045" spans="1:12" x14ac:dyDescent="0.3">
      <c r="A2045" s="8"/>
      <c r="C2045" s="6"/>
      <c r="E2045" s="6"/>
      <c r="J2045" s="8"/>
      <c r="L2045" s="6"/>
    </row>
    <row r="2046" spans="1:12" x14ac:dyDescent="0.3">
      <c r="A2046" s="8"/>
      <c r="C2046" s="6"/>
      <c r="E2046" s="6"/>
      <c r="J2046" s="8"/>
      <c r="L2046" s="6"/>
    </row>
    <row r="2047" spans="1:12" x14ac:dyDescent="0.3">
      <c r="A2047" s="8"/>
      <c r="C2047" s="6"/>
      <c r="E2047" s="6"/>
      <c r="J2047" s="8"/>
      <c r="L2047" s="6"/>
    </row>
    <row r="2048" spans="1:12" x14ac:dyDescent="0.3">
      <c r="A2048" s="8"/>
      <c r="C2048" s="6"/>
      <c r="E2048" s="6"/>
      <c r="J2048" s="8"/>
      <c r="L2048" s="6"/>
    </row>
    <row r="2049" spans="1:12" x14ac:dyDescent="0.3">
      <c r="A2049" s="8"/>
      <c r="C2049" s="6"/>
      <c r="E2049" s="6"/>
      <c r="J2049" s="8"/>
      <c r="L2049" s="6"/>
    </row>
    <row r="2050" spans="1:12" x14ac:dyDescent="0.3">
      <c r="A2050" s="8"/>
      <c r="C2050" s="6"/>
      <c r="E2050" s="6"/>
      <c r="J2050" s="8"/>
      <c r="L2050" s="6"/>
    </row>
    <row r="2051" spans="1:12" x14ac:dyDescent="0.3">
      <c r="A2051" s="8"/>
      <c r="C2051" s="6"/>
      <c r="E2051" s="6"/>
      <c r="J2051" s="8"/>
      <c r="L2051" s="6"/>
    </row>
    <row r="2052" spans="1:12" x14ac:dyDescent="0.3">
      <c r="A2052" s="8"/>
      <c r="C2052" s="6"/>
      <c r="E2052" s="6"/>
      <c r="J2052" s="8"/>
      <c r="L2052" s="6"/>
    </row>
    <row r="2053" spans="1:12" x14ac:dyDescent="0.3">
      <c r="A2053" s="8"/>
      <c r="C2053" s="6"/>
      <c r="E2053" s="6"/>
      <c r="J2053" s="8"/>
      <c r="L2053" s="6"/>
    </row>
    <row r="2054" spans="1:12" x14ac:dyDescent="0.3">
      <c r="A2054" s="8"/>
      <c r="C2054" s="6"/>
      <c r="E2054" s="6"/>
      <c r="J2054" s="8"/>
      <c r="L2054" s="6"/>
    </row>
    <row r="2055" spans="1:12" x14ac:dyDescent="0.3">
      <c r="A2055" s="8"/>
      <c r="C2055" s="6"/>
      <c r="E2055" s="6"/>
      <c r="J2055" s="8"/>
      <c r="L2055" s="6"/>
    </row>
    <row r="2056" spans="1:12" x14ac:dyDescent="0.3">
      <c r="A2056" s="8"/>
      <c r="C2056" s="6"/>
      <c r="E2056" s="6"/>
      <c r="J2056" s="8"/>
      <c r="L2056" s="6"/>
    </row>
    <row r="2057" spans="1:12" x14ac:dyDescent="0.3">
      <c r="A2057" s="8"/>
      <c r="C2057" s="6"/>
      <c r="E2057" s="6"/>
      <c r="J2057" s="8"/>
      <c r="L2057" s="6"/>
    </row>
    <row r="2058" spans="1:12" x14ac:dyDescent="0.3">
      <c r="A2058" s="8"/>
      <c r="C2058" s="6"/>
      <c r="E2058" s="6"/>
      <c r="J2058" s="8"/>
      <c r="L2058" s="6"/>
    </row>
    <row r="2059" spans="1:12" x14ac:dyDescent="0.3">
      <c r="A2059" s="8"/>
      <c r="C2059" s="6"/>
      <c r="E2059" s="6"/>
      <c r="J2059" s="8"/>
      <c r="L2059" s="6"/>
    </row>
    <row r="2060" spans="1:12" x14ac:dyDescent="0.3">
      <c r="A2060" s="8"/>
      <c r="C2060" s="6"/>
      <c r="E2060" s="6"/>
      <c r="J2060" s="8"/>
      <c r="L2060" s="6"/>
    </row>
    <row r="2061" spans="1:12" x14ac:dyDescent="0.3">
      <c r="A2061" s="8"/>
      <c r="C2061" s="6"/>
      <c r="E2061" s="6"/>
      <c r="J2061" s="8"/>
      <c r="L2061" s="6"/>
    </row>
    <row r="2062" spans="1:12" x14ac:dyDescent="0.3">
      <c r="A2062" s="8"/>
      <c r="C2062" s="6"/>
      <c r="E2062" s="6"/>
      <c r="J2062" s="8"/>
      <c r="L2062" s="6"/>
    </row>
    <row r="2063" spans="1:12" x14ac:dyDescent="0.3">
      <c r="A2063" s="8"/>
      <c r="C2063" s="6"/>
      <c r="E2063" s="6"/>
      <c r="J2063" s="8"/>
      <c r="L2063" s="6"/>
    </row>
    <row r="2064" spans="1:12" x14ac:dyDescent="0.3">
      <c r="A2064" s="8"/>
      <c r="C2064" s="6"/>
      <c r="E2064" s="6"/>
      <c r="J2064" s="8"/>
      <c r="L2064" s="6"/>
    </row>
    <row r="2065" spans="1:12" x14ac:dyDescent="0.3">
      <c r="A2065" s="8"/>
      <c r="C2065" s="6"/>
      <c r="E2065" s="6"/>
      <c r="J2065" s="8"/>
      <c r="L2065" s="6"/>
    </row>
    <row r="2066" spans="1:12" x14ac:dyDescent="0.3">
      <c r="A2066" s="8"/>
      <c r="C2066" s="6"/>
      <c r="E2066" s="6"/>
      <c r="J2066" s="8"/>
      <c r="L2066" s="6"/>
    </row>
    <row r="2067" spans="1:12" x14ac:dyDescent="0.3">
      <c r="A2067" s="8"/>
      <c r="C2067" s="6"/>
      <c r="E2067" s="6"/>
      <c r="J2067" s="8"/>
      <c r="L2067" s="6"/>
    </row>
    <row r="2068" spans="1:12" x14ac:dyDescent="0.3">
      <c r="A2068" s="8"/>
      <c r="C2068" s="6"/>
      <c r="E2068" s="6"/>
      <c r="J2068" s="8"/>
      <c r="L2068" s="6"/>
    </row>
    <row r="2069" spans="1:12" x14ac:dyDescent="0.3">
      <c r="A2069" s="8"/>
      <c r="C2069" s="6"/>
      <c r="E2069" s="6"/>
      <c r="J2069" s="8"/>
      <c r="L2069" s="6"/>
    </row>
    <row r="2070" spans="1:12" x14ac:dyDescent="0.3">
      <c r="A2070" s="8"/>
      <c r="C2070" s="6"/>
      <c r="E2070" s="6"/>
      <c r="J2070" s="8"/>
      <c r="L2070" s="6"/>
    </row>
    <row r="2071" spans="1:12" x14ac:dyDescent="0.3">
      <c r="A2071" s="8"/>
      <c r="C2071" s="6"/>
      <c r="E2071" s="6"/>
      <c r="J2071" s="8"/>
      <c r="L2071" s="6"/>
    </row>
    <row r="2072" spans="1:12" x14ac:dyDescent="0.3">
      <c r="A2072" s="8"/>
      <c r="C2072" s="6"/>
      <c r="E2072" s="6"/>
      <c r="J2072" s="8"/>
      <c r="L2072" s="6"/>
    </row>
    <row r="2073" spans="1:12" x14ac:dyDescent="0.3">
      <c r="A2073" s="8"/>
      <c r="C2073" s="6"/>
      <c r="E2073" s="6"/>
      <c r="J2073" s="8"/>
      <c r="L2073" s="6"/>
    </row>
    <row r="2074" spans="1:12" x14ac:dyDescent="0.3">
      <c r="A2074" s="8"/>
      <c r="C2074" s="6"/>
      <c r="E2074" s="6"/>
      <c r="J2074" s="8"/>
      <c r="L2074" s="6"/>
    </row>
    <row r="2075" spans="1:12" x14ac:dyDescent="0.3">
      <c r="A2075" s="8"/>
      <c r="C2075" s="6"/>
      <c r="E2075" s="6"/>
      <c r="J2075" s="8"/>
      <c r="L2075" s="6"/>
    </row>
    <row r="2076" spans="1:12" x14ac:dyDescent="0.3">
      <c r="A2076" s="8"/>
      <c r="C2076" s="6"/>
      <c r="E2076" s="6"/>
      <c r="J2076" s="8"/>
      <c r="L2076" s="6"/>
    </row>
    <row r="2077" spans="1:12" x14ac:dyDescent="0.3">
      <c r="A2077" s="8"/>
      <c r="C2077" s="6"/>
      <c r="E2077" s="6"/>
      <c r="J2077" s="8"/>
      <c r="L2077" s="6"/>
    </row>
    <row r="2078" spans="1:12" x14ac:dyDescent="0.3">
      <c r="A2078" s="8"/>
      <c r="C2078" s="6"/>
      <c r="E2078" s="6"/>
      <c r="J2078" s="8"/>
      <c r="L2078" s="6"/>
    </row>
    <row r="2079" spans="1:12" x14ac:dyDescent="0.3">
      <c r="A2079" s="8"/>
      <c r="C2079" s="6"/>
      <c r="E2079" s="6"/>
      <c r="J2079" s="8"/>
      <c r="L2079" s="6"/>
    </row>
    <row r="2080" spans="1:12" x14ac:dyDescent="0.3">
      <c r="A2080" s="8"/>
      <c r="C2080" s="6"/>
      <c r="E2080" s="6"/>
      <c r="J2080" s="8"/>
      <c r="L2080" s="6"/>
    </row>
    <row r="2081" spans="1:12" x14ac:dyDescent="0.3">
      <c r="A2081" s="8"/>
      <c r="C2081" s="6"/>
      <c r="E2081" s="6"/>
      <c r="J2081" s="8"/>
      <c r="L2081" s="6"/>
    </row>
    <row r="2082" spans="1:12" x14ac:dyDescent="0.3">
      <c r="A2082" s="8"/>
      <c r="C2082" s="6"/>
      <c r="E2082" s="6"/>
      <c r="J2082" s="8"/>
      <c r="L2082" s="6"/>
    </row>
    <row r="2083" spans="1:12" x14ac:dyDescent="0.3">
      <c r="A2083" s="8"/>
      <c r="C2083" s="6"/>
      <c r="E2083" s="6"/>
      <c r="J2083" s="8"/>
      <c r="L2083" s="6"/>
    </row>
    <row r="2084" spans="1:12" x14ac:dyDescent="0.3">
      <c r="A2084" s="8"/>
      <c r="C2084" s="6"/>
      <c r="E2084" s="6"/>
      <c r="J2084" s="8"/>
      <c r="L2084" s="6"/>
    </row>
    <row r="2085" spans="1:12" x14ac:dyDescent="0.3">
      <c r="A2085" s="8"/>
      <c r="C2085" s="6"/>
      <c r="E2085" s="6"/>
      <c r="J2085" s="8"/>
      <c r="L2085" s="6"/>
    </row>
    <row r="2086" spans="1:12" x14ac:dyDescent="0.3">
      <c r="A2086" s="8"/>
      <c r="C2086" s="6"/>
      <c r="E2086" s="6"/>
      <c r="J2086" s="8"/>
      <c r="L2086" s="6"/>
    </row>
    <row r="2087" spans="1:12" x14ac:dyDescent="0.3">
      <c r="A2087" s="8"/>
      <c r="C2087" s="6"/>
      <c r="E2087" s="6"/>
      <c r="J2087" s="8"/>
      <c r="L2087" s="6"/>
    </row>
    <row r="2088" spans="1:12" x14ac:dyDescent="0.3">
      <c r="A2088" s="8"/>
      <c r="C2088" s="6"/>
      <c r="E2088" s="6"/>
      <c r="J2088" s="8"/>
      <c r="L2088" s="6"/>
    </row>
    <row r="2089" spans="1:12" x14ac:dyDescent="0.3">
      <c r="A2089" s="8"/>
      <c r="C2089" s="6"/>
      <c r="E2089" s="6"/>
      <c r="J2089" s="8"/>
      <c r="L2089" s="6"/>
    </row>
    <row r="2090" spans="1:12" x14ac:dyDescent="0.3">
      <c r="A2090" s="8"/>
      <c r="C2090" s="6"/>
      <c r="E2090" s="6"/>
      <c r="J2090" s="8"/>
      <c r="L2090" s="6"/>
    </row>
    <row r="2091" spans="1:12" x14ac:dyDescent="0.3">
      <c r="A2091" s="8"/>
      <c r="C2091" s="6"/>
      <c r="E2091" s="6"/>
      <c r="J2091" s="8"/>
      <c r="L2091" s="6"/>
    </row>
    <row r="2092" spans="1:12" x14ac:dyDescent="0.3">
      <c r="A2092" s="8"/>
      <c r="C2092" s="6"/>
      <c r="E2092" s="6"/>
      <c r="J2092" s="8"/>
      <c r="L2092" s="6"/>
    </row>
    <row r="2093" spans="1:12" x14ac:dyDescent="0.3">
      <c r="A2093" s="8"/>
      <c r="C2093" s="6"/>
      <c r="E2093" s="6"/>
      <c r="J2093" s="8"/>
      <c r="L2093" s="6"/>
    </row>
    <row r="2094" spans="1:12" x14ac:dyDescent="0.3">
      <c r="A2094" s="8"/>
      <c r="C2094" s="6"/>
      <c r="E2094" s="6"/>
      <c r="J2094" s="8"/>
      <c r="L2094" s="6"/>
    </row>
    <row r="2095" spans="1:12" x14ac:dyDescent="0.3">
      <c r="A2095" s="8"/>
      <c r="C2095" s="6"/>
      <c r="E2095" s="6"/>
      <c r="J2095" s="8"/>
      <c r="L2095" s="6"/>
    </row>
    <row r="2096" spans="1:12" x14ac:dyDescent="0.3">
      <c r="A2096" s="8"/>
      <c r="C2096" s="6"/>
      <c r="E2096" s="6"/>
      <c r="J2096" s="8"/>
      <c r="L2096" s="6"/>
    </row>
    <row r="2097" spans="1:12" x14ac:dyDescent="0.3">
      <c r="A2097" s="8"/>
      <c r="C2097" s="6"/>
      <c r="E2097" s="6"/>
      <c r="J2097" s="8"/>
      <c r="L2097" s="6"/>
    </row>
    <row r="2098" spans="1:12" x14ac:dyDescent="0.3">
      <c r="A2098" s="8"/>
      <c r="C2098" s="6"/>
      <c r="E2098" s="6"/>
      <c r="J2098" s="8"/>
      <c r="L2098" s="6"/>
    </row>
    <row r="2099" spans="1:12" x14ac:dyDescent="0.3">
      <c r="A2099" s="8"/>
      <c r="C2099" s="6"/>
      <c r="E2099" s="6"/>
      <c r="J2099" s="8"/>
      <c r="L2099" s="6"/>
    </row>
    <row r="2100" spans="1:12" x14ac:dyDescent="0.3">
      <c r="A2100" s="8"/>
      <c r="C2100" s="6"/>
      <c r="E2100" s="6"/>
      <c r="J2100" s="8"/>
      <c r="L2100" s="6"/>
    </row>
    <row r="2101" spans="1:12" x14ac:dyDescent="0.3">
      <c r="A2101" s="8"/>
      <c r="C2101" s="6"/>
      <c r="E2101" s="6"/>
      <c r="J2101" s="8"/>
      <c r="L2101" s="6"/>
    </row>
    <row r="2102" spans="1:12" x14ac:dyDescent="0.3">
      <c r="A2102" s="8"/>
      <c r="C2102" s="6"/>
      <c r="E2102" s="6"/>
      <c r="J2102" s="8"/>
      <c r="L2102" s="6"/>
    </row>
    <row r="2103" spans="1:12" x14ac:dyDescent="0.3">
      <c r="A2103" s="8"/>
      <c r="C2103" s="6"/>
      <c r="E2103" s="6"/>
      <c r="J2103" s="8"/>
      <c r="L2103" s="6"/>
    </row>
    <row r="2104" spans="1:12" x14ac:dyDescent="0.3">
      <c r="A2104" s="8"/>
      <c r="C2104" s="6"/>
      <c r="E2104" s="6"/>
      <c r="J2104" s="8"/>
      <c r="L2104" s="6"/>
    </row>
    <row r="2105" spans="1:12" x14ac:dyDescent="0.3">
      <c r="A2105" s="8"/>
      <c r="C2105" s="6"/>
      <c r="E2105" s="6"/>
      <c r="J2105" s="8"/>
      <c r="L2105" s="6"/>
    </row>
    <row r="2106" spans="1:12" x14ac:dyDescent="0.3">
      <c r="A2106" s="8"/>
      <c r="C2106" s="6"/>
      <c r="E2106" s="6"/>
      <c r="J2106" s="8"/>
      <c r="L2106" s="6"/>
    </row>
    <row r="2107" spans="1:12" x14ac:dyDescent="0.3">
      <c r="A2107" s="8"/>
      <c r="C2107" s="6"/>
      <c r="E2107" s="6"/>
      <c r="J2107" s="8"/>
      <c r="L2107" s="6"/>
    </row>
    <row r="2108" spans="1:12" x14ac:dyDescent="0.3">
      <c r="A2108" s="8"/>
      <c r="C2108" s="6"/>
      <c r="E2108" s="6"/>
      <c r="J2108" s="8"/>
      <c r="L2108" s="6"/>
    </row>
    <row r="2109" spans="1:12" x14ac:dyDescent="0.3">
      <c r="A2109" s="8"/>
      <c r="C2109" s="6"/>
      <c r="E2109" s="6"/>
      <c r="J2109" s="8"/>
      <c r="L2109" s="6"/>
    </row>
    <row r="2110" spans="1:12" x14ac:dyDescent="0.3">
      <c r="A2110" s="8"/>
      <c r="C2110" s="6"/>
      <c r="E2110" s="6"/>
      <c r="J2110" s="8"/>
      <c r="L2110" s="6"/>
    </row>
    <row r="2111" spans="1:12" x14ac:dyDescent="0.3">
      <c r="A2111" s="8"/>
      <c r="C2111" s="6"/>
      <c r="E2111" s="6"/>
      <c r="J2111" s="8"/>
      <c r="L2111" s="6"/>
    </row>
    <row r="2112" spans="1:12" x14ac:dyDescent="0.3">
      <c r="A2112" s="8"/>
      <c r="C2112" s="6"/>
      <c r="E2112" s="6"/>
      <c r="J2112" s="8"/>
      <c r="L2112" s="6"/>
    </row>
    <row r="2113" spans="1:12" x14ac:dyDescent="0.3">
      <c r="A2113" s="8"/>
      <c r="C2113" s="6"/>
      <c r="E2113" s="6"/>
      <c r="J2113" s="8"/>
      <c r="L2113" s="6"/>
    </row>
    <row r="2114" spans="1:12" x14ac:dyDescent="0.3">
      <c r="A2114" s="8"/>
      <c r="C2114" s="6"/>
      <c r="E2114" s="6"/>
      <c r="J2114" s="8"/>
      <c r="L2114" s="6"/>
    </row>
    <row r="2115" spans="1:12" x14ac:dyDescent="0.3">
      <c r="A2115" s="8"/>
      <c r="C2115" s="6"/>
      <c r="E2115" s="6"/>
      <c r="J2115" s="8"/>
      <c r="L2115" s="6"/>
    </row>
    <row r="2116" spans="1:12" x14ac:dyDescent="0.3">
      <c r="A2116" s="8"/>
      <c r="C2116" s="6"/>
      <c r="E2116" s="6"/>
      <c r="J2116" s="8"/>
      <c r="L2116" s="6"/>
    </row>
    <row r="2117" spans="1:12" x14ac:dyDescent="0.3">
      <c r="A2117" s="8"/>
      <c r="C2117" s="6"/>
      <c r="E2117" s="6"/>
      <c r="J2117" s="8"/>
      <c r="L2117" s="6"/>
    </row>
    <row r="2118" spans="1:12" x14ac:dyDescent="0.3">
      <c r="A2118" s="8"/>
      <c r="C2118" s="6"/>
      <c r="E2118" s="6"/>
      <c r="J2118" s="8"/>
      <c r="L2118" s="6"/>
    </row>
    <row r="2119" spans="1:12" x14ac:dyDescent="0.3">
      <c r="A2119" s="8"/>
      <c r="C2119" s="6"/>
      <c r="E2119" s="6"/>
      <c r="J2119" s="8"/>
      <c r="L2119" s="6"/>
    </row>
    <row r="2120" spans="1:12" x14ac:dyDescent="0.3">
      <c r="A2120" s="8"/>
      <c r="C2120" s="6"/>
      <c r="E2120" s="6"/>
      <c r="J2120" s="8"/>
      <c r="L2120" s="6"/>
    </row>
    <row r="2121" spans="1:12" x14ac:dyDescent="0.3">
      <c r="A2121" s="8"/>
      <c r="C2121" s="6"/>
      <c r="E2121" s="6"/>
      <c r="J2121" s="8"/>
      <c r="L2121" s="6"/>
    </row>
    <row r="2122" spans="1:12" x14ac:dyDescent="0.3">
      <c r="A2122" s="8"/>
      <c r="C2122" s="6"/>
      <c r="E2122" s="6"/>
      <c r="J2122" s="8"/>
      <c r="L2122" s="6"/>
    </row>
    <row r="2123" spans="1:12" x14ac:dyDescent="0.3">
      <c r="A2123" s="8"/>
      <c r="C2123" s="6"/>
      <c r="E2123" s="6"/>
      <c r="J2123" s="8"/>
      <c r="L2123" s="6"/>
    </row>
    <row r="2124" spans="1:12" x14ac:dyDescent="0.3">
      <c r="A2124" s="8"/>
      <c r="C2124" s="6"/>
      <c r="E2124" s="6"/>
      <c r="J2124" s="8"/>
      <c r="L2124" s="6"/>
    </row>
    <row r="2125" spans="1:12" x14ac:dyDescent="0.3">
      <c r="A2125" s="8"/>
      <c r="C2125" s="6"/>
      <c r="E2125" s="6"/>
      <c r="J2125" s="8"/>
      <c r="L2125" s="6"/>
    </row>
    <row r="2126" spans="1:12" x14ac:dyDescent="0.3">
      <c r="A2126" s="8"/>
      <c r="C2126" s="6"/>
      <c r="E2126" s="6"/>
      <c r="J2126" s="8"/>
      <c r="L2126" s="6"/>
    </row>
    <row r="2127" spans="1:12" x14ac:dyDescent="0.3">
      <c r="A2127" s="8"/>
      <c r="C2127" s="6"/>
      <c r="E2127" s="6"/>
      <c r="J2127" s="8"/>
      <c r="L2127" s="6"/>
    </row>
    <row r="2128" spans="1:12" x14ac:dyDescent="0.3">
      <c r="A2128" s="8"/>
      <c r="C2128" s="6"/>
      <c r="E2128" s="6"/>
      <c r="J2128" s="8"/>
      <c r="L2128" s="6"/>
    </row>
    <row r="2129" spans="1:12" x14ac:dyDescent="0.3">
      <c r="A2129" s="8"/>
      <c r="C2129" s="6"/>
      <c r="E2129" s="6"/>
      <c r="J2129" s="8"/>
      <c r="L2129" s="6"/>
    </row>
    <row r="2130" spans="1:12" x14ac:dyDescent="0.3">
      <c r="A2130" s="8"/>
      <c r="C2130" s="6"/>
      <c r="E2130" s="6"/>
      <c r="J2130" s="8"/>
      <c r="L2130" s="6"/>
    </row>
    <row r="2131" spans="1:12" x14ac:dyDescent="0.3">
      <c r="A2131" s="8"/>
      <c r="C2131" s="6"/>
      <c r="E2131" s="6"/>
      <c r="J2131" s="8"/>
      <c r="L2131" s="6"/>
    </row>
    <row r="2132" spans="1:12" x14ac:dyDescent="0.3">
      <c r="A2132" s="8"/>
      <c r="C2132" s="6"/>
      <c r="E2132" s="6"/>
      <c r="J2132" s="8"/>
      <c r="L2132" s="6"/>
    </row>
    <row r="2133" spans="1:12" x14ac:dyDescent="0.3">
      <c r="A2133" s="8"/>
      <c r="C2133" s="6"/>
      <c r="E2133" s="6"/>
      <c r="J2133" s="8"/>
      <c r="L2133" s="6"/>
    </row>
    <row r="2134" spans="1:12" x14ac:dyDescent="0.3">
      <c r="A2134" s="8"/>
      <c r="C2134" s="6"/>
      <c r="E2134" s="6"/>
      <c r="J2134" s="8"/>
      <c r="L2134" s="6"/>
    </row>
    <row r="2135" spans="1:12" x14ac:dyDescent="0.3">
      <c r="A2135" s="8"/>
      <c r="C2135" s="6"/>
      <c r="E2135" s="6"/>
      <c r="J2135" s="8"/>
      <c r="L2135" s="6"/>
    </row>
    <row r="2136" spans="1:12" x14ac:dyDescent="0.3">
      <c r="A2136" s="8"/>
      <c r="C2136" s="6"/>
      <c r="E2136" s="6"/>
      <c r="J2136" s="8"/>
      <c r="L2136" s="6"/>
    </row>
    <row r="2137" spans="1:12" x14ac:dyDescent="0.3">
      <c r="A2137" s="8"/>
      <c r="C2137" s="6"/>
      <c r="E2137" s="6"/>
      <c r="J2137" s="8"/>
      <c r="L2137" s="6"/>
    </row>
    <row r="2138" spans="1:12" x14ac:dyDescent="0.3">
      <c r="A2138" s="8"/>
      <c r="C2138" s="6"/>
      <c r="E2138" s="6"/>
      <c r="J2138" s="8"/>
      <c r="L2138" s="6"/>
    </row>
    <row r="2139" spans="1:12" x14ac:dyDescent="0.3">
      <c r="A2139" s="8"/>
      <c r="C2139" s="6"/>
      <c r="E2139" s="6"/>
      <c r="J2139" s="8"/>
      <c r="L2139" s="6"/>
    </row>
    <row r="2140" spans="1:12" x14ac:dyDescent="0.3">
      <c r="A2140" s="8"/>
      <c r="C2140" s="6"/>
      <c r="E2140" s="6"/>
      <c r="J2140" s="8"/>
      <c r="L2140" s="6"/>
    </row>
    <row r="2141" spans="1:12" x14ac:dyDescent="0.3">
      <c r="A2141" s="8"/>
      <c r="C2141" s="6"/>
      <c r="E2141" s="6"/>
      <c r="J2141" s="8"/>
      <c r="L2141" s="6"/>
    </row>
    <row r="2142" spans="1:12" x14ac:dyDescent="0.3">
      <c r="A2142" s="8"/>
      <c r="C2142" s="6"/>
      <c r="E2142" s="6"/>
      <c r="J2142" s="8"/>
      <c r="L2142" s="6"/>
    </row>
    <row r="2143" spans="1:12" x14ac:dyDescent="0.3">
      <c r="A2143" s="8"/>
      <c r="C2143" s="6"/>
      <c r="E2143" s="6"/>
      <c r="J2143" s="8"/>
      <c r="L2143" s="6"/>
    </row>
    <row r="2144" spans="1:12" x14ac:dyDescent="0.3">
      <c r="A2144" s="8"/>
      <c r="C2144" s="6"/>
      <c r="E2144" s="6"/>
      <c r="J2144" s="8"/>
      <c r="L2144" s="6"/>
    </row>
    <row r="2145" spans="1:12" x14ac:dyDescent="0.3">
      <c r="A2145" s="8"/>
      <c r="C2145" s="6"/>
      <c r="E2145" s="6"/>
      <c r="J2145" s="8"/>
      <c r="L2145" s="6"/>
    </row>
    <row r="2146" spans="1:12" x14ac:dyDescent="0.3">
      <c r="A2146" s="8"/>
      <c r="C2146" s="6"/>
      <c r="E2146" s="6"/>
      <c r="J2146" s="8"/>
      <c r="L2146" s="6"/>
    </row>
    <row r="2147" spans="1:12" x14ac:dyDescent="0.3">
      <c r="A2147" s="8"/>
      <c r="C2147" s="6"/>
      <c r="E2147" s="6"/>
      <c r="J2147" s="8"/>
      <c r="L2147" s="6"/>
    </row>
    <row r="2148" spans="1:12" x14ac:dyDescent="0.3">
      <c r="A2148" s="8"/>
      <c r="C2148" s="6"/>
      <c r="E2148" s="6"/>
      <c r="J2148" s="8"/>
      <c r="L2148" s="6"/>
    </row>
    <row r="2149" spans="1:12" x14ac:dyDescent="0.3">
      <c r="A2149" s="8"/>
      <c r="C2149" s="6"/>
      <c r="E2149" s="6"/>
      <c r="J2149" s="8"/>
      <c r="L2149" s="6"/>
    </row>
    <row r="2150" spans="1:12" x14ac:dyDescent="0.3">
      <c r="A2150" s="8"/>
      <c r="C2150" s="6"/>
      <c r="E2150" s="6"/>
      <c r="J2150" s="8"/>
      <c r="L2150" s="6"/>
    </row>
    <row r="2151" spans="1:12" x14ac:dyDescent="0.3">
      <c r="A2151" s="8"/>
      <c r="C2151" s="6"/>
      <c r="E2151" s="6"/>
      <c r="J2151" s="8"/>
      <c r="L2151" s="6"/>
    </row>
    <row r="2152" spans="1:12" x14ac:dyDescent="0.3">
      <c r="A2152" s="8"/>
      <c r="C2152" s="6"/>
      <c r="E2152" s="6"/>
      <c r="J2152" s="8"/>
      <c r="L2152" s="6"/>
    </row>
    <row r="2153" spans="1:12" x14ac:dyDescent="0.3">
      <c r="A2153" s="8"/>
      <c r="C2153" s="6"/>
      <c r="E2153" s="6"/>
      <c r="J2153" s="8"/>
      <c r="L2153" s="6"/>
    </row>
    <row r="2154" spans="1:12" x14ac:dyDescent="0.3">
      <c r="A2154" s="8"/>
      <c r="C2154" s="6"/>
      <c r="E2154" s="6"/>
      <c r="J2154" s="8"/>
      <c r="L2154" s="6"/>
    </row>
    <row r="2155" spans="1:12" x14ac:dyDescent="0.3">
      <c r="A2155" s="8"/>
      <c r="C2155" s="6"/>
      <c r="E2155" s="6"/>
      <c r="J2155" s="8"/>
      <c r="L2155" s="6"/>
    </row>
    <row r="2156" spans="1:12" x14ac:dyDescent="0.3">
      <c r="A2156" s="8"/>
      <c r="C2156" s="6"/>
      <c r="E2156" s="6"/>
      <c r="J2156" s="8"/>
      <c r="L2156" s="6"/>
    </row>
    <row r="2157" spans="1:12" x14ac:dyDescent="0.3">
      <c r="A2157" s="8"/>
      <c r="C2157" s="6"/>
      <c r="E2157" s="6"/>
      <c r="J2157" s="8"/>
      <c r="L2157" s="6"/>
    </row>
    <row r="2158" spans="1:12" x14ac:dyDescent="0.3">
      <c r="A2158" s="8"/>
      <c r="C2158" s="6"/>
      <c r="E2158" s="6"/>
      <c r="J2158" s="8"/>
      <c r="L2158" s="6"/>
    </row>
    <row r="2159" spans="1:12" x14ac:dyDescent="0.3">
      <c r="A2159" s="8"/>
      <c r="C2159" s="6"/>
      <c r="E2159" s="6"/>
      <c r="J2159" s="8"/>
      <c r="L2159" s="6"/>
    </row>
    <row r="2160" spans="1:12" x14ac:dyDescent="0.3">
      <c r="A2160" s="8"/>
      <c r="C2160" s="6"/>
      <c r="E2160" s="6"/>
      <c r="J2160" s="8"/>
      <c r="L2160" s="6"/>
    </row>
    <row r="2161" spans="1:12" x14ac:dyDescent="0.3">
      <c r="A2161" s="8"/>
      <c r="C2161" s="6"/>
      <c r="E2161" s="6"/>
      <c r="J2161" s="8"/>
      <c r="L2161" s="6"/>
    </row>
    <row r="2162" spans="1:12" x14ac:dyDescent="0.3">
      <c r="A2162" s="8"/>
      <c r="C2162" s="6"/>
      <c r="E2162" s="6"/>
      <c r="J2162" s="8"/>
      <c r="L2162" s="6"/>
    </row>
    <row r="2163" spans="1:12" x14ac:dyDescent="0.3">
      <c r="A2163" s="8"/>
      <c r="C2163" s="6"/>
      <c r="E2163" s="6"/>
      <c r="J2163" s="8"/>
      <c r="L2163" s="6"/>
    </row>
    <row r="2164" spans="1:12" x14ac:dyDescent="0.3">
      <c r="A2164" s="8"/>
      <c r="C2164" s="6"/>
      <c r="E2164" s="6"/>
      <c r="J2164" s="8"/>
      <c r="L2164" s="6"/>
    </row>
    <row r="2165" spans="1:12" x14ac:dyDescent="0.3">
      <c r="A2165" s="8"/>
      <c r="C2165" s="6"/>
      <c r="E2165" s="6"/>
      <c r="J2165" s="8"/>
      <c r="L2165" s="6"/>
    </row>
    <row r="2166" spans="1:12" x14ac:dyDescent="0.3">
      <c r="A2166" s="8"/>
      <c r="C2166" s="6"/>
      <c r="E2166" s="6"/>
      <c r="J2166" s="8"/>
      <c r="L2166" s="6"/>
    </row>
    <row r="2167" spans="1:12" x14ac:dyDescent="0.3">
      <c r="A2167" s="8"/>
      <c r="C2167" s="6"/>
      <c r="E2167" s="6"/>
      <c r="J2167" s="8"/>
      <c r="L2167" s="6"/>
    </row>
    <row r="2168" spans="1:12" x14ac:dyDescent="0.3">
      <c r="A2168" s="8"/>
      <c r="C2168" s="6"/>
      <c r="E2168" s="6"/>
      <c r="J2168" s="8"/>
      <c r="L2168" s="6"/>
    </row>
    <row r="2169" spans="1:12" x14ac:dyDescent="0.3">
      <c r="A2169" s="8"/>
      <c r="C2169" s="6"/>
      <c r="E2169" s="6"/>
      <c r="J2169" s="8"/>
      <c r="L2169" s="6"/>
    </row>
    <row r="2170" spans="1:12" x14ac:dyDescent="0.3">
      <c r="A2170" s="8"/>
      <c r="C2170" s="6"/>
      <c r="E2170" s="6"/>
      <c r="J2170" s="8"/>
      <c r="L2170" s="6"/>
    </row>
    <row r="2171" spans="1:12" x14ac:dyDescent="0.3">
      <c r="A2171" s="8"/>
      <c r="C2171" s="6"/>
      <c r="E2171" s="6"/>
      <c r="J2171" s="8"/>
      <c r="L2171" s="6"/>
    </row>
    <row r="2172" spans="1:12" x14ac:dyDescent="0.3">
      <c r="A2172" s="8"/>
      <c r="C2172" s="6"/>
      <c r="E2172" s="6"/>
      <c r="J2172" s="8"/>
      <c r="L2172" s="6"/>
    </row>
    <row r="2173" spans="1:12" x14ac:dyDescent="0.3">
      <c r="A2173" s="8"/>
      <c r="C2173" s="6"/>
      <c r="E2173" s="6"/>
      <c r="J2173" s="8"/>
      <c r="L2173" s="6"/>
    </row>
    <row r="2174" spans="1:12" x14ac:dyDescent="0.3">
      <c r="A2174" s="8"/>
      <c r="C2174" s="6"/>
      <c r="E2174" s="6"/>
      <c r="J2174" s="8"/>
      <c r="L2174" s="6"/>
    </row>
    <row r="2175" spans="1:12" x14ac:dyDescent="0.3">
      <c r="A2175" s="8"/>
      <c r="C2175" s="6"/>
      <c r="E2175" s="6"/>
      <c r="J2175" s="8"/>
      <c r="L2175" s="6"/>
    </row>
    <row r="2176" spans="1:12" x14ac:dyDescent="0.3">
      <c r="A2176" s="8"/>
      <c r="C2176" s="6"/>
      <c r="E2176" s="6"/>
      <c r="J2176" s="8"/>
      <c r="L2176" s="6"/>
    </row>
    <row r="2177" spans="1:12" x14ac:dyDescent="0.3">
      <c r="A2177" s="8"/>
      <c r="C2177" s="6"/>
      <c r="E2177" s="6"/>
      <c r="J2177" s="8"/>
      <c r="L2177" s="6"/>
    </row>
    <row r="2178" spans="1:12" x14ac:dyDescent="0.3">
      <c r="A2178" s="8"/>
      <c r="C2178" s="6"/>
      <c r="E2178" s="6"/>
      <c r="J2178" s="8"/>
      <c r="L2178" s="6"/>
    </row>
    <row r="2179" spans="1:12" x14ac:dyDescent="0.3">
      <c r="A2179" s="8"/>
      <c r="C2179" s="6"/>
      <c r="E2179" s="6"/>
      <c r="J2179" s="8"/>
      <c r="L2179" s="6"/>
    </row>
    <row r="2180" spans="1:12" x14ac:dyDescent="0.3">
      <c r="A2180" s="8"/>
      <c r="C2180" s="6"/>
      <c r="E2180" s="6"/>
      <c r="J2180" s="8"/>
      <c r="L2180" s="6"/>
    </row>
    <row r="2181" spans="1:12" x14ac:dyDescent="0.3">
      <c r="A2181" s="8"/>
      <c r="C2181" s="6"/>
      <c r="E2181" s="6"/>
      <c r="J2181" s="8"/>
      <c r="L2181" s="6"/>
    </row>
    <row r="2182" spans="1:12" x14ac:dyDescent="0.3">
      <c r="A2182" s="8"/>
      <c r="C2182" s="6"/>
      <c r="E2182" s="6"/>
      <c r="J2182" s="8"/>
      <c r="L2182" s="6"/>
    </row>
    <row r="2183" spans="1:12" x14ac:dyDescent="0.3">
      <c r="A2183" s="8"/>
      <c r="C2183" s="6"/>
      <c r="E2183" s="6"/>
      <c r="J2183" s="8"/>
      <c r="L2183" s="6"/>
    </row>
    <row r="2184" spans="1:12" x14ac:dyDescent="0.3">
      <c r="A2184" s="8"/>
      <c r="C2184" s="6"/>
      <c r="E2184" s="6"/>
      <c r="J2184" s="8"/>
      <c r="L2184" s="6"/>
    </row>
    <row r="2185" spans="1:12" x14ac:dyDescent="0.3">
      <c r="A2185" s="8"/>
      <c r="C2185" s="6"/>
      <c r="E2185" s="6"/>
      <c r="J2185" s="8"/>
      <c r="L2185" s="6"/>
    </row>
    <row r="2186" spans="1:12" x14ac:dyDescent="0.3">
      <c r="A2186" s="8"/>
      <c r="C2186" s="6"/>
      <c r="E2186" s="6"/>
      <c r="J2186" s="8"/>
      <c r="L2186" s="6"/>
    </row>
    <row r="2187" spans="1:12" x14ac:dyDescent="0.3">
      <c r="A2187" s="8"/>
      <c r="C2187" s="6"/>
      <c r="E2187" s="6"/>
      <c r="J2187" s="8"/>
      <c r="L2187" s="6"/>
    </row>
    <row r="2188" spans="1:12" x14ac:dyDescent="0.3">
      <c r="A2188" s="8"/>
      <c r="C2188" s="6"/>
      <c r="E2188" s="6"/>
      <c r="J2188" s="8"/>
      <c r="L2188" s="6"/>
    </row>
    <row r="2189" spans="1:12" x14ac:dyDescent="0.3">
      <c r="A2189" s="8"/>
      <c r="C2189" s="6"/>
      <c r="E2189" s="6"/>
      <c r="J2189" s="8"/>
      <c r="L2189" s="6"/>
    </row>
    <row r="2190" spans="1:12" x14ac:dyDescent="0.3">
      <c r="A2190" s="8"/>
      <c r="C2190" s="6"/>
      <c r="E2190" s="6"/>
      <c r="J2190" s="8"/>
      <c r="L2190" s="6"/>
    </row>
    <row r="2191" spans="1:12" x14ac:dyDescent="0.3">
      <c r="A2191" s="8"/>
      <c r="C2191" s="6"/>
      <c r="E2191" s="6"/>
      <c r="J2191" s="8"/>
      <c r="L2191" s="6"/>
    </row>
    <row r="2192" spans="1:12" x14ac:dyDescent="0.3">
      <c r="A2192" s="8"/>
      <c r="C2192" s="6"/>
      <c r="E2192" s="6"/>
      <c r="J2192" s="8"/>
      <c r="L2192" s="6"/>
    </row>
    <row r="2193" spans="1:12" x14ac:dyDescent="0.3">
      <c r="A2193" s="8"/>
      <c r="C2193" s="6"/>
      <c r="E2193" s="6"/>
      <c r="J2193" s="8"/>
      <c r="L2193" s="6"/>
    </row>
    <row r="2194" spans="1:12" x14ac:dyDescent="0.3">
      <c r="A2194" s="8"/>
      <c r="C2194" s="6"/>
      <c r="E2194" s="6"/>
      <c r="J2194" s="8"/>
      <c r="L2194" s="6"/>
    </row>
    <row r="2195" spans="1:12" x14ac:dyDescent="0.3">
      <c r="A2195" s="8"/>
      <c r="C2195" s="6"/>
      <c r="E2195" s="6"/>
      <c r="J2195" s="8"/>
      <c r="L2195" s="6"/>
    </row>
    <row r="2196" spans="1:12" x14ac:dyDescent="0.3">
      <c r="A2196" s="8"/>
      <c r="C2196" s="6"/>
      <c r="E2196" s="6"/>
      <c r="J2196" s="8"/>
      <c r="L2196" s="6"/>
    </row>
    <row r="2197" spans="1:12" x14ac:dyDescent="0.3">
      <c r="A2197" s="8"/>
      <c r="C2197" s="6"/>
      <c r="E2197" s="6"/>
      <c r="J2197" s="8"/>
      <c r="L2197" s="6"/>
    </row>
    <row r="2198" spans="1:12" x14ac:dyDescent="0.3">
      <c r="A2198" s="8"/>
      <c r="C2198" s="6"/>
      <c r="E2198" s="6"/>
      <c r="J2198" s="8"/>
      <c r="L2198" s="6"/>
    </row>
    <row r="2199" spans="1:12" x14ac:dyDescent="0.3">
      <c r="A2199" s="8"/>
      <c r="C2199" s="6"/>
      <c r="E2199" s="6"/>
      <c r="J2199" s="8"/>
      <c r="L2199" s="6"/>
    </row>
    <row r="2200" spans="1:12" x14ac:dyDescent="0.3">
      <c r="A2200" s="8"/>
      <c r="C2200" s="6"/>
      <c r="E2200" s="6"/>
      <c r="J2200" s="8"/>
      <c r="L2200" s="6"/>
    </row>
    <row r="2201" spans="1:12" x14ac:dyDescent="0.3">
      <c r="A2201" s="8"/>
      <c r="C2201" s="6"/>
      <c r="E2201" s="6"/>
      <c r="J2201" s="8"/>
      <c r="L2201" s="6"/>
    </row>
    <row r="2202" spans="1:12" x14ac:dyDescent="0.3">
      <c r="A2202" s="8"/>
      <c r="C2202" s="6"/>
      <c r="E2202" s="6"/>
      <c r="J2202" s="8"/>
      <c r="L2202" s="6"/>
    </row>
    <row r="2203" spans="1:12" x14ac:dyDescent="0.3">
      <c r="A2203" s="8"/>
      <c r="C2203" s="6"/>
      <c r="E2203" s="6"/>
      <c r="J2203" s="8"/>
      <c r="L2203" s="6"/>
    </row>
    <row r="2204" spans="1:12" x14ac:dyDescent="0.3">
      <c r="A2204" s="8"/>
      <c r="C2204" s="6"/>
      <c r="E2204" s="6"/>
      <c r="J2204" s="8"/>
      <c r="L2204" s="6"/>
    </row>
    <row r="2205" spans="1:12" x14ac:dyDescent="0.3">
      <c r="A2205" s="8"/>
      <c r="C2205" s="6"/>
      <c r="E2205" s="6"/>
      <c r="J2205" s="8"/>
      <c r="L2205" s="6"/>
    </row>
    <row r="2206" spans="1:12" x14ac:dyDescent="0.3">
      <c r="A2206" s="8"/>
      <c r="C2206" s="6"/>
      <c r="E2206" s="6"/>
      <c r="J2206" s="8"/>
      <c r="L2206" s="6"/>
    </row>
    <row r="2207" spans="1:12" x14ac:dyDescent="0.3">
      <c r="A2207" s="8"/>
      <c r="C2207" s="6"/>
      <c r="E2207" s="6"/>
      <c r="J2207" s="8"/>
      <c r="L2207" s="6"/>
    </row>
    <row r="2208" spans="1:12" x14ac:dyDescent="0.3">
      <c r="A2208" s="8"/>
      <c r="C2208" s="6"/>
      <c r="E2208" s="6"/>
      <c r="J2208" s="8"/>
      <c r="L2208" s="6"/>
    </row>
    <row r="2209" spans="1:12" x14ac:dyDescent="0.3">
      <c r="A2209" s="8"/>
      <c r="C2209" s="6"/>
      <c r="E2209" s="6"/>
      <c r="J2209" s="8"/>
      <c r="L2209" s="6"/>
    </row>
    <row r="2210" spans="1:12" x14ac:dyDescent="0.3">
      <c r="A2210" s="8"/>
      <c r="C2210" s="6"/>
      <c r="E2210" s="6"/>
      <c r="J2210" s="8"/>
      <c r="L2210" s="6"/>
    </row>
    <row r="2211" spans="1:12" x14ac:dyDescent="0.3">
      <c r="A2211" s="8"/>
      <c r="C2211" s="6"/>
      <c r="E2211" s="6"/>
      <c r="J2211" s="8"/>
      <c r="L2211" s="6"/>
    </row>
    <row r="2212" spans="1:12" x14ac:dyDescent="0.3">
      <c r="A2212" s="8"/>
      <c r="C2212" s="6"/>
      <c r="E2212" s="6"/>
      <c r="J2212" s="8"/>
      <c r="L2212" s="6"/>
    </row>
    <row r="2213" spans="1:12" x14ac:dyDescent="0.3">
      <c r="A2213" s="8"/>
      <c r="C2213" s="6"/>
      <c r="E2213" s="6"/>
      <c r="J2213" s="8"/>
      <c r="L2213" s="6"/>
    </row>
    <row r="2214" spans="1:12" x14ac:dyDescent="0.3">
      <c r="A2214" s="8"/>
      <c r="C2214" s="6"/>
      <c r="E2214" s="6"/>
      <c r="J2214" s="8"/>
      <c r="L2214" s="6"/>
    </row>
    <row r="2215" spans="1:12" x14ac:dyDescent="0.3">
      <c r="A2215" s="8"/>
      <c r="C2215" s="6"/>
      <c r="E2215" s="6"/>
      <c r="J2215" s="8"/>
      <c r="L2215" s="6"/>
    </row>
    <row r="2216" spans="1:12" x14ac:dyDescent="0.3">
      <c r="A2216" s="8"/>
      <c r="C2216" s="6"/>
      <c r="E2216" s="6"/>
      <c r="J2216" s="8"/>
      <c r="L2216" s="6"/>
    </row>
    <row r="2217" spans="1:12" x14ac:dyDescent="0.3">
      <c r="A2217" s="8"/>
      <c r="C2217" s="6"/>
      <c r="E2217" s="6"/>
      <c r="J2217" s="8"/>
      <c r="L2217" s="6"/>
    </row>
    <row r="2218" spans="1:12" x14ac:dyDescent="0.3">
      <c r="A2218" s="8"/>
      <c r="C2218" s="6"/>
      <c r="E2218" s="6"/>
      <c r="J2218" s="8"/>
      <c r="L2218" s="6"/>
    </row>
    <row r="2219" spans="1:12" x14ac:dyDescent="0.3">
      <c r="A2219" s="8"/>
      <c r="C2219" s="6"/>
      <c r="E2219" s="6"/>
      <c r="J2219" s="8"/>
      <c r="L2219" s="6"/>
    </row>
    <row r="2220" spans="1:12" x14ac:dyDescent="0.3">
      <c r="A2220" s="8"/>
      <c r="C2220" s="6"/>
      <c r="E2220" s="6"/>
      <c r="J2220" s="8"/>
      <c r="L2220" s="6"/>
    </row>
    <row r="2221" spans="1:12" x14ac:dyDescent="0.3">
      <c r="A2221" s="8"/>
      <c r="C2221" s="6"/>
      <c r="E2221" s="6"/>
      <c r="J2221" s="8"/>
      <c r="L2221" s="6"/>
    </row>
    <row r="2222" spans="1:12" x14ac:dyDescent="0.3">
      <c r="A2222" s="8"/>
      <c r="C2222" s="6"/>
      <c r="E2222" s="6"/>
      <c r="J2222" s="8"/>
      <c r="L2222" s="6"/>
    </row>
    <row r="2223" spans="1:12" x14ac:dyDescent="0.3">
      <c r="A2223" s="8"/>
      <c r="C2223" s="6"/>
      <c r="E2223" s="6"/>
      <c r="J2223" s="8"/>
      <c r="L2223" s="6"/>
    </row>
    <row r="2224" spans="1:12" x14ac:dyDescent="0.3">
      <c r="A2224" s="8"/>
      <c r="C2224" s="6"/>
      <c r="E2224" s="6"/>
      <c r="J2224" s="8"/>
      <c r="L2224" s="6"/>
    </row>
    <row r="2225" spans="1:12" x14ac:dyDescent="0.3">
      <c r="A2225" s="8"/>
      <c r="C2225" s="6"/>
      <c r="E2225" s="6"/>
      <c r="J2225" s="8"/>
      <c r="L2225" s="6"/>
    </row>
    <row r="2226" spans="1:12" x14ac:dyDescent="0.3">
      <c r="A2226" s="8"/>
      <c r="C2226" s="6"/>
      <c r="E2226" s="6"/>
      <c r="J2226" s="8"/>
      <c r="L2226" s="6"/>
    </row>
    <row r="2227" spans="1:12" x14ac:dyDescent="0.3">
      <c r="A2227" s="8"/>
      <c r="C2227" s="6"/>
      <c r="E2227" s="6"/>
      <c r="J2227" s="8"/>
      <c r="L2227" s="6"/>
    </row>
    <row r="2228" spans="1:12" x14ac:dyDescent="0.3">
      <c r="A2228" s="8"/>
      <c r="C2228" s="6"/>
      <c r="E2228" s="6"/>
      <c r="J2228" s="8"/>
      <c r="L2228" s="6"/>
    </row>
    <row r="2229" spans="1:12" x14ac:dyDescent="0.3">
      <c r="A2229" s="8"/>
      <c r="C2229" s="6"/>
      <c r="E2229" s="6"/>
      <c r="J2229" s="8"/>
      <c r="L2229" s="6"/>
    </row>
    <row r="2230" spans="1:12" x14ac:dyDescent="0.3">
      <c r="A2230" s="8"/>
      <c r="C2230" s="6"/>
      <c r="E2230" s="6"/>
      <c r="J2230" s="8"/>
      <c r="L2230" s="6"/>
    </row>
    <row r="2231" spans="1:12" x14ac:dyDescent="0.3">
      <c r="A2231" s="8"/>
      <c r="C2231" s="6"/>
      <c r="E2231" s="6"/>
      <c r="J2231" s="8"/>
      <c r="L2231" s="6"/>
    </row>
    <row r="2232" spans="1:12" x14ac:dyDescent="0.3">
      <c r="A2232" s="8"/>
      <c r="C2232" s="6"/>
      <c r="E2232" s="6"/>
      <c r="J2232" s="8"/>
      <c r="L2232" s="6"/>
    </row>
    <row r="2233" spans="1:12" x14ac:dyDescent="0.3">
      <c r="A2233" s="8"/>
      <c r="C2233" s="6"/>
      <c r="E2233" s="6"/>
      <c r="J2233" s="8"/>
      <c r="L2233" s="6"/>
    </row>
    <row r="2234" spans="1:12" x14ac:dyDescent="0.3">
      <c r="A2234" s="8"/>
      <c r="C2234" s="6"/>
      <c r="E2234" s="6"/>
      <c r="J2234" s="8"/>
      <c r="L2234" s="6"/>
    </row>
    <row r="2235" spans="1:12" x14ac:dyDescent="0.3">
      <c r="A2235" s="8"/>
      <c r="C2235" s="6"/>
      <c r="E2235" s="6"/>
      <c r="J2235" s="8"/>
      <c r="L2235" s="6"/>
    </row>
    <row r="2236" spans="1:12" x14ac:dyDescent="0.3">
      <c r="A2236" s="8"/>
      <c r="C2236" s="6"/>
      <c r="E2236" s="6"/>
      <c r="J2236" s="8"/>
      <c r="L2236" s="6"/>
    </row>
    <row r="2237" spans="1:12" x14ac:dyDescent="0.3">
      <c r="A2237" s="8"/>
      <c r="C2237" s="6"/>
      <c r="E2237" s="6"/>
      <c r="J2237" s="8"/>
      <c r="L2237" s="6"/>
    </row>
    <row r="2238" spans="1:12" x14ac:dyDescent="0.3">
      <c r="A2238" s="8"/>
      <c r="C2238" s="6"/>
      <c r="E2238" s="6"/>
      <c r="J2238" s="8"/>
      <c r="L2238" s="6"/>
    </row>
    <row r="2239" spans="1:12" x14ac:dyDescent="0.3">
      <c r="A2239" s="8"/>
      <c r="C2239" s="6"/>
      <c r="E2239" s="6"/>
      <c r="J2239" s="8"/>
      <c r="L2239" s="6"/>
    </row>
    <row r="2240" spans="1:12" x14ac:dyDescent="0.3">
      <c r="A2240" s="8"/>
      <c r="C2240" s="6"/>
      <c r="E2240" s="6"/>
      <c r="J2240" s="8"/>
      <c r="L2240" s="6"/>
    </row>
    <row r="2241" spans="1:12" x14ac:dyDescent="0.3">
      <c r="A2241" s="8"/>
      <c r="C2241" s="6"/>
      <c r="E2241" s="6"/>
      <c r="J2241" s="8"/>
      <c r="L2241" s="6"/>
    </row>
    <row r="2242" spans="1:12" x14ac:dyDescent="0.3">
      <c r="A2242" s="8"/>
      <c r="C2242" s="6"/>
      <c r="E2242" s="6"/>
      <c r="J2242" s="8"/>
      <c r="L2242" s="6"/>
    </row>
    <row r="2243" spans="1:12" x14ac:dyDescent="0.3">
      <c r="A2243" s="8"/>
      <c r="C2243" s="6"/>
      <c r="E2243" s="6"/>
      <c r="J2243" s="8"/>
      <c r="L2243" s="6"/>
    </row>
    <row r="2244" spans="1:12" x14ac:dyDescent="0.3">
      <c r="A2244" s="8"/>
      <c r="C2244" s="6"/>
      <c r="E2244" s="6"/>
      <c r="J2244" s="8"/>
      <c r="L2244" s="6"/>
    </row>
    <row r="2245" spans="1:12" x14ac:dyDescent="0.3">
      <c r="A2245" s="8"/>
      <c r="C2245" s="6"/>
      <c r="E2245" s="6"/>
      <c r="J2245" s="8"/>
      <c r="L2245" s="6"/>
    </row>
    <row r="2246" spans="1:12" x14ac:dyDescent="0.3">
      <c r="A2246" s="8"/>
      <c r="C2246" s="6"/>
      <c r="E2246" s="6"/>
      <c r="J2246" s="8"/>
      <c r="L2246" s="6"/>
    </row>
    <row r="2247" spans="1:12" x14ac:dyDescent="0.3">
      <c r="A2247" s="8"/>
      <c r="C2247" s="6"/>
      <c r="E2247" s="6"/>
      <c r="J2247" s="8"/>
      <c r="L2247" s="6"/>
    </row>
    <row r="2248" spans="1:12" x14ac:dyDescent="0.3">
      <c r="A2248" s="8"/>
      <c r="C2248" s="6"/>
      <c r="E2248" s="6"/>
      <c r="J2248" s="8"/>
      <c r="L2248" s="6"/>
    </row>
    <row r="2249" spans="1:12" x14ac:dyDescent="0.3">
      <c r="A2249" s="8"/>
      <c r="C2249" s="6"/>
      <c r="E2249" s="6"/>
      <c r="J2249" s="8"/>
      <c r="L2249" s="6"/>
    </row>
    <row r="2250" spans="1:12" x14ac:dyDescent="0.3">
      <c r="A2250" s="8"/>
      <c r="C2250" s="6"/>
      <c r="E2250" s="6"/>
      <c r="J2250" s="8"/>
      <c r="L2250" s="6"/>
    </row>
    <row r="2251" spans="1:12" x14ac:dyDescent="0.3">
      <c r="A2251" s="8"/>
      <c r="C2251" s="6"/>
      <c r="E2251" s="6"/>
      <c r="J2251" s="8"/>
      <c r="L2251" s="6"/>
    </row>
    <row r="2252" spans="1:12" x14ac:dyDescent="0.3">
      <c r="A2252" s="8"/>
      <c r="C2252" s="6"/>
      <c r="E2252" s="6"/>
      <c r="J2252" s="8"/>
      <c r="L2252" s="6"/>
    </row>
    <row r="2253" spans="1:12" x14ac:dyDescent="0.3">
      <c r="A2253" s="8"/>
      <c r="C2253" s="6"/>
      <c r="E2253" s="6"/>
      <c r="J2253" s="8"/>
      <c r="L2253" s="6"/>
    </row>
    <row r="2254" spans="1:12" x14ac:dyDescent="0.3">
      <c r="A2254" s="8"/>
      <c r="C2254" s="6"/>
      <c r="E2254" s="6"/>
      <c r="J2254" s="8"/>
      <c r="L2254" s="6"/>
    </row>
    <row r="2255" spans="1:12" x14ac:dyDescent="0.3">
      <c r="A2255" s="8"/>
      <c r="C2255" s="6"/>
      <c r="E2255" s="6"/>
      <c r="J2255" s="8"/>
      <c r="L2255" s="6"/>
    </row>
    <row r="2256" spans="1:12" x14ac:dyDescent="0.3">
      <c r="A2256" s="8"/>
      <c r="C2256" s="6"/>
      <c r="E2256" s="6"/>
      <c r="J2256" s="8"/>
      <c r="L2256" s="6"/>
    </row>
    <row r="2257" spans="1:12" x14ac:dyDescent="0.3">
      <c r="A2257" s="8"/>
      <c r="C2257" s="6"/>
      <c r="E2257" s="6"/>
      <c r="J2257" s="8"/>
      <c r="L2257" s="6"/>
    </row>
    <row r="2258" spans="1:12" x14ac:dyDescent="0.3">
      <c r="A2258" s="8"/>
      <c r="C2258" s="6"/>
      <c r="E2258" s="6"/>
      <c r="J2258" s="8"/>
      <c r="L2258" s="6"/>
    </row>
    <row r="2259" spans="1:12" x14ac:dyDescent="0.3">
      <c r="A2259" s="8"/>
      <c r="C2259" s="6"/>
      <c r="E2259" s="6"/>
      <c r="J2259" s="8"/>
      <c r="L2259" s="6"/>
    </row>
    <row r="2260" spans="1:12" x14ac:dyDescent="0.3">
      <c r="A2260" s="8"/>
      <c r="C2260" s="6"/>
      <c r="E2260" s="6"/>
      <c r="J2260" s="8"/>
      <c r="L2260" s="6"/>
    </row>
    <row r="2261" spans="1:12" x14ac:dyDescent="0.3">
      <c r="A2261" s="8"/>
      <c r="C2261" s="6"/>
      <c r="E2261" s="6"/>
      <c r="J2261" s="8"/>
      <c r="L2261" s="6"/>
    </row>
    <row r="2262" spans="1:12" x14ac:dyDescent="0.3">
      <c r="A2262" s="8"/>
      <c r="C2262" s="6"/>
      <c r="E2262" s="6"/>
      <c r="J2262" s="8"/>
      <c r="L2262" s="6"/>
    </row>
    <row r="2263" spans="1:12" x14ac:dyDescent="0.3">
      <c r="A2263" s="8"/>
      <c r="C2263" s="6"/>
      <c r="E2263" s="6"/>
      <c r="J2263" s="8"/>
      <c r="L2263" s="6"/>
    </row>
    <row r="2264" spans="1:12" x14ac:dyDescent="0.3">
      <c r="A2264" s="8"/>
      <c r="C2264" s="6"/>
      <c r="E2264" s="6"/>
      <c r="J2264" s="8"/>
      <c r="L2264" s="6"/>
    </row>
    <row r="2265" spans="1:12" x14ac:dyDescent="0.3">
      <c r="A2265" s="8"/>
      <c r="C2265" s="6"/>
      <c r="E2265" s="6"/>
      <c r="J2265" s="8"/>
      <c r="L2265" s="6"/>
    </row>
    <row r="2266" spans="1:12" x14ac:dyDescent="0.3">
      <c r="A2266" s="8"/>
      <c r="C2266" s="6"/>
      <c r="E2266" s="6"/>
      <c r="J2266" s="8"/>
      <c r="L2266" s="6"/>
    </row>
    <row r="2267" spans="1:12" x14ac:dyDescent="0.3">
      <c r="A2267" s="8"/>
      <c r="C2267" s="6"/>
      <c r="E2267" s="6"/>
      <c r="J2267" s="8"/>
      <c r="L2267" s="6"/>
    </row>
    <row r="2268" spans="1:12" x14ac:dyDescent="0.3">
      <c r="A2268" s="8"/>
      <c r="C2268" s="6"/>
      <c r="E2268" s="6"/>
      <c r="J2268" s="8"/>
      <c r="L2268" s="6"/>
    </row>
    <row r="2269" spans="1:12" x14ac:dyDescent="0.3">
      <c r="A2269" s="8"/>
      <c r="C2269" s="6"/>
      <c r="E2269" s="6"/>
      <c r="J2269" s="8"/>
      <c r="L2269" s="6"/>
    </row>
    <row r="2270" spans="1:12" x14ac:dyDescent="0.3">
      <c r="A2270" s="8"/>
      <c r="C2270" s="6"/>
      <c r="E2270" s="6"/>
      <c r="J2270" s="8"/>
      <c r="L2270" s="6"/>
    </row>
    <row r="2271" spans="1:12" x14ac:dyDescent="0.3">
      <c r="A2271" s="8"/>
      <c r="C2271" s="6"/>
      <c r="E2271" s="6"/>
      <c r="J2271" s="8"/>
      <c r="L2271" s="6"/>
    </row>
    <row r="2272" spans="1:12" x14ac:dyDescent="0.3">
      <c r="A2272" s="8"/>
      <c r="C2272" s="6"/>
      <c r="E2272" s="6"/>
      <c r="J2272" s="8"/>
      <c r="L2272" s="6"/>
    </row>
    <row r="2273" spans="1:12" x14ac:dyDescent="0.3">
      <c r="A2273" s="8"/>
      <c r="C2273" s="6"/>
      <c r="E2273" s="6"/>
      <c r="J2273" s="8"/>
      <c r="L2273" s="6"/>
    </row>
    <row r="2274" spans="1:12" x14ac:dyDescent="0.3">
      <c r="A2274" s="8"/>
      <c r="C2274" s="6"/>
      <c r="E2274" s="6"/>
      <c r="J2274" s="8"/>
      <c r="L2274" s="6"/>
    </row>
    <row r="2275" spans="1:12" x14ac:dyDescent="0.3">
      <c r="A2275" s="8"/>
      <c r="C2275" s="6"/>
      <c r="E2275" s="6"/>
      <c r="J2275" s="8"/>
      <c r="L2275" s="6"/>
    </row>
    <row r="2276" spans="1:12" x14ac:dyDescent="0.3">
      <c r="A2276" s="8"/>
      <c r="C2276" s="6"/>
      <c r="E2276" s="6"/>
      <c r="J2276" s="8"/>
      <c r="L2276" s="6"/>
    </row>
    <row r="2277" spans="1:12" x14ac:dyDescent="0.3">
      <c r="A2277" s="8"/>
      <c r="C2277" s="6"/>
      <c r="E2277" s="6"/>
      <c r="J2277" s="8"/>
      <c r="L2277" s="6"/>
    </row>
    <row r="2278" spans="1:12" x14ac:dyDescent="0.3">
      <c r="A2278" s="8"/>
      <c r="C2278" s="6"/>
      <c r="E2278" s="6"/>
      <c r="J2278" s="8"/>
      <c r="L2278" s="6"/>
    </row>
    <row r="2279" spans="1:12" x14ac:dyDescent="0.3">
      <c r="A2279" s="8"/>
      <c r="C2279" s="6"/>
      <c r="E2279" s="6"/>
      <c r="J2279" s="8"/>
      <c r="L2279" s="6"/>
    </row>
    <row r="2280" spans="1:12" x14ac:dyDescent="0.3">
      <c r="A2280" s="8"/>
      <c r="C2280" s="6"/>
      <c r="E2280" s="6"/>
      <c r="J2280" s="8"/>
      <c r="L2280" s="6"/>
    </row>
    <row r="2281" spans="1:12" x14ac:dyDescent="0.3">
      <c r="A2281" s="8"/>
      <c r="C2281" s="6"/>
      <c r="E2281" s="6"/>
      <c r="J2281" s="8"/>
      <c r="L2281" s="6"/>
    </row>
    <row r="2282" spans="1:12" x14ac:dyDescent="0.3">
      <c r="A2282" s="8"/>
      <c r="C2282" s="6"/>
      <c r="E2282" s="6"/>
      <c r="J2282" s="8"/>
      <c r="L2282" s="6"/>
    </row>
    <row r="2283" spans="1:12" x14ac:dyDescent="0.3">
      <c r="A2283" s="8"/>
      <c r="C2283" s="6"/>
      <c r="E2283" s="6"/>
      <c r="J2283" s="8"/>
      <c r="L2283" s="6"/>
    </row>
    <row r="2284" spans="1:12" x14ac:dyDescent="0.3">
      <c r="A2284" s="8"/>
      <c r="C2284" s="6"/>
      <c r="E2284" s="6"/>
      <c r="J2284" s="8"/>
      <c r="L2284" s="6"/>
    </row>
    <row r="2285" spans="1:12" x14ac:dyDescent="0.3">
      <c r="A2285" s="8"/>
      <c r="C2285" s="6"/>
      <c r="E2285" s="6"/>
      <c r="J2285" s="8"/>
      <c r="L2285" s="6"/>
    </row>
    <row r="2286" spans="1:12" x14ac:dyDescent="0.3">
      <c r="A2286" s="8"/>
      <c r="C2286" s="6"/>
      <c r="E2286" s="6"/>
      <c r="J2286" s="8"/>
      <c r="L2286" s="6"/>
    </row>
    <row r="2287" spans="1:12" x14ac:dyDescent="0.3">
      <c r="A2287" s="8"/>
      <c r="C2287" s="6"/>
      <c r="E2287" s="6"/>
      <c r="J2287" s="8"/>
      <c r="L2287" s="6"/>
    </row>
    <row r="2288" spans="1:12" x14ac:dyDescent="0.3">
      <c r="A2288" s="8"/>
      <c r="C2288" s="6"/>
      <c r="E2288" s="6"/>
      <c r="J2288" s="8"/>
      <c r="L2288" s="6"/>
    </row>
    <row r="2289" spans="1:12" x14ac:dyDescent="0.3">
      <c r="A2289" s="8"/>
      <c r="C2289" s="6"/>
      <c r="E2289" s="6"/>
      <c r="J2289" s="8"/>
      <c r="L2289" s="6"/>
    </row>
    <row r="2290" spans="1:12" x14ac:dyDescent="0.3">
      <c r="A2290" s="8"/>
      <c r="C2290" s="6"/>
      <c r="E2290" s="6"/>
      <c r="J2290" s="8"/>
      <c r="L2290" s="6"/>
    </row>
    <row r="2291" spans="1:12" x14ac:dyDescent="0.3">
      <c r="A2291" s="8"/>
      <c r="C2291" s="6"/>
      <c r="E2291" s="6"/>
      <c r="J2291" s="8"/>
      <c r="L2291" s="6"/>
    </row>
    <row r="2292" spans="1:12" x14ac:dyDescent="0.3">
      <c r="A2292" s="8"/>
      <c r="C2292" s="6"/>
      <c r="E2292" s="6"/>
      <c r="J2292" s="8"/>
      <c r="L2292" s="6"/>
    </row>
    <row r="2293" spans="1:12" x14ac:dyDescent="0.3">
      <c r="A2293" s="8"/>
      <c r="C2293" s="6"/>
      <c r="E2293" s="6"/>
      <c r="J2293" s="8"/>
      <c r="L2293" s="6"/>
    </row>
    <row r="2294" spans="1:12" x14ac:dyDescent="0.3">
      <c r="A2294" s="8"/>
      <c r="C2294" s="6"/>
      <c r="E2294" s="6"/>
      <c r="J2294" s="8"/>
      <c r="L2294" s="6"/>
    </row>
    <row r="2295" spans="1:12" x14ac:dyDescent="0.3">
      <c r="A2295" s="8"/>
      <c r="C2295" s="6"/>
      <c r="E2295" s="6"/>
      <c r="J2295" s="8"/>
      <c r="L2295" s="6"/>
    </row>
    <row r="2296" spans="1:12" x14ac:dyDescent="0.3">
      <c r="A2296" s="8"/>
      <c r="C2296" s="6"/>
      <c r="E2296" s="6"/>
      <c r="J2296" s="8"/>
      <c r="L2296" s="6"/>
    </row>
    <row r="2297" spans="1:12" x14ac:dyDescent="0.3">
      <c r="A2297" s="8"/>
      <c r="C2297" s="6"/>
      <c r="E2297" s="6"/>
      <c r="J2297" s="8"/>
      <c r="L2297" s="6"/>
    </row>
    <row r="2298" spans="1:12" x14ac:dyDescent="0.3">
      <c r="A2298" s="8"/>
      <c r="C2298" s="6"/>
      <c r="E2298" s="6"/>
      <c r="J2298" s="8"/>
      <c r="L2298" s="6"/>
    </row>
    <row r="2299" spans="1:12" x14ac:dyDescent="0.3">
      <c r="A2299" s="8"/>
      <c r="C2299" s="6"/>
      <c r="E2299" s="6"/>
      <c r="J2299" s="8"/>
      <c r="L2299" s="6"/>
    </row>
    <row r="2300" spans="1:12" x14ac:dyDescent="0.3">
      <c r="A2300" s="8"/>
      <c r="C2300" s="6"/>
      <c r="E2300" s="6"/>
      <c r="J2300" s="8"/>
      <c r="L2300" s="6"/>
    </row>
    <row r="2301" spans="1:12" x14ac:dyDescent="0.3">
      <c r="A2301" s="8"/>
      <c r="C2301" s="6"/>
      <c r="E2301" s="6"/>
      <c r="J2301" s="8"/>
      <c r="L2301" s="6"/>
    </row>
    <row r="2302" spans="1:12" x14ac:dyDescent="0.3">
      <c r="A2302" s="8"/>
      <c r="C2302" s="6"/>
      <c r="E2302" s="6"/>
      <c r="J2302" s="8"/>
      <c r="L2302" s="6"/>
    </row>
    <row r="2303" spans="1:12" x14ac:dyDescent="0.3">
      <c r="A2303" s="8"/>
      <c r="C2303" s="6"/>
      <c r="E2303" s="6"/>
      <c r="J2303" s="8"/>
      <c r="L2303" s="6"/>
    </row>
    <row r="2304" spans="1:12" x14ac:dyDescent="0.3">
      <c r="A2304" s="8"/>
      <c r="C2304" s="6"/>
      <c r="E2304" s="6"/>
      <c r="J2304" s="8"/>
      <c r="L2304" s="6"/>
    </row>
    <row r="2305" spans="1:12" x14ac:dyDescent="0.3">
      <c r="A2305" s="8"/>
      <c r="C2305" s="6"/>
      <c r="E2305" s="6"/>
      <c r="J2305" s="8"/>
      <c r="L2305" s="6"/>
    </row>
    <row r="2306" spans="1:12" x14ac:dyDescent="0.3">
      <c r="A2306" s="8"/>
      <c r="C2306" s="6"/>
      <c r="E2306" s="6"/>
      <c r="J2306" s="8"/>
      <c r="L2306" s="6"/>
    </row>
    <row r="2307" spans="1:12" x14ac:dyDescent="0.3">
      <c r="A2307" s="8"/>
      <c r="C2307" s="6"/>
      <c r="E2307" s="6"/>
      <c r="J2307" s="8"/>
      <c r="L2307" s="6"/>
    </row>
    <row r="2308" spans="1:12" x14ac:dyDescent="0.3">
      <c r="A2308" s="8"/>
      <c r="C2308" s="6"/>
      <c r="E2308" s="6"/>
      <c r="J2308" s="8"/>
      <c r="L2308" s="6"/>
    </row>
    <row r="2309" spans="1:12" x14ac:dyDescent="0.3">
      <c r="A2309" s="8"/>
      <c r="C2309" s="6"/>
      <c r="E2309" s="6"/>
      <c r="J2309" s="8"/>
      <c r="L2309" s="6"/>
    </row>
    <row r="2310" spans="1:12" x14ac:dyDescent="0.3">
      <c r="A2310" s="8"/>
      <c r="C2310" s="6"/>
      <c r="E2310" s="6"/>
      <c r="J2310" s="8"/>
      <c r="L2310" s="6"/>
    </row>
    <row r="2311" spans="1:12" x14ac:dyDescent="0.3">
      <c r="A2311" s="8"/>
      <c r="C2311" s="6"/>
      <c r="E2311" s="6"/>
      <c r="J2311" s="8"/>
      <c r="L2311" s="6"/>
    </row>
    <row r="2312" spans="1:12" x14ac:dyDescent="0.3">
      <c r="A2312" s="8"/>
      <c r="C2312" s="6"/>
      <c r="E2312" s="6"/>
      <c r="J2312" s="8"/>
      <c r="L2312" s="6"/>
    </row>
    <row r="2313" spans="1:12" x14ac:dyDescent="0.3">
      <c r="A2313" s="8"/>
      <c r="C2313" s="6"/>
      <c r="E2313" s="6"/>
      <c r="J2313" s="8"/>
      <c r="L2313" s="6"/>
    </row>
    <row r="2314" spans="1:12" x14ac:dyDescent="0.3">
      <c r="A2314" s="8"/>
      <c r="C2314" s="6"/>
      <c r="E2314" s="6"/>
      <c r="J2314" s="8"/>
      <c r="L2314" s="6"/>
    </row>
    <row r="2315" spans="1:12" x14ac:dyDescent="0.3">
      <c r="A2315" s="8"/>
      <c r="C2315" s="6"/>
      <c r="E2315" s="6"/>
      <c r="J2315" s="8"/>
      <c r="L2315" s="6"/>
    </row>
    <row r="2316" spans="1:12" x14ac:dyDescent="0.3">
      <c r="A2316" s="8"/>
      <c r="C2316" s="6"/>
      <c r="E2316" s="6"/>
      <c r="J2316" s="8"/>
      <c r="L2316" s="6"/>
    </row>
    <row r="2317" spans="1:12" x14ac:dyDescent="0.3">
      <c r="A2317" s="8"/>
      <c r="C2317" s="6"/>
      <c r="E2317" s="6"/>
      <c r="J2317" s="8"/>
      <c r="L2317" s="6"/>
    </row>
    <row r="2318" spans="1:12" x14ac:dyDescent="0.3">
      <c r="A2318" s="8"/>
      <c r="C2318" s="6"/>
      <c r="E2318" s="6"/>
      <c r="J2318" s="8"/>
      <c r="L2318" s="6"/>
    </row>
    <row r="2319" spans="1:12" x14ac:dyDescent="0.3">
      <c r="A2319" s="8"/>
      <c r="C2319" s="6"/>
      <c r="E2319" s="6"/>
      <c r="J2319" s="8"/>
      <c r="L2319" s="6"/>
    </row>
    <row r="2320" spans="1:12" x14ac:dyDescent="0.3">
      <c r="A2320" s="8"/>
      <c r="C2320" s="6"/>
      <c r="E2320" s="6"/>
      <c r="J2320" s="8"/>
      <c r="L2320" s="6"/>
    </row>
    <row r="2321" spans="1:12" x14ac:dyDescent="0.3">
      <c r="A2321" s="8"/>
      <c r="C2321" s="6"/>
      <c r="E2321" s="6"/>
      <c r="J2321" s="8"/>
      <c r="L2321" s="6"/>
    </row>
    <row r="2322" spans="1:12" x14ac:dyDescent="0.3">
      <c r="A2322" s="8"/>
      <c r="C2322" s="6"/>
      <c r="E2322" s="6"/>
      <c r="J2322" s="8"/>
      <c r="L2322" s="6"/>
    </row>
    <row r="2323" spans="1:12" x14ac:dyDescent="0.3">
      <c r="A2323" s="8"/>
      <c r="C2323" s="6"/>
      <c r="E2323" s="6"/>
      <c r="J2323" s="8"/>
      <c r="L2323" s="6"/>
    </row>
    <row r="2324" spans="1:12" x14ac:dyDescent="0.3">
      <c r="A2324" s="8"/>
      <c r="C2324" s="6"/>
      <c r="E2324" s="6"/>
      <c r="J2324" s="8"/>
      <c r="L2324" s="6"/>
    </row>
    <row r="2325" spans="1:12" x14ac:dyDescent="0.3">
      <c r="A2325" s="8"/>
      <c r="C2325" s="6"/>
      <c r="E2325" s="6"/>
      <c r="J2325" s="8"/>
      <c r="L2325" s="6"/>
    </row>
    <row r="2326" spans="1:12" x14ac:dyDescent="0.3">
      <c r="A2326" s="8"/>
      <c r="C2326" s="6"/>
      <c r="E2326" s="6"/>
      <c r="J2326" s="8"/>
      <c r="L2326" s="6"/>
    </row>
    <row r="2327" spans="1:12" x14ac:dyDescent="0.3">
      <c r="A2327" s="8"/>
      <c r="C2327" s="6"/>
      <c r="E2327" s="6"/>
      <c r="J2327" s="8"/>
      <c r="L2327" s="6"/>
    </row>
    <row r="2328" spans="1:12" x14ac:dyDescent="0.3">
      <c r="A2328" s="8"/>
      <c r="C2328" s="6"/>
      <c r="E2328" s="6"/>
      <c r="J2328" s="8"/>
      <c r="L2328" s="6"/>
    </row>
    <row r="2329" spans="1:12" x14ac:dyDescent="0.3">
      <c r="A2329" s="8"/>
      <c r="C2329" s="6"/>
      <c r="E2329" s="6"/>
      <c r="J2329" s="8"/>
      <c r="L2329" s="6"/>
    </row>
    <row r="2330" spans="1:12" x14ac:dyDescent="0.3">
      <c r="A2330" s="8"/>
      <c r="C2330" s="6"/>
      <c r="E2330" s="6"/>
      <c r="J2330" s="8"/>
      <c r="L2330" s="6"/>
    </row>
    <row r="2331" spans="1:12" x14ac:dyDescent="0.3">
      <c r="A2331" s="8"/>
      <c r="C2331" s="6"/>
      <c r="E2331" s="6"/>
      <c r="J2331" s="8"/>
      <c r="L2331" s="6"/>
    </row>
    <row r="2332" spans="1:12" x14ac:dyDescent="0.3">
      <c r="A2332" s="8"/>
      <c r="C2332" s="6"/>
      <c r="E2332" s="6"/>
      <c r="J2332" s="8"/>
      <c r="L2332" s="6"/>
    </row>
    <row r="2333" spans="1:12" x14ac:dyDescent="0.3">
      <c r="A2333" s="8"/>
      <c r="C2333" s="6"/>
      <c r="E2333" s="6"/>
      <c r="J2333" s="8"/>
      <c r="L2333" s="6"/>
    </row>
    <row r="2334" spans="1:12" x14ac:dyDescent="0.3">
      <c r="A2334" s="8"/>
      <c r="C2334" s="6"/>
      <c r="E2334" s="6"/>
      <c r="J2334" s="8"/>
      <c r="L2334" s="6"/>
    </row>
    <row r="2335" spans="1:12" x14ac:dyDescent="0.3">
      <c r="A2335" s="8"/>
      <c r="C2335" s="6"/>
      <c r="E2335" s="6"/>
      <c r="J2335" s="8"/>
      <c r="L2335" s="6"/>
    </row>
    <row r="2336" spans="1:12" x14ac:dyDescent="0.3">
      <c r="A2336" s="8"/>
      <c r="C2336" s="6"/>
      <c r="E2336" s="6"/>
      <c r="J2336" s="8"/>
      <c r="L2336" s="6"/>
    </row>
    <row r="2337" spans="1:12" x14ac:dyDescent="0.3">
      <c r="A2337" s="8"/>
      <c r="C2337" s="6"/>
      <c r="E2337" s="6"/>
      <c r="J2337" s="8"/>
      <c r="L2337" s="6"/>
    </row>
    <row r="2338" spans="1:12" x14ac:dyDescent="0.3">
      <c r="A2338" s="8"/>
      <c r="C2338" s="6"/>
      <c r="E2338" s="6"/>
      <c r="J2338" s="8"/>
      <c r="L2338" s="6"/>
    </row>
    <row r="2339" spans="1:12" x14ac:dyDescent="0.3">
      <c r="A2339" s="8"/>
      <c r="C2339" s="6"/>
      <c r="E2339" s="6"/>
      <c r="J2339" s="8"/>
      <c r="L2339" s="6"/>
    </row>
    <row r="2340" spans="1:12" x14ac:dyDescent="0.3">
      <c r="A2340" s="8"/>
      <c r="C2340" s="6"/>
      <c r="E2340" s="6"/>
      <c r="J2340" s="8"/>
      <c r="L2340" s="6"/>
    </row>
    <row r="2341" spans="1:12" x14ac:dyDescent="0.3">
      <c r="A2341" s="8"/>
      <c r="C2341" s="6"/>
      <c r="E2341" s="6"/>
      <c r="J2341" s="8"/>
      <c r="L2341" s="6"/>
    </row>
    <row r="2342" spans="1:12" x14ac:dyDescent="0.3">
      <c r="A2342" s="8"/>
      <c r="C2342" s="6"/>
      <c r="E2342" s="6"/>
      <c r="J2342" s="8"/>
      <c r="L2342" s="6"/>
    </row>
    <row r="2343" spans="1:12" x14ac:dyDescent="0.3">
      <c r="A2343" s="8"/>
      <c r="C2343" s="6"/>
      <c r="E2343" s="6"/>
      <c r="J2343" s="8"/>
      <c r="L2343" s="6"/>
    </row>
    <row r="2344" spans="1:12" x14ac:dyDescent="0.3">
      <c r="A2344" s="8"/>
      <c r="C2344" s="6"/>
      <c r="E2344" s="6"/>
      <c r="J2344" s="8"/>
      <c r="L2344" s="6"/>
    </row>
    <row r="2345" spans="1:12" x14ac:dyDescent="0.3">
      <c r="A2345" s="8"/>
      <c r="C2345" s="6"/>
      <c r="E2345" s="6"/>
      <c r="J2345" s="8"/>
      <c r="L2345" s="6"/>
    </row>
    <row r="2346" spans="1:12" x14ac:dyDescent="0.3">
      <c r="A2346" s="8"/>
      <c r="C2346" s="6"/>
      <c r="E2346" s="6"/>
      <c r="J2346" s="8"/>
      <c r="L2346" s="6"/>
    </row>
    <row r="2347" spans="1:12" x14ac:dyDescent="0.3">
      <c r="A2347" s="8"/>
      <c r="C2347" s="6"/>
      <c r="E2347" s="6"/>
      <c r="J2347" s="8"/>
      <c r="L2347" s="6"/>
    </row>
    <row r="2348" spans="1:12" x14ac:dyDescent="0.3">
      <c r="A2348" s="8"/>
      <c r="C2348" s="6"/>
      <c r="E2348" s="6"/>
      <c r="J2348" s="8"/>
      <c r="L2348" s="6"/>
    </row>
    <row r="2349" spans="1:12" x14ac:dyDescent="0.3">
      <c r="A2349" s="8"/>
      <c r="C2349" s="6"/>
      <c r="E2349" s="6"/>
      <c r="J2349" s="8"/>
      <c r="L2349" s="6"/>
    </row>
    <row r="2350" spans="1:12" x14ac:dyDescent="0.3">
      <c r="A2350" s="8"/>
      <c r="C2350" s="6"/>
      <c r="E2350" s="6"/>
      <c r="J2350" s="8"/>
      <c r="L2350" s="6"/>
    </row>
    <row r="2351" spans="1:12" x14ac:dyDescent="0.3">
      <c r="A2351" s="8"/>
      <c r="C2351" s="6"/>
      <c r="E2351" s="6"/>
      <c r="J2351" s="8"/>
      <c r="L2351" s="6"/>
    </row>
    <row r="2352" spans="1:12" x14ac:dyDescent="0.3">
      <c r="A2352" s="8"/>
      <c r="C2352" s="6"/>
      <c r="E2352" s="6"/>
      <c r="J2352" s="8"/>
      <c r="L2352" s="6"/>
    </row>
    <row r="2353" spans="1:12" x14ac:dyDescent="0.3">
      <c r="A2353" s="8"/>
      <c r="C2353" s="6"/>
      <c r="E2353" s="6"/>
      <c r="J2353" s="8"/>
      <c r="L2353" s="6"/>
    </row>
    <row r="2354" spans="1:12" x14ac:dyDescent="0.3">
      <c r="A2354" s="8"/>
      <c r="C2354" s="6"/>
      <c r="E2354" s="6"/>
      <c r="J2354" s="8"/>
      <c r="L2354" s="6"/>
    </row>
    <row r="2355" spans="1:12" x14ac:dyDescent="0.3">
      <c r="A2355" s="8"/>
      <c r="C2355" s="6"/>
      <c r="E2355" s="6"/>
      <c r="J2355" s="8"/>
      <c r="L2355" s="6"/>
    </row>
    <row r="2356" spans="1:12" x14ac:dyDescent="0.3">
      <c r="A2356" s="8"/>
      <c r="C2356" s="6"/>
      <c r="E2356" s="6"/>
      <c r="J2356" s="8"/>
      <c r="L2356" s="6"/>
    </row>
    <row r="2357" spans="1:12" x14ac:dyDescent="0.3">
      <c r="A2357" s="8"/>
      <c r="C2357" s="6"/>
      <c r="E2357" s="6"/>
      <c r="J2357" s="8"/>
      <c r="L2357" s="6"/>
    </row>
    <row r="2358" spans="1:12" x14ac:dyDescent="0.3">
      <c r="A2358" s="8"/>
      <c r="C2358" s="6"/>
      <c r="E2358" s="6"/>
      <c r="J2358" s="8"/>
      <c r="L2358" s="6"/>
    </row>
    <row r="2359" spans="1:12" x14ac:dyDescent="0.3">
      <c r="A2359" s="8"/>
      <c r="C2359" s="6"/>
      <c r="E2359" s="6"/>
      <c r="J2359" s="8"/>
      <c r="L2359" s="6"/>
    </row>
    <row r="2360" spans="1:12" x14ac:dyDescent="0.3">
      <c r="A2360" s="8"/>
      <c r="C2360" s="6"/>
      <c r="E2360" s="6"/>
      <c r="J2360" s="8"/>
      <c r="L2360" s="6"/>
    </row>
    <row r="2361" spans="1:12" x14ac:dyDescent="0.3">
      <c r="A2361" s="8"/>
      <c r="C2361" s="6"/>
      <c r="E2361" s="6"/>
      <c r="J2361" s="8"/>
      <c r="L2361" s="6"/>
    </row>
    <row r="2362" spans="1:12" x14ac:dyDescent="0.3">
      <c r="A2362" s="8"/>
      <c r="C2362" s="6"/>
      <c r="E2362" s="6"/>
      <c r="J2362" s="8"/>
      <c r="L2362" s="6"/>
    </row>
    <row r="2363" spans="1:12" x14ac:dyDescent="0.3">
      <c r="A2363" s="8"/>
      <c r="C2363" s="6"/>
      <c r="E2363" s="6"/>
      <c r="J2363" s="8"/>
      <c r="L2363" s="6"/>
    </row>
    <row r="2364" spans="1:12" x14ac:dyDescent="0.3">
      <c r="A2364" s="8"/>
      <c r="C2364" s="6"/>
      <c r="E2364" s="6"/>
      <c r="J2364" s="8"/>
      <c r="L2364" s="6"/>
    </row>
    <row r="2365" spans="1:12" x14ac:dyDescent="0.3">
      <c r="A2365" s="8"/>
      <c r="C2365" s="6"/>
      <c r="E2365" s="6"/>
      <c r="J2365" s="8"/>
      <c r="L2365" s="6"/>
    </row>
    <row r="2366" spans="1:12" x14ac:dyDescent="0.3">
      <c r="A2366" s="8"/>
      <c r="C2366" s="6"/>
      <c r="E2366" s="6"/>
      <c r="J2366" s="8"/>
      <c r="L2366" s="6"/>
    </row>
    <row r="2367" spans="1:12" x14ac:dyDescent="0.3">
      <c r="A2367" s="8"/>
      <c r="C2367" s="6"/>
      <c r="E2367" s="6"/>
      <c r="J2367" s="8"/>
      <c r="L2367" s="6"/>
    </row>
    <row r="2368" spans="1:12" x14ac:dyDescent="0.3">
      <c r="A2368" s="8"/>
      <c r="C2368" s="6"/>
      <c r="E2368" s="6"/>
      <c r="J2368" s="8"/>
      <c r="L2368" s="6"/>
    </row>
    <row r="2369" spans="1:12" x14ac:dyDescent="0.3">
      <c r="A2369" s="8"/>
      <c r="C2369" s="6"/>
      <c r="E2369" s="6"/>
      <c r="J2369" s="8"/>
      <c r="L2369" s="6"/>
    </row>
    <row r="2370" spans="1:12" x14ac:dyDescent="0.3">
      <c r="A2370" s="8"/>
      <c r="C2370" s="6"/>
      <c r="E2370" s="6"/>
      <c r="J2370" s="8"/>
      <c r="L2370" s="6"/>
    </row>
    <row r="2371" spans="1:12" x14ac:dyDescent="0.3">
      <c r="A2371" s="8"/>
      <c r="C2371" s="6"/>
      <c r="E2371" s="6"/>
      <c r="J2371" s="8"/>
      <c r="L2371" s="6"/>
    </row>
    <row r="2372" spans="1:12" x14ac:dyDescent="0.3">
      <c r="A2372" s="8"/>
      <c r="C2372" s="6"/>
      <c r="E2372" s="6"/>
      <c r="J2372" s="8"/>
      <c r="L2372" s="6"/>
    </row>
    <row r="2373" spans="1:12" x14ac:dyDescent="0.3">
      <c r="A2373" s="8"/>
      <c r="C2373" s="6"/>
      <c r="E2373" s="6"/>
      <c r="J2373" s="8"/>
      <c r="L2373" s="6"/>
    </row>
    <row r="2374" spans="1:12" x14ac:dyDescent="0.3">
      <c r="A2374" s="8"/>
      <c r="C2374" s="6"/>
      <c r="E2374" s="6"/>
      <c r="J2374" s="8"/>
      <c r="L2374" s="6"/>
    </row>
    <row r="2375" spans="1:12" x14ac:dyDescent="0.3">
      <c r="A2375" s="8"/>
      <c r="C2375" s="6"/>
      <c r="E2375" s="6"/>
      <c r="J2375" s="8"/>
      <c r="L2375" s="6"/>
    </row>
    <row r="2376" spans="1:12" x14ac:dyDescent="0.3">
      <c r="A2376" s="8"/>
      <c r="C2376" s="6"/>
      <c r="E2376" s="6"/>
      <c r="J2376" s="8"/>
      <c r="L2376" s="6"/>
    </row>
    <row r="2377" spans="1:12" x14ac:dyDescent="0.3">
      <c r="A2377" s="8"/>
      <c r="C2377" s="6"/>
      <c r="E2377" s="6"/>
      <c r="J2377" s="8"/>
      <c r="L2377" s="6"/>
    </row>
    <row r="2378" spans="1:12" x14ac:dyDescent="0.3">
      <c r="A2378" s="8"/>
      <c r="C2378" s="6"/>
      <c r="E2378" s="6"/>
      <c r="J2378" s="8"/>
      <c r="L2378" s="6"/>
    </row>
    <row r="2379" spans="1:12" x14ac:dyDescent="0.3">
      <c r="A2379" s="8"/>
      <c r="C2379" s="6"/>
      <c r="E2379" s="6"/>
      <c r="J2379" s="8"/>
      <c r="L2379" s="6"/>
    </row>
    <row r="2380" spans="1:12" x14ac:dyDescent="0.3">
      <c r="A2380" s="8"/>
      <c r="C2380" s="6"/>
      <c r="E2380" s="6"/>
      <c r="J2380" s="8"/>
      <c r="L2380" s="6"/>
    </row>
    <row r="2381" spans="1:12" x14ac:dyDescent="0.3">
      <c r="A2381" s="8"/>
      <c r="C2381" s="6"/>
      <c r="E2381" s="6"/>
      <c r="J2381" s="8"/>
      <c r="L2381" s="6"/>
    </row>
    <row r="2382" spans="1:12" x14ac:dyDescent="0.3">
      <c r="A2382" s="8"/>
      <c r="C2382" s="6"/>
      <c r="E2382" s="6"/>
      <c r="J2382" s="8"/>
      <c r="L2382" s="6"/>
    </row>
    <row r="2383" spans="1:12" x14ac:dyDescent="0.3">
      <c r="A2383" s="8"/>
      <c r="C2383" s="6"/>
      <c r="E2383" s="6"/>
      <c r="J2383" s="8"/>
      <c r="L2383" s="6"/>
    </row>
    <row r="2384" spans="1:12" x14ac:dyDescent="0.3">
      <c r="A2384" s="8"/>
      <c r="C2384" s="6"/>
      <c r="E2384" s="6"/>
      <c r="J2384" s="8"/>
      <c r="L2384" s="6"/>
    </row>
    <row r="2385" spans="1:12" x14ac:dyDescent="0.3">
      <c r="A2385" s="8"/>
      <c r="C2385" s="6"/>
      <c r="E2385" s="6"/>
      <c r="J2385" s="8"/>
      <c r="L2385" s="6"/>
    </row>
    <row r="2386" spans="1:12" x14ac:dyDescent="0.3">
      <c r="A2386" s="8"/>
      <c r="C2386" s="6"/>
      <c r="E2386" s="6"/>
      <c r="J2386" s="8"/>
      <c r="L2386" s="6"/>
    </row>
    <row r="2387" spans="1:12" x14ac:dyDescent="0.3">
      <c r="A2387" s="8"/>
      <c r="C2387" s="6"/>
      <c r="E2387" s="6"/>
      <c r="J2387" s="8"/>
      <c r="L2387" s="6"/>
    </row>
    <row r="2388" spans="1:12" x14ac:dyDescent="0.3">
      <c r="A2388" s="8"/>
      <c r="C2388" s="6"/>
      <c r="E2388" s="6"/>
      <c r="J2388" s="8"/>
      <c r="L2388" s="6"/>
    </row>
    <row r="2389" spans="1:12" x14ac:dyDescent="0.3">
      <c r="A2389" s="8"/>
      <c r="C2389" s="6"/>
      <c r="E2389" s="6"/>
      <c r="J2389" s="8"/>
      <c r="L2389" s="6"/>
    </row>
    <row r="2390" spans="1:12" x14ac:dyDescent="0.3">
      <c r="A2390" s="8"/>
      <c r="C2390" s="6"/>
      <c r="E2390" s="6"/>
      <c r="J2390" s="8"/>
      <c r="L2390" s="6"/>
    </row>
    <row r="2391" spans="1:12" x14ac:dyDescent="0.3">
      <c r="A2391" s="8"/>
      <c r="C2391" s="6"/>
      <c r="E2391" s="6"/>
      <c r="J2391" s="8"/>
      <c r="L2391" s="6"/>
    </row>
    <row r="2392" spans="1:12" x14ac:dyDescent="0.3">
      <c r="A2392" s="8"/>
      <c r="C2392" s="6"/>
      <c r="E2392" s="6"/>
      <c r="J2392" s="8"/>
      <c r="L2392" s="6"/>
    </row>
    <row r="2393" spans="1:12" x14ac:dyDescent="0.3">
      <c r="A2393" s="8"/>
      <c r="C2393" s="6"/>
      <c r="E2393" s="6"/>
      <c r="J2393" s="8"/>
      <c r="L2393" s="6"/>
    </row>
    <row r="2394" spans="1:12" x14ac:dyDescent="0.3">
      <c r="A2394" s="8"/>
      <c r="C2394" s="6"/>
      <c r="E2394" s="6"/>
      <c r="J2394" s="8"/>
      <c r="L2394" s="6"/>
    </row>
    <row r="2395" spans="1:12" x14ac:dyDescent="0.3">
      <c r="A2395" s="8"/>
      <c r="C2395" s="6"/>
      <c r="E2395" s="6"/>
      <c r="J2395" s="8"/>
      <c r="L2395" s="6"/>
    </row>
    <row r="2396" spans="1:12" x14ac:dyDescent="0.3">
      <c r="A2396" s="8"/>
      <c r="C2396" s="6"/>
      <c r="E2396" s="6"/>
      <c r="J2396" s="8"/>
      <c r="L2396" s="6"/>
    </row>
    <row r="2397" spans="1:12" x14ac:dyDescent="0.3">
      <c r="A2397" s="8"/>
      <c r="C2397" s="6"/>
      <c r="E2397" s="6"/>
      <c r="J2397" s="8"/>
      <c r="L2397" s="6"/>
    </row>
    <row r="2398" spans="1:12" x14ac:dyDescent="0.3">
      <c r="A2398" s="8"/>
      <c r="C2398" s="6"/>
      <c r="E2398" s="6"/>
      <c r="J2398" s="8"/>
      <c r="L2398" s="6"/>
    </row>
    <row r="2399" spans="1:12" x14ac:dyDescent="0.3">
      <c r="A2399" s="8"/>
      <c r="C2399" s="6"/>
      <c r="E2399" s="6"/>
      <c r="J2399" s="8"/>
      <c r="L2399" s="6"/>
    </row>
    <row r="2400" spans="1:12" x14ac:dyDescent="0.3">
      <c r="A2400" s="8"/>
      <c r="C2400" s="6"/>
      <c r="E2400" s="6"/>
      <c r="J2400" s="8"/>
      <c r="L2400" s="6"/>
    </row>
    <row r="2401" spans="1:12" x14ac:dyDescent="0.3">
      <c r="A2401" s="8"/>
      <c r="C2401" s="6"/>
      <c r="E2401" s="6"/>
      <c r="J2401" s="8"/>
      <c r="L2401" s="6"/>
    </row>
    <row r="2402" spans="1:12" x14ac:dyDescent="0.3">
      <c r="A2402" s="8"/>
      <c r="C2402" s="6"/>
      <c r="E2402" s="6"/>
      <c r="J2402" s="8"/>
      <c r="L2402" s="6"/>
    </row>
    <row r="2403" spans="1:12" x14ac:dyDescent="0.3">
      <c r="A2403" s="8"/>
      <c r="C2403" s="6"/>
      <c r="E2403" s="6"/>
      <c r="J2403" s="8"/>
      <c r="L2403" s="6"/>
    </row>
    <row r="2404" spans="1:12" x14ac:dyDescent="0.3">
      <c r="A2404" s="8"/>
      <c r="C2404" s="6"/>
      <c r="E2404" s="6"/>
      <c r="J2404" s="8"/>
      <c r="L2404" s="6"/>
    </row>
    <row r="2405" spans="1:12" x14ac:dyDescent="0.3">
      <c r="A2405" s="8"/>
      <c r="C2405" s="6"/>
      <c r="E2405" s="6"/>
      <c r="J2405" s="8"/>
      <c r="L2405" s="6"/>
    </row>
    <row r="2406" spans="1:12" x14ac:dyDescent="0.3">
      <c r="A2406" s="8"/>
      <c r="C2406" s="6"/>
      <c r="E2406" s="6"/>
      <c r="J2406" s="8"/>
      <c r="L2406" s="6"/>
    </row>
    <row r="2407" spans="1:12" x14ac:dyDescent="0.3">
      <c r="A2407" s="8"/>
      <c r="C2407" s="6"/>
      <c r="E2407" s="6"/>
      <c r="J2407" s="8"/>
      <c r="L2407" s="6"/>
    </row>
    <row r="2408" spans="1:12" x14ac:dyDescent="0.3">
      <c r="A2408" s="8"/>
      <c r="C2408" s="6"/>
      <c r="E2408" s="6"/>
      <c r="J2408" s="8"/>
      <c r="L2408" s="6"/>
    </row>
    <row r="2409" spans="1:12" x14ac:dyDescent="0.3">
      <c r="A2409" s="8"/>
      <c r="C2409" s="6"/>
      <c r="E2409" s="6"/>
      <c r="J2409" s="8"/>
      <c r="L2409" s="6"/>
    </row>
    <row r="2410" spans="1:12" x14ac:dyDescent="0.3">
      <c r="A2410" s="8"/>
      <c r="C2410" s="6"/>
      <c r="E2410" s="6"/>
      <c r="J2410" s="8"/>
      <c r="L2410" s="6"/>
    </row>
    <row r="2411" spans="1:12" x14ac:dyDescent="0.3">
      <c r="A2411" s="8"/>
      <c r="C2411" s="6"/>
      <c r="E2411" s="6"/>
      <c r="J2411" s="8"/>
      <c r="L2411" s="6"/>
    </row>
    <row r="2412" spans="1:12" x14ac:dyDescent="0.3">
      <c r="A2412" s="8"/>
      <c r="C2412" s="6"/>
      <c r="E2412" s="6"/>
      <c r="J2412" s="8"/>
      <c r="L2412" s="6"/>
    </row>
    <row r="2413" spans="1:12" x14ac:dyDescent="0.3">
      <c r="A2413" s="8"/>
      <c r="C2413" s="6"/>
      <c r="E2413" s="6"/>
      <c r="J2413" s="8"/>
      <c r="L2413" s="6"/>
    </row>
    <row r="2414" spans="1:12" x14ac:dyDescent="0.3">
      <c r="A2414" s="8"/>
      <c r="C2414" s="6"/>
      <c r="E2414" s="6"/>
      <c r="J2414" s="8"/>
      <c r="L2414" s="6"/>
    </row>
    <row r="2415" spans="1:12" x14ac:dyDescent="0.3">
      <c r="A2415" s="8"/>
      <c r="C2415" s="6"/>
      <c r="E2415" s="6"/>
      <c r="J2415" s="8"/>
      <c r="L2415" s="6"/>
    </row>
    <row r="2416" spans="1:12" x14ac:dyDescent="0.3">
      <c r="A2416" s="8"/>
      <c r="C2416" s="6"/>
      <c r="E2416" s="6"/>
      <c r="J2416" s="8"/>
      <c r="L2416" s="6"/>
    </row>
    <row r="2417" spans="1:12" x14ac:dyDescent="0.3">
      <c r="A2417" s="8"/>
      <c r="C2417" s="6"/>
      <c r="E2417" s="6"/>
      <c r="J2417" s="8"/>
      <c r="L2417" s="6"/>
    </row>
    <row r="2418" spans="1:12" x14ac:dyDescent="0.3">
      <c r="A2418" s="8"/>
      <c r="C2418" s="6"/>
      <c r="E2418" s="6"/>
      <c r="J2418" s="8"/>
      <c r="L2418" s="6"/>
    </row>
    <row r="2419" spans="1:12" x14ac:dyDescent="0.3">
      <c r="A2419" s="8"/>
      <c r="C2419" s="6"/>
      <c r="E2419" s="6"/>
      <c r="J2419" s="8"/>
      <c r="L2419" s="6"/>
    </row>
    <row r="2420" spans="1:12" x14ac:dyDescent="0.3">
      <c r="A2420" s="8"/>
      <c r="C2420" s="6"/>
      <c r="E2420" s="6"/>
      <c r="J2420" s="8"/>
      <c r="L2420" s="6"/>
    </row>
    <row r="2421" spans="1:12" x14ac:dyDescent="0.3">
      <c r="A2421" s="8"/>
      <c r="C2421" s="6"/>
      <c r="E2421" s="6"/>
      <c r="J2421" s="8"/>
      <c r="L2421" s="6"/>
    </row>
    <row r="2422" spans="1:12" x14ac:dyDescent="0.3">
      <c r="A2422" s="8"/>
      <c r="C2422" s="6"/>
      <c r="E2422" s="6"/>
      <c r="J2422" s="8"/>
      <c r="L2422" s="6"/>
    </row>
    <row r="2423" spans="1:12" x14ac:dyDescent="0.3">
      <c r="A2423" s="8"/>
      <c r="C2423" s="6"/>
      <c r="E2423" s="6"/>
      <c r="J2423" s="8"/>
      <c r="L2423" s="6"/>
    </row>
    <row r="2424" spans="1:12" x14ac:dyDescent="0.3">
      <c r="A2424" s="8"/>
      <c r="C2424" s="6"/>
      <c r="E2424" s="6"/>
      <c r="J2424" s="8"/>
      <c r="L2424" s="6"/>
    </row>
    <row r="2425" spans="1:12" x14ac:dyDescent="0.3">
      <c r="A2425" s="8"/>
      <c r="C2425" s="6"/>
      <c r="E2425" s="6"/>
      <c r="J2425" s="8"/>
      <c r="L2425" s="6"/>
    </row>
    <row r="2426" spans="1:12" x14ac:dyDescent="0.3">
      <c r="A2426" s="8"/>
      <c r="C2426" s="6"/>
      <c r="E2426" s="6"/>
      <c r="J2426" s="8"/>
      <c r="L2426" s="6"/>
    </row>
    <row r="2427" spans="1:12" x14ac:dyDescent="0.3">
      <c r="A2427" s="8"/>
      <c r="C2427" s="6"/>
      <c r="E2427" s="6"/>
      <c r="J2427" s="8"/>
      <c r="L2427" s="6"/>
    </row>
    <row r="2428" spans="1:12" x14ac:dyDescent="0.3">
      <c r="A2428" s="8"/>
      <c r="C2428" s="6"/>
      <c r="E2428" s="6"/>
      <c r="J2428" s="8"/>
      <c r="L2428" s="6"/>
    </row>
    <row r="2429" spans="1:12" x14ac:dyDescent="0.3">
      <c r="A2429" s="8"/>
      <c r="C2429" s="6"/>
      <c r="E2429" s="6"/>
      <c r="J2429" s="8"/>
      <c r="L2429" s="6"/>
    </row>
    <row r="2430" spans="1:12" x14ac:dyDescent="0.3">
      <c r="A2430" s="8"/>
      <c r="C2430" s="6"/>
      <c r="E2430" s="6"/>
      <c r="J2430" s="8"/>
      <c r="L2430" s="6"/>
    </row>
    <row r="2431" spans="1:12" x14ac:dyDescent="0.3">
      <c r="A2431" s="8"/>
      <c r="C2431" s="6"/>
      <c r="E2431" s="6"/>
      <c r="J2431" s="8"/>
      <c r="L2431" s="6"/>
    </row>
    <row r="2432" spans="1:12" x14ac:dyDescent="0.3">
      <c r="A2432" s="8"/>
      <c r="C2432" s="6"/>
      <c r="E2432" s="6"/>
      <c r="J2432" s="8"/>
      <c r="L2432" s="6"/>
    </row>
    <row r="2433" spans="1:12" x14ac:dyDescent="0.3">
      <c r="A2433" s="8"/>
      <c r="C2433" s="6"/>
      <c r="E2433" s="6"/>
      <c r="J2433" s="8"/>
      <c r="L2433" s="6"/>
    </row>
    <row r="2434" spans="1:12" x14ac:dyDescent="0.3">
      <c r="A2434" s="8"/>
      <c r="C2434" s="6"/>
      <c r="E2434" s="6"/>
      <c r="J2434" s="8"/>
      <c r="L2434" s="6"/>
    </row>
    <row r="2435" spans="1:12" x14ac:dyDescent="0.3">
      <c r="A2435" s="8"/>
      <c r="C2435" s="6"/>
      <c r="E2435" s="6"/>
      <c r="J2435" s="8"/>
      <c r="L2435" s="6"/>
    </row>
    <row r="2436" spans="1:12" x14ac:dyDescent="0.3">
      <c r="A2436" s="8"/>
      <c r="C2436" s="6"/>
      <c r="E2436" s="6"/>
      <c r="J2436" s="8"/>
      <c r="L2436" s="6"/>
    </row>
    <row r="2437" spans="1:12" x14ac:dyDescent="0.3">
      <c r="A2437" s="8"/>
      <c r="C2437" s="6"/>
      <c r="E2437" s="6"/>
      <c r="J2437" s="8"/>
      <c r="L2437" s="6"/>
    </row>
    <row r="2438" spans="1:12" x14ac:dyDescent="0.3">
      <c r="A2438" s="8"/>
      <c r="C2438" s="6"/>
      <c r="E2438" s="6"/>
      <c r="J2438" s="8"/>
      <c r="L2438" s="6"/>
    </row>
    <row r="2439" spans="1:12" x14ac:dyDescent="0.3">
      <c r="A2439" s="8"/>
      <c r="C2439" s="6"/>
      <c r="E2439" s="6"/>
      <c r="J2439" s="8"/>
      <c r="L2439" s="6"/>
    </row>
    <row r="2440" spans="1:12" x14ac:dyDescent="0.3">
      <c r="A2440" s="8"/>
      <c r="C2440" s="6"/>
      <c r="E2440" s="6"/>
      <c r="J2440" s="8"/>
      <c r="L2440" s="6"/>
    </row>
    <row r="2441" spans="1:12" x14ac:dyDescent="0.3">
      <c r="A2441" s="8"/>
      <c r="C2441" s="6"/>
      <c r="E2441" s="6"/>
      <c r="J2441" s="8"/>
      <c r="L2441" s="6"/>
    </row>
    <row r="2442" spans="1:12" x14ac:dyDescent="0.3">
      <c r="A2442" s="8"/>
      <c r="C2442" s="6"/>
      <c r="E2442" s="6"/>
      <c r="J2442" s="8"/>
      <c r="L2442" s="6"/>
    </row>
    <row r="2443" spans="1:12" x14ac:dyDescent="0.3">
      <c r="A2443" s="8"/>
      <c r="C2443" s="6"/>
      <c r="E2443" s="6"/>
      <c r="J2443" s="8"/>
      <c r="L2443" s="6"/>
    </row>
    <row r="2444" spans="1:12" x14ac:dyDescent="0.3">
      <c r="A2444" s="8"/>
      <c r="C2444" s="6"/>
      <c r="E2444" s="6"/>
      <c r="J2444" s="8"/>
      <c r="L2444" s="6"/>
    </row>
    <row r="2445" spans="1:12" x14ac:dyDescent="0.3">
      <c r="A2445" s="8"/>
      <c r="C2445" s="6"/>
      <c r="E2445" s="6"/>
      <c r="J2445" s="8"/>
      <c r="L2445" s="6"/>
    </row>
    <row r="2446" spans="1:12" x14ac:dyDescent="0.3">
      <c r="A2446" s="8"/>
      <c r="C2446" s="6"/>
      <c r="E2446" s="6"/>
      <c r="J2446" s="8"/>
      <c r="L2446" s="6"/>
    </row>
    <row r="2447" spans="1:12" x14ac:dyDescent="0.3">
      <c r="A2447" s="8"/>
      <c r="C2447" s="6"/>
      <c r="E2447" s="6"/>
      <c r="J2447" s="8"/>
      <c r="L2447" s="6"/>
    </row>
    <row r="2448" spans="1:12" x14ac:dyDescent="0.3">
      <c r="A2448" s="8"/>
      <c r="C2448" s="6"/>
      <c r="E2448" s="6"/>
      <c r="J2448" s="8"/>
      <c r="L2448" s="6"/>
    </row>
    <row r="2449" spans="1:12" x14ac:dyDescent="0.3">
      <c r="A2449" s="8"/>
      <c r="C2449" s="6"/>
      <c r="E2449" s="6"/>
      <c r="J2449" s="8"/>
      <c r="L2449" s="6"/>
    </row>
    <row r="2450" spans="1:12" x14ac:dyDescent="0.3">
      <c r="A2450" s="8"/>
      <c r="C2450" s="6"/>
      <c r="E2450" s="6"/>
      <c r="J2450" s="8"/>
      <c r="L2450" s="6"/>
    </row>
    <row r="2451" spans="1:12" x14ac:dyDescent="0.3">
      <c r="A2451" s="8"/>
      <c r="C2451" s="6"/>
      <c r="E2451" s="6"/>
      <c r="J2451" s="8"/>
      <c r="L2451" s="6"/>
    </row>
    <row r="2452" spans="1:12" x14ac:dyDescent="0.3">
      <c r="A2452" s="8"/>
      <c r="C2452" s="6"/>
      <c r="E2452" s="6"/>
      <c r="J2452" s="8"/>
      <c r="L2452" s="6"/>
    </row>
    <row r="2453" spans="1:12" x14ac:dyDescent="0.3">
      <c r="A2453" s="8"/>
      <c r="C2453" s="6"/>
      <c r="E2453" s="6"/>
      <c r="J2453" s="8"/>
      <c r="L2453" s="6"/>
    </row>
    <row r="2454" spans="1:12" x14ac:dyDescent="0.3">
      <c r="A2454" s="8"/>
      <c r="C2454" s="6"/>
      <c r="E2454" s="6"/>
      <c r="J2454" s="8"/>
      <c r="L2454" s="6"/>
    </row>
    <row r="2455" spans="1:12" x14ac:dyDescent="0.3">
      <c r="A2455" s="8"/>
      <c r="C2455" s="6"/>
      <c r="E2455" s="6"/>
      <c r="J2455" s="8"/>
      <c r="L2455" s="6"/>
    </row>
    <row r="2456" spans="1:12" x14ac:dyDescent="0.3">
      <c r="A2456" s="8"/>
      <c r="C2456" s="6"/>
      <c r="E2456" s="6"/>
      <c r="J2456" s="8"/>
      <c r="L2456" s="6"/>
    </row>
    <row r="2457" spans="1:12" x14ac:dyDescent="0.3">
      <c r="A2457" s="8"/>
      <c r="C2457" s="6"/>
      <c r="E2457" s="6"/>
      <c r="J2457" s="8"/>
      <c r="L2457" s="6"/>
    </row>
    <row r="2458" spans="1:12" x14ac:dyDescent="0.3">
      <c r="A2458" s="8"/>
      <c r="C2458" s="6"/>
      <c r="E2458" s="6"/>
      <c r="J2458" s="8"/>
      <c r="L2458" s="6"/>
    </row>
    <row r="2459" spans="1:12" x14ac:dyDescent="0.3">
      <c r="A2459" s="8"/>
      <c r="C2459" s="6"/>
      <c r="E2459" s="6"/>
      <c r="J2459" s="8"/>
      <c r="L2459" s="6"/>
    </row>
    <row r="2460" spans="1:12" x14ac:dyDescent="0.3">
      <c r="A2460" s="8"/>
      <c r="C2460" s="6"/>
      <c r="E2460" s="6"/>
      <c r="J2460" s="8"/>
      <c r="L2460" s="6"/>
    </row>
    <row r="2461" spans="1:12" x14ac:dyDescent="0.3">
      <c r="A2461" s="8"/>
      <c r="C2461" s="6"/>
      <c r="E2461" s="6"/>
      <c r="J2461" s="8"/>
      <c r="L2461" s="6"/>
    </row>
    <row r="2462" spans="1:12" x14ac:dyDescent="0.3">
      <c r="A2462" s="8"/>
      <c r="C2462" s="6"/>
      <c r="E2462" s="6"/>
      <c r="J2462" s="8"/>
      <c r="L2462" s="6"/>
    </row>
    <row r="2463" spans="1:12" x14ac:dyDescent="0.3">
      <c r="A2463" s="8"/>
      <c r="C2463" s="6"/>
      <c r="E2463" s="6"/>
      <c r="J2463" s="8"/>
      <c r="L2463" s="6"/>
    </row>
    <row r="2464" spans="1:12" x14ac:dyDescent="0.3">
      <c r="A2464" s="8"/>
      <c r="C2464" s="6"/>
      <c r="E2464" s="6"/>
      <c r="J2464" s="8"/>
      <c r="L2464" s="6"/>
    </row>
    <row r="2465" spans="1:12" x14ac:dyDescent="0.3">
      <c r="A2465" s="8"/>
      <c r="C2465" s="6"/>
      <c r="E2465" s="6"/>
      <c r="J2465" s="8"/>
      <c r="L2465" s="6"/>
    </row>
    <row r="2466" spans="1:12" x14ac:dyDescent="0.3">
      <c r="A2466" s="8"/>
      <c r="C2466" s="6"/>
      <c r="E2466" s="6"/>
      <c r="J2466" s="8"/>
      <c r="L2466" s="6"/>
    </row>
    <row r="2467" spans="1:12" x14ac:dyDescent="0.3">
      <c r="A2467" s="8"/>
      <c r="C2467" s="6"/>
      <c r="E2467" s="6"/>
      <c r="J2467" s="8"/>
      <c r="L2467" s="6"/>
    </row>
    <row r="2468" spans="1:12" x14ac:dyDescent="0.3">
      <c r="A2468" s="8"/>
      <c r="C2468" s="6"/>
      <c r="E2468" s="6"/>
      <c r="J2468" s="8"/>
      <c r="L2468" s="6"/>
    </row>
    <row r="2469" spans="1:12" x14ac:dyDescent="0.3">
      <c r="A2469" s="8"/>
      <c r="C2469" s="6"/>
      <c r="E2469" s="6"/>
      <c r="J2469" s="8"/>
      <c r="L2469" s="6"/>
    </row>
    <row r="2470" spans="1:12" x14ac:dyDescent="0.3">
      <c r="A2470" s="8"/>
      <c r="C2470" s="6"/>
      <c r="E2470" s="6"/>
      <c r="J2470" s="8"/>
      <c r="L2470" s="6"/>
    </row>
    <row r="2471" spans="1:12" x14ac:dyDescent="0.3">
      <c r="A2471" s="8"/>
      <c r="C2471" s="6"/>
      <c r="E2471" s="6"/>
      <c r="J2471" s="8"/>
      <c r="L2471" s="6"/>
    </row>
    <row r="2472" spans="1:12" x14ac:dyDescent="0.3">
      <c r="A2472" s="8"/>
      <c r="C2472" s="6"/>
      <c r="E2472" s="6"/>
      <c r="J2472" s="8"/>
      <c r="L2472" s="6"/>
    </row>
    <row r="2473" spans="1:12" x14ac:dyDescent="0.3">
      <c r="A2473" s="8"/>
      <c r="C2473" s="6"/>
      <c r="E2473" s="6"/>
      <c r="J2473" s="8"/>
      <c r="L2473" s="6"/>
    </row>
    <row r="2474" spans="1:12" x14ac:dyDescent="0.3">
      <c r="A2474" s="8"/>
      <c r="C2474" s="6"/>
      <c r="E2474" s="6"/>
      <c r="J2474" s="8"/>
      <c r="L2474" s="6"/>
    </row>
    <row r="2475" spans="1:12" x14ac:dyDescent="0.3">
      <c r="A2475" s="8"/>
      <c r="C2475" s="6"/>
      <c r="E2475" s="6"/>
      <c r="J2475" s="8"/>
      <c r="L2475" s="6"/>
    </row>
    <row r="2476" spans="1:12" x14ac:dyDescent="0.3">
      <c r="A2476" s="8"/>
      <c r="C2476" s="6"/>
      <c r="E2476" s="6"/>
      <c r="J2476" s="8"/>
      <c r="L2476" s="6"/>
    </row>
    <row r="2477" spans="1:12" x14ac:dyDescent="0.3">
      <c r="A2477" s="8"/>
      <c r="C2477" s="6"/>
      <c r="E2477" s="6"/>
      <c r="J2477" s="8"/>
      <c r="L2477" s="6"/>
    </row>
    <row r="2478" spans="1:12" x14ac:dyDescent="0.3">
      <c r="A2478" s="8"/>
      <c r="C2478" s="6"/>
      <c r="E2478" s="6"/>
      <c r="J2478" s="8"/>
      <c r="L2478" s="6"/>
    </row>
    <row r="2479" spans="1:12" x14ac:dyDescent="0.3">
      <c r="A2479" s="8"/>
      <c r="C2479" s="6"/>
      <c r="E2479" s="6"/>
      <c r="J2479" s="8"/>
      <c r="L2479" s="6"/>
    </row>
    <row r="2480" spans="1:12" x14ac:dyDescent="0.3">
      <c r="A2480" s="8"/>
      <c r="C2480" s="6"/>
      <c r="E2480" s="6"/>
      <c r="J2480" s="8"/>
      <c r="L2480" s="6"/>
    </row>
    <row r="2481" spans="1:12" x14ac:dyDescent="0.3">
      <c r="A2481" s="8"/>
      <c r="C2481" s="6"/>
      <c r="E2481" s="6"/>
      <c r="J2481" s="8"/>
      <c r="L2481" s="6"/>
    </row>
    <row r="2482" spans="1:12" x14ac:dyDescent="0.3">
      <c r="A2482" s="8"/>
      <c r="C2482" s="6"/>
      <c r="E2482" s="6"/>
      <c r="J2482" s="8"/>
      <c r="L2482" s="6"/>
    </row>
    <row r="2483" spans="1:12" x14ac:dyDescent="0.3">
      <c r="A2483" s="8"/>
      <c r="C2483" s="6"/>
      <c r="E2483" s="6"/>
      <c r="J2483" s="8"/>
      <c r="L2483" s="6"/>
    </row>
    <row r="2484" spans="1:12" x14ac:dyDescent="0.3">
      <c r="A2484" s="8"/>
      <c r="C2484" s="6"/>
      <c r="E2484" s="6"/>
      <c r="J2484" s="8"/>
      <c r="L2484" s="6"/>
    </row>
    <row r="2485" spans="1:12" x14ac:dyDescent="0.3">
      <c r="A2485" s="8"/>
      <c r="C2485" s="6"/>
      <c r="E2485" s="6"/>
      <c r="J2485" s="8"/>
      <c r="L2485" s="6"/>
    </row>
    <row r="2486" spans="1:12" x14ac:dyDescent="0.3">
      <c r="A2486" s="8"/>
      <c r="C2486" s="6"/>
      <c r="E2486" s="6"/>
      <c r="J2486" s="8"/>
      <c r="L2486" s="6"/>
    </row>
    <row r="2487" spans="1:12" x14ac:dyDescent="0.3">
      <c r="A2487" s="8"/>
      <c r="C2487" s="6"/>
      <c r="E2487" s="6"/>
      <c r="J2487" s="8"/>
      <c r="L2487" s="6"/>
    </row>
    <row r="2488" spans="1:12" x14ac:dyDescent="0.3">
      <c r="A2488" s="8"/>
      <c r="C2488" s="6"/>
      <c r="E2488" s="6"/>
      <c r="J2488" s="8"/>
      <c r="L2488" s="6"/>
    </row>
    <row r="2489" spans="1:12" x14ac:dyDescent="0.3">
      <c r="A2489" s="8"/>
      <c r="C2489" s="6"/>
      <c r="E2489" s="6"/>
      <c r="J2489" s="8"/>
      <c r="L2489" s="6"/>
    </row>
    <row r="2490" spans="1:12" x14ac:dyDescent="0.3">
      <c r="A2490" s="8"/>
      <c r="C2490" s="6"/>
      <c r="E2490" s="6"/>
      <c r="J2490" s="8"/>
      <c r="L2490" s="6"/>
    </row>
    <row r="2491" spans="1:12" x14ac:dyDescent="0.3">
      <c r="A2491" s="8"/>
      <c r="C2491" s="6"/>
      <c r="E2491" s="6"/>
      <c r="J2491" s="8"/>
      <c r="L2491" s="6"/>
    </row>
    <row r="2492" spans="1:12" x14ac:dyDescent="0.3">
      <c r="A2492" s="8"/>
      <c r="C2492" s="6"/>
      <c r="E2492" s="6"/>
      <c r="J2492" s="8"/>
      <c r="L2492" s="6"/>
    </row>
    <row r="2493" spans="1:12" x14ac:dyDescent="0.3">
      <c r="A2493" s="8"/>
      <c r="C2493" s="6"/>
      <c r="E2493" s="6"/>
      <c r="J2493" s="8"/>
      <c r="L2493" s="6"/>
    </row>
    <row r="2494" spans="1:12" x14ac:dyDescent="0.3">
      <c r="A2494" s="8"/>
      <c r="C2494" s="6"/>
      <c r="E2494" s="6"/>
      <c r="J2494" s="8"/>
      <c r="L2494" s="6"/>
    </row>
    <row r="2495" spans="1:12" x14ac:dyDescent="0.3">
      <c r="A2495" s="8"/>
      <c r="C2495" s="6"/>
      <c r="E2495" s="6"/>
      <c r="J2495" s="8"/>
      <c r="L2495" s="6"/>
    </row>
    <row r="2496" spans="1:12" x14ac:dyDescent="0.3">
      <c r="A2496" s="8"/>
      <c r="C2496" s="6"/>
      <c r="E2496" s="6"/>
      <c r="J2496" s="8"/>
      <c r="L2496" s="6"/>
    </row>
    <row r="2497" spans="1:12" x14ac:dyDescent="0.3">
      <c r="A2497" s="8"/>
      <c r="C2497" s="6"/>
      <c r="E2497" s="6"/>
      <c r="J2497" s="8"/>
      <c r="L2497" s="6"/>
    </row>
    <row r="2498" spans="1:12" x14ac:dyDescent="0.3">
      <c r="A2498" s="8"/>
      <c r="C2498" s="6"/>
      <c r="E2498" s="6"/>
      <c r="J2498" s="8"/>
      <c r="L2498" s="6"/>
    </row>
    <row r="2499" spans="1:12" x14ac:dyDescent="0.3">
      <c r="A2499" s="8"/>
      <c r="C2499" s="6"/>
      <c r="E2499" s="6"/>
      <c r="J2499" s="8"/>
      <c r="L2499" s="6"/>
    </row>
    <row r="2500" spans="1:12" x14ac:dyDescent="0.3">
      <c r="A2500" s="8"/>
      <c r="C2500" s="6"/>
      <c r="E2500" s="6"/>
      <c r="J2500" s="8"/>
      <c r="L2500" s="6"/>
    </row>
    <row r="2501" spans="1:12" x14ac:dyDescent="0.3">
      <c r="A2501" s="8"/>
      <c r="C2501" s="6"/>
      <c r="E2501" s="6"/>
      <c r="J2501" s="8"/>
      <c r="L2501" s="6"/>
    </row>
    <row r="2502" spans="1:12" x14ac:dyDescent="0.3">
      <c r="A2502" s="8"/>
      <c r="C2502" s="6"/>
      <c r="E2502" s="6"/>
      <c r="J2502" s="8"/>
      <c r="L2502" s="6"/>
    </row>
    <row r="2503" spans="1:12" x14ac:dyDescent="0.3">
      <c r="A2503" s="8"/>
      <c r="C2503" s="6"/>
      <c r="E2503" s="6"/>
      <c r="J2503" s="8"/>
      <c r="L2503" s="6"/>
    </row>
    <row r="2504" spans="1:12" x14ac:dyDescent="0.3">
      <c r="A2504" s="8"/>
      <c r="C2504" s="6"/>
      <c r="E2504" s="6"/>
      <c r="J2504" s="8"/>
      <c r="L2504" s="6"/>
    </row>
    <row r="2505" spans="1:12" x14ac:dyDescent="0.3">
      <c r="A2505" s="8"/>
      <c r="C2505" s="6"/>
      <c r="E2505" s="6"/>
      <c r="J2505" s="8"/>
      <c r="L2505" s="6"/>
    </row>
    <row r="2506" spans="1:12" x14ac:dyDescent="0.3">
      <c r="A2506" s="8"/>
      <c r="C2506" s="6"/>
      <c r="E2506" s="6"/>
      <c r="J2506" s="8"/>
      <c r="L2506" s="6"/>
    </row>
    <row r="2507" spans="1:12" x14ac:dyDescent="0.3">
      <c r="A2507" s="8"/>
      <c r="C2507" s="6"/>
      <c r="E2507" s="6"/>
      <c r="J2507" s="8"/>
      <c r="L2507" s="6"/>
    </row>
    <row r="2508" spans="1:12" x14ac:dyDescent="0.3">
      <c r="A2508" s="8"/>
      <c r="C2508" s="6"/>
      <c r="E2508" s="6"/>
      <c r="J2508" s="8"/>
      <c r="L2508" s="6"/>
    </row>
    <row r="2509" spans="1:12" x14ac:dyDescent="0.3">
      <c r="A2509" s="8"/>
      <c r="C2509" s="6"/>
      <c r="E2509" s="6"/>
      <c r="J2509" s="8"/>
      <c r="L2509" s="6"/>
    </row>
    <row r="2510" spans="1:12" x14ac:dyDescent="0.3">
      <c r="A2510" s="8"/>
      <c r="C2510" s="6"/>
      <c r="E2510" s="6"/>
      <c r="J2510" s="8"/>
      <c r="L2510" s="6"/>
    </row>
    <row r="2511" spans="1:12" x14ac:dyDescent="0.3">
      <c r="A2511" s="8"/>
      <c r="C2511" s="6"/>
      <c r="E2511" s="6"/>
      <c r="J2511" s="8"/>
      <c r="L2511" s="6"/>
    </row>
    <row r="2512" spans="1:12" x14ac:dyDescent="0.3">
      <c r="A2512" s="8"/>
      <c r="C2512" s="6"/>
      <c r="E2512" s="6"/>
      <c r="J2512" s="8"/>
      <c r="L2512" s="6"/>
    </row>
    <row r="2513" spans="1:12" x14ac:dyDescent="0.3">
      <c r="A2513" s="8"/>
      <c r="C2513" s="6"/>
      <c r="E2513" s="6"/>
      <c r="J2513" s="8"/>
      <c r="L2513" s="6"/>
    </row>
    <row r="2514" spans="1:12" x14ac:dyDescent="0.3">
      <c r="A2514" s="8"/>
      <c r="C2514" s="6"/>
      <c r="E2514" s="6"/>
      <c r="J2514" s="8"/>
      <c r="L2514" s="6"/>
    </row>
    <row r="2515" spans="1:12" x14ac:dyDescent="0.3">
      <c r="A2515" s="8"/>
      <c r="C2515" s="6"/>
      <c r="E2515" s="6"/>
      <c r="J2515" s="8"/>
      <c r="L2515" s="6"/>
    </row>
    <row r="2516" spans="1:12" x14ac:dyDescent="0.3">
      <c r="A2516" s="8"/>
      <c r="C2516" s="6"/>
      <c r="E2516" s="6"/>
      <c r="J2516" s="8"/>
      <c r="L2516" s="6"/>
    </row>
    <row r="2517" spans="1:12" x14ac:dyDescent="0.3">
      <c r="A2517" s="8"/>
      <c r="C2517" s="6"/>
      <c r="E2517" s="6"/>
      <c r="J2517" s="8"/>
      <c r="L2517" s="6"/>
    </row>
    <row r="2518" spans="1:12" x14ac:dyDescent="0.3">
      <c r="A2518" s="8"/>
      <c r="C2518" s="6"/>
      <c r="E2518" s="6"/>
      <c r="J2518" s="8"/>
      <c r="L2518" s="6"/>
    </row>
    <row r="2519" spans="1:12" x14ac:dyDescent="0.3">
      <c r="A2519" s="8"/>
      <c r="C2519" s="6"/>
      <c r="E2519" s="6"/>
      <c r="J2519" s="8"/>
      <c r="L2519" s="6"/>
    </row>
    <row r="2520" spans="1:12" x14ac:dyDescent="0.3">
      <c r="A2520" s="8"/>
      <c r="C2520" s="6"/>
      <c r="E2520" s="6"/>
      <c r="J2520" s="8"/>
      <c r="L2520" s="6"/>
    </row>
    <row r="2521" spans="1:12" x14ac:dyDescent="0.3">
      <c r="A2521" s="8"/>
      <c r="C2521" s="6"/>
      <c r="E2521" s="6"/>
      <c r="J2521" s="8"/>
      <c r="L2521" s="6"/>
    </row>
    <row r="2522" spans="1:12" x14ac:dyDescent="0.3">
      <c r="A2522" s="8"/>
      <c r="C2522" s="6"/>
      <c r="E2522" s="6"/>
      <c r="J2522" s="8"/>
      <c r="L2522" s="6"/>
    </row>
    <row r="2523" spans="1:12" x14ac:dyDescent="0.3">
      <c r="A2523" s="8"/>
      <c r="C2523" s="6"/>
      <c r="E2523" s="6"/>
      <c r="J2523" s="8"/>
      <c r="L2523" s="6"/>
    </row>
    <row r="2524" spans="1:12" x14ac:dyDescent="0.3">
      <c r="A2524" s="8"/>
      <c r="C2524" s="6"/>
      <c r="E2524" s="6"/>
      <c r="J2524" s="8"/>
      <c r="L2524" s="6"/>
    </row>
    <row r="2525" spans="1:12" x14ac:dyDescent="0.3">
      <c r="A2525" s="8"/>
      <c r="C2525" s="6"/>
      <c r="E2525" s="6"/>
      <c r="J2525" s="8"/>
      <c r="L2525" s="6"/>
    </row>
    <row r="2526" spans="1:12" x14ac:dyDescent="0.3">
      <c r="A2526" s="8"/>
      <c r="C2526" s="6"/>
      <c r="E2526" s="6"/>
      <c r="J2526" s="8"/>
      <c r="L2526" s="6"/>
    </row>
    <row r="2527" spans="1:12" x14ac:dyDescent="0.3">
      <c r="A2527" s="8"/>
      <c r="C2527" s="6"/>
      <c r="E2527" s="6"/>
      <c r="J2527" s="8"/>
      <c r="L2527" s="6"/>
    </row>
    <row r="2528" spans="1:12" x14ac:dyDescent="0.3">
      <c r="A2528" s="8"/>
      <c r="C2528" s="6"/>
      <c r="E2528" s="6"/>
      <c r="J2528" s="8"/>
      <c r="L2528" s="6"/>
    </row>
    <row r="2529" spans="1:12" x14ac:dyDescent="0.3">
      <c r="A2529" s="8"/>
      <c r="C2529" s="6"/>
      <c r="E2529" s="6"/>
      <c r="J2529" s="8"/>
      <c r="L2529" s="6"/>
    </row>
    <row r="2530" spans="1:12" x14ac:dyDescent="0.3">
      <c r="A2530" s="8"/>
      <c r="C2530" s="6"/>
      <c r="E2530" s="6"/>
      <c r="J2530" s="8"/>
      <c r="L2530" s="6"/>
    </row>
    <row r="2531" spans="1:12" x14ac:dyDescent="0.3">
      <c r="A2531" s="8"/>
      <c r="C2531" s="6"/>
      <c r="E2531" s="6"/>
      <c r="J2531" s="8"/>
      <c r="L2531" s="6"/>
    </row>
    <row r="2532" spans="1:12" x14ac:dyDescent="0.3">
      <c r="A2532" s="8"/>
      <c r="C2532" s="6"/>
      <c r="E2532" s="6"/>
      <c r="J2532" s="8"/>
      <c r="L2532" s="6"/>
    </row>
    <row r="2533" spans="1:12" x14ac:dyDescent="0.3">
      <c r="A2533" s="8"/>
      <c r="C2533" s="6"/>
      <c r="E2533" s="6"/>
      <c r="J2533" s="8"/>
      <c r="L2533" s="6"/>
    </row>
    <row r="2534" spans="1:12" x14ac:dyDescent="0.3">
      <c r="A2534" s="8"/>
      <c r="C2534" s="6"/>
      <c r="E2534" s="6"/>
      <c r="J2534" s="8"/>
      <c r="L2534" s="6"/>
    </row>
    <row r="2535" spans="1:12" x14ac:dyDescent="0.3">
      <c r="A2535" s="8"/>
      <c r="C2535" s="6"/>
      <c r="E2535" s="6"/>
      <c r="J2535" s="8"/>
      <c r="L2535" s="6"/>
    </row>
    <row r="2536" spans="1:12" x14ac:dyDescent="0.3">
      <c r="A2536" s="8"/>
      <c r="C2536" s="6"/>
      <c r="E2536" s="6"/>
      <c r="J2536" s="8"/>
      <c r="L2536" s="6"/>
    </row>
    <row r="2537" spans="1:12" x14ac:dyDescent="0.3">
      <c r="A2537" s="8"/>
      <c r="C2537" s="6"/>
      <c r="E2537" s="6"/>
      <c r="J2537" s="8"/>
      <c r="L2537" s="6"/>
    </row>
    <row r="2538" spans="1:12" x14ac:dyDescent="0.3">
      <c r="A2538" s="8"/>
      <c r="C2538" s="6"/>
      <c r="E2538" s="6"/>
      <c r="J2538" s="8"/>
      <c r="L2538" s="6"/>
    </row>
    <row r="2539" spans="1:12" x14ac:dyDescent="0.3">
      <c r="A2539" s="8"/>
      <c r="C2539" s="6"/>
      <c r="E2539" s="6"/>
      <c r="J2539" s="8"/>
      <c r="L2539" s="6"/>
    </row>
    <row r="2540" spans="1:12" x14ac:dyDescent="0.3">
      <c r="A2540" s="8"/>
      <c r="C2540" s="6"/>
      <c r="E2540" s="6"/>
      <c r="J2540" s="8"/>
      <c r="L2540" s="6"/>
    </row>
    <row r="2541" spans="1:12" x14ac:dyDescent="0.3">
      <c r="A2541" s="8"/>
      <c r="C2541" s="6"/>
      <c r="E2541" s="6"/>
      <c r="J2541" s="8"/>
      <c r="L2541" s="6"/>
    </row>
    <row r="2542" spans="1:12" x14ac:dyDescent="0.3">
      <c r="A2542" s="8"/>
      <c r="C2542" s="6"/>
      <c r="E2542" s="6"/>
      <c r="J2542" s="8"/>
      <c r="L2542" s="6"/>
    </row>
    <row r="2543" spans="1:12" x14ac:dyDescent="0.3">
      <c r="A2543" s="8"/>
      <c r="C2543" s="6"/>
      <c r="E2543" s="6"/>
      <c r="J2543" s="8"/>
      <c r="L2543" s="6"/>
    </row>
    <row r="2544" spans="1:12" x14ac:dyDescent="0.3">
      <c r="A2544" s="8"/>
      <c r="C2544" s="6"/>
      <c r="E2544" s="6"/>
      <c r="J2544" s="8"/>
      <c r="L2544" s="6"/>
    </row>
    <row r="2545" spans="1:12" x14ac:dyDescent="0.3">
      <c r="A2545" s="8"/>
      <c r="C2545" s="6"/>
      <c r="E2545" s="6"/>
      <c r="J2545" s="8"/>
      <c r="L2545" s="6"/>
    </row>
    <row r="2546" spans="1:12" x14ac:dyDescent="0.3">
      <c r="A2546" s="8"/>
      <c r="C2546" s="6"/>
      <c r="E2546" s="6"/>
      <c r="J2546" s="8"/>
      <c r="L2546" s="6"/>
    </row>
    <row r="2547" spans="1:12" x14ac:dyDescent="0.3">
      <c r="A2547" s="8"/>
      <c r="C2547" s="6"/>
      <c r="E2547" s="6"/>
      <c r="J2547" s="8"/>
      <c r="L2547" s="6"/>
    </row>
    <row r="2548" spans="1:12" x14ac:dyDescent="0.3">
      <c r="A2548" s="8"/>
      <c r="C2548" s="6"/>
      <c r="E2548" s="6"/>
      <c r="J2548" s="8"/>
      <c r="L2548" s="6"/>
    </row>
    <row r="2549" spans="1:12" x14ac:dyDescent="0.3">
      <c r="A2549" s="8"/>
      <c r="C2549" s="6"/>
      <c r="E2549" s="6"/>
      <c r="J2549" s="8"/>
      <c r="L2549" s="6"/>
    </row>
    <row r="2550" spans="1:12" x14ac:dyDescent="0.3">
      <c r="A2550" s="8"/>
      <c r="C2550" s="6"/>
      <c r="E2550" s="6"/>
      <c r="J2550" s="8"/>
      <c r="L2550" s="6"/>
    </row>
    <row r="2551" spans="1:12" x14ac:dyDescent="0.3">
      <c r="A2551" s="8"/>
      <c r="C2551" s="6"/>
      <c r="E2551" s="6"/>
      <c r="J2551" s="8"/>
      <c r="L2551" s="6"/>
    </row>
    <row r="2552" spans="1:12" x14ac:dyDescent="0.3">
      <c r="A2552" s="8"/>
      <c r="C2552" s="6"/>
      <c r="E2552" s="6"/>
      <c r="J2552" s="8"/>
      <c r="L2552" s="6"/>
    </row>
    <row r="2553" spans="1:12" x14ac:dyDescent="0.3">
      <c r="A2553" s="8"/>
      <c r="C2553" s="6"/>
      <c r="E2553" s="6"/>
      <c r="J2553" s="8"/>
      <c r="L2553" s="6"/>
    </row>
    <row r="2554" spans="1:12" x14ac:dyDescent="0.3">
      <c r="A2554" s="8"/>
      <c r="C2554" s="6"/>
      <c r="E2554" s="6"/>
      <c r="J2554" s="8"/>
      <c r="L2554" s="6"/>
    </row>
    <row r="2555" spans="1:12" x14ac:dyDescent="0.3">
      <c r="A2555" s="8"/>
      <c r="C2555" s="6"/>
      <c r="E2555" s="6"/>
      <c r="J2555" s="8"/>
      <c r="L2555" s="6"/>
    </row>
    <row r="2556" spans="1:12" x14ac:dyDescent="0.3">
      <c r="A2556" s="8"/>
      <c r="C2556" s="6"/>
      <c r="E2556" s="6"/>
      <c r="J2556" s="8"/>
      <c r="L2556" s="6"/>
    </row>
    <row r="2557" spans="1:12" x14ac:dyDescent="0.3">
      <c r="A2557" s="8"/>
      <c r="C2557" s="6"/>
      <c r="E2557" s="6"/>
      <c r="J2557" s="8"/>
      <c r="L2557" s="6"/>
    </row>
    <row r="2558" spans="1:12" x14ac:dyDescent="0.3">
      <c r="A2558" s="8"/>
      <c r="C2558" s="6"/>
      <c r="E2558" s="6"/>
      <c r="J2558" s="8"/>
      <c r="L2558" s="6"/>
    </row>
    <row r="2559" spans="1:12" x14ac:dyDescent="0.3">
      <c r="A2559" s="8"/>
      <c r="C2559" s="6"/>
      <c r="E2559" s="6"/>
      <c r="J2559" s="8"/>
      <c r="L2559" s="6"/>
    </row>
    <row r="2560" spans="1:12" x14ac:dyDescent="0.3">
      <c r="A2560" s="8"/>
      <c r="C2560" s="6"/>
      <c r="E2560" s="6"/>
      <c r="J2560" s="8"/>
      <c r="L2560" s="6"/>
    </row>
    <row r="2561" spans="1:12" x14ac:dyDescent="0.3">
      <c r="A2561" s="8"/>
      <c r="C2561" s="6"/>
      <c r="E2561" s="6"/>
      <c r="J2561" s="8"/>
      <c r="L2561" s="6"/>
    </row>
    <row r="2562" spans="1:12" x14ac:dyDescent="0.3">
      <c r="A2562" s="8"/>
      <c r="C2562" s="6"/>
      <c r="E2562" s="6"/>
      <c r="J2562" s="8"/>
      <c r="L2562" s="6"/>
    </row>
    <row r="2563" spans="1:12" x14ac:dyDescent="0.3">
      <c r="A2563" s="8"/>
      <c r="C2563" s="6"/>
      <c r="E2563" s="6"/>
      <c r="J2563" s="8"/>
      <c r="L2563" s="6"/>
    </row>
    <row r="2564" spans="1:12" x14ac:dyDescent="0.3">
      <c r="A2564" s="8"/>
      <c r="C2564" s="6"/>
      <c r="E2564" s="6"/>
      <c r="J2564" s="8"/>
      <c r="L2564" s="6"/>
    </row>
    <row r="2565" spans="1:12" x14ac:dyDescent="0.3">
      <c r="A2565" s="8"/>
      <c r="C2565" s="6"/>
      <c r="E2565" s="6"/>
      <c r="J2565" s="8"/>
      <c r="L2565" s="6"/>
    </row>
    <row r="2566" spans="1:12" x14ac:dyDescent="0.3">
      <c r="A2566" s="8"/>
      <c r="C2566" s="6"/>
      <c r="E2566" s="6"/>
      <c r="J2566" s="8"/>
      <c r="L2566" s="6"/>
    </row>
    <row r="2567" spans="1:12" x14ac:dyDescent="0.3">
      <c r="A2567" s="8"/>
      <c r="C2567" s="6"/>
      <c r="E2567" s="6"/>
      <c r="J2567" s="8"/>
      <c r="L2567" s="6"/>
    </row>
    <row r="2568" spans="1:12" x14ac:dyDescent="0.3">
      <c r="A2568" s="8"/>
      <c r="C2568" s="6"/>
      <c r="E2568" s="6"/>
      <c r="J2568" s="8"/>
      <c r="L2568" s="6"/>
    </row>
    <row r="2569" spans="1:12" x14ac:dyDescent="0.3">
      <c r="A2569" s="8"/>
      <c r="C2569" s="6"/>
      <c r="E2569" s="6"/>
      <c r="J2569" s="8"/>
      <c r="L2569" s="6"/>
    </row>
    <row r="2570" spans="1:12" x14ac:dyDescent="0.3">
      <c r="A2570" s="8"/>
      <c r="C2570" s="6"/>
      <c r="E2570" s="6"/>
      <c r="J2570" s="8"/>
      <c r="L2570" s="6"/>
    </row>
    <row r="2571" spans="1:12" x14ac:dyDescent="0.3">
      <c r="A2571" s="8"/>
      <c r="C2571" s="6"/>
      <c r="E2571" s="6"/>
      <c r="J2571" s="8"/>
      <c r="L2571" s="6"/>
    </row>
    <row r="2572" spans="1:12" x14ac:dyDescent="0.3">
      <c r="A2572" s="8"/>
      <c r="C2572" s="6"/>
      <c r="E2572" s="6"/>
      <c r="J2572" s="8"/>
      <c r="L2572" s="6"/>
    </row>
    <row r="2573" spans="1:12" x14ac:dyDescent="0.3">
      <c r="A2573" s="8"/>
      <c r="C2573" s="6"/>
      <c r="E2573" s="6"/>
      <c r="J2573" s="8"/>
      <c r="L2573" s="6"/>
    </row>
    <row r="2574" spans="1:12" x14ac:dyDescent="0.3">
      <c r="A2574" s="8"/>
      <c r="C2574" s="6"/>
      <c r="E2574" s="6"/>
      <c r="J2574" s="8"/>
      <c r="L2574" s="6"/>
    </row>
    <row r="2575" spans="1:12" x14ac:dyDescent="0.3">
      <c r="A2575" s="8"/>
      <c r="C2575" s="6"/>
      <c r="E2575" s="6"/>
      <c r="J2575" s="8"/>
      <c r="L2575" s="6"/>
    </row>
    <row r="2576" spans="1:12" x14ac:dyDescent="0.3">
      <c r="A2576" s="8"/>
      <c r="C2576" s="6"/>
      <c r="E2576" s="6"/>
      <c r="J2576" s="8"/>
      <c r="L2576" s="6"/>
    </row>
    <row r="2577" spans="1:12" x14ac:dyDescent="0.3">
      <c r="A2577" s="8"/>
      <c r="C2577" s="6"/>
      <c r="E2577" s="6"/>
      <c r="J2577" s="8"/>
      <c r="L2577" s="6"/>
    </row>
    <row r="2578" spans="1:12" x14ac:dyDescent="0.3">
      <c r="A2578" s="8"/>
      <c r="C2578" s="6"/>
      <c r="E2578" s="6"/>
      <c r="J2578" s="8"/>
      <c r="L2578" s="6"/>
    </row>
    <row r="2579" spans="1:12" x14ac:dyDescent="0.3">
      <c r="A2579" s="8"/>
      <c r="C2579" s="6"/>
      <c r="E2579" s="6"/>
      <c r="J2579" s="8"/>
      <c r="L2579" s="6"/>
    </row>
    <row r="2580" spans="1:12" x14ac:dyDescent="0.3">
      <c r="A2580" s="8"/>
      <c r="C2580" s="6"/>
      <c r="E2580" s="6"/>
      <c r="J2580" s="8"/>
      <c r="L2580" s="6"/>
    </row>
    <row r="2581" spans="1:12" x14ac:dyDescent="0.3">
      <c r="A2581" s="8"/>
      <c r="C2581" s="6"/>
      <c r="E2581" s="6"/>
      <c r="J2581" s="8"/>
      <c r="L2581" s="6"/>
    </row>
    <row r="2582" spans="1:12" x14ac:dyDescent="0.3">
      <c r="A2582" s="8"/>
      <c r="C2582" s="6"/>
      <c r="E2582" s="6"/>
      <c r="J2582" s="8"/>
      <c r="L2582" s="6"/>
    </row>
    <row r="2583" spans="1:12" x14ac:dyDescent="0.3">
      <c r="A2583" s="8"/>
      <c r="C2583" s="6"/>
      <c r="E2583" s="6"/>
      <c r="J2583" s="8"/>
      <c r="L2583" s="6"/>
    </row>
    <row r="2584" spans="1:12" x14ac:dyDescent="0.3">
      <c r="A2584" s="8"/>
      <c r="C2584" s="6"/>
      <c r="E2584" s="6"/>
      <c r="J2584" s="8"/>
      <c r="L2584" s="6"/>
    </row>
    <row r="2585" spans="1:12" x14ac:dyDescent="0.3">
      <c r="A2585" s="8"/>
      <c r="C2585" s="6"/>
      <c r="E2585" s="6"/>
      <c r="J2585" s="8"/>
      <c r="L2585" s="6"/>
    </row>
    <row r="2586" spans="1:12" x14ac:dyDescent="0.3">
      <c r="A2586" s="8"/>
      <c r="C2586" s="6"/>
      <c r="E2586" s="6"/>
      <c r="J2586" s="8"/>
      <c r="L2586" s="6"/>
    </row>
    <row r="2587" spans="1:12" x14ac:dyDescent="0.3">
      <c r="A2587" s="8"/>
      <c r="C2587" s="6"/>
      <c r="E2587" s="6"/>
      <c r="J2587" s="8"/>
      <c r="L2587" s="6"/>
    </row>
    <row r="2588" spans="1:12" x14ac:dyDescent="0.3">
      <c r="A2588" s="8"/>
      <c r="C2588" s="6"/>
      <c r="E2588" s="6"/>
      <c r="J2588" s="8"/>
      <c r="L2588" s="6"/>
    </row>
    <row r="2589" spans="1:12" x14ac:dyDescent="0.3">
      <c r="A2589" s="8"/>
      <c r="C2589" s="6"/>
      <c r="E2589" s="6"/>
      <c r="J2589" s="8"/>
      <c r="L2589" s="6"/>
    </row>
    <row r="2590" spans="1:12" x14ac:dyDescent="0.3">
      <c r="A2590" s="8"/>
      <c r="C2590" s="6"/>
      <c r="E2590" s="6"/>
      <c r="J2590" s="8"/>
      <c r="L2590" s="6"/>
    </row>
    <row r="2591" spans="1:12" x14ac:dyDescent="0.3">
      <c r="A2591" s="8"/>
      <c r="C2591" s="6"/>
      <c r="E2591" s="6"/>
      <c r="J2591" s="8"/>
      <c r="L2591" s="6"/>
    </row>
    <row r="2592" spans="1:12" x14ac:dyDescent="0.3">
      <c r="A2592" s="8"/>
      <c r="C2592" s="6"/>
      <c r="E2592" s="6"/>
      <c r="J2592" s="8"/>
      <c r="L2592" s="6"/>
    </row>
    <row r="2593" spans="1:12" x14ac:dyDescent="0.3">
      <c r="A2593" s="8"/>
      <c r="C2593" s="6"/>
      <c r="E2593" s="6"/>
      <c r="J2593" s="8"/>
      <c r="L2593" s="6"/>
    </row>
    <row r="2594" spans="1:12" x14ac:dyDescent="0.3">
      <c r="A2594" s="8"/>
      <c r="C2594" s="6"/>
      <c r="E2594" s="6"/>
      <c r="J2594" s="8"/>
      <c r="L2594" s="6"/>
    </row>
    <row r="2595" spans="1:12" x14ac:dyDescent="0.3">
      <c r="A2595" s="8"/>
      <c r="C2595" s="6"/>
      <c r="E2595" s="6"/>
      <c r="J2595" s="8"/>
      <c r="L2595" s="6"/>
    </row>
    <row r="2596" spans="1:12" x14ac:dyDescent="0.3">
      <c r="A2596" s="8"/>
      <c r="C2596" s="6"/>
      <c r="E2596" s="6"/>
      <c r="J2596" s="8"/>
      <c r="L2596" s="6"/>
    </row>
    <row r="2597" spans="1:12" x14ac:dyDescent="0.3">
      <c r="A2597" s="8"/>
      <c r="C2597" s="6"/>
      <c r="E2597" s="6"/>
      <c r="J2597" s="8"/>
      <c r="L2597" s="6"/>
    </row>
    <row r="2598" spans="1:12" x14ac:dyDescent="0.3">
      <c r="A2598" s="8"/>
      <c r="C2598" s="6"/>
      <c r="E2598" s="6"/>
      <c r="J2598" s="8"/>
      <c r="L2598" s="6"/>
    </row>
    <row r="2599" spans="1:12" x14ac:dyDescent="0.3">
      <c r="A2599" s="8"/>
      <c r="C2599" s="6"/>
      <c r="E2599" s="6"/>
      <c r="J2599" s="8"/>
      <c r="L2599" s="6"/>
    </row>
    <row r="2600" spans="1:12" x14ac:dyDescent="0.3">
      <c r="A2600" s="8"/>
      <c r="C2600" s="6"/>
      <c r="E2600" s="6"/>
      <c r="J2600" s="8"/>
      <c r="L2600" s="6"/>
    </row>
    <row r="2601" spans="1:12" x14ac:dyDescent="0.3">
      <c r="A2601" s="8"/>
      <c r="C2601" s="6"/>
      <c r="E2601" s="6"/>
      <c r="J2601" s="8"/>
      <c r="L2601" s="6"/>
    </row>
    <row r="2602" spans="1:12" x14ac:dyDescent="0.3">
      <c r="A2602" s="8"/>
      <c r="C2602" s="6"/>
      <c r="E2602" s="6"/>
      <c r="J2602" s="8"/>
      <c r="L2602" s="6"/>
    </row>
    <row r="2603" spans="1:12" x14ac:dyDescent="0.3">
      <c r="A2603" s="8"/>
      <c r="C2603" s="6"/>
      <c r="E2603" s="6"/>
      <c r="J2603" s="8"/>
      <c r="L2603" s="6"/>
    </row>
    <row r="2604" spans="1:12" x14ac:dyDescent="0.3">
      <c r="A2604" s="8"/>
      <c r="C2604" s="6"/>
      <c r="E2604" s="6"/>
      <c r="J2604" s="8"/>
      <c r="L2604" s="6"/>
    </row>
    <row r="2605" spans="1:12" x14ac:dyDescent="0.3">
      <c r="A2605" s="8"/>
      <c r="C2605" s="6"/>
      <c r="E2605" s="6"/>
      <c r="J2605" s="8"/>
      <c r="L2605" s="6"/>
    </row>
    <row r="2606" spans="1:12" x14ac:dyDescent="0.3">
      <c r="A2606" s="8"/>
      <c r="C2606" s="6"/>
      <c r="E2606" s="6"/>
      <c r="J2606" s="8"/>
      <c r="L2606" s="6"/>
    </row>
    <row r="2607" spans="1:12" x14ac:dyDescent="0.3">
      <c r="A2607" s="8"/>
      <c r="C2607" s="6"/>
      <c r="E2607" s="6"/>
      <c r="J2607" s="8"/>
      <c r="L2607" s="6"/>
    </row>
    <row r="2608" spans="1:12" x14ac:dyDescent="0.3">
      <c r="A2608" s="8"/>
      <c r="C2608" s="6"/>
      <c r="E2608" s="6"/>
      <c r="J2608" s="8"/>
      <c r="L2608" s="6"/>
    </row>
    <row r="2609" spans="1:12" x14ac:dyDescent="0.3">
      <c r="A2609" s="8"/>
      <c r="C2609" s="6"/>
      <c r="E2609" s="6"/>
      <c r="J2609" s="8"/>
      <c r="L2609" s="6"/>
    </row>
    <row r="2610" spans="1:12" x14ac:dyDescent="0.3">
      <c r="A2610" s="8"/>
      <c r="C2610" s="6"/>
      <c r="E2610" s="6"/>
      <c r="J2610" s="8"/>
      <c r="L2610" s="6"/>
    </row>
    <row r="2611" spans="1:12" x14ac:dyDescent="0.3">
      <c r="A2611" s="8"/>
      <c r="C2611" s="6"/>
      <c r="E2611" s="6"/>
      <c r="J2611" s="8"/>
      <c r="L2611" s="6"/>
    </row>
    <row r="2612" spans="1:12" x14ac:dyDescent="0.3">
      <c r="A2612" s="8"/>
      <c r="C2612" s="6"/>
      <c r="E2612" s="6"/>
      <c r="J2612" s="8"/>
      <c r="L2612" s="6"/>
    </row>
    <row r="2613" spans="1:12" x14ac:dyDescent="0.3">
      <c r="A2613" s="8"/>
      <c r="C2613" s="6"/>
      <c r="E2613" s="6"/>
      <c r="J2613" s="8"/>
      <c r="L2613" s="6"/>
    </row>
    <row r="2614" spans="1:12" x14ac:dyDescent="0.3">
      <c r="A2614" s="8"/>
      <c r="C2614" s="6"/>
      <c r="E2614" s="6"/>
      <c r="J2614" s="8"/>
      <c r="L2614" s="6"/>
    </row>
    <row r="2615" spans="1:12" x14ac:dyDescent="0.3">
      <c r="A2615" s="8"/>
      <c r="C2615" s="6"/>
      <c r="E2615" s="6"/>
      <c r="J2615" s="8"/>
      <c r="L2615" s="6"/>
    </row>
    <row r="2616" spans="1:12" x14ac:dyDescent="0.3">
      <c r="A2616" s="8"/>
      <c r="C2616" s="6"/>
      <c r="E2616" s="6"/>
      <c r="J2616" s="8"/>
      <c r="L2616" s="6"/>
    </row>
    <row r="2617" spans="1:12" x14ac:dyDescent="0.3">
      <c r="A2617" s="8"/>
      <c r="C2617" s="6"/>
      <c r="E2617" s="6"/>
      <c r="J2617" s="8"/>
      <c r="L2617" s="6"/>
    </row>
    <row r="2618" spans="1:12" x14ac:dyDescent="0.3">
      <c r="A2618" s="8"/>
      <c r="C2618" s="6"/>
      <c r="E2618" s="6"/>
      <c r="J2618" s="8"/>
      <c r="L2618" s="6"/>
    </row>
    <row r="2619" spans="1:12" x14ac:dyDescent="0.3">
      <c r="A2619" s="8"/>
      <c r="C2619" s="6"/>
      <c r="E2619" s="6"/>
      <c r="J2619" s="8"/>
      <c r="L2619" s="6"/>
    </row>
    <row r="2620" spans="1:12" x14ac:dyDescent="0.3">
      <c r="A2620" s="8"/>
      <c r="C2620" s="6"/>
      <c r="E2620" s="6"/>
      <c r="J2620" s="8"/>
      <c r="L2620" s="6"/>
    </row>
    <row r="2621" spans="1:12" x14ac:dyDescent="0.3">
      <c r="A2621" s="8"/>
      <c r="C2621" s="6"/>
      <c r="E2621" s="6"/>
      <c r="J2621" s="8"/>
      <c r="L2621" s="6"/>
    </row>
    <row r="2622" spans="1:12" x14ac:dyDescent="0.3">
      <c r="A2622" s="8"/>
      <c r="C2622" s="6"/>
      <c r="E2622" s="6"/>
      <c r="J2622" s="8"/>
      <c r="L2622" s="6"/>
    </row>
    <row r="2623" spans="1:12" x14ac:dyDescent="0.3">
      <c r="A2623" s="8"/>
      <c r="C2623" s="6"/>
      <c r="E2623" s="6"/>
      <c r="J2623" s="8"/>
      <c r="L2623" s="6"/>
    </row>
    <row r="2624" spans="1:12" x14ac:dyDescent="0.3">
      <c r="A2624" s="8"/>
      <c r="C2624" s="6"/>
      <c r="E2624" s="6"/>
      <c r="J2624" s="8"/>
      <c r="L2624" s="6"/>
    </row>
    <row r="2625" spans="1:12" x14ac:dyDescent="0.3">
      <c r="A2625" s="8"/>
      <c r="C2625" s="6"/>
      <c r="E2625" s="6"/>
      <c r="J2625" s="8"/>
      <c r="L2625" s="6"/>
    </row>
    <row r="2626" spans="1:12" x14ac:dyDescent="0.3">
      <c r="A2626" s="8"/>
      <c r="C2626" s="6"/>
      <c r="E2626" s="6"/>
      <c r="J2626" s="8"/>
      <c r="L2626" s="6"/>
    </row>
    <row r="2627" spans="1:12" x14ac:dyDescent="0.3">
      <c r="A2627" s="8"/>
      <c r="C2627" s="6"/>
      <c r="E2627" s="6"/>
      <c r="J2627" s="8"/>
      <c r="L2627" s="6"/>
    </row>
    <row r="2628" spans="1:12" x14ac:dyDescent="0.3">
      <c r="A2628" s="8"/>
      <c r="C2628" s="6"/>
      <c r="E2628" s="6"/>
      <c r="J2628" s="8"/>
      <c r="L2628" s="6"/>
    </row>
    <row r="2629" spans="1:12" x14ac:dyDescent="0.3">
      <c r="A2629" s="8"/>
      <c r="C2629" s="6"/>
      <c r="E2629" s="6"/>
      <c r="J2629" s="8"/>
      <c r="L2629" s="6"/>
    </row>
    <row r="2630" spans="1:12" x14ac:dyDescent="0.3">
      <c r="A2630" s="8"/>
      <c r="C2630" s="6"/>
      <c r="E2630" s="6"/>
      <c r="J2630" s="8"/>
      <c r="L2630" s="6"/>
    </row>
    <row r="2631" spans="1:12" x14ac:dyDescent="0.3">
      <c r="A2631" s="8"/>
      <c r="C2631" s="6"/>
      <c r="E2631" s="6"/>
      <c r="J2631" s="8"/>
      <c r="L2631" s="6"/>
    </row>
    <row r="2632" spans="1:12" x14ac:dyDescent="0.3">
      <c r="A2632" s="8"/>
      <c r="C2632" s="6"/>
      <c r="E2632" s="6"/>
      <c r="J2632" s="8"/>
      <c r="L2632" s="6"/>
    </row>
    <row r="2633" spans="1:12" x14ac:dyDescent="0.3">
      <c r="A2633" s="8"/>
      <c r="C2633" s="6"/>
      <c r="E2633" s="6"/>
      <c r="J2633" s="8"/>
      <c r="L2633" s="6"/>
    </row>
    <row r="2634" spans="1:12" x14ac:dyDescent="0.3">
      <c r="A2634" s="8"/>
      <c r="C2634" s="6"/>
      <c r="E2634" s="6"/>
      <c r="J2634" s="8"/>
      <c r="L2634" s="6"/>
    </row>
    <row r="2635" spans="1:12" x14ac:dyDescent="0.3">
      <c r="A2635" s="8"/>
      <c r="C2635" s="6"/>
      <c r="E2635" s="6"/>
      <c r="J2635" s="8"/>
      <c r="L2635" s="6"/>
    </row>
    <row r="2636" spans="1:12" x14ac:dyDescent="0.3">
      <c r="A2636" s="8"/>
      <c r="C2636" s="6"/>
      <c r="E2636" s="6"/>
      <c r="J2636" s="8"/>
      <c r="L2636" s="6"/>
    </row>
    <row r="2637" spans="1:12" x14ac:dyDescent="0.3">
      <c r="A2637" s="8"/>
      <c r="C2637" s="6"/>
      <c r="E2637" s="6"/>
      <c r="J2637" s="8"/>
      <c r="L2637" s="6"/>
    </row>
    <row r="2638" spans="1:12" x14ac:dyDescent="0.3">
      <c r="A2638" s="8"/>
      <c r="C2638" s="6"/>
      <c r="E2638" s="6"/>
      <c r="J2638" s="8"/>
      <c r="L2638" s="6"/>
    </row>
    <row r="2639" spans="1:12" x14ac:dyDescent="0.3">
      <c r="A2639" s="8"/>
      <c r="C2639" s="6"/>
      <c r="E2639" s="6"/>
      <c r="J2639" s="8"/>
      <c r="L2639" s="6"/>
    </row>
    <row r="2640" spans="1:12" x14ac:dyDescent="0.3">
      <c r="A2640" s="8"/>
      <c r="C2640" s="6"/>
      <c r="E2640" s="6"/>
      <c r="J2640" s="8"/>
      <c r="L2640" s="6"/>
    </row>
    <row r="2641" spans="1:12" x14ac:dyDescent="0.3">
      <c r="A2641" s="8"/>
      <c r="C2641" s="6"/>
      <c r="E2641" s="6"/>
      <c r="J2641" s="8"/>
      <c r="L2641" s="6"/>
    </row>
    <row r="2642" spans="1:12" x14ac:dyDescent="0.3">
      <c r="A2642" s="8"/>
      <c r="C2642" s="6"/>
      <c r="E2642" s="6"/>
      <c r="J2642" s="8"/>
      <c r="L2642" s="6"/>
    </row>
    <row r="2643" spans="1:12" x14ac:dyDescent="0.3">
      <c r="A2643" s="8"/>
      <c r="C2643" s="6"/>
      <c r="E2643" s="6"/>
      <c r="J2643" s="8"/>
      <c r="L2643" s="6"/>
    </row>
    <row r="2644" spans="1:12" x14ac:dyDescent="0.3">
      <c r="A2644" s="8"/>
      <c r="C2644" s="6"/>
      <c r="E2644" s="6"/>
      <c r="J2644" s="8"/>
      <c r="L2644" s="6"/>
    </row>
    <row r="2645" spans="1:12" x14ac:dyDescent="0.3">
      <c r="A2645" s="8"/>
      <c r="C2645" s="6"/>
      <c r="E2645" s="6"/>
      <c r="J2645" s="8"/>
      <c r="L2645" s="6"/>
    </row>
    <row r="2646" spans="1:12" x14ac:dyDescent="0.3">
      <c r="A2646" s="8"/>
      <c r="C2646" s="6"/>
      <c r="E2646" s="6"/>
      <c r="J2646" s="8"/>
      <c r="L2646" s="6"/>
    </row>
    <row r="2647" spans="1:12" x14ac:dyDescent="0.3">
      <c r="A2647" s="8"/>
      <c r="C2647" s="6"/>
      <c r="E2647" s="6"/>
      <c r="J2647" s="8"/>
      <c r="L2647" s="6"/>
    </row>
    <row r="2648" spans="1:12" x14ac:dyDescent="0.3">
      <c r="A2648" s="8"/>
      <c r="C2648" s="6"/>
      <c r="E2648" s="6"/>
      <c r="J2648" s="8"/>
      <c r="L2648" s="6"/>
    </row>
    <row r="2649" spans="1:12" x14ac:dyDescent="0.3">
      <c r="A2649" s="8"/>
      <c r="C2649" s="6"/>
      <c r="E2649" s="6"/>
      <c r="J2649" s="8"/>
      <c r="L2649" s="6"/>
    </row>
    <row r="2650" spans="1:12" x14ac:dyDescent="0.3">
      <c r="A2650" s="8"/>
      <c r="C2650" s="6"/>
      <c r="E2650" s="6"/>
      <c r="J2650" s="8"/>
      <c r="L2650" s="6"/>
    </row>
    <row r="2651" spans="1:12" x14ac:dyDescent="0.3">
      <c r="A2651" s="8"/>
      <c r="C2651" s="6"/>
      <c r="E2651" s="6"/>
      <c r="J2651" s="8"/>
      <c r="L2651" s="6"/>
    </row>
    <row r="2652" spans="1:12" x14ac:dyDescent="0.3">
      <c r="A2652" s="8"/>
      <c r="C2652" s="6"/>
      <c r="E2652" s="6"/>
      <c r="J2652" s="8"/>
      <c r="L2652" s="6"/>
    </row>
    <row r="2653" spans="1:12" x14ac:dyDescent="0.3">
      <c r="A2653" s="8"/>
      <c r="C2653" s="6"/>
      <c r="E2653" s="6"/>
      <c r="J2653" s="8"/>
      <c r="L2653" s="6"/>
    </row>
    <row r="2654" spans="1:12" x14ac:dyDescent="0.3">
      <c r="A2654" s="8"/>
      <c r="C2654" s="6"/>
      <c r="E2654" s="6"/>
      <c r="J2654" s="8"/>
      <c r="L2654" s="6"/>
    </row>
    <row r="2655" spans="1:12" x14ac:dyDescent="0.3">
      <c r="A2655" s="8"/>
      <c r="C2655" s="6"/>
      <c r="E2655" s="6"/>
      <c r="J2655" s="8"/>
      <c r="L2655" s="6"/>
    </row>
    <row r="2656" spans="1:12" x14ac:dyDescent="0.3">
      <c r="A2656" s="8"/>
      <c r="C2656" s="6"/>
      <c r="E2656" s="6"/>
      <c r="J2656" s="8"/>
      <c r="L2656" s="6"/>
    </row>
    <row r="2657" spans="1:12" x14ac:dyDescent="0.3">
      <c r="A2657" s="8"/>
      <c r="C2657" s="6"/>
      <c r="E2657" s="6"/>
      <c r="J2657" s="8"/>
      <c r="L2657" s="6"/>
    </row>
    <row r="2658" spans="1:12" x14ac:dyDescent="0.3">
      <c r="A2658" s="8"/>
      <c r="C2658" s="6"/>
      <c r="E2658" s="6"/>
      <c r="J2658" s="8"/>
      <c r="L2658" s="6"/>
    </row>
    <row r="2659" spans="1:12" x14ac:dyDescent="0.3">
      <c r="A2659" s="8"/>
      <c r="C2659" s="6"/>
      <c r="E2659" s="6"/>
      <c r="J2659" s="8"/>
      <c r="L2659" s="6"/>
    </row>
    <row r="2660" spans="1:12" x14ac:dyDescent="0.3">
      <c r="A2660" s="8"/>
      <c r="C2660" s="6"/>
      <c r="E2660" s="6"/>
      <c r="J2660" s="8"/>
      <c r="L2660" s="6"/>
    </row>
    <row r="2661" spans="1:12" x14ac:dyDescent="0.3">
      <c r="A2661" s="8"/>
      <c r="C2661" s="6"/>
      <c r="E2661" s="6"/>
      <c r="J2661" s="8"/>
      <c r="L2661" s="6"/>
    </row>
    <row r="2662" spans="1:12" x14ac:dyDescent="0.3">
      <c r="A2662" s="8"/>
      <c r="C2662" s="6"/>
      <c r="E2662" s="6"/>
      <c r="J2662" s="8"/>
      <c r="L2662" s="6"/>
    </row>
    <row r="2663" spans="1:12" x14ac:dyDescent="0.3">
      <c r="A2663" s="8"/>
      <c r="C2663" s="6"/>
      <c r="E2663" s="6"/>
      <c r="J2663" s="8"/>
      <c r="L2663" s="6"/>
    </row>
    <row r="2664" spans="1:12" x14ac:dyDescent="0.3">
      <c r="A2664" s="8"/>
      <c r="C2664" s="6"/>
      <c r="E2664" s="6"/>
      <c r="J2664" s="8"/>
      <c r="L2664" s="6"/>
    </row>
    <row r="2665" spans="1:12" x14ac:dyDescent="0.3">
      <c r="A2665" s="8"/>
      <c r="C2665" s="6"/>
      <c r="E2665" s="6"/>
      <c r="J2665" s="8"/>
      <c r="L2665" s="6"/>
    </row>
    <row r="2666" spans="1:12" x14ac:dyDescent="0.3">
      <c r="A2666" s="8"/>
      <c r="C2666" s="6"/>
      <c r="E2666" s="6"/>
      <c r="J2666" s="8"/>
      <c r="L2666" s="6"/>
    </row>
    <row r="2667" spans="1:12" x14ac:dyDescent="0.3">
      <c r="A2667" s="8"/>
      <c r="C2667" s="6"/>
      <c r="E2667" s="6"/>
      <c r="J2667" s="8"/>
      <c r="L2667" s="6"/>
    </row>
    <row r="2668" spans="1:12" x14ac:dyDescent="0.3">
      <c r="A2668" s="8"/>
      <c r="C2668" s="6"/>
      <c r="E2668" s="6"/>
      <c r="J2668" s="8"/>
      <c r="L2668" s="6"/>
    </row>
    <row r="2669" spans="1:12" x14ac:dyDescent="0.3">
      <c r="A2669" s="8"/>
      <c r="C2669" s="6"/>
      <c r="E2669" s="6"/>
      <c r="J2669" s="8"/>
      <c r="L2669" s="6"/>
    </row>
    <row r="2670" spans="1:12" x14ac:dyDescent="0.3">
      <c r="A2670" s="8"/>
      <c r="C2670" s="6"/>
      <c r="E2670" s="6"/>
      <c r="J2670" s="8"/>
      <c r="L2670" s="6"/>
    </row>
    <row r="2671" spans="1:12" x14ac:dyDescent="0.3">
      <c r="A2671" s="8"/>
      <c r="C2671" s="6"/>
      <c r="E2671" s="6"/>
      <c r="J2671" s="8"/>
      <c r="L2671" s="6"/>
    </row>
    <row r="2672" spans="1:12" x14ac:dyDescent="0.3">
      <c r="A2672" s="8"/>
      <c r="C2672" s="6"/>
      <c r="E2672" s="6"/>
      <c r="J2672" s="8"/>
      <c r="L2672" s="6"/>
    </row>
    <row r="2673" spans="1:12" x14ac:dyDescent="0.3">
      <c r="A2673" s="8"/>
      <c r="C2673" s="6"/>
      <c r="E2673" s="6"/>
      <c r="J2673" s="8"/>
      <c r="L2673" s="6"/>
    </row>
    <row r="2674" spans="1:12" x14ac:dyDescent="0.3">
      <c r="A2674" s="8"/>
      <c r="C2674" s="6"/>
      <c r="E2674" s="6"/>
      <c r="J2674" s="8"/>
      <c r="L2674" s="6"/>
    </row>
    <row r="2675" spans="1:12" x14ac:dyDescent="0.3">
      <c r="A2675" s="8"/>
      <c r="C2675" s="6"/>
      <c r="E2675" s="6"/>
      <c r="J2675" s="8"/>
      <c r="L2675" s="6"/>
    </row>
    <row r="2676" spans="1:12" x14ac:dyDescent="0.3">
      <c r="A2676" s="8"/>
      <c r="C2676" s="6"/>
      <c r="E2676" s="6"/>
      <c r="J2676" s="8"/>
      <c r="L2676" s="6"/>
    </row>
    <row r="2677" spans="1:12" x14ac:dyDescent="0.3">
      <c r="A2677" s="8"/>
      <c r="C2677" s="6"/>
      <c r="E2677" s="6"/>
      <c r="J2677" s="8"/>
      <c r="L2677" s="6"/>
    </row>
    <row r="2678" spans="1:12" x14ac:dyDescent="0.3">
      <c r="A2678" s="8"/>
      <c r="C2678" s="6"/>
      <c r="E2678" s="6"/>
      <c r="J2678" s="8"/>
      <c r="L2678" s="6"/>
    </row>
    <row r="2679" spans="1:12" x14ac:dyDescent="0.3">
      <c r="A2679" s="8"/>
      <c r="C2679" s="6"/>
      <c r="E2679" s="6"/>
      <c r="J2679" s="8"/>
      <c r="L2679" s="6"/>
    </row>
    <row r="2680" spans="1:12" x14ac:dyDescent="0.3">
      <c r="A2680" s="8"/>
      <c r="C2680" s="6"/>
      <c r="E2680" s="6"/>
      <c r="J2680" s="8"/>
      <c r="L2680" s="6"/>
    </row>
    <row r="2681" spans="1:12" x14ac:dyDescent="0.3">
      <c r="A2681" s="8"/>
      <c r="C2681" s="6"/>
      <c r="E2681" s="6"/>
      <c r="J2681" s="8"/>
      <c r="L2681" s="6"/>
    </row>
    <row r="2682" spans="1:12" x14ac:dyDescent="0.3">
      <c r="A2682" s="8"/>
      <c r="C2682" s="6"/>
      <c r="E2682" s="6"/>
      <c r="J2682" s="8"/>
      <c r="L2682" s="6"/>
    </row>
    <row r="2683" spans="1:12" x14ac:dyDescent="0.3">
      <c r="A2683" s="8"/>
      <c r="C2683" s="6"/>
      <c r="E2683" s="6"/>
      <c r="J2683" s="8"/>
      <c r="L2683" s="6"/>
    </row>
    <row r="2684" spans="1:12" x14ac:dyDescent="0.3">
      <c r="A2684" s="8"/>
      <c r="C2684" s="6"/>
      <c r="E2684" s="6"/>
      <c r="J2684" s="8"/>
      <c r="L2684" s="6"/>
    </row>
    <row r="2685" spans="1:12" x14ac:dyDescent="0.3">
      <c r="A2685" s="8"/>
      <c r="C2685" s="6"/>
      <c r="E2685" s="6"/>
      <c r="J2685" s="8"/>
      <c r="L2685" s="6"/>
    </row>
    <row r="2686" spans="1:12" x14ac:dyDescent="0.3">
      <c r="A2686" s="8"/>
      <c r="C2686" s="6"/>
      <c r="E2686" s="6"/>
      <c r="J2686" s="8"/>
      <c r="L2686" s="6"/>
    </row>
    <row r="2687" spans="1:12" x14ac:dyDescent="0.3">
      <c r="A2687" s="8"/>
      <c r="C2687" s="6"/>
      <c r="E2687" s="6"/>
      <c r="J2687" s="8"/>
      <c r="L2687" s="6"/>
    </row>
    <row r="2688" spans="1:12" x14ac:dyDescent="0.3">
      <c r="A2688" s="8"/>
      <c r="C2688" s="6"/>
      <c r="E2688" s="6"/>
      <c r="J2688" s="8"/>
      <c r="L2688" s="6"/>
    </row>
    <row r="2689" spans="1:12" x14ac:dyDescent="0.3">
      <c r="A2689" s="8"/>
      <c r="C2689" s="6"/>
      <c r="E2689" s="6"/>
      <c r="J2689" s="8"/>
      <c r="L2689" s="6"/>
    </row>
    <row r="2690" spans="1:12" x14ac:dyDescent="0.3">
      <c r="A2690" s="8"/>
      <c r="C2690" s="6"/>
      <c r="E2690" s="6"/>
      <c r="J2690" s="8"/>
      <c r="L2690" s="6"/>
    </row>
    <row r="2691" spans="1:12" x14ac:dyDescent="0.3">
      <c r="A2691" s="8"/>
      <c r="C2691" s="6"/>
      <c r="E2691" s="6"/>
      <c r="J2691" s="8"/>
      <c r="L2691" s="6"/>
    </row>
    <row r="2692" spans="1:12" x14ac:dyDescent="0.3">
      <c r="A2692" s="8"/>
      <c r="C2692" s="6"/>
      <c r="E2692" s="6"/>
      <c r="J2692" s="8"/>
      <c r="L2692" s="6"/>
    </row>
    <row r="2693" spans="1:12" x14ac:dyDescent="0.3">
      <c r="A2693" s="8"/>
      <c r="C2693" s="6"/>
      <c r="E2693" s="6"/>
      <c r="J2693" s="8"/>
      <c r="L2693" s="6"/>
    </row>
    <row r="2694" spans="1:12" x14ac:dyDescent="0.3">
      <c r="A2694" s="8"/>
      <c r="C2694" s="6"/>
      <c r="E2694" s="6"/>
      <c r="J2694" s="8"/>
      <c r="L2694" s="6"/>
    </row>
    <row r="2695" spans="1:12" x14ac:dyDescent="0.3">
      <c r="A2695" s="8"/>
      <c r="C2695" s="6"/>
      <c r="E2695" s="6"/>
      <c r="J2695" s="8"/>
      <c r="L2695" s="6"/>
    </row>
    <row r="2696" spans="1:12" x14ac:dyDescent="0.3">
      <c r="A2696" s="8"/>
      <c r="C2696" s="6"/>
      <c r="E2696" s="6"/>
      <c r="J2696" s="8"/>
      <c r="L2696" s="6"/>
    </row>
    <row r="2697" spans="1:12" x14ac:dyDescent="0.3">
      <c r="A2697" s="8"/>
      <c r="C2697" s="6"/>
      <c r="E2697" s="6"/>
      <c r="J2697" s="8"/>
      <c r="L2697" s="6"/>
    </row>
    <row r="2698" spans="1:12" x14ac:dyDescent="0.3">
      <c r="A2698" s="8"/>
      <c r="C2698" s="6"/>
      <c r="E2698" s="6"/>
      <c r="J2698" s="8"/>
      <c r="L2698" s="6"/>
    </row>
    <row r="2699" spans="1:12" x14ac:dyDescent="0.3">
      <c r="A2699" s="8"/>
      <c r="C2699" s="6"/>
      <c r="E2699" s="6"/>
      <c r="J2699" s="8"/>
      <c r="L2699" s="6"/>
    </row>
    <row r="2700" spans="1:12" x14ac:dyDescent="0.3">
      <c r="A2700" s="8"/>
      <c r="C2700" s="6"/>
      <c r="E2700" s="6"/>
      <c r="J2700" s="8"/>
      <c r="L2700" s="6"/>
    </row>
    <row r="2701" spans="1:12" x14ac:dyDescent="0.3">
      <c r="A2701" s="8"/>
      <c r="C2701" s="6"/>
      <c r="E2701" s="6"/>
      <c r="J2701" s="8"/>
      <c r="L2701" s="6"/>
    </row>
    <row r="2702" spans="1:12" x14ac:dyDescent="0.3">
      <c r="A2702" s="8"/>
      <c r="C2702" s="6"/>
      <c r="E2702" s="6"/>
      <c r="J2702" s="8"/>
      <c r="L2702" s="6"/>
    </row>
    <row r="2703" spans="1:12" x14ac:dyDescent="0.3">
      <c r="A2703" s="8"/>
      <c r="C2703" s="6"/>
      <c r="E2703" s="6"/>
      <c r="J2703" s="8"/>
      <c r="L2703" s="6"/>
    </row>
    <row r="2704" spans="1:12" x14ac:dyDescent="0.3">
      <c r="A2704" s="8"/>
      <c r="C2704" s="6"/>
      <c r="E2704" s="6"/>
      <c r="J2704" s="8"/>
      <c r="L2704" s="6"/>
    </row>
    <row r="2705" spans="1:12" x14ac:dyDescent="0.3">
      <c r="A2705" s="8"/>
      <c r="C2705" s="6"/>
      <c r="E2705" s="6"/>
      <c r="J2705" s="8"/>
      <c r="L2705" s="6"/>
    </row>
    <row r="2706" spans="1:12" x14ac:dyDescent="0.3">
      <c r="A2706" s="8"/>
      <c r="C2706" s="6"/>
      <c r="E2706" s="6"/>
      <c r="J2706" s="8"/>
      <c r="L2706" s="6"/>
    </row>
    <row r="2707" spans="1:12" x14ac:dyDescent="0.3">
      <c r="A2707" s="8"/>
      <c r="C2707" s="6"/>
      <c r="E2707" s="6"/>
      <c r="J2707" s="8"/>
      <c r="L2707" s="6"/>
    </row>
    <row r="2708" spans="1:12" x14ac:dyDescent="0.3">
      <c r="A2708" s="8"/>
      <c r="C2708" s="6"/>
      <c r="E2708" s="6"/>
      <c r="J2708" s="8"/>
      <c r="L2708" s="6"/>
    </row>
    <row r="2709" spans="1:12" x14ac:dyDescent="0.3">
      <c r="A2709" s="8"/>
      <c r="C2709" s="6"/>
      <c r="E2709" s="6"/>
      <c r="J2709" s="8"/>
      <c r="L2709" s="6"/>
    </row>
    <row r="2710" spans="1:12" x14ac:dyDescent="0.3">
      <c r="A2710" s="8"/>
      <c r="C2710" s="6"/>
      <c r="E2710" s="6"/>
      <c r="J2710" s="8"/>
      <c r="L2710" s="6"/>
    </row>
    <row r="2711" spans="1:12" x14ac:dyDescent="0.3">
      <c r="A2711" s="8"/>
      <c r="C2711" s="6"/>
      <c r="E2711" s="6"/>
      <c r="J2711" s="8"/>
      <c r="L2711" s="6"/>
    </row>
    <row r="2712" spans="1:12" x14ac:dyDescent="0.3">
      <c r="A2712" s="8"/>
      <c r="C2712" s="6"/>
      <c r="E2712" s="6"/>
      <c r="J2712" s="8"/>
      <c r="L2712" s="6"/>
    </row>
    <row r="2713" spans="1:12" x14ac:dyDescent="0.3">
      <c r="A2713" s="8"/>
      <c r="C2713" s="6"/>
      <c r="E2713" s="6"/>
      <c r="J2713" s="8"/>
      <c r="L2713" s="6"/>
    </row>
    <row r="2714" spans="1:12" x14ac:dyDescent="0.3">
      <c r="A2714" s="8"/>
      <c r="C2714" s="6"/>
      <c r="E2714" s="6"/>
      <c r="J2714" s="8"/>
      <c r="L2714" s="6"/>
    </row>
    <row r="2715" spans="1:12" x14ac:dyDescent="0.3">
      <c r="A2715" s="8"/>
      <c r="C2715" s="6"/>
      <c r="E2715" s="6"/>
      <c r="J2715" s="8"/>
      <c r="L2715" s="6"/>
    </row>
    <row r="2716" spans="1:12" x14ac:dyDescent="0.3">
      <c r="A2716" s="8"/>
      <c r="C2716" s="6"/>
      <c r="E2716" s="6"/>
      <c r="J2716" s="8"/>
      <c r="L2716" s="6"/>
    </row>
    <row r="2717" spans="1:12" x14ac:dyDescent="0.3">
      <c r="A2717" s="8"/>
      <c r="C2717" s="6"/>
      <c r="E2717" s="6"/>
      <c r="J2717" s="8"/>
      <c r="L2717" s="6"/>
    </row>
    <row r="2718" spans="1:12" x14ac:dyDescent="0.3">
      <c r="A2718" s="8"/>
      <c r="C2718" s="6"/>
      <c r="E2718" s="6"/>
      <c r="J2718" s="8"/>
      <c r="L2718" s="6"/>
    </row>
    <row r="2719" spans="1:12" x14ac:dyDescent="0.3">
      <c r="A2719" s="8"/>
      <c r="C2719" s="6"/>
      <c r="E2719" s="6"/>
      <c r="J2719" s="8"/>
      <c r="L2719" s="6"/>
    </row>
    <row r="2720" spans="1:12" x14ac:dyDescent="0.3">
      <c r="A2720" s="8"/>
      <c r="C2720" s="6"/>
      <c r="E2720" s="6"/>
      <c r="J2720" s="8"/>
      <c r="L2720" s="6"/>
    </row>
    <row r="2721" spans="1:12" x14ac:dyDescent="0.3">
      <c r="A2721" s="8"/>
      <c r="C2721" s="6"/>
      <c r="E2721" s="6"/>
      <c r="J2721" s="8"/>
      <c r="L2721" s="6"/>
    </row>
    <row r="2722" spans="1:12" x14ac:dyDescent="0.3">
      <c r="A2722" s="8"/>
      <c r="C2722" s="6"/>
      <c r="E2722" s="6"/>
      <c r="J2722" s="8"/>
      <c r="L2722" s="6"/>
    </row>
    <row r="2723" spans="1:12" x14ac:dyDescent="0.3">
      <c r="A2723" s="8"/>
      <c r="C2723" s="6"/>
      <c r="E2723" s="6"/>
      <c r="J2723" s="8"/>
      <c r="L2723" s="6"/>
    </row>
    <row r="2724" spans="1:12" x14ac:dyDescent="0.3">
      <c r="A2724" s="8"/>
      <c r="C2724" s="6"/>
      <c r="E2724" s="6"/>
      <c r="J2724" s="8"/>
      <c r="L2724" s="6"/>
    </row>
    <row r="2725" spans="1:12" x14ac:dyDescent="0.3">
      <c r="A2725" s="8"/>
      <c r="C2725" s="6"/>
      <c r="E2725" s="6"/>
      <c r="J2725" s="8"/>
      <c r="L2725" s="6"/>
    </row>
    <row r="2726" spans="1:12" x14ac:dyDescent="0.3">
      <c r="A2726" s="8"/>
      <c r="C2726" s="6"/>
      <c r="E2726" s="6"/>
      <c r="J2726" s="8"/>
      <c r="L2726" s="6"/>
    </row>
    <row r="2727" spans="1:12" x14ac:dyDescent="0.3">
      <c r="A2727" s="8"/>
      <c r="C2727" s="6"/>
      <c r="E2727" s="6"/>
      <c r="J2727" s="8"/>
      <c r="L2727" s="6"/>
    </row>
    <row r="2728" spans="1:12" x14ac:dyDescent="0.3">
      <c r="A2728" s="8"/>
      <c r="C2728" s="6"/>
      <c r="E2728" s="6"/>
      <c r="J2728" s="8"/>
      <c r="L2728" s="6"/>
    </row>
    <row r="2729" spans="1:12" x14ac:dyDescent="0.3">
      <c r="A2729" s="8"/>
      <c r="C2729" s="6"/>
      <c r="E2729" s="6"/>
      <c r="J2729" s="8"/>
      <c r="L2729" s="6"/>
    </row>
    <row r="2730" spans="1:12" x14ac:dyDescent="0.3">
      <c r="A2730" s="8"/>
      <c r="C2730" s="6"/>
      <c r="E2730" s="6"/>
      <c r="J2730" s="8"/>
      <c r="L2730" s="6"/>
    </row>
    <row r="2731" spans="1:12" x14ac:dyDescent="0.3">
      <c r="A2731" s="8"/>
      <c r="C2731" s="6"/>
      <c r="E2731" s="6"/>
      <c r="J2731" s="8"/>
      <c r="L2731" s="6"/>
    </row>
    <row r="2732" spans="1:12" x14ac:dyDescent="0.3">
      <c r="A2732" s="8"/>
      <c r="C2732" s="6"/>
      <c r="E2732" s="6"/>
      <c r="J2732" s="8"/>
      <c r="L2732" s="6"/>
    </row>
    <row r="2733" spans="1:12" x14ac:dyDescent="0.3">
      <c r="A2733" s="8"/>
      <c r="C2733" s="6"/>
      <c r="E2733" s="6"/>
      <c r="J2733" s="8"/>
      <c r="L2733" s="6"/>
    </row>
    <row r="2734" spans="1:12" x14ac:dyDescent="0.3">
      <c r="A2734" s="8"/>
      <c r="C2734" s="6"/>
      <c r="E2734" s="6"/>
      <c r="J2734" s="8"/>
      <c r="L2734" s="6"/>
    </row>
    <row r="2735" spans="1:12" x14ac:dyDescent="0.3">
      <c r="A2735" s="8"/>
      <c r="C2735" s="6"/>
      <c r="E2735" s="6"/>
      <c r="J2735" s="8"/>
      <c r="L2735" s="6"/>
    </row>
    <row r="2736" spans="1:12" x14ac:dyDescent="0.3">
      <c r="A2736" s="8"/>
      <c r="C2736" s="6"/>
      <c r="E2736" s="6"/>
      <c r="J2736" s="8"/>
      <c r="L2736" s="6"/>
    </row>
    <row r="2737" spans="1:12" x14ac:dyDescent="0.3">
      <c r="A2737" s="8"/>
      <c r="C2737" s="6"/>
      <c r="E2737" s="6"/>
      <c r="J2737" s="8"/>
      <c r="L2737" s="6"/>
    </row>
    <row r="2738" spans="1:12" x14ac:dyDescent="0.3">
      <c r="A2738" s="8"/>
      <c r="C2738" s="6"/>
      <c r="E2738" s="6"/>
      <c r="J2738" s="8"/>
      <c r="L2738" s="6"/>
    </row>
    <row r="2739" spans="1:12" x14ac:dyDescent="0.3">
      <c r="A2739" s="8"/>
      <c r="C2739" s="6"/>
      <c r="E2739" s="6"/>
      <c r="J2739" s="8"/>
      <c r="L2739" s="6"/>
    </row>
    <row r="2740" spans="1:12" x14ac:dyDescent="0.3">
      <c r="A2740" s="8"/>
      <c r="C2740" s="6"/>
      <c r="E2740" s="6"/>
      <c r="J2740" s="8"/>
      <c r="L2740" s="6"/>
    </row>
    <row r="2741" spans="1:12" x14ac:dyDescent="0.3">
      <c r="A2741" s="8"/>
      <c r="C2741" s="6"/>
      <c r="E2741" s="6"/>
      <c r="J2741" s="8"/>
      <c r="L2741" s="6"/>
    </row>
    <row r="2742" spans="1:12" x14ac:dyDescent="0.3">
      <c r="A2742" s="8"/>
      <c r="C2742" s="6"/>
      <c r="E2742" s="6"/>
      <c r="J2742" s="8"/>
      <c r="L2742" s="6"/>
    </row>
    <row r="2743" spans="1:12" x14ac:dyDescent="0.3">
      <c r="A2743" s="8"/>
      <c r="C2743" s="6"/>
      <c r="E2743" s="6"/>
      <c r="J2743" s="8"/>
      <c r="L2743" s="6"/>
    </row>
    <row r="2744" spans="1:12" x14ac:dyDescent="0.3">
      <c r="A2744" s="8"/>
      <c r="C2744" s="6"/>
      <c r="E2744" s="6"/>
      <c r="J2744" s="8"/>
      <c r="L2744" s="6"/>
    </row>
    <row r="2745" spans="1:12" x14ac:dyDescent="0.3">
      <c r="A2745" s="8"/>
      <c r="C2745" s="6"/>
      <c r="E2745" s="6"/>
      <c r="J2745" s="8"/>
      <c r="L2745" s="6"/>
    </row>
    <row r="2746" spans="1:12" x14ac:dyDescent="0.3">
      <c r="A2746" s="8"/>
      <c r="C2746" s="6"/>
      <c r="E2746" s="6"/>
      <c r="J2746" s="8"/>
      <c r="L2746" s="6"/>
    </row>
    <row r="2747" spans="1:12" x14ac:dyDescent="0.3">
      <c r="A2747" s="8"/>
      <c r="C2747" s="6"/>
      <c r="E2747" s="6"/>
      <c r="J2747" s="8"/>
      <c r="L2747" s="6"/>
    </row>
    <row r="2748" spans="1:12" x14ac:dyDescent="0.3">
      <c r="A2748" s="8"/>
      <c r="C2748" s="6"/>
      <c r="E2748" s="6"/>
      <c r="J2748" s="8"/>
      <c r="L2748" s="6"/>
    </row>
    <row r="2749" spans="1:12" x14ac:dyDescent="0.3">
      <c r="A2749" s="8"/>
      <c r="C2749" s="6"/>
      <c r="E2749" s="6"/>
      <c r="J2749" s="8"/>
      <c r="L2749" s="6"/>
    </row>
    <row r="2750" spans="1:12" x14ac:dyDescent="0.3">
      <c r="A2750" s="8"/>
      <c r="C2750" s="6"/>
      <c r="E2750" s="6"/>
      <c r="J2750" s="8"/>
      <c r="L2750" s="6"/>
    </row>
    <row r="2751" spans="1:12" x14ac:dyDescent="0.3">
      <c r="A2751" s="8"/>
      <c r="C2751" s="6"/>
      <c r="E2751" s="6"/>
      <c r="J2751" s="8"/>
      <c r="L2751" s="6"/>
    </row>
    <row r="2752" spans="1:12" x14ac:dyDescent="0.3">
      <c r="A2752" s="8"/>
      <c r="C2752" s="6"/>
      <c r="E2752" s="6"/>
      <c r="J2752" s="8"/>
      <c r="L2752" s="6"/>
    </row>
    <row r="2753" spans="1:12" x14ac:dyDescent="0.3">
      <c r="A2753" s="8"/>
      <c r="C2753" s="6"/>
      <c r="E2753" s="6"/>
      <c r="J2753" s="8"/>
      <c r="L2753" s="6"/>
    </row>
    <row r="2754" spans="1:12" x14ac:dyDescent="0.3">
      <c r="A2754" s="8"/>
      <c r="C2754" s="6"/>
      <c r="E2754" s="6"/>
      <c r="J2754" s="8"/>
      <c r="L2754" s="6"/>
    </row>
    <row r="2755" spans="1:12" x14ac:dyDescent="0.3">
      <c r="A2755" s="8"/>
      <c r="C2755" s="6"/>
      <c r="E2755" s="6"/>
      <c r="J2755" s="8"/>
      <c r="L2755" s="6"/>
    </row>
    <row r="2756" spans="1:12" x14ac:dyDescent="0.3">
      <c r="A2756" s="8"/>
      <c r="C2756" s="6"/>
      <c r="E2756" s="6"/>
      <c r="J2756" s="8"/>
      <c r="L2756" s="6"/>
    </row>
    <row r="2757" spans="1:12" x14ac:dyDescent="0.3">
      <c r="A2757" s="8"/>
      <c r="C2757" s="6"/>
      <c r="E2757" s="6"/>
      <c r="J2757" s="8"/>
      <c r="L2757" s="6"/>
    </row>
    <row r="2758" spans="1:12" x14ac:dyDescent="0.3">
      <c r="A2758" s="8"/>
      <c r="C2758" s="6"/>
      <c r="E2758" s="6"/>
      <c r="J2758" s="8"/>
      <c r="L2758" s="6"/>
    </row>
    <row r="2759" spans="1:12" x14ac:dyDescent="0.3">
      <c r="A2759" s="8"/>
      <c r="C2759" s="6"/>
      <c r="E2759" s="6"/>
      <c r="J2759" s="8"/>
      <c r="L2759" s="6"/>
    </row>
    <row r="2760" spans="1:12" x14ac:dyDescent="0.3">
      <c r="A2760" s="8"/>
      <c r="C2760" s="6"/>
      <c r="E2760" s="6"/>
      <c r="J2760" s="8"/>
      <c r="L2760" s="6"/>
    </row>
    <row r="2761" spans="1:12" x14ac:dyDescent="0.3">
      <c r="A2761" s="8"/>
      <c r="C2761" s="6"/>
      <c r="E2761" s="6"/>
      <c r="J2761" s="8"/>
      <c r="L2761" s="6"/>
    </row>
    <row r="2762" spans="1:12" x14ac:dyDescent="0.3">
      <c r="A2762" s="8"/>
      <c r="C2762" s="6"/>
      <c r="E2762" s="6"/>
      <c r="J2762" s="8"/>
      <c r="L2762" s="6"/>
    </row>
    <row r="2763" spans="1:12" x14ac:dyDescent="0.3">
      <c r="A2763" s="8"/>
      <c r="C2763" s="6"/>
      <c r="E2763" s="6"/>
      <c r="J2763" s="8"/>
      <c r="L2763" s="6"/>
    </row>
    <row r="2764" spans="1:12" x14ac:dyDescent="0.3">
      <c r="A2764" s="8"/>
      <c r="C2764" s="6"/>
      <c r="E2764" s="6"/>
      <c r="J2764" s="8"/>
      <c r="L2764" s="6"/>
    </row>
    <row r="2765" spans="1:12" x14ac:dyDescent="0.3">
      <c r="A2765" s="8"/>
      <c r="C2765" s="6"/>
      <c r="E2765" s="6"/>
      <c r="J2765" s="8"/>
      <c r="L2765" s="6"/>
    </row>
    <row r="2766" spans="1:12" x14ac:dyDescent="0.3">
      <c r="A2766" s="8"/>
      <c r="C2766" s="6"/>
      <c r="E2766" s="6"/>
      <c r="J2766" s="8"/>
      <c r="L2766" s="6"/>
    </row>
    <row r="2767" spans="1:12" x14ac:dyDescent="0.3">
      <c r="A2767" s="8"/>
      <c r="C2767" s="6"/>
      <c r="E2767" s="6"/>
      <c r="J2767" s="8"/>
      <c r="L2767" s="6"/>
    </row>
    <row r="2768" spans="1:12" x14ac:dyDescent="0.3">
      <c r="A2768" s="8"/>
      <c r="C2768" s="6"/>
      <c r="E2768" s="6"/>
      <c r="J2768" s="8"/>
      <c r="L2768" s="6"/>
    </row>
    <row r="2769" spans="1:12" x14ac:dyDescent="0.3">
      <c r="A2769" s="8"/>
      <c r="C2769" s="6"/>
      <c r="E2769" s="6"/>
      <c r="J2769" s="8"/>
      <c r="L2769" s="6"/>
    </row>
    <row r="2770" spans="1:12" x14ac:dyDescent="0.3">
      <c r="A2770" s="8"/>
      <c r="C2770" s="6"/>
      <c r="E2770" s="6"/>
      <c r="J2770" s="8"/>
      <c r="L2770" s="6"/>
    </row>
    <row r="2771" spans="1:12" x14ac:dyDescent="0.3">
      <c r="A2771" s="8"/>
      <c r="C2771" s="6"/>
      <c r="E2771" s="6"/>
      <c r="J2771" s="8"/>
      <c r="L2771" s="6"/>
    </row>
    <row r="2772" spans="1:12" x14ac:dyDescent="0.3">
      <c r="A2772" s="8"/>
      <c r="C2772" s="6"/>
      <c r="E2772" s="6"/>
      <c r="J2772" s="8"/>
      <c r="L2772" s="6"/>
    </row>
    <row r="2773" spans="1:12" x14ac:dyDescent="0.3">
      <c r="A2773" s="8"/>
      <c r="C2773" s="6"/>
      <c r="E2773" s="6"/>
      <c r="J2773" s="8"/>
      <c r="L2773" s="6"/>
    </row>
    <row r="2774" spans="1:12" x14ac:dyDescent="0.3">
      <c r="A2774" s="8"/>
      <c r="C2774" s="6"/>
      <c r="E2774" s="6"/>
      <c r="J2774" s="8"/>
      <c r="L2774" s="6"/>
    </row>
    <row r="2775" spans="1:12" x14ac:dyDescent="0.3">
      <c r="A2775" s="8"/>
      <c r="C2775" s="6"/>
      <c r="E2775" s="6"/>
      <c r="J2775" s="8"/>
      <c r="L2775" s="6"/>
    </row>
    <row r="2776" spans="1:12" x14ac:dyDescent="0.3">
      <c r="A2776" s="8"/>
      <c r="C2776" s="6"/>
      <c r="E2776" s="6"/>
      <c r="J2776" s="8"/>
      <c r="L2776" s="6"/>
    </row>
    <row r="2777" spans="1:12" x14ac:dyDescent="0.3">
      <c r="A2777" s="8"/>
      <c r="C2777" s="6"/>
      <c r="E2777" s="6"/>
      <c r="J2777" s="8"/>
      <c r="L2777" s="6"/>
    </row>
    <row r="2778" spans="1:12" x14ac:dyDescent="0.3">
      <c r="A2778" s="8"/>
      <c r="C2778" s="6"/>
      <c r="E2778" s="6"/>
      <c r="J2778" s="8"/>
      <c r="L2778" s="6"/>
    </row>
    <row r="2779" spans="1:12" x14ac:dyDescent="0.3">
      <c r="A2779" s="8"/>
      <c r="C2779" s="6"/>
      <c r="E2779" s="6"/>
      <c r="J2779" s="8"/>
      <c r="L2779" s="6"/>
    </row>
    <row r="2780" spans="1:12" x14ac:dyDescent="0.3">
      <c r="A2780" s="8"/>
      <c r="C2780" s="6"/>
      <c r="E2780" s="6"/>
      <c r="J2780" s="8"/>
      <c r="L2780" s="6"/>
    </row>
    <row r="2781" spans="1:12" x14ac:dyDescent="0.3">
      <c r="A2781" s="8"/>
      <c r="C2781" s="6"/>
      <c r="E2781" s="6"/>
      <c r="J2781" s="8"/>
      <c r="L2781" s="6"/>
    </row>
    <row r="2782" spans="1:12" x14ac:dyDescent="0.3">
      <c r="A2782" s="8"/>
      <c r="C2782" s="6"/>
      <c r="E2782" s="6"/>
      <c r="J2782" s="8"/>
      <c r="L2782" s="6"/>
    </row>
    <row r="2783" spans="1:12" x14ac:dyDescent="0.3">
      <c r="A2783" s="8"/>
      <c r="C2783" s="6"/>
      <c r="E2783" s="6"/>
      <c r="J2783" s="8"/>
      <c r="L2783" s="6"/>
    </row>
    <row r="2784" spans="1:12" x14ac:dyDescent="0.3">
      <c r="A2784" s="8"/>
      <c r="C2784" s="6"/>
      <c r="E2784" s="6"/>
      <c r="J2784" s="8"/>
      <c r="L2784" s="6"/>
    </row>
    <row r="2785" spans="1:12" x14ac:dyDescent="0.3">
      <c r="A2785" s="8"/>
      <c r="C2785" s="6"/>
      <c r="E2785" s="6"/>
      <c r="J2785" s="8"/>
      <c r="L2785" s="6"/>
    </row>
    <row r="2786" spans="1:12" x14ac:dyDescent="0.3">
      <c r="A2786" s="8"/>
      <c r="C2786" s="6"/>
      <c r="E2786" s="6"/>
      <c r="J2786" s="8"/>
      <c r="L2786" s="6"/>
    </row>
    <row r="2787" spans="1:12" x14ac:dyDescent="0.3">
      <c r="A2787" s="8"/>
      <c r="C2787" s="6"/>
      <c r="E2787" s="6"/>
      <c r="J2787" s="8"/>
      <c r="L2787" s="6"/>
    </row>
    <row r="2788" spans="1:12" x14ac:dyDescent="0.3">
      <c r="A2788" s="8"/>
      <c r="C2788" s="6"/>
      <c r="E2788" s="6"/>
      <c r="J2788" s="8"/>
      <c r="L2788" s="6"/>
    </row>
    <row r="2789" spans="1:12" x14ac:dyDescent="0.3">
      <c r="A2789" s="8"/>
      <c r="C2789" s="6"/>
      <c r="E2789" s="6"/>
      <c r="J2789" s="8"/>
      <c r="L2789" s="6"/>
    </row>
    <row r="2790" spans="1:12" x14ac:dyDescent="0.3">
      <c r="A2790" s="8"/>
      <c r="C2790" s="6"/>
      <c r="E2790" s="6"/>
      <c r="J2790" s="8"/>
      <c r="L2790" s="6"/>
    </row>
    <row r="2791" spans="1:12" x14ac:dyDescent="0.3">
      <c r="A2791" s="8"/>
      <c r="C2791" s="6"/>
      <c r="E2791" s="6"/>
      <c r="J2791" s="8"/>
      <c r="L2791" s="6"/>
    </row>
    <row r="2792" spans="1:12" x14ac:dyDescent="0.3">
      <c r="A2792" s="8"/>
      <c r="C2792" s="6"/>
      <c r="E2792" s="6"/>
      <c r="J2792" s="8"/>
      <c r="L2792" s="6"/>
    </row>
    <row r="2793" spans="1:12" x14ac:dyDescent="0.3">
      <c r="A2793" s="8"/>
      <c r="C2793" s="6"/>
      <c r="E2793" s="6"/>
      <c r="J2793" s="8"/>
      <c r="L2793" s="6"/>
    </row>
    <row r="2794" spans="1:12" x14ac:dyDescent="0.3">
      <c r="A2794" s="8"/>
      <c r="C2794" s="6"/>
      <c r="E2794" s="6"/>
      <c r="J2794" s="8"/>
      <c r="L2794" s="6"/>
    </row>
    <row r="2795" spans="1:12" x14ac:dyDescent="0.3">
      <c r="A2795" s="8"/>
      <c r="C2795" s="6"/>
      <c r="E2795" s="6"/>
      <c r="J2795" s="8"/>
      <c r="L2795" s="6"/>
    </row>
    <row r="2796" spans="1:12" x14ac:dyDescent="0.3">
      <c r="A2796" s="8"/>
      <c r="C2796" s="6"/>
      <c r="E2796" s="6"/>
      <c r="J2796" s="8"/>
      <c r="L2796" s="6"/>
    </row>
    <row r="2797" spans="1:12" x14ac:dyDescent="0.3">
      <c r="A2797" s="8"/>
      <c r="C2797" s="6"/>
      <c r="E2797" s="6"/>
      <c r="J2797" s="8"/>
      <c r="L2797" s="6"/>
    </row>
    <row r="2798" spans="1:12" x14ac:dyDescent="0.3">
      <c r="A2798" s="8"/>
      <c r="C2798" s="6"/>
      <c r="E2798" s="6"/>
      <c r="J2798" s="8"/>
      <c r="L2798" s="6"/>
    </row>
    <row r="2799" spans="1:12" x14ac:dyDescent="0.3">
      <c r="A2799" s="8"/>
      <c r="C2799" s="6"/>
      <c r="E2799" s="6"/>
      <c r="J2799" s="8"/>
      <c r="L2799" s="6"/>
    </row>
    <row r="2800" spans="1:12" x14ac:dyDescent="0.3">
      <c r="A2800" s="8"/>
      <c r="C2800" s="6"/>
      <c r="E2800" s="6"/>
      <c r="J2800" s="8"/>
      <c r="L2800" s="6"/>
    </row>
    <row r="2801" spans="1:12" x14ac:dyDescent="0.3">
      <c r="A2801" s="8"/>
      <c r="C2801" s="6"/>
      <c r="E2801" s="6"/>
      <c r="J2801" s="8"/>
      <c r="L2801" s="6"/>
    </row>
    <row r="2802" spans="1:12" x14ac:dyDescent="0.3">
      <c r="A2802" s="8"/>
      <c r="C2802" s="6"/>
      <c r="E2802" s="6"/>
      <c r="J2802" s="8"/>
      <c r="L2802" s="6"/>
    </row>
    <row r="2803" spans="1:12" x14ac:dyDescent="0.3">
      <c r="A2803" s="8"/>
      <c r="C2803" s="6"/>
      <c r="E2803" s="6"/>
      <c r="J2803" s="8"/>
      <c r="L2803" s="6"/>
    </row>
    <row r="2804" spans="1:12" x14ac:dyDescent="0.3">
      <c r="A2804" s="8"/>
      <c r="C2804" s="6"/>
      <c r="E2804" s="6"/>
      <c r="J2804" s="8"/>
      <c r="L2804" s="6"/>
    </row>
    <row r="2805" spans="1:12" x14ac:dyDescent="0.3">
      <c r="A2805" s="8"/>
      <c r="C2805" s="6"/>
      <c r="E2805" s="6"/>
      <c r="J2805" s="8"/>
      <c r="L2805" s="6"/>
    </row>
    <row r="2806" spans="1:12" x14ac:dyDescent="0.3">
      <c r="A2806" s="8"/>
      <c r="C2806" s="6"/>
      <c r="E2806" s="6"/>
      <c r="J2806" s="8"/>
      <c r="L2806" s="6"/>
    </row>
    <row r="2807" spans="1:12" x14ac:dyDescent="0.3">
      <c r="A2807" s="8"/>
      <c r="C2807" s="6"/>
      <c r="E2807" s="6"/>
      <c r="J2807" s="8"/>
      <c r="L2807" s="6"/>
    </row>
    <row r="2808" spans="1:12" x14ac:dyDescent="0.3">
      <c r="A2808" s="8"/>
      <c r="C2808" s="6"/>
      <c r="E2808" s="6"/>
      <c r="J2808" s="8"/>
      <c r="L2808" s="6"/>
    </row>
    <row r="2809" spans="1:12" x14ac:dyDescent="0.3">
      <c r="A2809" s="8"/>
      <c r="C2809" s="6"/>
      <c r="E2809" s="6"/>
      <c r="J2809" s="8"/>
      <c r="L2809" s="6"/>
    </row>
    <row r="2810" spans="1:12" x14ac:dyDescent="0.3">
      <c r="A2810" s="8"/>
      <c r="C2810" s="6"/>
      <c r="E2810" s="6"/>
      <c r="J2810" s="8"/>
      <c r="L2810" s="6"/>
    </row>
    <row r="2811" spans="1:12" x14ac:dyDescent="0.3">
      <c r="A2811" s="8"/>
      <c r="C2811" s="6"/>
      <c r="E2811" s="6"/>
      <c r="J2811" s="8"/>
      <c r="L2811" s="6"/>
    </row>
    <row r="2812" spans="1:12" x14ac:dyDescent="0.3">
      <c r="A2812" s="8"/>
      <c r="C2812" s="6"/>
      <c r="E2812" s="6"/>
      <c r="J2812" s="8"/>
      <c r="L2812" s="6"/>
    </row>
    <row r="2813" spans="1:12" x14ac:dyDescent="0.3">
      <c r="A2813" s="8"/>
      <c r="C2813" s="6"/>
      <c r="E2813" s="6"/>
      <c r="J2813" s="8"/>
      <c r="L2813" s="6"/>
    </row>
    <row r="2814" spans="1:12" x14ac:dyDescent="0.3">
      <c r="A2814" s="8"/>
      <c r="C2814" s="6"/>
      <c r="E2814" s="6"/>
      <c r="J2814" s="8"/>
      <c r="L2814" s="6"/>
    </row>
    <row r="2815" spans="1:12" x14ac:dyDescent="0.3">
      <c r="A2815" s="8"/>
      <c r="C2815" s="6"/>
      <c r="E2815" s="6"/>
      <c r="J2815" s="8"/>
      <c r="L2815" s="6"/>
    </row>
    <row r="2816" spans="1:12" x14ac:dyDescent="0.3">
      <c r="A2816" s="8"/>
      <c r="C2816" s="6"/>
      <c r="E2816" s="6"/>
      <c r="J2816" s="8"/>
      <c r="L2816" s="6"/>
    </row>
    <row r="2817" spans="1:12" x14ac:dyDescent="0.3">
      <c r="A2817" s="8"/>
      <c r="C2817" s="6"/>
      <c r="E2817" s="6"/>
      <c r="J2817" s="8"/>
      <c r="L2817" s="6"/>
    </row>
    <row r="2818" spans="1:12" x14ac:dyDescent="0.3">
      <c r="A2818" s="8"/>
      <c r="C2818" s="6"/>
      <c r="E2818" s="6"/>
      <c r="J2818" s="8"/>
      <c r="L2818" s="6"/>
    </row>
    <row r="2819" spans="1:12" x14ac:dyDescent="0.3">
      <c r="A2819" s="8"/>
      <c r="C2819" s="6"/>
      <c r="E2819" s="6"/>
      <c r="J2819" s="8"/>
      <c r="L2819" s="6"/>
    </row>
    <row r="2820" spans="1:12" x14ac:dyDescent="0.3">
      <c r="A2820" s="8"/>
      <c r="C2820" s="6"/>
      <c r="E2820" s="6"/>
      <c r="J2820" s="8"/>
      <c r="L2820" s="6"/>
    </row>
    <row r="2821" spans="1:12" x14ac:dyDescent="0.3">
      <c r="A2821" s="8"/>
      <c r="C2821" s="6"/>
      <c r="E2821" s="6"/>
      <c r="J2821" s="8"/>
      <c r="L2821" s="6"/>
    </row>
    <row r="2822" spans="1:12" x14ac:dyDescent="0.3">
      <c r="A2822" s="8"/>
      <c r="C2822" s="6"/>
      <c r="E2822" s="6"/>
      <c r="J2822" s="8"/>
      <c r="L2822" s="6"/>
    </row>
    <row r="2823" spans="1:12" x14ac:dyDescent="0.3">
      <c r="A2823" s="8"/>
      <c r="C2823" s="6"/>
      <c r="E2823" s="6"/>
      <c r="J2823" s="8"/>
      <c r="L2823" s="6"/>
    </row>
    <row r="2824" spans="1:12" x14ac:dyDescent="0.3">
      <c r="A2824" s="8"/>
      <c r="C2824" s="6"/>
      <c r="E2824" s="6"/>
      <c r="J2824" s="8"/>
      <c r="L2824" s="6"/>
    </row>
    <row r="2825" spans="1:12" x14ac:dyDescent="0.3">
      <c r="A2825" s="8"/>
      <c r="C2825" s="6"/>
      <c r="E2825" s="6"/>
      <c r="J2825" s="8"/>
      <c r="L2825" s="6"/>
    </row>
    <row r="2826" spans="1:12" x14ac:dyDescent="0.3">
      <c r="A2826" s="8"/>
      <c r="C2826" s="6"/>
      <c r="E2826" s="6"/>
      <c r="J2826" s="8"/>
      <c r="L2826" s="6"/>
    </row>
    <row r="2827" spans="1:12" x14ac:dyDescent="0.3">
      <c r="A2827" s="8"/>
      <c r="C2827" s="6"/>
      <c r="E2827" s="6"/>
      <c r="J2827" s="8"/>
      <c r="L2827" s="6"/>
    </row>
    <row r="2828" spans="1:12" x14ac:dyDescent="0.3">
      <c r="A2828" s="8"/>
      <c r="C2828" s="6"/>
      <c r="E2828" s="6"/>
      <c r="J2828" s="8"/>
      <c r="L2828" s="6"/>
    </row>
    <row r="2829" spans="1:12" x14ac:dyDescent="0.3">
      <c r="A2829" s="8"/>
      <c r="C2829" s="6"/>
      <c r="E2829" s="6"/>
      <c r="J2829" s="8"/>
      <c r="L2829" s="6"/>
    </row>
    <row r="2830" spans="1:12" x14ac:dyDescent="0.3">
      <c r="A2830" s="8"/>
      <c r="C2830" s="6"/>
      <c r="E2830" s="6"/>
      <c r="J2830" s="8"/>
      <c r="L2830" s="6"/>
    </row>
    <row r="2831" spans="1:12" x14ac:dyDescent="0.3">
      <c r="A2831" s="8"/>
      <c r="C2831" s="6"/>
      <c r="E2831" s="6"/>
      <c r="J2831" s="8"/>
      <c r="L2831" s="6"/>
    </row>
    <row r="2832" spans="1:12" x14ac:dyDescent="0.3">
      <c r="A2832" s="8"/>
      <c r="C2832" s="6"/>
      <c r="E2832" s="6"/>
      <c r="J2832" s="8"/>
      <c r="L2832" s="6"/>
    </row>
    <row r="2833" spans="1:12" x14ac:dyDescent="0.3">
      <c r="A2833" s="8"/>
      <c r="C2833" s="6"/>
      <c r="E2833" s="6"/>
      <c r="J2833" s="8"/>
      <c r="L2833" s="6"/>
    </row>
    <row r="2834" spans="1:12" x14ac:dyDescent="0.3">
      <c r="A2834" s="8"/>
      <c r="C2834" s="6"/>
      <c r="E2834" s="6"/>
      <c r="J2834" s="8"/>
      <c r="L2834" s="6"/>
    </row>
    <row r="2835" spans="1:12" x14ac:dyDescent="0.3">
      <c r="A2835" s="8"/>
      <c r="C2835" s="6"/>
      <c r="E2835" s="6"/>
      <c r="J2835" s="8"/>
      <c r="L2835" s="6"/>
    </row>
    <row r="2836" spans="1:12" x14ac:dyDescent="0.3">
      <c r="A2836" s="8"/>
      <c r="C2836" s="6"/>
      <c r="E2836" s="6"/>
      <c r="J2836" s="8"/>
      <c r="L2836" s="6"/>
    </row>
    <row r="2837" spans="1:12" x14ac:dyDescent="0.3">
      <c r="A2837" s="8"/>
      <c r="C2837" s="6"/>
      <c r="E2837" s="6"/>
      <c r="J2837" s="8"/>
      <c r="L2837" s="6"/>
    </row>
    <row r="2838" spans="1:12" x14ac:dyDescent="0.3">
      <c r="A2838" s="8"/>
      <c r="C2838" s="6"/>
      <c r="E2838" s="6"/>
      <c r="J2838" s="8"/>
      <c r="L2838" s="6"/>
    </row>
    <row r="2839" spans="1:12" x14ac:dyDescent="0.3">
      <c r="A2839" s="8"/>
      <c r="C2839" s="6"/>
      <c r="E2839" s="6"/>
      <c r="J2839" s="8"/>
      <c r="L2839" s="6"/>
    </row>
    <row r="2840" spans="1:12" x14ac:dyDescent="0.3">
      <c r="A2840" s="8"/>
      <c r="C2840" s="6"/>
      <c r="E2840" s="6"/>
      <c r="J2840" s="8"/>
      <c r="L2840" s="6"/>
    </row>
    <row r="2841" spans="1:12" x14ac:dyDescent="0.3">
      <c r="A2841" s="8"/>
      <c r="C2841" s="6"/>
      <c r="E2841" s="6"/>
      <c r="J2841" s="8"/>
      <c r="L2841" s="6"/>
    </row>
    <row r="2842" spans="1:12" x14ac:dyDescent="0.3">
      <c r="A2842" s="8"/>
      <c r="C2842" s="6"/>
      <c r="E2842" s="6"/>
      <c r="J2842" s="8"/>
      <c r="L2842" s="6"/>
    </row>
    <row r="2843" spans="1:12" x14ac:dyDescent="0.3">
      <c r="A2843" s="8"/>
      <c r="C2843" s="6"/>
      <c r="E2843" s="6"/>
      <c r="J2843" s="8"/>
      <c r="L2843" s="6"/>
    </row>
    <row r="2844" spans="1:12" x14ac:dyDescent="0.3">
      <c r="A2844" s="8"/>
      <c r="C2844" s="6"/>
      <c r="E2844" s="6"/>
      <c r="J2844" s="8"/>
      <c r="L2844" s="6"/>
    </row>
    <row r="2845" spans="1:12" x14ac:dyDescent="0.3">
      <c r="A2845" s="8"/>
      <c r="C2845" s="6"/>
      <c r="E2845" s="6"/>
      <c r="J2845" s="8"/>
      <c r="L2845" s="6"/>
    </row>
    <row r="2846" spans="1:12" x14ac:dyDescent="0.3">
      <c r="A2846" s="8"/>
      <c r="C2846" s="6"/>
      <c r="E2846" s="6"/>
      <c r="J2846" s="8"/>
      <c r="L2846" s="6"/>
    </row>
    <row r="2847" spans="1:12" x14ac:dyDescent="0.3">
      <c r="A2847" s="8"/>
      <c r="C2847" s="6"/>
      <c r="E2847" s="6"/>
      <c r="J2847" s="8"/>
      <c r="L2847" s="6"/>
    </row>
    <row r="2848" spans="1:12" x14ac:dyDescent="0.3">
      <c r="A2848" s="8"/>
      <c r="C2848" s="6"/>
      <c r="E2848" s="6"/>
      <c r="J2848" s="8"/>
      <c r="L2848" s="6"/>
    </row>
    <row r="2849" spans="1:12" x14ac:dyDescent="0.3">
      <c r="A2849" s="8"/>
      <c r="C2849" s="6"/>
      <c r="E2849" s="6"/>
      <c r="J2849" s="8"/>
      <c r="L2849" s="6"/>
    </row>
    <row r="2850" spans="1:12" x14ac:dyDescent="0.3">
      <c r="A2850" s="8"/>
      <c r="C2850" s="6"/>
      <c r="E2850" s="6"/>
      <c r="J2850" s="8"/>
      <c r="L2850" s="6"/>
    </row>
    <row r="2851" spans="1:12" x14ac:dyDescent="0.3">
      <c r="A2851" s="8"/>
      <c r="C2851" s="6"/>
      <c r="E2851" s="6"/>
      <c r="J2851" s="8"/>
      <c r="L2851" s="6"/>
    </row>
    <row r="2852" spans="1:12" x14ac:dyDescent="0.3">
      <c r="A2852" s="8"/>
      <c r="C2852" s="6"/>
      <c r="E2852" s="6"/>
      <c r="J2852" s="8"/>
      <c r="L2852" s="6"/>
    </row>
    <row r="2853" spans="1:12" x14ac:dyDescent="0.3">
      <c r="A2853" s="8"/>
      <c r="C2853" s="6"/>
      <c r="E2853" s="6"/>
      <c r="J2853" s="8"/>
      <c r="L2853" s="6"/>
    </row>
    <row r="2854" spans="1:12" x14ac:dyDescent="0.3">
      <c r="A2854" s="8"/>
      <c r="C2854" s="6"/>
      <c r="E2854" s="6"/>
      <c r="J2854" s="8"/>
      <c r="L2854" s="6"/>
    </row>
    <row r="2855" spans="1:12" x14ac:dyDescent="0.3">
      <c r="A2855" s="8"/>
      <c r="C2855" s="6"/>
      <c r="E2855" s="6"/>
      <c r="J2855" s="8"/>
      <c r="L2855" s="6"/>
    </row>
    <row r="2856" spans="1:12" x14ac:dyDescent="0.3">
      <c r="A2856" s="8"/>
      <c r="C2856" s="6"/>
      <c r="E2856" s="6"/>
      <c r="J2856" s="8"/>
      <c r="L2856" s="6"/>
    </row>
    <row r="2857" spans="1:12" x14ac:dyDescent="0.3">
      <c r="A2857" s="8"/>
      <c r="C2857" s="6"/>
      <c r="E2857" s="6"/>
      <c r="J2857" s="8"/>
      <c r="L2857" s="6"/>
    </row>
    <row r="2858" spans="1:12" x14ac:dyDescent="0.3">
      <c r="A2858" s="8"/>
      <c r="C2858" s="6"/>
      <c r="E2858" s="6"/>
      <c r="J2858" s="8"/>
      <c r="L2858" s="6"/>
    </row>
    <row r="2859" spans="1:12" x14ac:dyDescent="0.3">
      <c r="A2859" s="8"/>
      <c r="C2859" s="6"/>
      <c r="E2859" s="6"/>
      <c r="J2859" s="8"/>
      <c r="L2859" s="6"/>
    </row>
    <row r="2860" spans="1:12" x14ac:dyDescent="0.3">
      <c r="A2860" s="8"/>
      <c r="C2860" s="6"/>
      <c r="E2860" s="6"/>
      <c r="J2860" s="8"/>
      <c r="L2860" s="6"/>
    </row>
    <row r="2861" spans="1:12" x14ac:dyDescent="0.3">
      <c r="A2861" s="8"/>
      <c r="C2861" s="6"/>
      <c r="E2861" s="6"/>
      <c r="J2861" s="8"/>
      <c r="L2861" s="6"/>
    </row>
    <row r="2862" spans="1:12" x14ac:dyDescent="0.3">
      <c r="A2862" s="8"/>
      <c r="C2862" s="6"/>
      <c r="E2862" s="6"/>
      <c r="J2862" s="8"/>
      <c r="L2862" s="6"/>
    </row>
    <row r="2863" spans="1:12" x14ac:dyDescent="0.3">
      <c r="A2863" s="8"/>
      <c r="C2863" s="6"/>
      <c r="E2863" s="6"/>
      <c r="J2863" s="8"/>
      <c r="L2863" s="6"/>
    </row>
    <row r="2864" spans="1:12" x14ac:dyDescent="0.3">
      <c r="A2864" s="8"/>
      <c r="C2864" s="6"/>
      <c r="E2864" s="6"/>
      <c r="J2864" s="8"/>
      <c r="L2864" s="6"/>
    </row>
    <row r="2865" spans="1:12" x14ac:dyDescent="0.3">
      <c r="A2865" s="8"/>
      <c r="C2865" s="6"/>
      <c r="E2865" s="6"/>
      <c r="J2865" s="8"/>
      <c r="L2865" s="6"/>
    </row>
    <row r="2866" spans="1:12" x14ac:dyDescent="0.3">
      <c r="A2866" s="8"/>
      <c r="C2866" s="6"/>
      <c r="E2866" s="6"/>
      <c r="J2866" s="8"/>
      <c r="L2866" s="6"/>
    </row>
    <row r="2867" spans="1:12" x14ac:dyDescent="0.3">
      <c r="A2867" s="8"/>
      <c r="C2867" s="6"/>
      <c r="E2867" s="6"/>
      <c r="J2867" s="8"/>
      <c r="L2867" s="6"/>
    </row>
    <row r="2868" spans="1:12" x14ac:dyDescent="0.3">
      <c r="A2868" s="8"/>
      <c r="C2868" s="6"/>
      <c r="E2868" s="6"/>
      <c r="J2868" s="8"/>
      <c r="L2868" s="6"/>
    </row>
    <row r="2869" spans="1:12" x14ac:dyDescent="0.3">
      <c r="A2869" s="8"/>
      <c r="C2869" s="6"/>
      <c r="E2869" s="6"/>
      <c r="J2869" s="8"/>
      <c r="L2869" s="6"/>
    </row>
    <row r="2870" spans="1:12" x14ac:dyDescent="0.3">
      <c r="A2870" s="8"/>
      <c r="C2870" s="6"/>
      <c r="E2870" s="6"/>
      <c r="J2870" s="8"/>
      <c r="L2870" s="6"/>
    </row>
    <row r="2871" spans="1:12" x14ac:dyDescent="0.3">
      <c r="A2871" s="8"/>
      <c r="C2871" s="6"/>
      <c r="E2871" s="6"/>
      <c r="J2871" s="8"/>
      <c r="L2871" s="6"/>
    </row>
    <row r="2872" spans="1:12" x14ac:dyDescent="0.3">
      <c r="A2872" s="8"/>
      <c r="C2872" s="6"/>
      <c r="E2872" s="6"/>
      <c r="J2872" s="8"/>
      <c r="L2872" s="6"/>
    </row>
    <row r="2873" spans="1:12" x14ac:dyDescent="0.3">
      <c r="A2873" s="8"/>
      <c r="C2873" s="6"/>
      <c r="E2873" s="6"/>
      <c r="J2873" s="8"/>
      <c r="L2873" s="6"/>
    </row>
    <row r="2874" spans="1:12" x14ac:dyDescent="0.3">
      <c r="A2874" s="8"/>
      <c r="C2874" s="6"/>
      <c r="E2874" s="6"/>
      <c r="J2874" s="8"/>
      <c r="L2874" s="6"/>
    </row>
    <row r="2875" spans="1:12" x14ac:dyDescent="0.3">
      <c r="A2875" s="8"/>
      <c r="C2875" s="6"/>
      <c r="E2875" s="6"/>
      <c r="J2875" s="8"/>
      <c r="L2875" s="6"/>
    </row>
    <row r="2876" spans="1:12" x14ac:dyDescent="0.3">
      <c r="A2876" s="8"/>
      <c r="C2876" s="6"/>
      <c r="E2876" s="6"/>
      <c r="J2876" s="8"/>
      <c r="L2876" s="6"/>
    </row>
    <row r="2877" spans="1:12" x14ac:dyDescent="0.3">
      <c r="A2877" s="8"/>
      <c r="C2877" s="6"/>
      <c r="E2877" s="6"/>
      <c r="J2877" s="8"/>
      <c r="L2877" s="6"/>
    </row>
    <row r="2878" spans="1:12" x14ac:dyDescent="0.3">
      <c r="A2878" s="8"/>
      <c r="C2878" s="6"/>
      <c r="E2878" s="6"/>
      <c r="J2878" s="8"/>
      <c r="L2878" s="6"/>
    </row>
    <row r="2879" spans="1:12" x14ac:dyDescent="0.3">
      <c r="A2879" s="8"/>
      <c r="C2879" s="6"/>
      <c r="E2879" s="6"/>
      <c r="J2879" s="8"/>
      <c r="L2879" s="6"/>
    </row>
    <row r="2880" spans="1:12" x14ac:dyDescent="0.3">
      <c r="A2880" s="8"/>
      <c r="C2880" s="6"/>
      <c r="E2880" s="6"/>
      <c r="J2880" s="8"/>
      <c r="L2880" s="6"/>
    </row>
    <row r="2881" spans="1:12" x14ac:dyDescent="0.3">
      <c r="A2881" s="8"/>
      <c r="C2881" s="6"/>
      <c r="E2881" s="6"/>
      <c r="J2881" s="8"/>
      <c r="L2881" s="6"/>
    </row>
    <row r="2882" spans="1:12" x14ac:dyDescent="0.3">
      <c r="A2882" s="8"/>
      <c r="C2882" s="6"/>
      <c r="E2882" s="6"/>
      <c r="J2882" s="8"/>
      <c r="L2882" s="6"/>
    </row>
    <row r="2883" spans="1:12" x14ac:dyDescent="0.3">
      <c r="A2883" s="8"/>
      <c r="C2883" s="6"/>
      <c r="E2883" s="6"/>
      <c r="J2883" s="8"/>
      <c r="L2883" s="6"/>
    </row>
    <row r="2884" spans="1:12" x14ac:dyDescent="0.3">
      <c r="A2884" s="8"/>
      <c r="C2884" s="6"/>
      <c r="E2884" s="6"/>
      <c r="J2884" s="8"/>
      <c r="L2884" s="6"/>
    </row>
    <row r="2885" spans="1:12" x14ac:dyDescent="0.3">
      <c r="A2885" s="8"/>
      <c r="C2885" s="6"/>
      <c r="E2885" s="6"/>
      <c r="J2885" s="8"/>
      <c r="L2885" s="6"/>
    </row>
    <row r="2886" spans="1:12" x14ac:dyDescent="0.3">
      <c r="A2886" s="8"/>
      <c r="C2886" s="6"/>
      <c r="E2886" s="6"/>
      <c r="J2886" s="8"/>
      <c r="L2886" s="6"/>
    </row>
    <row r="2887" spans="1:12" x14ac:dyDescent="0.3">
      <c r="A2887" s="8"/>
      <c r="C2887" s="6"/>
      <c r="E2887" s="6"/>
      <c r="J2887" s="8"/>
      <c r="L2887" s="6"/>
    </row>
    <row r="2888" spans="1:12" x14ac:dyDescent="0.3">
      <c r="A2888" s="8"/>
      <c r="C2888" s="6"/>
      <c r="E2888" s="6"/>
      <c r="J2888" s="8"/>
      <c r="L2888" s="6"/>
    </row>
    <row r="2889" spans="1:12" x14ac:dyDescent="0.3">
      <c r="A2889" s="8"/>
      <c r="C2889" s="6"/>
      <c r="E2889" s="6"/>
      <c r="J2889" s="8"/>
      <c r="L2889" s="6"/>
    </row>
    <row r="2890" spans="1:12" x14ac:dyDescent="0.3">
      <c r="A2890" s="8"/>
      <c r="C2890" s="6"/>
      <c r="E2890" s="6"/>
      <c r="J2890" s="8"/>
      <c r="L2890" s="6"/>
    </row>
    <row r="2891" spans="1:12" x14ac:dyDescent="0.3">
      <c r="A2891" s="8"/>
      <c r="C2891" s="6"/>
      <c r="E2891" s="6"/>
      <c r="J2891" s="8"/>
      <c r="L2891" s="6"/>
    </row>
    <row r="2892" spans="1:12" x14ac:dyDescent="0.3">
      <c r="A2892" s="8"/>
      <c r="C2892" s="6"/>
      <c r="E2892" s="6"/>
      <c r="J2892" s="8"/>
      <c r="L2892" s="6"/>
    </row>
    <row r="2893" spans="1:12" x14ac:dyDescent="0.3">
      <c r="A2893" s="8"/>
      <c r="C2893" s="6"/>
      <c r="E2893" s="6"/>
      <c r="J2893" s="8"/>
      <c r="L2893" s="6"/>
    </row>
    <row r="2894" spans="1:12" x14ac:dyDescent="0.3">
      <c r="A2894" s="8"/>
      <c r="C2894" s="6"/>
      <c r="E2894" s="6"/>
      <c r="J2894" s="8"/>
      <c r="L2894" s="6"/>
    </row>
    <row r="2895" spans="1:12" x14ac:dyDescent="0.3">
      <c r="A2895" s="8"/>
      <c r="C2895" s="6"/>
      <c r="E2895" s="6"/>
      <c r="J2895" s="8"/>
      <c r="L2895" s="6"/>
    </row>
    <row r="2896" spans="1:12" x14ac:dyDescent="0.3">
      <c r="A2896" s="8"/>
      <c r="C2896" s="6"/>
      <c r="E2896" s="6"/>
      <c r="J2896" s="8"/>
      <c r="L2896" s="6"/>
    </row>
    <row r="2897" spans="1:12" x14ac:dyDescent="0.3">
      <c r="A2897" s="8"/>
      <c r="C2897" s="6"/>
      <c r="E2897" s="6"/>
      <c r="J2897" s="8"/>
      <c r="L2897" s="6"/>
    </row>
    <row r="2898" spans="1:12" x14ac:dyDescent="0.3">
      <c r="A2898" s="8"/>
      <c r="C2898" s="6"/>
      <c r="E2898" s="6"/>
      <c r="J2898" s="8"/>
      <c r="L2898" s="6"/>
    </row>
    <row r="2899" spans="1:12" x14ac:dyDescent="0.3">
      <c r="A2899" s="8"/>
      <c r="C2899" s="6"/>
      <c r="E2899" s="6"/>
      <c r="J2899" s="8"/>
      <c r="L2899" s="6"/>
    </row>
    <row r="2900" spans="1:12" x14ac:dyDescent="0.3">
      <c r="A2900" s="8"/>
      <c r="C2900" s="6"/>
      <c r="E2900" s="6"/>
      <c r="J2900" s="8"/>
      <c r="L2900" s="6"/>
    </row>
    <row r="2901" spans="1:12" x14ac:dyDescent="0.3">
      <c r="A2901" s="8"/>
      <c r="C2901" s="6"/>
      <c r="E2901" s="6"/>
      <c r="J2901" s="8"/>
      <c r="L2901" s="6"/>
    </row>
    <row r="2902" spans="1:12" x14ac:dyDescent="0.3">
      <c r="A2902" s="8"/>
      <c r="C2902" s="6"/>
      <c r="E2902" s="6"/>
      <c r="J2902" s="8"/>
      <c r="L2902" s="6"/>
    </row>
    <row r="2903" spans="1:12" x14ac:dyDescent="0.3">
      <c r="A2903" s="8"/>
      <c r="C2903" s="6"/>
      <c r="E2903" s="6"/>
      <c r="J2903" s="8"/>
      <c r="L2903" s="6"/>
    </row>
    <row r="2904" spans="1:12" x14ac:dyDescent="0.3">
      <c r="A2904" s="8"/>
      <c r="C2904" s="6"/>
      <c r="E2904" s="6"/>
      <c r="J2904" s="8"/>
      <c r="L2904" s="6"/>
    </row>
    <row r="2905" spans="1:12" x14ac:dyDescent="0.3">
      <c r="A2905" s="8"/>
      <c r="C2905" s="6"/>
      <c r="E2905" s="6"/>
      <c r="J2905" s="8"/>
      <c r="L2905" s="6"/>
    </row>
    <row r="2906" spans="1:12" x14ac:dyDescent="0.3">
      <c r="A2906" s="8"/>
      <c r="C2906" s="6"/>
      <c r="E2906" s="6"/>
      <c r="J2906" s="8"/>
      <c r="L2906" s="6"/>
    </row>
    <row r="2907" spans="1:12" x14ac:dyDescent="0.3">
      <c r="A2907" s="8"/>
      <c r="C2907" s="6"/>
      <c r="E2907" s="6"/>
      <c r="J2907" s="8"/>
      <c r="L2907" s="6"/>
    </row>
    <row r="2908" spans="1:12" x14ac:dyDescent="0.3">
      <c r="A2908" s="8"/>
      <c r="C2908" s="6"/>
      <c r="E2908" s="6"/>
      <c r="J2908" s="8"/>
      <c r="L2908" s="6"/>
    </row>
    <row r="2909" spans="1:12" x14ac:dyDescent="0.3">
      <c r="A2909" s="8"/>
      <c r="C2909" s="6"/>
      <c r="E2909" s="6"/>
      <c r="J2909" s="8"/>
      <c r="L2909" s="6"/>
    </row>
    <row r="2910" spans="1:12" x14ac:dyDescent="0.3">
      <c r="A2910" s="8"/>
      <c r="C2910" s="6"/>
      <c r="E2910" s="6"/>
      <c r="J2910" s="8"/>
      <c r="L2910" s="6"/>
    </row>
    <row r="2911" spans="1:12" x14ac:dyDescent="0.3">
      <c r="A2911" s="8"/>
      <c r="C2911" s="6"/>
      <c r="E2911" s="6"/>
      <c r="J2911" s="8"/>
      <c r="L2911" s="6"/>
    </row>
    <row r="2912" spans="1:12" x14ac:dyDescent="0.3">
      <c r="A2912" s="8"/>
      <c r="C2912" s="6"/>
      <c r="E2912" s="6"/>
      <c r="J2912" s="8"/>
      <c r="L2912" s="6"/>
    </row>
    <row r="2913" spans="1:12" x14ac:dyDescent="0.3">
      <c r="A2913" s="8"/>
      <c r="C2913" s="6"/>
      <c r="E2913" s="6"/>
      <c r="J2913" s="8"/>
      <c r="L2913" s="6"/>
    </row>
    <row r="2914" spans="1:12" x14ac:dyDescent="0.3">
      <c r="A2914" s="8"/>
      <c r="C2914" s="6"/>
      <c r="E2914" s="6"/>
      <c r="J2914" s="8"/>
      <c r="L2914" s="6"/>
    </row>
    <row r="2915" spans="1:12" x14ac:dyDescent="0.3">
      <c r="A2915" s="8"/>
      <c r="C2915" s="6"/>
      <c r="E2915" s="6"/>
      <c r="J2915" s="8"/>
      <c r="L2915" s="6"/>
    </row>
    <row r="2916" spans="1:12" x14ac:dyDescent="0.3">
      <c r="A2916" s="8"/>
      <c r="C2916" s="6"/>
      <c r="E2916" s="6"/>
      <c r="J2916" s="8"/>
      <c r="L2916" s="6"/>
    </row>
    <row r="2917" spans="1:12" x14ac:dyDescent="0.3">
      <c r="A2917" s="8"/>
      <c r="C2917" s="6"/>
      <c r="E2917" s="6"/>
      <c r="J2917" s="8"/>
      <c r="L2917" s="6"/>
    </row>
    <row r="2918" spans="1:12" x14ac:dyDescent="0.3">
      <c r="A2918" s="8"/>
      <c r="C2918" s="6"/>
      <c r="E2918" s="6"/>
      <c r="J2918" s="8"/>
      <c r="L2918" s="6"/>
    </row>
    <row r="2919" spans="1:12" x14ac:dyDescent="0.3">
      <c r="A2919" s="8"/>
      <c r="C2919" s="6"/>
      <c r="E2919" s="6"/>
      <c r="J2919" s="8"/>
      <c r="L2919" s="6"/>
    </row>
    <row r="2920" spans="1:12" x14ac:dyDescent="0.3">
      <c r="A2920" s="8"/>
      <c r="C2920" s="6"/>
      <c r="E2920" s="6"/>
      <c r="J2920" s="8"/>
      <c r="L2920" s="6"/>
    </row>
    <row r="2921" spans="1:12" x14ac:dyDescent="0.3">
      <c r="A2921" s="8"/>
      <c r="C2921" s="6"/>
      <c r="E2921" s="6"/>
      <c r="J2921" s="8"/>
      <c r="L2921" s="6"/>
    </row>
    <row r="2922" spans="1:12" x14ac:dyDescent="0.3">
      <c r="A2922" s="8"/>
      <c r="C2922" s="6"/>
      <c r="E2922" s="6"/>
      <c r="J2922" s="8"/>
      <c r="L2922" s="6"/>
    </row>
    <row r="2923" spans="1:12" x14ac:dyDescent="0.3">
      <c r="A2923" s="8"/>
      <c r="C2923" s="6"/>
      <c r="E2923" s="6"/>
      <c r="J2923" s="8"/>
      <c r="L2923" s="6"/>
    </row>
    <row r="2924" spans="1:12" x14ac:dyDescent="0.3">
      <c r="A2924" s="8"/>
      <c r="C2924" s="6"/>
      <c r="E2924" s="6"/>
      <c r="J2924" s="8"/>
      <c r="L2924" s="6"/>
    </row>
    <row r="2925" spans="1:12" x14ac:dyDescent="0.3">
      <c r="A2925" s="8"/>
      <c r="C2925" s="6"/>
      <c r="E2925" s="6"/>
      <c r="J2925" s="8"/>
      <c r="L2925" s="6"/>
    </row>
    <row r="2926" spans="1:12" x14ac:dyDescent="0.3">
      <c r="A2926" s="8"/>
      <c r="C2926" s="6"/>
      <c r="E2926" s="6"/>
      <c r="J2926" s="8"/>
      <c r="L2926" s="6"/>
    </row>
    <row r="2927" spans="1:12" x14ac:dyDescent="0.3">
      <c r="A2927" s="8"/>
      <c r="C2927" s="6"/>
      <c r="E2927" s="6"/>
      <c r="J2927" s="8"/>
      <c r="L2927" s="6"/>
    </row>
    <row r="2928" spans="1:12" x14ac:dyDescent="0.3">
      <c r="A2928" s="8"/>
      <c r="C2928" s="6"/>
      <c r="E2928" s="6"/>
      <c r="J2928" s="8"/>
      <c r="L2928" s="6"/>
    </row>
    <row r="2929" spans="1:12" x14ac:dyDescent="0.3">
      <c r="A2929" s="8"/>
      <c r="C2929" s="6"/>
      <c r="E2929" s="6"/>
      <c r="J2929" s="8"/>
      <c r="L2929" s="6"/>
    </row>
    <row r="2930" spans="1:12" x14ac:dyDescent="0.3">
      <c r="A2930" s="8"/>
      <c r="C2930" s="6"/>
      <c r="E2930" s="6"/>
      <c r="J2930" s="8"/>
      <c r="L2930" s="6"/>
    </row>
    <row r="2931" spans="1:12" x14ac:dyDescent="0.3">
      <c r="A2931" s="8"/>
      <c r="C2931" s="6"/>
      <c r="E2931" s="6"/>
      <c r="J2931" s="8"/>
      <c r="L2931" s="6"/>
    </row>
    <row r="2932" spans="1:12" x14ac:dyDescent="0.3">
      <c r="A2932" s="8"/>
      <c r="C2932" s="6"/>
      <c r="E2932" s="6"/>
      <c r="J2932" s="8"/>
      <c r="L2932" s="6"/>
    </row>
    <row r="2933" spans="1:12" x14ac:dyDescent="0.3">
      <c r="A2933" s="8"/>
      <c r="C2933" s="6"/>
      <c r="E2933" s="6"/>
      <c r="J2933" s="8"/>
      <c r="L2933" s="6"/>
    </row>
    <row r="2934" spans="1:12" x14ac:dyDescent="0.3">
      <c r="A2934" s="8"/>
      <c r="C2934" s="6"/>
      <c r="E2934" s="6"/>
      <c r="J2934" s="8"/>
      <c r="L2934" s="6"/>
    </row>
    <row r="2935" spans="1:12" x14ac:dyDescent="0.3">
      <c r="A2935" s="8"/>
      <c r="C2935" s="6"/>
      <c r="E2935" s="6"/>
      <c r="J2935" s="8"/>
      <c r="L2935" s="6"/>
    </row>
    <row r="2936" spans="1:12" x14ac:dyDescent="0.3">
      <c r="A2936" s="8"/>
      <c r="C2936" s="6"/>
      <c r="E2936" s="6"/>
      <c r="J2936" s="8"/>
      <c r="L2936" s="6"/>
    </row>
    <row r="2937" spans="1:12" x14ac:dyDescent="0.3">
      <c r="A2937" s="8"/>
      <c r="C2937" s="6"/>
      <c r="E2937" s="6"/>
      <c r="J2937" s="8"/>
      <c r="L2937" s="6"/>
    </row>
    <row r="2938" spans="1:12" x14ac:dyDescent="0.3">
      <c r="A2938" s="8"/>
      <c r="C2938" s="6"/>
      <c r="E2938" s="6"/>
      <c r="J2938" s="8"/>
      <c r="L2938" s="6"/>
    </row>
    <row r="2939" spans="1:12" x14ac:dyDescent="0.3">
      <c r="A2939" s="8"/>
      <c r="C2939" s="6"/>
      <c r="E2939" s="6"/>
      <c r="J2939" s="8"/>
      <c r="L2939" s="6"/>
    </row>
    <row r="2940" spans="1:12" x14ac:dyDescent="0.3">
      <c r="A2940" s="8"/>
      <c r="C2940" s="6"/>
      <c r="E2940" s="6"/>
      <c r="J2940" s="8"/>
      <c r="L2940" s="6"/>
    </row>
    <row r="2941" spans="1:12" x14ac:dyDescent="0.3">
      <c r="A2941" s="8"/>
      <c r="C2941" s="6"/>
      <c r="E2941" s="6"/>
      <c r="J2941" s="8"/>
      <c r="L2941" s="6"/>
    </row>
    <row r="2942" spans="1:12" x14ac:dyDescent="0.3">
      <c r="A2942" s="8"/>
      <c r="C2942" s="6"/>
      <c r="E2942" s="6"/>
      <c r="J2942" s="8"/>
      <c r="L2942" s="6"/>
    </row>
    <row r="2943" spans="1:12" x14ac:dyDescent="0.3">
      <c r="A2943" s="8"/>
      <c r="C2943" s="6"/>
      <c r="E2943" s="6"/>
      <c r="J2943" s="8"/>
      <c r="L2943" s="6"/>
    </row>
    <row r="2944" spans="1:12" x14ac:dyDescent="0.3">
      <c r="A2944" s="8"/>
      <c r="C2944" s="6"/>
      <c r="E2944" s="6"/>
      <c r="J2944" s="8"/>
      <c r="L2944" s="6"/>
    </row>
    <row r="2945" spans="1:12" x14ac:dyDescent="0.3">
      <c r="A2945" s="8"/>
      <c r="C2945" s="6"/>
      <c r="E2945" s="6"/>
      <c r="J2945" s="8"/>
      <c r="L2945" s="6"/>
    </row>
    <row r="2946" spans="1:12" x14ac:dyDescent="0.3">
      <c r="A2946" s="8"/>
      <c r="C2946" s="6"/>
      <c r="E2946" s="6"/>
      <c r="J2946" s="8"/>
      <c r="L2946" s="6"/>
    </row>
    <row r="2947" spans="1:12" x14ac:dyDescent="0.3">
      <c r="A2947" s="8"/>
      <c r="C2947" s="6"/>
      <c r="E2947" s="6"/>
      <c r="J2947" s="8"/>
      <c r="L2947" s="6"/>
    </row>
    <row r="2948" spans="1:12" x14ac:dyDescent="0.3">
      <c r="A2948" s="8"/>
      <c r="C2948" s="6"/>
      <c r="E2948" s="6"/>
      <c r="J2948" s="8"/>
      <c r="L2948" s="6"/>
    </row>
    <row r="2949" spans="1:12" x14ac:dyDescent="0.3">
      <c r="A2949" s="8"/>
      <c r="C2949" s="6"/>
      <c r="E2949" s="6"/>
      <c r="J2949" s="8"/>
      <c r="L2949" s="6"/>
    </row>
    <row r="2950" spans="1:12" x14ac:dyDescent="0.3">
      <c r="A2950" s="8"/>
      <c r="C2950" s="6"/>
      <c r="E2950" s="6"/>
      <c r="J2950" s="8"/>
      <c r="L2950" s="6"/>
    </row>
    <row r="2951" spans="1:12" x14ac:dyDescent="0.3">
      <c r="A2951" s="8"/>
      <c r="C2951" s="6"/>
      <c r="E2951" s="6"/>
      <c r="J2951" s="8"/>
      <c r="L2951" s="6"/>
    </row>
    <row r="2952" spans="1:12" x14ac:dyDescent="0.3">
      <c r="A2952" s="8"/>
      <c r="C2952" s="6"/>
      <c r="E2952" s="6"/>
      <c r="J2952" s="8"/>
      <c r="L2952" s="6"/>
    </row>
    <row r="2953" spans="1:12" x14ac:dyDescent="0.3">
      <c r="A2953" s="8"/>
      <c r="C2953" s="6"/>
      <c r="E2953" s="6"/>
      <c r="J2953" s="8"/>
      <c r="L2953" s="6"/>
    </row>
    <row r="2954" spans="1:12" x14ac:dyDescent="0.3">
      <c r="A2954" s="8"/>
      <c r="C2954" s="6"/>
      <c r="E2954" s="6"/>
      <c r="J2954" s="8"/>
      <c r="L2954" s="6"/>
    </row>
    <row r="2955" spans="1:12" x14ac:dyDescent="0.3">
      <c r="A2955" s="8"/>
      <c r="C2955" s="6"/>
      <c r="E2955" s="6"/>
      <c r="J2955" s="8"/>
      <c r="L2955" s="6"/>
    </row>
    <row r="2956" spans="1:12" x14ac:dyDescent="0.3">
      <c r="A2956" s="8"/>
      <c r="C2956" s="6"/>
      <c r="E2956" s="6"/>
      <c r="J2956" s="8"/>
      <c r="L2956" s="6"/>
    </row>
    <row r="2957" spans="1:12" x14ac:dyDescent="0.3">
      <c r="A2957" s="8"/>
      <c r="C2957" s="6"/>
      <c r="E2957" s="6"/>
      <c r="J2957" s="8"/>
      <c r="L2957" s="6"/>
    </row>
    <row r="2958" spans="1:12" x14ac:dyDescent="0.3">
      <c r="A2958" s="8"/>
      <c r="C2958" s="6"/>
      <c r="E2958" s="6"/>
      <c r="J2958" s="8"/>
      <c r="L2958" s="6"/>
    </row>
    <row r="2959" spans="1:12" x14ac:dyDescent="0.3">
      <c r="A2959" s="8"/>
      <c r="C2959" s="6"/>
      <c r="E2959" s="6"/>
      <c r="J2959" s="8"/>
      <c r="L2959" s="6"/>
    </row>
    <row r="2960" spans="1:12" x14ac:dyDescent="0.3">
      <c r="A2960" s="8"/>
      <c r="C2960" s="6"/>
      <c r="E2960" s="6"/>
      <c r="J2960" s="8"/>
      <c r="L2960" s="6"/>
    </row>
    <row r="2961" spans="1:12" x14ac:dyDescent="0.3">
      <c r="A2961" s="8"/>
      <c r="C2961" s="6"/>
      <c r="E2961" s="6"/>
      <c r="J2961" s="8"/>
      <c r="L2961" s="6"/>
    </row>
    <row r="2962" spans="1:12" x14ac:dyDescent="0.3">
      <c r="A2962" s="8"/>
      <c r="C2962" s="6"/>
      <c r="E2962" s="6"/>
      <c r="J2962" s="8"/>
      <c r="L2962" s="6"/>
    </row>
    <row r="2963" spans="1:12" x14ac:dyDescent="0.3">
      <c r="A2963" s="8"/>
      <c r="C2963" s="6"/>
      <c r="E2963" s="6"/>
      <c r="J2963" s="8"/>
      <c r="L2963" s="6"/>
    </row>
    <row r="2964" spans="1:12" x14ac:dyDescent="0.3">
      <c r="A2964" s="8"/>
      <c r="C2964" s="6"/>
      <c r="E2964" s="6"/>
      <c r="J2964" s="8"/>
      <c r="L2964" s="6"/>
    </row>
    <row r="2965" spans="1:12" x14ac:dyDescent="0.3">
      <c r="A2965" s="8"/>
      <c r="C2965" s="6"/>
      <c r="E2965" s="6"/>
      <c r="J2965" s="8"/>
      <c r="L2965" s="6"/>
    </row>
    <row r="2966" spans="1:12" x14ac:dyDescent="0.3">
      <c r="A2966" s="8"/>
      <c r="C2966" s="6"/>
      <c r="E2966" s="6"/>
      <c r="J2966" s="8"/>
      <c r="L2966" s="6"/>
    </row>
    <row r="2967" spans="1:12" x14ac:dyDescent="0.3">
      <c r="A2967" s="8"/>
      <c r="C2967" s="6"/>
      <c r="E2967" s="6"/>
      <c r="J2967" s="8"/>
      <c r="L2967" s="6"/>
    </row>
    <row r="2968" spans="1:12" x14ac:dyDescent="0.3">
      <c r="A2968" s="8"/>
      <c r="C2968" s="6"/>
      <c r="E2968" s="6"/>
      <c r="J2968" s="8"/>
      <c r="L2968" s="6"/>
    </row>
    <row r="2969" spans="1:12" x14ac:dyDescent="0.3">
      <c r="A2969" s="8"/>
      <c r="C2969" s="6"/>
      <c r="E2969" s="6"/>
      <c r="J2969" s="8"/>
      <c r="L2969" s="6"/>
    </row>
    <row r="2970" spans="1:12" x14ac:dyDescent="0.3">
      <c r="A2970" s="8"/>
      <c r="C2970" s="6"/>
      <c r="E2970" s="6"/>
      <c r="J2970" s="8"/>
      <c r="L2970" s="6"/>
    </row>
    <row r="2971" spans="1:12" x14ac:dyDescent="0.3">
      <c r="A2971" s="8"/>
      <c r="C2971" s="6"/>
      <c r="E2971" s="6"/>
      <c r="J2971" s="8"/>
      <c r="L2971" s="6"/>
    </row>
    <row r="2972" spans="1:12" x14ac:dyDescent="0.3">
      <c r="A2972" s="8"/>
      <c r="C2972" s="6"/>
      <c r="E2972" s="6"/>
      <c r="J2972" s="8"/>
      <c r="L2972" s="6"/>
    </row>
    <row r="2973" spans="1:12" x14ac:dyDescent="0.3">
      <c r="A2973" s="8"/>
      <c r="C2973" s="6"/>
      <c r="E2973" s="6"/>
      <c r="J2973" s="8"/>
      <c r="L2973" s="6"/>
    </row>
    <row r="2974" spans="1:12" x14ac:dyDescent="0.3">
      <c r="A2974" s="8"/>
      <c r="C2974" s="6"/>
      <c r="E2974" s="6"/>
      <c r="J2974" s="8"/>
      <c r="L2974" s="6"/>
    </row>
    <row r="2975" spans="1:12" x14ac:dyDescent="0.3">
      <c r="A2975" s="8"/>
      <c r="C2975" s="6"/>
      <c r="E2975" s="6"/>
      <c r="J2975" s="8"/>
      <c r="L2975" s="6"/>
    </row>
    <row r="2976" spans="1:12" x14ac:dyDescent="0.3">
      <c r="A2976" s="8"/>
      <c r="C2976" s="6"/>
      <c r="E2976" s="6"/>
      <c r="J2976" s="8"/>
      <c r="L2976" s="6"/>
    </row>
    <row r="2977" spans="1:12" x14ac:dyDescent="0.3">
      <c r="A2977" s="8"/>
      <c r="C2977" s="6"/>
      <c r="E2977" s="6"/>
      <c r="J2977" s="8"/>
      <c r="L2977" s="6"/>
    </row>
    <row r="2978" spans="1:12" x14ac:dyDescent="0.3">
      <c r="A2978" s="8"/>
      <c r="C2978" s="6"/>
      <c r="E2978" s="6"/>
      <c r="J2978" s="8"/>
      <c r="L2978" s="6"/>
    </row>
    <row r="2979" spans="1:12" x14ac:dyDescent="0.3">
      <c r="A2979" s="8"/>
      <c r="C2979" s="6"/>
      <c r="E2979" s="6"/>
      <c r="J2979" s="8"/>
      <c r="L2979" s="6"/>
    </row>
    <row r="2980" spans="1:12" x14ac:dyDescent="0.3">
      <c r="A2980" s="8"/>
      <c r="C2980" s="6"/>
      <c r="E2980" s="6"/>
      <c r="J2980" s="8"/>
      <c r="L2980" s="6"/>
    </row>
    <row r="2981" spans="1:12" x14ac:dyDescent="0.3">
      <c r="A2981" s="8"/>
      <c r="C2981" s="6"/>
      <c r="E2981" s="6"/>
      <c r="J2981" s="8"/>
      <c r="L2981" s="6"/>
    </row>
    <row r="2982" spans="1:12" x14ac:dyDescent="0.3">
      <c r="A2982" s="8"/>
      <c r="C2982" s="6"/>
      <c r="E2982" s="6"/>
      <c r="J2982" s="8"/>
      <c r="L2982" s="6"/>
    </row>
    <row r="2983" spans="1:12" x14ac:dyDescent="0.3">
      <c r="A2983" s="8"/>
      <c r="C2983" s="6"/>
      <c r="E2983" s="6"/>
      <c r="J2983" s="8"/>
      <c r="L2983" s="6"/>
    </row>
    <row r="2984" spans="1:12" x14ac:dyDescent="0.3">
      <c r="A2984" s="8"/>
      <c r="C2984" s="6"/>
      <c r="E2984" s="6"/>
      <c r="J2984" s="8"/>
      <c r="L2984" s="6"/>
    </row>
    <row r="2985" spans="1:12" x14ac:dyDescent="0.3">
      <c r="A2985" s="8"/>
      <c r="C2985" s="6"/>
      <c r="E2985" s="6"/>
      <c r="J2985" s="8"/>
      <c r="L2985" s="6"/>
    </row>
    <row r="2986" spans="1:12" x14ac:dyDescent="0.3">
      <c r="A2986" s="8"/>
      <c r="C2986" s="6"/>
      <c r="E2986" s="6"/>
      <c r="J2986" s="8"/>
      <c r="L2986" s="6"/>
    </row>
    <row r="2987" spans="1:12" x14ac:dyDescent="0.3">
      <c r="A2987" s="8"/>
      <c r="C2987" s="6"/>
      <c r="E2987" s="6"/>
      <c r="J2987" s="8"/>
      <c r="L2987" s="6"/>
    </row>
    <row r="2988" spans="1:12" x14ac:dyDescent="0.3">
      <c r="A2988" s="8"/>
      <c r="C2988" s="6"/>
      <c r="E2988" s="6"/>
      <c r="J2988" s="8"/>
      <c r="L2988" s="6"/>
    </row>
    <row r="2989" spans="1:12" x14ac:dyDescent="0.3">
      <c r="A2989" s="8"/>
      <c r="C2989" s="6"/>
      <c r="E2989" s="6"/>
      <c r="J2989" s="8"/>
      <c r="L2989" s="6"/>
    </row>
    <row r="2990" spans="1:12" x14ac:dyDescent="0.3">
      <c r="A2990" s="8"/>
      <c r="C2990" s="6"/>
      <c r="E2990" s="6"/>
      <c r="J2990" s="8"/>
      <c r="L2990" s="6"/>
    </row>
    <row r="2991" spans="1:12" x14ac:dyDescent="0.3">
      <c r="A2991" s="8"/>
      <c r="C2991" s="6"/>
      <c r="E2991" s="6"/>
      <c r="J2991" s="8"/>
      <c r="L2991" s="6"/>
    </row>
    <row r="2992" spans="1:12" x14ac:dyDescent="0.3">
      <c r="A2992" s="8"/>
      <c r="C2992" s="6"/>
      <c r="E2992" s="6"/>
      <c r="J2992" s="8"/>
      <c r="L2992" s="6"/>
    </row>
    <row r="2993" spans="1:12" x14ac:dyDescent="0.3">
      <c r="A2993" s="8"/>
      <c r="C2993" s="6"/>
      <c r="E2993" s="6"/>
      <c r="J2993" s="8"/>
      <c r="L2993" s="6"/>
    </row>
    <row r="2994" spans="1:12" x14ac:dyDescent="0.3">
      <c r="A2994" s="8"/>
      <c r="C2994" s="6"/>
      <c r="E2994" s="6"/>
      <c r="J2994" s="8"/>
      <c r="L2994" s="6"/>
    </row>
    <row r="2995" spans="1:12" x14ac:dyDescent="0.3">
      <c r="A2995" s="8"/>
      <c r="C2995" s="6"/>
      <c r="E2995" s="6"/>
      <c r="J2995" s="8"/>
      <c r="L2995" s="6"/>
    </row>
    <row r="2996" spans="1:12" x14ac:dyDescent="0.3">
      <c r="A2996" s="8"/>
      <c r="C2996" s="6"/>
      <c r="E2996" s="6"/>
      <c r="J2996" s="8"/>
      <c r="L2996" s="6"/>
    </row>
    <row r="2997" spans="1:12" x14ac:dyDescent="0.3">
      <c r="A2997" s="8"/>
      <c r="C2997" s="6"/>
      <c r="E2997" s="6"/>
      <c r="J2997" s="8"/>
      <c r="L2997" s="6"/>
    </row>
    <row r="2998" spans="1:12" x14ac:dyDescent="0.3">
      <c r="A2998" s="8"/>
      <c r="C2998" s="6"/>
      <c r="E2998" s="6"/>
      <c r="J2998" s="8"/>
      <c r="L2998" s="6"/>
    </row>
    <row r="2999" spans="1:12" x14ac:dyDescent="0.3">
      <c r="A2999" s="8"/>
      <c r="C2999" s="6"/>
      <c r="E2999" s="6"/>
      <c r="J2999" s="8"/>
      <c r="L2999" s="6"/>
    </row>
    <row r="3000" spans="1:12" x14ac:dyDescent="0.3">
      <c r="A3000" s="8"/>
      <c r="C3000" s="6"/>
      <c r="E3000" s="6"/>
      <c r="J3000" s="8"/>
      <c r="L3000" s="6"/>
    </row>
    <row r="3001" spans="1:12" x14ac:dyDescent="0.3">
      <c r="A3001" s="8"/>
      <c r="C3001" s="6"/>
      <c r="E3001" s="6"/>
      <c r="J3001" s="8"/>
      <c r="L3001" s="6"/>
    </row>
    <row r="3002" spans="1:12" x14ac:dyDescent="0.3">
      <c r="A3002" s="8"/>
      <c r="C3002" s="6"/>
      <c r="E3002" s="6"/>
      <c r="J3002" s="8"/>
      <c r="L3002" s="6"/>
    </row>
    <row r="3003" spans="1:12" x14ac:dyDescent="0.3">
      <c r="A3003" s="8"/>
      <c r="C3003" s="6"/>
      <c r="E3003" s="6"/>
      <c r="J3003" s="8"/>
      <c r="L3003" s="6"/>
    </row>
    <row r="3004" spans="1:12" x14ac:dyDescent="0.3">
      <c r="A3004" s="8"/>
      <c r="C3004" s="6"/>
      <c r="E3004" s="6"/>
      <c r="J3004" s="8"/>
      <c r="L3004" s="6"/>
    </row>
    <row r="3005" spans="1:12" x14ac:dyDescent="0.3">
      <c r="A3005" s="8"/>
      <c r="C3005" s="6"/>
      <c r="E3005" s="6"/>
      <c r="J3005" s="8"/>
      <c r="L3005" s="6"/>
    </row>
    <row r="3006" spans="1:12" x14ac:dyDescent="0.3">
      <c r="A3006" s="8"/>
      <c r="C3006" s="6"/>
      <c r="E3006" s="6"/>
      <c r="J3006" s="8"/>
      <c r="L3006" s="6"/>
    </row>
    <row r="3007" spans="1:12" x14ac:dyDescent="0.3">
      <c r="A3007" s="8"/>
      <c r="C3007" s="6"/>
      <c r="E3007" s="6"/>
      <c r="J3007" s="8"/>
      <c r="L3007" s="6"/>
    </row>
    <row r="3008" spans="1:12" x14ac:dyDescent="0.3">
      <c r="A3008" s="8"/>
      <c r="C3008" s="6"/>
      <c r="E3008" s="6"/>
      <c r="J3008" s="8"/>
      <c r="L3008" s="6"/>
    </row>
    <row r="3009" spans="1:12" x14ac:dyDescent="0.3">
      <c r="A3009" s="8"/>
      <c r="C3009" s="6"/>
      <c r="E3009" s="6"/>
      <c r="J3009" s="8"/>
      <c r="L3009" s="6"/>
    </row>
    <row r="3010" spans="1:12" x14ac:dyDescent="0.3">
      <c r="A3010" s="8"/>
      <c r="C3010" s="6"/>
      <c r="E3010" s="6"/>
      <c r="J3010" s="8"/>
      <c r="L3010" s="6"/>
    </row>
    <row r="3011" spans="1:12" x14ac:dyDescent="0.3">
      <c r="A3011" s="8"/>
      <c r="C3011" s="6"/>
      <c r="E3011" s="6"/>
      <c r="J3011" s="8"/>
      <c r="L3011" s="6"/>
    </row>
    <row r="3012" spans="1:12" x14ac:dyDescent="0.3">
      <c r="A3012" s="8"/>
      <c r="C3012" s="6"/>
      <c r="E3012" s="6"/>
      <c r="J3012" s="8"/>
      <c r="L3012" s="6"/>
    </row>
    <row r="3013" spans="1:12" x14ac:dyDescent="0.3">
      <c r="A3013" s="8"/>
      <c r="C3013" s="6"/>
      <c r="E3013" s="6"/>
      <c r="J3013" s="8"/>
      <c r="L3013" s="6"/>
    </row>
    <row r="3014" spans="1:12" x14ac:dyDescent="0.3">
      <c r="A3014" s="8"/>
      <c r="C3014" s="6"/>
      <c r="E3014" s="6"/>
      <c r="J3014" s="8"/>
      <c r="L3014" s="6"/>
    </row>
    <row r="3015" spans="1:12" x14ac:dyDescent="0.3">
      <c r="A3015" s="8"/>
      <c r="C3015" s="6"/>
      <c r="E3015" s="6"/>
      <c r="J3015" s="8"/>
      <c r="L3015" s="6"/>
    </row>
    <row r="3016" spans="1:12" x14ac:dyDescent="0.3">
      <c r="A3016" s="8"/>
      <c r="C3016" s="6"/>
      <c r="E3016" s="6"/>
      <c r="J3016" s="8"/>
      <c r="L3016" s="6"/>
    </row>
    <row r="3017" spans="1:12" x14ac:dyDescent="0.3">
      <c r="A3017" s="8"/>
      <c r="C3017" s="6"/>
      <c r="E3017" s="6"/>
      <c r="J3017" s="8"/>
      <c r="L3017" s="6"/>
    </row>
    <row r="3018" spans="1:12" x14ac:dyDescent="0.3">
      <c r="A3018" s="8"/>
      <c r="C3018" s="6"/>
      <c r="E3018" s="6"/>
      <c r="J3018" s="8"/>
      <c r="L3018" s="6"/>
    </row>
    <row r="3019" spans="1:12" x14ac:dyDescent="0.3">
      <c r="A3019" s="8"/>
      <c r="C3019" s="6"/>
      <c r="E3019" s="6"/>
      <c r="J3019" s="8"/>
      <c r="L3019" s="6"/>
    </row>
    <row r="3020" spans="1:12" x14ac:dyDescent="0.3">
      <c r="A3020" s="8"/>
      <c r="C3020" s="6"/>
      <c r="E3020" s="6"/>
      <c r="J3020" s="8"/>
      <c r="L3020" s="6"/>
    </row>
    <row r="3021" spans="1:12" x14ac:dyDescent="0.3">
      <c r="A3021" s="8"/>
      <c r="C3021" s="6"/>
      <c r="E3021" s="6"/>
      <c r="J3021" s="8"/>
      <c r="L3021" s="6"/>
    </row>
    <row r="3022" spans="1:12" x14ac:dyDescent="0.3">
      <c r="A3022" s="8"/>
      <c r="C3022" s="6"/>
      <c r="E3022" s="6"/>
      <c r="J3022" s="8"/>
      <c r="L3022" s="6"/>
    </row>
    <row r="3023" spans="1:12" x14ac:dyDescent="0.3">
      <c r="A3023" s="8"/>
      <c r="C3023" s="6"/>
      <c r="E3023" s="6"/>
      <c r="J3023" s="8"/>
      <c r="L3023" s="6"/>
    </row>
    <row r="3024" spans="1:12" x14ac:dyDescent="0.3">
      <c r="A3024" s="8"/>
      <c r="C3024" s="6"/>
      <c r="E3024" s="6"/>
      <c r="J3024" s="8"/>
      <c r="L3024" s="6"/>
    </row>
    <row r="3025" spans="1:12" x14ac:dyDescent="0.3">
      <c r="A3025" s="8"/>
      <c r="C3025" s="6"/>
      <c r="E3025" s="6"/>
      <c r="J3025" s="8"/>
      <c r="L3025" s="6"/>
    </row>
    <row r="3026" spans="1:12" x14ac:dyDescent="0.3">
      <c r="A3026" s="8"/>
      <c r="C3026" s="6"/>
      <c r="E3026" s="6"/>
      <c r="J3026" s="8"/>
      <c r="L3026" s="6"/>
    </row>
    <row r="3027" spans="1:12" x14ac:dyDescent="0.3">
      <c r="A3027" s="8"/>
      <c r="C3027" s="6"/>
      <c r="E3027" s="6"/>
      <c r="J3027" s="8"/>
      <c r="L3027" s="6"/>
    </row>
    <row r="3028" spans="1:12" x14ac:dyDescent="0.3">
      <c r="A3028" s="8"/>
      <c r="C3028" s="6"/>
      <c r="E3028" s="6"/>
      <c r="J3028" s="8"/>
      <c r="L3028" s="6"/>
    </row>
    <row r="3029" spans="1:12" x14ac:dyDescent="0.3">
      <c r="A3029" s="8"/>
      <c r="C3029" s="6"/>
      <c r="E3029" s="6"/>
      <c r="J3029" s="8"/>
      <c r="L3029" s="6"/>
    </row>
    <row r="3030" spans="1:12" x14ac:dyDescent="0.3">
      <c r="A3030" s="8"/>
      <c r="C3030" s="6"/>
      <c r="E3030" s="6"/>
      <c r="J3030" s="8"/>
      <c r="L3030" s="6"/>
    </row>
    <row r="3031" spans="1:12" x14ac:dyDescent="0.3">
      <c r="A3031" s="8"/>
      <c r="C3031" s="6"/>
      <c r="E3031" s="6"/>
      <c r="J3031" s="8"/>
      <c r="L3031" s="6"/>
    </row>
    <row r="3032" spans="1:12" x14ac:dyDescent="0.3">
      <c r="A3032" s="8"/>
      <c r="C3032" s="6"/>
      <c r="E3032" s="6"/>
      <c r="J3032" s="8"/>
      <c r="L3032" s="6"/>
    </row>
    <row r="3033" spans="1:12" x14ac:dyDescent="0.3">
      <c r="A3033" s="8"/>
      <c r="C3033" s="6"/>
      <c r="E3033" s="6"/>
      <c r="J3033" s="8"/>
      <c r="L3033" s="6"/>
    </row>
    <row r="3034" spans="1:12" x14ac:dyDescent="0.3">
      <c r="A3034" s="8"/>
      <c r="C3034" s="6"/>
      <c r="E3034" s="6"/>
      <c r="J3034" s="8"/>
      <c r="L3034" s="6"/>
    </row>
    <row r="3035" spans="1:12" x14ac:dyDescent="0.3">
      <c r="A3035" s="8"/>
      <c r="C3035" s="6"/>
      <c r="E3035" s="6"/>
      <c r="J3035" s="8"/>
      <c r="L3035" s="6"/>
    </row>
    <row r="3036" spans="1:12" x14ac:dyDescent="0.3">
      <c r="A3036" s="8"/>
      <c r="C3036" s="6"/>
      <c r="E3036" s="6"/>
      <c r="J3036" s="8"/>
      <c r="L3036" s="6"/>
    </row>
    <row r="3037" spans="1:12" x14ac:dyDescent="0.3">
      <c r="A3037" s="8"/>
      <c r="C3037" s="6"/>
      <c r="E3037" s="6"/>
      <c r="J3037" s="8"/>
      <c r="L3037" s="6"/>
    </row>
    <row r="3038" spans="1:12" x14ac:dyDescent="0.3">
      <c r="A3038" s="8"/>
      <c r="C3038" s="6"/>
      <c r="E3038" s="6"/>
      <c r="J3038" s="8"/>
      <c r="L3038" s="6"/>
    </row>
    <row r="3039" spans="1:12" x14ac:dyDescent="0.3">
      <c r="A3039" s="8"/>
      <c r="C3039" s="6"/>
      <c r="E3039" s="6"/>
      <c r="J3039" s="8"/>
      <c r="L3039" s="6"/>
    </row>
    <row r="3040" spans="1:12" x14ac:dyDescent="0.3">
      <c r="A3040" s="8"/>
      <c r="C3040" s="6"/>
      <c r="E3040" s="6"/>
      <c r="J3040" s="8"/>
      <c r="L3040" s="6"/>
    </row>
    <row r="3041" spans="1:12" x14ac:dyDescent="0.3">
      <c r="A3041" s="8"/>
      <c r="C3041" s="6"/>
      <c r="E3041" s="6"/>
      <c r="J3041" s="8"/>
      <c r="L3041" s="6"/>
    </row>
    <row r="3042" spans="1:12" x14ac:dyDescent="0.3">
      <c r="A3042" s="8"/>
      <c r="C3042" s="6"/>
      <c r="E3042" s="6"/>
      <c r="J3042" s="8"/>
      <c r="L3042" s="6"/>
    </row>
    <row r="3043" spans="1:12" x14ac:dyDescent="0.3">
      <c r="A3043" s="8"/>
      <c r="C3043" s="6"/>
      <c r="E3043" s="6"/>
      <c r="J3043" s="8"/>
      <c r="L3043" s="6"/>
    </row>
    <row r="3044" spans="1:12" x14ac:dyDescent="0.3">
      <c r="A3044" s="8"/>
      <c r="C3044" s="6"/>
      <c r="E3044" s="6"/>
      <c r="J3044" s="8"/>
      <c r="L3044" s="6"/>
    </row>
    <row r="3045" spans="1:12" x14ac:dyDescent="0.3">
      <c r="A3045" s="8"/>
      <c r="C3045" s="6"/>
      <c r="E3045" s="6"/>
      <c r="J3045" s="8"/>
      <c r="L3045" s="6"/>
    </row>
    <row r="3046" spans="1:12" x14ac:dyDescent="0.3">
      <c r="A3046" s="8"/>
      <c r="C3046" s="6"/>
      <c r="E3046" s="6"/>
      <c r="J3046" s="8"/>
      <c r="L3046" s="6"/>
    </row>
    <row r="3047" spans="1:12" x14ac:dyDescent="0.3">
      <c r="A3047" s="8"/>
      <c r="C3047" s="6"/>
      <c r="E3047" s="6"/>
      <c r="J3047" s="8"/>
      <c r="L3047" s="6"/>
    </row>
    <row r="3048" spans="1:12" x14ac:dyDescent="0.3">
      <c r="A3048" s="8"/>
      <c r="C3048" s="6"/>
      <c r="E3048" s="6"/>
      <c r="J3048" s="8"/>
      <c r="L3048" s="6"/>
    </row>
    <row r="3049" spans="1:12" x14ac:dyDescent="0.3">
      <c r="A3049" s="8"/>
      <c r="C3049" s="6"/>
      <c r="E3049" s="6"/>
      <c r="J3049" s="8"/>
      <c r="L3049" s="6"/>
    </row>
    <row r="3050" spans="1:12" x14ac:dyDescent="0.3">
      <c r="A3050" s="8"/>
      <c r="C3050" s="6"/>
      <c r="E3050" s="6"/>
      <c r="J3050" s="8"/>
      <c r="L3050" s="6"/>
    </row>
    <row r="3051" spans="1:12" x14ac:dyDescent="0.3">
      <c r="A3051" s="8"/>
      <c r="C3051" s="6"/>
      <c r="E3051" s="6"/>
      <c r="J3051" s="8"/>
      <c r="L3051" s="6"/>
    </row>
    <row r="3052" spans="1:12" x14ac:dyDescent="0.3">
      <c r="A3052" s="8"/>
      <c r="C3052" s="6"/>
      <c r="E3052" s="6"/>
      <c r="J3052" s="8"/>
      <c r="L3052" s="6"/>
    </row>
    <row r="3053" spans="1:12" x14ac:dyDescent="0.3">
      <c r="A3053" s="8"/>
      <c r="C3053" s="6"/>
      <c r="E3053" s="6"/>
      <c r="J3053" s="8"/>
      <c r="L3053" s="6"/>
    </row>
    <row r="3054" spans="1:12" x14ac:dyDescent="0.3">
      <c r="A3054" s="8"/>
      <c r="C3054" s="6"/>
      <c r="E3054" s="6"/>
      <c r="J3054" s="8"/>
      <c r="L3054" s="6"/>
    </row>
    <row r="3055" spans="1:12" x14ac:dyDescent="0.3">
      <c r="A3055" s="8"/>
      <c r="C3055" s="6"/>
      <c r="E3055" s="6"/>
      <c r="J3055" s="8"/>
      <c r="L3055" s="6"/>
    </row>
    <row r="3056" spans="1:12" x14ac:dyDescent="0.3">
      <c r="A3056" s="8"/>
      <c r="C3056" s="6"/>
      <c r="E3056" s="6"/>
      <c r="J3056" s="8"/>
      <c r="L3056" s="6"/>
    </row>
    <row r="3057" spans="1:12" x14ac:dyDescent="0.3">
      <c r="A3057" s="8"/>
      <c r="C3057" s="6"/>
      <c r="E3057" s="6"/>
      <c r="J3057" s="8"/>
      <c r="L3057" s="6"/>
    </row>
    <row r="3058" spans="1:12" x14ac:dyDescent="0.3">
      <c r="A3058" s="8"/>
      <c r="C3058" s="6"/>
      <c r="E3058" s="6"/>
      <c r="J3058" s="8"/>
      <c r="L3058" s="6"/>
    </row>
    <row r="3059" spans="1:12" x14ac:dyDescent="0.3">
      <c r="A3059" s="8"/>
      <c r="C3059" s="6"/>
      <c r="E3059" s="6"/>
      <c r="J3059" s="8"/>
      <c r="L3059" s="6"/>
    </row>
    <row r="3060" spans="1:12" x14ac:dyDescent="0.3">
      <c r="A3060" s="8"/>
      <c r="C3060" s="6"/>
      <c r="E3060" s="6"/>
      <c r="J3060" s="8"/>
      <c r="L3060" s="6"/>
    </row>
    <row r="3061" spans="1:12" x14ac:dyDescent="0.3">
      <c r="A3061" s="8"/>
      <c r="C3061" s="6"/>
      <c r="E3061" s="6"/>
      <c r="J3061" s="8"/>
      <c r="L3061" s="6"/>
    </row>
    <row r="3062" spans="1:12" x14ac:dyDescent="0.3">
      <c r="A3062" s="8"/>
      <c r="C3062" s="6"/>
      <c r="E3062" s="6"/>
      <c r="J3062" s="8"/>
      <c r="L3062" s="6"/>
    </row>
    <row r="3063" spans="1:12" x14ac:dyDescent="0.3">
      <c r="A3063" s="8"/>
      <c r="C3063" s="6"/>
      <c r="E3063" s="6"/>
      <c r="J3063" s="8"/>
      <c r="L3063" s="6"/>
    </row>
    <row r="3064" spans="1:12" x14ac:dyDescent="0.3">
      <c r="A3064" s="8"/>
      <c r="C3064" s="6"/>
      <c r="E3064" s="6"/>
      <c r="J3064" s="8"/>
      <c r="L3064" s="6"/>
    </row>
    <row r="3065" spans="1:12" x14ac:dyDescent="0.3">
      <c r="A3065" s="8"/>
      <c r="C3065" s="6"/>
      <c r="E3065" s="6"/>
      <c r="J3065" s="8"/>
      <c r="L3065" s="6"/>
    </row>
    <row r="3066" spans="1:12" x14ac:dyDescent="0.3">
      <c r="A3066" s="8"/>
      <c r="C3066" s="6"/>
      <c r="E3066" s="6"/>
      <c r="J3066" s="8"/>
      <c r="L3066" s="6"/>
    </row>
    <row r="3067" spans="1:12" x14ac:dyDescent="0.3">
      <c r="A3067" s="8"/>
      <c r="C3067" s="6"/>
      <c r="E3067" s="6"/>
      <c r="J3067" s="8"/>
      <c r="L3067" s="6"/>
    </row>
    <row r="3068" spans="1:12" x14ac:dyDescent="0.3">
      <c r="A3068" s="8"/>
      <c r="C3068" s="6"/>
      <c r="E3068" s="6"/>
      <c r="J3068" s="8"/>
      <c r="L3068" s="6"/>
    </row>
    <row r="3069" spans="1:12" x14ac:dyDescent="0.3">
      <c r="A3069" s="8"/>
      <c r="C3069" s="6"/>
      <c r="E3069" s="6"/>
      <c r="J3069" s="8"/>
      <c r="L3069" s="6"/>
    </row>
    <row r="3070" spans="1:12" x14ac:dyDescent="0.3">
      <c r="A3070" s="8"/>
      <c r="C3070" s="6"/>
      <c r="E3070" s="6"/>
      <c r="J3070" s="8"/>
      <c r="L3070" s="6"/>
    </row>
    <row r="3071" spans="1:12" x14ac:dyDescent="0.3">
      <c r="A3071" s="8"/>
      <c r="C3071" s="6"/>
      <c r="E3071" s="6"/>
      <c r="J3071" s="8"/>
      <c r="L3071" s="6"/>
    </row>
    <row r="3072" spans="1:12" x14ac:dyDescent="0.3">
      <c r="A3072" s="8"/>
      <c r="C3072" s="6"/>
      <c r="E3072" s="6"/>
      <c r="J3072" s="8"/>
      <c r="L3072" s="6"/>
    </row>
    <row r="3073" spans="1:12" x14ac:dyDescent="0.3">
      <c r="A3073" s="8"/>
      <c r="C3073" s="6"/>
      <c r="E3073" s="6"/>
      <c r="J3073" s="8"/>
      <c r="L3073" s="6"/>
    </row>
    <row r="3074" spans="1:12" x14ac:dyDescent="0.3">
      <c r="A3074" s="8"/>
      <c r="C3074" s="6"/>
      <c r="E3074" s="6"/>
      <c r="J3074" s="8"/>
      <c r="L3074" s="6"/>
    </row>
    <row r="3075" spans="1:12" x14ac:dyDescent="0.3">
      <c r="A3075" s="8"/>
      <c r="C3075" s="6"/>
      <c r="E3075" s="6"/>
      <c r="J3075" s="8"/>
      <c r="L3075" s="6"/>
    </row>
    <row r="3076" spans="1:12" x14ac:dyDescent="0.3">
      <c r="A3076" s="8"/>
      <c r="C3076" s="6"/>
      <c r="E3076" s="6"/>
      <c r="J3076" s="8"/>
      <c r="L3076" s="6"/>
    </row>
    <row r="3077" spans="1:12" x14ac:dyDescent="0.3">
      <c r="A3077" s="8"/>
      <c r="C3077" s="6"/>
      <c r="E3077" s="6"/>
      <c r="J3077" s="8"/>
      <c r="L3077" s="6"/>
    </row>
    <row r="3078" spans="1:12" x14ac:dyDescent="0.3">
      <c r="A3078" s="8"/>
      <c r="C3078" s="6"/>
      <c r="E3078" s="6"/>
      <c r="J3078" s="8"/>
      <c r="L3078" s="6"/>
    </row>
    <row r="3079" spans="1:12" x14ac:dyDescent="0.3">
      <c r="A3079" s="8"/>
      <c r="C3079" s="6"/>
      <c r="E3079" s="6"/>
      <c r="J3079" s="8"/>
      <c r="L3079" s="6"/>
    </row>
    <row r="3080" spans="1:12" x14ac:dyDescent="0.3">
      <c r="A3080" s="8"/>
      <c r="C3080" s="6"/>
      <c r="E3080" s="6"/>
      <c r="J3080" s="8"/>
      <c r="L3080" s="6"/>
    </row>
    <row r="3081" spans="1:12" x14ac:dyDescent="0.3">
      <c r="A3081" s="8"/>
      <c r="C3081" s="6"/>
      <c r="E3081" s="6"/>
      <c r="J3081" s="8"/>
      <c r="L3081" s="6"/>
    </row>
    <row r="3082" spans="1:12" x14ac:dyDescent="0.3">
      <c r="A3082" s="8"/>
      <c r="C3082" s="6"/>
      <c r="E3082" s="6"/>
      <c r="J3082" s="8"/>
      <c r="L3082" s="6"/>
    </row>
    <row r="3083" spans="1:12" x14ac:dyDescent="0.3">
      <c r="A3083" s="8"/>
      <c r="C3083" s="6"/>
      <c r="E3083" s="6"/>
      <c r="J3083" s="8"/>
      <c r="L3083" s="6"/>
    </row>
    <row r="3084" spans="1:12" x14ac:dyDescent="0.3">
      <c r="A3084" s="8"/>
      <c r="C3084" s="6"/>
      <c r="E3084" s="6"/>
      <c r="J3084" s="8"/>
      <c r="L3084" s="6"/>
    </row>
    <row r="3085" spans="1:12" x14ac:dyDescent="0.3">
      <c r="A3085" s="8"/>
      <c r="C3085" s="6"/>
      <c r="E3085" s="6"/>
      <c r="J3085" s="8"/>
      <c r="L3085" s="6"/>
    </row>
    <row r="3086" spans="1:12" x14ac:dyDescent="0.3">
      <c r="A3086" s="8"/>
      <c r="C3086" s="6"/>
      <c r="E3086" s="6"/>
      <c r="J3086" s="8"/>
      <c r="L3086" s="6"/>
    </row>
    <row r="3087" spans="1:12" x14ac:dyDescent="0.3">
      <c r="A3087" s="8"/>
      <c r="C3087" s="6"/>
      <c r="E3087" s="6"/>
      <c r="J3087" s="8"/>
      <c r="L3087" s="6"/>
    </row>
    <row r="3088" spans="1:12" x14ac:dyDescent="0.3">
      <c r="A3088" s="8"/>
      <c r="C3088" s="6"/>
      <c r="E3088" s="6"/>
      <c r="J3088" s="8"/>
      <c r="L3088" s="6"/>
    </row>
    <row r="3089" spans="1:12" x14ac:dyDescent="0.3">
      <c r="A3089" s="8"/>
      <c r="C3089" s="6"/>
      <c r="E3089" s="6"/>
      <c r="J3089" s="8"/>
      <c r="L3089" s="6"/>
    </row>
    <row r="3090" spans="1:12" x14ac:dyDescent="0.3">
      <c r="A3090" s="8"/>
      <c r="C3090" s="6"/>
      <c r="E3090" s="6"/>
      <c r="J3090" s="8"/>
      <c r="L3090" s="6"/>
    </row>
    <row r="3091" spans="1:12" x14ac:dyDescent="0.3">
      <c r="A3091" s="8"/>
      <c r="C3091" s="6"/>
      <c r="E3091" s="6"/>
      <c r="J3091" s="8"/>
      <c r="L3091" s="6"/>
    </row>
    <row r="3092" spans="1:12" x14ac:dyDescent="0.3">
      <c r="A3092" s="8"/>
      <c r="C3092" s="6"/>
      <c r="E3092" s="6"/>
      <c r="J3092" s="8"/>
      <c r="L3092" s="6"/>
    </row>
    <row r="3093" spans="1:12" x14ac:dyDescent="0.3">
      <c r="A3093" s="8"/>
      <c r="C3093" s="6"/>
      <c r="E3093" s="6"/>
      <c r="J3093" s="8"/>
      <c r="L3093" s="6"/>
    </row>
    <row r="3094" spans="1:12" x14ac:dyDescent="0.3">
      <c r="A3094" s="8"/>
      <c r="C3094" s="6"/>
      <c r="E3094" s="6"/>
      <c r="J3094" s="8"/>
      <c r="L3094" s="6"/>
    </row>
    <row r="3095" spans="1:12" x14ac:dyDescent="0.3">
      <c r="A3095" s="8"/>
      <c r="C3095" s="6"/>
      <c r="E3095" s="6"/>
      <c r="J3095" s="8"/>
      <c r="L3095" s="6"/>
    </row>
    <row r="3096" spans="1:12" x14ac:dyDescent="0.3">
      <c r="A3096" s="8"/>
      <c r="C3096" s="6"/>
      <c r="E3096" s="6"/>
      <c r="J3096" s="8"/>
      <c r="L3096" s="6"/>
    </row>
    <row r="3097" spans="1:12" x14ac:dyDescent="0.3">
      <c r="A3097" s="8"/>
      <c r="C3097" s="6"/>
      <c r="E3097" s="6"/>
      <c r="J3097" s="8"/>
      <c r="L3097" s="6"/>
    </row>
    <row r="3098" spans="1:12" x14ac:dyDescent="0.3">
      <c r="A3098" s="8"/>
      <c r="C3098" s="6"/>
      <c r="E3098" s="6"/>
      <c r="J3098" s="8"/>
      <c r="L3098" s="6"/>
    </row>
    <row r="3099" spans="1:12" x14ac:dyDescent="0.3">
      <c r="A3099" s="8"/>
      <c r="C3099" s="6"/>
      <c r="E3099" s="6"/>
      <c r="J3099" s="8"/>
      <c r="L3099" s="6"/>
    </row>
    <row r="3100" spans="1:12" x14ac:dyDescent="0.3">
      <c r="A3100" s="8"/>
      <c r="C3100" s="6"/>
      <c r="E3100" s="6"/>
      <c r="J3100" s="8"/>
      <c r="L3100" s="6"/>
    </row>
    <row r="3101" spans="1:12" x14ac:dyDescent="0.3">
      <c r="A3101" s="8"/>
      <c r="C3101" s="6"/>
      <c r="E3101" s="6"/>
      <c r="J3101" s="8"/>
      <c r="L3101" s="6"/>
    </row>
    <row r="3102" spans="1:12" x14ac:dyDescent="0.3">
      <c r="A3102" s="8"/>
      <c r="C3102" s="6"/>
      <c r="E3102" s="6"/>
      <c r="J3102" s="8"/>
      <c r="L3102" s="6"/>
    </row>
    <row r="3103" spans="1:12" x14ac:dyDescent="0.3">
      <c r="A3103" s="8"/>
      <c r="C3103" s="6"/>
      <c r="E3103" s="6"/>
      <c r="J3103" s="8"/>
      <c r="L3103" s="6"/>
    </row>
    <row r="3104" spans="1:12" x14ac:dyDescent="0.3">
      <c r="A3104" s="8"/>
      <c r="C3104" s="6"/>
      <c r="E3104" s="6"/>
      <c r="J3104" s="8"/>
      <c r="L3104" s="6"/>
    </row>
    <row r="3105" spans="1:12" x14ac:dyDescent="0.3">
      <c r="A3105" s="8"/>
      <c r="C3105" s="6"/>
      <c r="E3105" s="6"/>
      <c r="J3105" s="8"/>
      <c r="L3105" s="6"/>
    </row>
    <row r="3106" spans="1:12" x14ac:dyDescent="0.3">
      <c r="A3106" s="8"/>
      <c r="C3106" s="6"/>
      <c r="E3106" s="6"/>
      <c r="J3106" s="8"/>
      <c r="L3106" s="6"/>
    </row>
    <row r="3107" spans="1:12" x14ac:dyDescent="0.3">
      <c r="A3107" s="8"/>
      <c r="C3107" s="6"/>
      <c r="E3107" s="6"/>
      <c r="J3107" s="8"/>
      <c r="L3107" s="6"/>
    </row>
    <row r="3108" spans="1:12" x14ac:dyDescent="0.3">
      <c r="A3108" s="8"/>
      <c r="C3108" s="6"/>
      <c r="E3108" s="6"/>
      <c r="J3108" s="8"/>
      <c r="L3108" s="6"/>
    </row>
    <row r="3109" spans="1:12" x14ac:dyDescent="0.3">
      <c r="A3109" s="8"/>
      <c r="C3109" s="6"/>
      <c r="E3109" s="6"/>
      <c r="J3109" s="8"/>
      <c r="L3109" s="6"/>
    </row>
    <row r="3110" spans="1:12" x14ac:dyDescent="0.3">
      <c r="A3110" s="8"/>
      <c r="C3110" s="6"/>
      <c r="E3110" s="6"/>
      <c r="J3110" s="8"/>
      <c r="L3110" s="6"/>
    </row>
    <row r="3111" spans="1:12" x14ac:dyDescent="0.3">
      <c r="A3111" s="8"/>
      <c r="C3111" s="6"/>
      <c r="E3111" s="6"/>
      <c r="J3111" s="8"/>
      <c r="L3111" s="6"/>
    </row>
    <row r="3112" spans="1:12" x14ac:dyDescent="0.3">
      <c r="A3112" s="8"/>
      <c r="C3112" s="6"/>
      <c r="E3112" s="6"/>
      <c r="J3112" s="8"/>
      <c r="L3112" s="6"/>
    </row>
    <row r="3113" spans="1:12" x14ac:dyDescent="0.3">
      <c r="A3113" s="8"/>
      <c r="C3113" s="6"/>
      <c r="E3113" s="6"/>
      <c r="J3113" s="8"/>
      <c r="L3113" s="6"/>
    </row>
    <row r="3114" spans="1:12" x14ac:dyDescent="0.3">
      <c r="A3114" s="8"/>
      <c r="C3114" s="6"/>
      <c r="E3114" s="6"/>
      <c r="J3114" s="8"/>
      <c r="L3114" s="6"/>
    </row>
    <row r="3115" spans="1:12" x14ac:dyDescent="0.3">
      <c r="A3115" s="8"/>
      <c r="C3115" s="6"/>
      <c r="E3115" s="6"/>
      <c r="J3115" s="8"/>
      <c r="L3115" s="6"/>
    </row>
    <row r="3116" spans="1:12" x14ac:dyDescent="0.3">
      <c r="A3116" s="8"/>
      <c r="C3116" s="6"/>
      <c r="E3116" s="6"/>
      <c r="J3116" s="8"/>
      <c r="L3116" s="6"/>
    </row>
    <row r="3117" spans="1:12" x14ac:dyDescent="0.3">
      <c r="A3117" s="8"/>
      <c r="C3117" s="6"/>
      <c r="E3117" s="6"/>
      <c r="J3117" s="8"/>
      <c r="L3117" s="6"/>
    </row>
    <row r="3118" spans="1:12" x14ac:dyDescent="0.3">
      <c r="A3118" s="8"/>
      <c r="C3118" s="6"/>
      <c r="E3118" s="6"/>
      <c r="J3118" s="8"/>
      <c r="L3118" s="6"/>
    </row>
    <row r="3119" spans="1:12" x14ac:dyDescent="0.3">
      <c r="A3119" s="8"/>
      <c r="C3119" s="6"/>
      <c r="E3119" s="6"/>
      <c r="J3119" s="8"/>
      <c r="L3119" s="6"/>
    </row>
    <row r="3120" spans="1:12" x14ac:dyDescent="0.3">
      <c r="A3120" s="8"/>
      <c r="C3120" s="6"/>
      <c r="E3120" s="6"/>
      <c r="J3120" s="8"/>
      <c r="L3120" s="6"/>
    </row>
    <row r="3121" spans="1:12" x14ac:dyDescent="0.3">
      <c r="A3121" s="8"/>
      <c r="C3121" s="6"/>
      <c r="E3121" s="6"/>
      <c r="J3121" s="8"/>
      <c r="L3121" s="6"/>
    </row>
    <row r="3122" spans="1:12" x14ac:dyDescent="0.3">
      <c r="A3122" s="8"/>
      <c r="C3122" s="6"/>
      <c r="E3122" s="6"/>
      <c r="J3122" s="8"/>
      <c r="L3122" s="6"/>
    </row>
    <row r="3123" spans="1:12" x14ac:dyDescent="0.3">
      <c r="A3123" s="8"/>
      <c r="C3123" s="6"/>
      <c r="E3123" s="6"/>
      <c r="J3123" s="8"/>
      <c r="L3123" s="6"/>
    </row>
    <row r="3124" spans="1:12" x14ac:dyDescent="0.3">
      <c r="A3124" s="8"/>
      <c r="C3124" s="6"/>
      <c r="E3124" s="6"/>
      <c r="J3124" s="8"/>
      <c r="L3124" s="6"/>
    </row>
    <row r="3125" spans="1:12" x14ac:dyDescent="0.3">
      <c r="A3125" s="8"/>
      <c r="C3125" s="6"/>
      <c r="E3125" s="6"/>
      <c r="J3125" s="8"/>
      <c r="L3125" s="6"/>
    </row>
    <row r="3126" spans="1:12" x14ac:dyDescent="0.3">
      <c r="A3126" s="8"/>
      <c r="C3126" s="6"/>
      <c r="E3126" s="6"/>
      <c r="J3126" s="8"/>
      <c r="L3126" s="6"/>
    </row>
    <row r="3127" spans="1:12" x14ac:dyDescent="0.3">
      <c r="A3127" s="8"/>
      <c r="C3127" s="6"/>
      <c r="E3127" s="6"/>
      <c r="J3127" s="8"/>
      <c r="L3127" s="6"/>
    </row>
    <row r="3128" spans="1:12" x14ac:dyDescent="0.3">
      <c r="A3128" s="8"/>
      <c r="C3128" s="6"/>
      <c r="E3128" s="6"/>
      <c r="J3128" s="8"/>
      <c r="L3128" s="6"/>
    </row>
    <row r="3129" spans="1:12" x14ac:dyDescent="0.3">
      <c r="A3129" s="8"/>
      <c r="C3129" s="6"/>
      <c r="E3129" s="6"/>
      <c r="J3129" s="8"/>
      <c r="L3129" s="6"/>
    </row>
    <row r="3130" spans="1:12" x14ac:dyDescent="0.3">
      <c r="A3130" s="8"/>
      <c r="C3130" s="6"/>
      <c r="E3130" s="6"/>
      <c r="J3130" s="8"/>
      <c r="L3130" s="6"/>
    </row>
    <row r="3131" spans="1:12" x14ac:dyDescent="0.3">
      <c r="A3131" s="8"/>
      <c r="C3131" s="6"/>
      <c r="E3131" s="6"/>
      <c r="J3131" s="8"/>
      <c r="L3131" s="6"/>
    </row>
    <row r="3132" spans="1:12" x14ac:dyDescent="0.3">
      <c r="A3132" s="8"/>
      <c r="C3132" s="6"/>
      <c r="E3132" s="6"/>
      <c r="J3132" s="8"/>
      <c r="L3132" s="6"/>
    </row>
    <row r="3133" spans="1:12" x14ac:dyDescent="0.3">
      <c r="A3133" s="8"/>
      <c r="C3133" s="6"/>
      <c r="E3133" s="6"/>
      <c r="J3133" s="8"/>
      <c r="L3133" s="6"/>
    </row>
    <row r="3134" spans="1:12" x14ac:dyDescent="0.3">
      <c r="A3134" s="8"/>
      <c r="C3134" s="6"/>
      <c r="E3134" s="6"/>
      <c r="J3134" s="8"/>
      <c r="L3134" s="6"/>
    </row>
    <row r="3135" spans="1:12" x14ac:dyDescent="0.3">
      <c r="A3135" s="8"/>
      <c r="C3135" s="6"/>
      <c r="E3135" s="6"/>
      <c r="J3135" s="8"/>
      <c r="L3135" s="6"/>
    </row>
    <row r="3136" spans="1:12" x14ac:dyDescent="0.3">
      <c r="A3136" s="8"/>
      <c r="C3136" s="6"/>
      <c r="E3136" s="6"/>
      <c r="J3136" s="8"/>
      <c r="L3136" s="6"/>
    </row>
    <row r="3137" spans="1:12" x14ac:dyDescent="0.3">
      <c r="A3137" s="8"/>
      <c r="C3137" s="6"/>
      <c r="E3137" s="6"/>
      <c r="J3137" s="8"/>
      <c r="L3137" s="6"/>
    </row>
    <row r="3138" spans="1:12" x14ac:dyDescent="0.3">
      <c r="A3138" s="8"/>
      <c r="C3138" s="6"/>
      <c r="E3138" s="6"/>
      <c r="J3138" s="8"/>
      <c r="L3138" s="6"/>
    </row>
    <row r="3139" spans="1:12" x14ac:dyDescent="0.3">
      <c r="A3139" s="8"/>
      <c r="C3139" s="6"/>
      <c r="E3139" s="6"/>
      <c r="J3139" s="8"/>
      <c r="L3139" s="6"/>
    </row>
    <row r="3140" spans="1:12" x14ac:dyDescent="0.3">
      <c r="A3140" s="8"/>
      <c r="C3140" s="6"/>
      <c r="E3140" s="6"/>
      <c r="J3140" s="8"/>
      <c r="L3140" s="6"/>
    </row>
    <row r="3141" spans="1:12" x14ac:dyDescent="0.3">
      <c r="A3141" s="8"/>
      <c r="C3141" s="6"/>
      <c r="E3141" s="6"/>
      <c r="J3141" s="8"/>
      <c r="L3141" s="6"/>
    </row>
    <row r="3142" spans="1:12" x14ac:dyDescent="0.3">
      <c r="A3142" s="8"/>
      <c r="C3142" s="6"/>
      <c r="E3142" s="6"/>
      <c r="J3142" s="8"/>
      <c r="L3142" s="6"/>
    </row>
    <row r="3143" spans="1:12" x14ac:dyDescent="0.3">
      <c r="A3143" s="8"/>
      <c r="C3143" s="6"/>
      <c r="E3143" s="6"/>
      <c r="J3143" s="8"/>
      <c r="L3143" s="6"/>
    </row>
    <row r="3144" spans="1:12" x14ac:dyDescent="0.3">
      <c r="A3144" s="8"/>
      <c r="C3144" s="6"/>
      <c r="E3144" s="6"/>
      <c r="J3144" s="8"/>
      <c r="L3144" s="6"/>
    </row>
    <row r="3145" spans="1:12" x14ac:dyDescent="0.3">
      <c r="A3145" s="8"/>
      <c r="C3145" s="6"/>
      <c r="E3145" s="6"/>
      <c r="J3145" s="8"/>
      <c r="L3145" s="6"/>
    </row>
    <row r="3146" spans="1:12" x14ac:dyDescent="0.3">
      <c r="A3146" s="8"/>
      <c r="C3146" s="6"/>
      <c r="E3146" s="6"/>
      <c r="J3146" s="8"/>
      <c r="L3146" s="6"/>
    </row>
    <row r="3147" spans="1:12" x14ac:dyDescent="0.3">
      <c r="A3147" s="8"/>
      <c r="C3147" s="6"/>
      <c r="E3147" s="6"/>
      <c r="J3147" s="8"/>
      <c r="L3147" s="6"/>
    </row>
    <row r="3148" spans="1:12" x14ac:dyDescent="0.3">
      <c r="A3148" s="8"/>
      <c r="C3148" s="6"/>
      <c r="E3148" s="6"/>
      <c r="J3148" s="8"/>
      <c r="L3148" s="6"/>
    </row>
    <row r="3149" spans="1:12" x14ac:dyDescent="0.3">
      <c r="A3149" s="8"/>
      <c r="C3149" s="6"/>
      <c r="E3149" s="6"/>
      <c r="J3149" s="8"/>
      <c r="L3149" s="6"/>
    </row>
    <row r="3150" spans="1:12" x14ac:dyDescent="0.3">
      <c r="A3150" s="8"/>
      <c r="C3150" s="6"/>
      <c r="E3150" s="6"/>
      <c r="J3150" s="8"/>
      <c r="L3150" s="6"/>
    </row>
    <row r="3151" spans="1:12" x14ac:dyDescent="0.3">
      <c r="A3151" s="8"/>
      <c r="C3151" s="6"/>
      <c r="E3151" s="6"/>
      <c r="J3151" s="8"/>
      <c r="L3151" s="6"/>
    </row>
    <row r="3152" spans="1:12" x14ac:dyDescent="0.3">
      <c r="A3152" s="8"/>
      <c r="C3152" s="6"/>
      <c r="E3152" s="6"/>
      <c r="J3152" s="8"/>
      <c r="L3152" s="6"/>
    </row>
    <row r="3153" spans="1:12" x14ac:dyDescent="0.3">
      <c r="A3153" s="8"/>
      <c r="C3153" s="6"/>
      <c r="E3153" s="6"/>
      <c r="J3153" s="8"/>
      <c r="L3153" s="6"/>
    </row>
    <row r="3154" spans="1:12" x14ac:dyDescent="0.3">
      <c r="A3154" s="8"/>
      <c r="C3154" s="6"/>
      <c r="E3154" s="6"/>
      <c r="J3154" s="8"/>
      <c r="L3154" s="6"/>
    </row>
    <row r="3155" spans="1:12" x14ac:dyDescent="0.3">
      <c r="A3155" s="8"/>
      <c r="C3155" s="6"/>
      <c r="E3155" s="6"/>
      <c r="J3155" s="8"/>
      <c r="L3155" s="6"/>
    </row>
    <row r="3156" spans="1:12" x14ac:dyDescent="0.3">
      <c r="A3156" s="8"/>
      <c r="C3156" s="6"/>
      <c r="E3156" s="6"/>
      <c r="J3156" s="8"/>
      <c r="L3156" s="6"/>
    </row>
    <row r="3157" spans="1:12" x14ac:dyDescent="0.3">
      <c r="A3157" s="8"/>
      <c r="C3157" s="6"/>
      <c r="E3157" s="6"/>
      <c r="J3157" s="8"/>
      <c r="L3157" s="6"/>
    </row>
    <row r="3158" spans="1:12" x14ac:dyDescent="0.3">
      <c r="A3158" s="8"/>
      <c r="C3158" s="6"/>
      <c r="E3158" s="6"/>
      <c r="J3158" s="8"/>
      <c r="L3158" s="6"/>
    </row>
    <row r="3159" spans="1:12" x14ac:dyDescent="0.3">
      <c r="A3159" s="8"/>
      <c r="C3159" s="6"/>
      <c r="E3159" s="6"/>
      <c r="J3159" s="8"/>
      <c r="L3159" s="6"/>
    </row>
    <row r="3160" spans="1:12" x14ac:dyDescent="0.3">
      <c r="A3160" s="8"/>
      <c r="C3160" s="6"/>
      <c r="E3160" s="6"/>
      <c r="J3160" s="8"/>
      <c r="L3160" s="6"/>
    </row>
    <row r="3161" spans="1:12" x14ac:dyDescent="0.3">
      <c r="A3161" s="8"/>
      <c r="C3161" s="6"/>
      <c r="E3161" s="6"/>
      <c r="J3161" s="8"/>
      <c r="L3161" s="6"/>
    </row>
    <row r="3162" spans="1:12" x14ac:dyDescent="0.3">
      <c r="A3162" s="8"/>
      <c r="C3162" s="6"/>
      <c r="E3162" s="6"/>
      <c r="J3162" s="8"/>
      <c r="L3162" s="6"/>
    </row>
    <row r="3163" spans="1:12" x14ac:dyDescent="0.3">
      <c r="A3163" s="8"/>
      <c r="C3163" s="6"/>
      <c r="E3163" s="6"/>
      <c r="J3163" s="8"/>
      <c r="L3163" s="6"/>
    </row>
    <row r="3164" spans="1:12" x14ac:dyDescent="0.3">
      <c r="A3164" s="8"/>
      <c r="C3164" s="6"/>
      <c r="E3164" s="6"/>
      <c r="J3164" s="8"/>
      <c r="L3164" s="6"/>
    </row>
    <row r="3165" spans="1:12" x14ac:dyDescent="0.3">
      <c r="A3165" s="8"/>
      <c r="C3165" s="6"/>
      <c r="E3165" s="6"/>
      <c r="J3165" s="8"/>
      <c r="L3165" s="6"/>
    </row>
    <row r="3166" spans="1:12" x14ac:dyDescent="0.3">
      <c r="A3166" s="8"/>
      <c r="C3166" s="6"/>
      <c r="E3166" s="6"/>
      <c r="J3166" s="8"/>
      <c r="L3166" s="6"/>
    </row>
    <row r="3167" spans="1:12" x14ac:dyDescent="0.3">
      <c r="A3167" s="8"/>
      <c r="C3167" s="6"/>
      <c r="E3167" s="6"/>
      <c r="J3167" s="8"/>
      <c r="L3167" s="6"/>
    </row>
    <row r="3168" spans="1:12" x14ac:dyDescent="0.3">
      <c r="A3168" s="8"/>
      <c r="C3168" s="6"/>
      <c r="E3168" s="6"/>
      <c r="J3168" s="8"/>
      <c r="L3168" s="6"/>
    </row>
    <row r="3169" spans="1:12" x14ac:dyDescent="0.3">
      <c r="A3169" s="8"/>
      <c r="C3169" s="6"/>
      <c r="E3169" s="6"/>
      <c r="J3169" s="8"/>
      <c r="L3169" s="6"/>
    </row>
    <row r="3170" spans="1:12" x14ac:dyDescent="0.3">
      <c r="A3170" s="8"/>
      <c r="C3170" s="6"/>
      <c r="E3170" s="6"/>
      <c r="J3170" s="8"/>
      <c r="L3170" s="6"/>
    </row>
    <row r="3171" spans="1:12" x14ac:dyDescent="0.3">
      <c r="A3171" s="8"/>
      <c r="C3171" s="6"/>
      <c r="E3171" s="6"/>
      <c r="J3171" s="8"/>
      <c r="L3171" s="6"/>
    </row>
    <row r="3172" spans="1:12" x14ac:dyDescent="0.3">
      <c r="A3172" s="8"/>
      <c r="C3172" s="6"/>
      <c r="E3172" s="6"/>
      <c r="J3172" s="8"/>
      <c r="L3172" s="6"/>
    </row>
    <row r="3173" spans="1:12" x14ac:dyDescent="0.3">
      <c r="A3173" s="8"/>
      <c r="C3173" s="6"/>
      <c r="E3173" s="6"/>
      <c r="J3173" s="8"/>
      <c r="L3173" s="6"/>
    </row>
    <row r="3174" spans="1:12" x14ac:dyDescent="0.3">
      <c r="A3174" s="8"/>
      <c r="C3174" s="6"/>
      <c r="E3174" s="6"/>
      <c r="J3174" s="8"/>
      <c r="L3174" s="6"/>
    </row>
    <row r="3175" spans="1:12" x14ac:dyDescent="0.3">
      <c r="A3175" s="8"/>
      <c r="C3175" s="6"/>
      <c r="E3175" s="6"/>
      <c r="J3175" s="8"/>
      <c r="L3175" s="6"/>
    </row>
    <row r="3176" spans="1:12" x14ac:dyDescent="0.3">
      <c r="A3176" s="8"/>
      <c r="C3176" s="6"/>
      <c r="E3176" s="6"/>
      <c r="J3176" s="8"/>
      <c r="L3176" s="6"/>
    </row>
    <row r="3177" spans="1:12" x14ac:dyDescent="0.3">
      <c r="A3177" s="8"/>
      <c r="C3177" s="6"/>
      <c r="E3177" s="6"/>
      <c r="J3177" s="8"/>
      <c r="L3177" s="6"/>
    </row>
    <row r="3178" spans="1:12" x14ac:dyDescent="0.3">
      <c r="A3178" s="8"/>
      <c r="C3178" s="6"/>
      <c r="E3178" s="6"/>
      <c r="J3178" s="8"/>
      <c r="L3178" s="6"/>
    </row>
    <row r="3179" spans="1:12" x14ac:dyDescent="0.3">
      <c r="A3179" s="8"/>
      <c r="C3179" s="6"/>
      <c r="E3179" s="6"/>
      <c r="J3179" s="8"/>
      <c r="L3179" s="6"/>
    </row>
    <row r="3180" spans="1:12" x14ac:dyDescent="0.3">
      <c r="A3180" s="8"/>
      <c r="C3180" s="6"/>
      <c r="E3180" s="6"/>
      <c r="J3180" s="8"/>
      <c r="L3180" s="6"/>
    </row>
    <row r="3181" spans="1:12" x14ac:dyDescent="0.3">
      <c r="A3181" s="8"/>
      <c r="C3181" s="6"/>
      <c r="E3181" s="6"/>
      <c r="J3181" s="8"/>
      <c r="L3181" s="6"/>
    </row>
    <row r="3182" spans="1:12" x14ac:dyDescent="0.3">
      <c r="A3182" s="8"/>
      <c r="C3182" s="6"/>
      <c r="E3182" s="6"/>
      <c r="J3182" s="8"/>
      <c r="L3182" s="6"/>
    </row>
    <row r="3183" spans="1:12" x14ac:dyDescent="0.3">
      <c r="A3183" s="8"/>
      <c r="C3183" s="6"/>
      <c r="E3183" s="6"/>
      <c r="J3183" s="8"/>
      <c r="L3183" s="6"/>
    </row>
    <row r="3184" spans="1:12" x14ac:dyDescent="0.3">
      <c r="A3184" s="8"/>
      <c r="C3184" s="6"/>
      <c r="E3184" s="6"/>
      <c r="J3184" s="8"/>
      <c r="L3184" s="6"/>
    </row>
    <row r="3185" spans="1:12" x14ac:dyDescent="0.3">
      <c r="A3185" s="8"/>
      <c r="C3185" s="6"/>
      <c r="E3185" s="6"/>
      <c r="J3185" s="8"/>
      <c r="L3185" s="6"/>
    </row>
    <row r="3186" spans="1:12" x14ac:dyDescent="0.3">
      <c r="A3186" s="8"/>
      <c r="C3186" s="6"/>
      <c r="E3186" s="6"/>
      <c r="J3186" s="8"/>
      <c r="L3186" s="6"/>
    </row>
    <row r="3187" spans="1:12" x14ac:dyDescent="0.3">
      <c r="A3187" s="8"/>
      <c r="C3187" s="6"/>
      <c r="E3187" s="6"/>
      <c r="J3187" s="8"/>
      <c r="L3187" s="6"/>
    </row>
    <row r="3188" spans="1:12" x14ac:dyDescent="0.3">
      <c r="A3188" s="8"/>
      <c r="C3188" s="6"/>
      <c r="E3188" s="6"/>
      <c r="J3188" s="8"/>
      <c r="L3188" s="6"/>
    </row>
    <row r="3189" spans="1:12" x14ac:dyDescent="0.3">
      <c r="A3189" s="8"/>
      <c r="C3189" s="6"/>
      <c r="E3189" s="6"/>
      <c r="J3189" s="8"/>
      <c r="L3189" s="6"/>
    </row>
    <row r="3190" spans="1:12" x14ac:dyDescent="0.3">
      <c r="A3190" s="8"/>
      <c r="C3190" s="6"/>
      <c r="E3190" s="6"/>
      <c r="J3190" s="8"/>
      <c r="L3190" s="6"/>
    </row>
    <row r="3191" spans="1:12" x14ac:dyDescent="0.3">
      <c r="A3191" s="8"/>
      <c r="C3191" s="6"/>
      <c r="E3191" s="6"/>
      <c r="J3191" s="8"/>
      <c r="L3191" s="6"/>
    </row>
    <row r="3192" spans="1:12" x14ac:dyDescent="0.3">
      <c r="A3192" s="8"/>
      <c r="C3192" s="6"/>
      <c r="E3192" s="6"/>
      <c r="J3192" s="8"/>
      <c r="L3192" s="6"/>
    </row>
    <row r="3193" spans="1:12" x14ac:dyDescent="0.3">
      <c r="A3193" s="8"/>
      <c r="C3193" s="6"/>
      <c r="E3193" s="6"/>
      <c r="J3193" s="8"/>
      <c r="L3193" s="6"/>
    </row>
    <row r="3194" spans="1:12" x14ac:dyDescent="0.3">
      <c r="A3194" s="8"/>
      <c r="C3194" s="6"/>
      <c r="E3194" s="6"/>
      <c r="J3194" s="8"/>
      <c r="L3194" s="6"/>
    </row>
    <row r="3195" spans="1:12" x14ac:dyDescent="0.3">
      <c r="A3195" s="8"/>
      <c r="C3195" s="6"/>
      <c r="E3195" s="6"/>
      <c r="J3195" s="8"/>
      <c r="L3195" s="6"/>
    </row>
    <row r="3196" spans="1:12" x14ac:dyDescent="0.3">
      <c r="A3196" s="8"/>
      <c r="C3196" s="6"/>
      <c r="E3196" s="6"/>
      <c r="J3196" s="8"/>
      <c r="L3196" s="6"/>
    </row>
    <row r="3197" spans="1:12" x14ac:dyDescent="0.3">
      <c r="A3197" s="8"/>
      <c r="C3197" s="6"/>
      <c r="E3197" s="6"/>
      <c r="J3197" s="8"/>
      <c r="L3197" s="6"/>
    </row>
    <row r="3198" spans="1:12" x14ac:dyDescent="0.3">
      <c r="A3198" s="8"/>
      <c r="C3198" s="6"/>
      <c r="E3198" s="6"/>
      <c r="J3198" s="8"/>
      <c r="L3198" s="6"/>
    </row>
    <row r="3199" spans="1:12" x14ac:dyDescent="0.3">
      <c r="A3199" s="8"/>
      <c r="C3199" s="6"/>
      <c r="E3199" s="6"/>
      <c r="J3199" s="8"/>
      <c r="L3199" s="6"/>
    </row>
    <row r="3200" spans="1:12" x14ac:dyDescent="0.3">
      <c r="A3200" s="8"/>
      <c r="C3200" s="6"/>
      <c r="E3200" s="6"/>
      <c r="J3200" s="8"/>
      <c r="L3200" s="6"/>
    </row>
    <row r="3201" spans="1:12" x14ac:dyDescent="0.3">
      <c r="A3201" s="8"/>
      <c r="C3201" s="6"/>
      <c r="E3201" s="6"/>
      <c r="J3201" s="8"/>
      <c r="L3201" s="6"/>
    </row>
    <row r="3202" spans="1:12" x14ac:dyDescent="0.3">
      <c r="A3202" s="8"/>
      <c r="C3202" s="6"/>
      <c r="E3202" s="6"/>
      <c r="J3202" s="8"/>
      <c r="L3202" s="6"/>
    </row>
    <row r="3203" spans="1:12" x14ac:dyDescent="0.3">
      <c r="A3203" s="8"/>
      <c r="C3203" s="6"/>
      <c r="E3203" s="6"/>
      <c r="J3203" s="8"/>
      <c r="L3203" s="6"/>
    </row>
    <row r="3204" spans="1:12" x14ac:dyDescent="0.3">
      <c r="A3204" s="8"/>
      <c r="C3204" s="6"/>
      <c r="E3204" s="6"/>
      <c r="J3204" s="8"/>
      <c r="L3204" s="6"/>
    </row>
    <row r="3205" spans="1:12" x14ac:dyDescent="0.3">
      <c r="A3205" s="8"/>
      <c r="C3205" s="6"/>
      <c r="E3205" s="6"/>
      <c r="J3205" s="8"/>
      <c r="L3205" s="6"/>
    </row>
    <row r="3206" spans="1:12" x14ac:dyDescent="0.3">
      <c r="A3206" s="8"/>
      <c r="C3206" s="6"/>
      <c r="E3206" s="6"/>
      <c r="J3206" s="8"/>
      <c r="L3206" s="6"/>
    </row>
    <row r="3207" spans="1:12" x14ac:dyDescent="0.3">
      <c r="A3207" s="8"/>
      <c r="C3207" s="6"/>
      <c r="E3207" s="6"/>
      <c r="J3207" s="8"/>
      <c r="L3207" s="6"/>
    </row>
    <row r="3208" spans="1:12" x14ac:dyDescent="0.3">
      <c r="A3208" s="8"/>
      <c r="C3208" s="6"/>
      <c r="E3208" s="6"/>
      <c r="J3208" s="8"/>
      <c r="L3208" s="6"/>
    </row>
    <row r="3209" spans="1:12" x14ac:dyDescent="0.3">
      <c r="A3209" s="8"/>
      <c r="C3209" s="6"/>
      <c r="E3209" s="6"/>
      <c r="J3209" s="8"/>
      <c r="L3209" s="6"/>
    </row>
    <row r="3210" spans="1:12" x14ac:dyDescent="0.3">
      <c r="A3210" s="8"/>
      <c r="C3210" s="6"/>
      <c r="E3210" s="6"/>
      <c r="J3210" s="8"/>
      <c r="L3210" s="6"/>
    </row>
    <row r="3211" spans="1:12" x14ac:dyDescent="0.3">
      <c r="A3211" s="8"/>
      <c r="C3211" s="6"/>
      <c r="E3211" s="6"/>
      <c r="J3211" s="8"/>
      <c r="L3211" s="6"/>
    </row>
    <row r="3212" spans="1:12" x14ac:dyDescent="0.3">
      <c r="A3212" s="8"/>
      <c r="C3212" s="6"/>
      <c r="E3212" s="6"/>
      <c r="J3212" s="8"/>
      <c r="L3212" s="6"/>
    </row>
    <row r="3213" spans="1:12" x14ac:dyDescent="0.3">
      <c r="A3213" s="8"/>
      <c r="C3213" s="6"/>
      <c r="E3213" s="6"/>
      <c r="J3213" s="8"/>
      <c r="L3213" s="6"/>
    </row>
    <row r="3214" spans="1:12" x14ac:dyDescent="0.3">
      <c r="A3214" s="8"/>
      <c r="C3214" s="6"/>
      <c r="E3214" s="6"/>
      <c r="J3214" s="8"/>
      <c r="L3214" s="6"/>
    </row>
    <row r="3215" spans="1:12" x14ac:dyDescent="0.3">
      <c r="A3215" s="8"/>
      <c r="C3215" s="6"/>
      <c r="E3215" s="6"/>
      <c r="J3215" s="8"/>
      <c r="L3215" s="6"/>
    </row>
    <row r="3216" spans="1:12" x14ac:dyDescent="0.3">
      <c r="A3216" s="8"/>
      <c r="C3216" s="6"/>
      <c r="E3216" s="6"/>
      <c r="J3216" s="8"/>
      <c r="L3216" s="6"/>
    </row>
    <row r="3217" spans="1:12" x14ac:dyDescent="0.3">
      <c r="A3217" s="8"/>
      <c r="C3217" s="6"/>
      <c r="E3217" s="6"/>
      <c r="J3217" s="8"/>
      <c r="L3217" s="6"/>
    </row>
    <row r="3218" spans="1:12" x14ac:dyDescent="0.3">
      <c r="A3218" s="8"/>
      <c r="C3218" s="6"/>
      <c r="E3218" s="6"/>
      <c r="J3218" s="8"/>
      <c r="L3218" s="6"/>
    </row>
    <row r="3219" spans="1:12" x14ac:dyDescent="0.3">
      <c r="A3219" s="8"/>
      <c r="C3219" s="6"/>
      <c r="E3219" s="6"/>
      <c r="J3219" s="8"/>
      <c r="L3219" s="6"/>
    </row>
    <row r="3220" spans="1:12" x14ac:dyDescent="0.3">
      <c r="A3220" s="8"/>
      <c r="C3220" s="6"/>
      <c r="E3220" s="6"/>
      <c r="J3220" s="8"/>
      <c r="L3220" s="6"/>
    </row>
    <row r="3221" spans="1:12" x14ac:dyDescent="0.3">
      <c r="A3221" s="8"/>
      <c r="C3221" s="6"/>
      <c r="E3221" s="6"/>
      <c r="J3221" s="8"/>
      <c r="L3221" s="6"/>
    </row>
    <row r="3222" spans="1:12" x14ac:dyDescent="0.3">
      <c r="A3222" s="8"/>
      <c r="C3222" s="6"/>
      <c r="E3222" s="6"/>
      <c r="J3222" s="8"/>
      <c r="L3222" s="6"/>
    </row>
    <row r="3223" spans="1:12" x14ac:dyDescent="0.3">
      <c r="A3223" s="8"/>
      <c r="C3223" s="6"/>
      <c r="E3223" s="6"/>
      <c r="J3223" s="8"/>
      <c r="L3223" s="6"/>
    </row>
    <row r="3224" spans="1:12" x14ac:dyDescent="0.3">
      <c r="A3224" s="8"/>
      <c r="C3224" s="6"/>
      <c r="E3224" s="6"/>
      <c r="J3224" s="8"/>
      <c r="L3224" s="6"/>
    </row>
    <row r="3225" spans="1:12" x14ac:dyDescent="0.3">
      <c r="A3225" s="8"/>
      <c r="C3225" s="6"/>
      <c r="E3225" s="6"/>
      <c r="J3225" s="8"/>
      <c r="L3225" s="6"/>
    </row>
    <row r="3226" spans="1:12" x14ac:dyDescent="0.3">
      <c r="A3226" s="8"/>
      <c r="C3226" s="6"/>
      <c r="E3226" s="6"/>
      <c r="J3226" s="8"/>
      <c r="L3226" s="6"/>
    </row>
    <row r="3227" spans="1:12" x14ac:dyDescent="0.3">
      <c r="A3227" s="8"/>
      <c r="C3227" s="6"/>
      <c r="E3227" s="6"/>
      <c r="J3227" s="8"/>
      <c r="L3227" s="6"/>
    </row>
    <row r="3228" spans="1:12" x14ac:dyDescent="0.3">
      <c r="A3228" s="8"/>
      <c r="C3228" s="6"/>
      <c r="E3228" s="6"/>
      <c r="J3228" s="8"/>
      <c r="L3228" s="6"/>
    </row>
    <row r="3229" spans="1:12" x14ac:dyDescent="0.3">
      <c r="A3229" s="8"/>
      <c r="C3229" s="6"/>
      <c r="E3229" s="6"/>
      <c r="J3229" s="8"/>
      <c r="L3229" s="6"/>
    </row>
    <row r="3230" spans="1:12" x14ac:dyDescent="0.3">
      <c r="A3230" s="8"/>
      <c r="C3230" s="6"/>
      <c r="E3230" s="6"/>
      <c r="J3230" s="8"/>
      <c r="L3230" s="6"/>
    </row>
    <row r="3231" spans="1:12" x14ac:dyDescent="0.3">
      <c r="A3231" s="8"/>
      <c r="C3231" s="6"/>
      <c r="E3231" s="6"/>
      <c r="J3231" s="8"/>
      <c r="L3231" s="6"/>
    </row>
    <row r="3232" spans="1:12" x14ac:dyDescent="0.3">
      <c r="A3232" s="8"/>
      <c r="C3232" s="6"/>
      <c r="E3232" s="6"/>
      <c r="J3232" s="8"/>
      <c r="L3232" s="6"/>
    </row>
    <row r="3233" spans="1:12" x14ac:dyDescent="0.3">
      <c r="A3233" s="8"/>
      <c r="C3233" s="6"/>
      <c r="E3233" s="6"/>
      <c r="J3233" s="8"/>
      <c r="L3233" s="6"/>
    </row>
    <row r="3234" spans="1:12" x14ac:dyDescent="0.3">
      <c r="A3234" s="8"/>
      <c r="C3234" s="6"/>
      <c r="E3234" s="6"/>
      <c r="J3234" s="8"/>
      <c r="L3234" s="6"/>
    </row>
    <row r="3235" spans="1:12" x14ac:dyDescent="0.3">
      <c r="A3235" s="8"/>
      <c r="C3235" s="6"/>
      <c r="E3235" s="6"/>
      <c r="J3235" s="8"/>
      <c r="L3235" s="6"/>
    </row>
    <row r="3236" spans="1:12" x14ac:dyDescent="0.3">
      <c r="A3236" s="8"/>
      <c r="C3236" s="6"/>
      <c r="E3236" s="6"/>
      <c r="J3236" s="8"/>
      <c r="L3236" s="6"/>
    </row>
    <row r="3237" spans="1:12" x14ac:dyDescent="0.3">
      <c r="A3237" s="8"/>
      <c r="C3237" s="6"/>
      <c r="E3237" s="6"/>
      <c r="J3237" s="8"/>
      <c r="L3237" s="6"/>
    </row>
    <row r="3238" spans="1:12" x14ac:dyDescent="0.3">
      <c r="A3238" s="8"/>
      <c r="C3238" s="6"/>
      <c r="E3238" s="6"/>
      <c r="J3238" s="8"/>
      <c r="L3238" s="6"/>
    </row>
    <row r="3239" spans="1:12" x14ac:dyDescent="0.3">
      <c r="A3239" s="8"/>
      <c r="C3239" s="6"/>
      <c r="E3239" s="6"/>
      <c r="J3239" s="8"/>
      <c r="L3239" s="6"/>
    </row>
    <row r="3240" spans="1:12" x14ac:dyDescent="0.3">
      <c r="A3240" s="8"/>
      <c r="C3240" s="6"/>
      <c r="E3240" s="6"/>
      <c r="J3240" s="8"/>
      <c r="L3240" s="6"/>
    </row>
    <row r="3241" spans="1:12" x14ac:dyDescent="0.3">
      <c r="A3241" s="8"/>
      <c r="C3241" s="6"/>
      <c r="E3241" s="6"/>
      <c r="J3241" s="8"/>
      <c r="L3241" s="6"/>
    </row>
    <row r="3242" spans="1:12" x14ac:dyDescent="0.3">
      <c r="A3242" s="8"/>
      <c r="C3242" s="6"/>
      <c r="E3242" s="6"/>
      <c r="J3242" s="8"/>
      <c r="L3242" s="6"/>
    </row>
    <row r="3243" spans="1:12" x14ac:dyDescent="0.3">
      <c r="A3243" s="8"/>
      <c r="C3243" s="6"/>
      <c r="E3243" s="6"/>
      <c r="J3243" s="8"/>
      <c r="L3243" s="6"/>
    </row>
    <row r="3244" spans="1:12" x14ac:dyDescent="0.3">
      <c r="A3244" s="8"/>
      <c r="C3244" s="6"/>
      <c r="E3244" s="6"/>
      <c r="J3244" s="8"/>
      <c r="L3244" s="6"/>
    </row>
    <row r="3245" spans="1:12" x14ac:dyDescent="0.3">
      <c r="A3245" s="8"/>
      <c r="C3245" s="6"/>
      <c r="E3245" s="6"/>
      <c r="J3245" s="8"/>
      <c r="L3245" s="6"/>
    </row>
    <row r="3246" spans="1:12" x14ac:dyDescent="0.3">
      <c r="A3246" s="8"/>
      <c r="C3246" s="6"/>
      <c r="E3246" s="6"/>
      <c r="J3246" s="8"/>
      <c r="L3246" s="6"/>
    </row>
    <row r="3247" spans="1:12" x14ac:dyDescent="0.3">
      <c r="A3247" s="8"/>
      <c r="C3247" s="6"/>
      <c r="E3247" s="6"/>
      <c r="J3247" s="8"/>
      <c r="L3247" s="6"/>
    </row>
    <row r="3248" spans="1:12" x14ac:dyDescent="0.3">
      <c r="A3248" s="8"/>
      <c r="C3248" s="6"/>
      <c r="E3248" s="6"/>
      <c r="J3248" s="8"/>
      <c r="L3248" s="6"/>
    </row>
    <row r="3249" spans="1:12" x14ac:dyDescent="0.3">
      <c r="A3249" s="8"/>
      <c r="C3249" s="6"/>
      <c r="E3249" s="6"/>
      <c r="J3249" s="8"/>
      <c r="L3249" s="6"/>
    </row>
    <row r="3250" spans="1:12" x14ac:dyDescent="0.3">
      <c r="A3250" s="8"/>
      <c r="C3250" s="6"/>
      <c r="E3250" s="6"/>
      <c r="J3250" s="8"/>
      <c r="L3250" s="6"/>
    </row>
    <row r="3251" spans="1:12" x14ac:dyDescent="0.3">
      <c r="A3251" s="8"/>
      <c r="C3251" s="6"/>
      <c r="E3251" s="6"/>
      <c r="J3251" s="8"/>
      <c r="L3251" s="6"/>
    </row>
    <row r="3252" spans="1:12" x14ac:dyDescent="0.3">
      <c r="A3252" s="8"/>
      <c r="C3252" s="6"/>
      <c r="E3252" s="6"/>
      <c r="J3252" s="8"/>
      <c r="L3252" s="6"/>
    </row>
    <row r="3253" spans="1:12" x14ac:dyDescent="0.3">
      <c r="A3253" s="8"/>
      <c r="C3253" s="6"/>
      <c r="E3253" s="6"/>
      <c r="J3253" s="8"/>
      <c r="L3253" s="6"/>
    </row>
    <row r="3254" spans="1:12" x14ac:dyDescent="0.3">
      <c r="A3254" s="8"/>
      <c r="C3254" s="6"/>
      <c r="E3254" s="6"/>
      <c r="J3254" s="8"/>
      <c r="L3254" s="6"/>
    </row>
    <row r="3255" spans="1:12" x14ac:dyDescent="0.3">
      <c r="A3255" s="8"/>
      <c r="C3255" s="6"/>
      <c r="E3255" s="6"/>
      <c r="J3255" s="8"/>
      <c r="L3255" s="6"/>
    </row>
    <row r="3256" spans="1:12" x14ac:dyDescent="0.3">
      <c r="A3256" s="8"/>
      <c r="C3256" s="6"/>
      <c r="E3256" s="6"/>
      <c r="J3256" s="8"/>
      <c r="L3256" s="6"/>
    </row>
    <row r="3257" spans="1:12" x14ac:dyDescent="0.3">
      <c r="A3257" s="8"/>
      <c r="C3257" s="6"/>
      <c r="E3257" s="6"/>
      <c r="J3257" s="8"/>
      <c r="L3257" s="6"/>
    </row>
    <row r="3258" spans="1:12" x14ac:dyDescent="0.3">
      <c r="A3258" s="8"/>
      <c r="C3258" s="6"/>
      <c r="E3258" s="6"/>
      <c r="J3258" s="8"/>
      <c r="L3258" s="6"/>
    </row>
    <row r="3259" spans="1:12" x14ac:dyDescent="0.3">
      <c r="A3259" s="8"/>
      <c r="C3259" s="6"/>
      <c r="E3259" s="6"/>
      <c r="J3259" s="8"/>
      <c r="L3259" s="6"/>
    </row>
    <row r="3260" spans="1:12" x14ac:dyDescent="0.3">
      <c r="A3260" s="8"/>
      <c r="C3260" s="6"/>
      <c r="E3260" s="6"/>
      <c r="J3260" s="8"/>
      <c r="L3260" s="6"/>
    </row>
    <row r="3261" spans="1:12" x14ac:dyDescent="0.3">
      <c r="A3261" s="8"/>
      <c r="C3261" s="6"/>
      <c r="E3261" s="6"/>
      <c r="J3261" s="8"/>
      <c r="L3261" s="6"/>
    </row>
    <row r="3262" spans="1:12" x14ac:dyDescent="0.3">
      <c r="A3262" s="8"/>
      <c r="C3262" s="6"/>
      <c r="E3262" s="6"/>
      <c r="J3262" s="8"/>
      <c r="L3262" s="6"/>
    </row>
    <row r="3263" spans="1:12" x14ac:dyDescent="0.3">
      <c r="A3263" s="8"/>
      <c r="C3263" s="6"/>
      <c r="E3263" s="6"/>
      <c r="J3263" s="8"/>
      <c r="L3263" s="6"/>
    </row>
    <row r="3264" spans="1:12" x14ac:dyDescent="0.3">
      <c r="A3264" s="8"/>
      <c r="C3264" s="6"/>
      <c r="E3264" s="6"/>
      <c r="J3264" s="8"/>
      <c r="L3264" s="6"/>
    </row>
    <row r="3265" spans="1:12" x14ac:dyDescent="0.3">
      <c r="A3265" s="8"/>
      <c r="C3265" s="6"/>
      <c r="E3265" s="6"/>
      <c r="J3265" s="8"/>
      <c r="L3265" s="6"/>
    </row>
    <row r="3266" spans="1:12" x14ac:dyDescent="0.3">
      <c r="A3266" s="8"/>
      <c r="C3266" s="6"/>
      <c r="E3266" s="6"/>
      <c r="J3266" s="8"/>
      <c r="L3266" s="6"/>
    </row>
    <row r="3267" spans="1:12" x14ac:dyDescent="0.3">
      <c r="A3267" s="8"/>
      <c r="C3267" s="6"/>
      <c r="E3267" s="6"/>
      <c r="J3267" s="8"/>
      <c r="L3267" s="6"/>
    </row>
    <row r="3268" spans="1:12" x14ac:dyDescent="0.3">
      <c r="A3268" s="8"/>
      <c r="C3268" s="6"/>
      <c r="E3268" s="6"/>
      <c r="J3268" s="8"/>
      <c r="L3268" s="6"/>
    </row>
    <row r="3269" spans="1:12" x14ac:dyDescent="0.3">
      <c r="A3269" s="8"/>
      <c r="C3269" s="6"/>
      <c r="E3269" s="6"/>
      <c r="J3269" s="8"/>
      <c r="L3269" s="6"/>
    </row>
    <row r="3270" spans="1:12" x14ac:dyDescent="0.3">
      <c r="A3270" s="8"/>
      <c r="C3270" s="6"/>
      <c r="E3270" s="6"/>
      <c r="J3270" s="8"/>
      <c r="L3270" s="6"/>
    </row>
    <row r="3271" spans="1:12" x14ac:dyDescent="0.3">
      <c r="A3271" s="8"/>
      <c r="C3271" s="6"/>
      <c r="E3271" s="6"/>
      <c r="J3271" s="8"/>
      <c r="L3271" s="6"/>
    </row>
    <row r="3272" spans="1:12" x14ac:dyDescent="0.3">
      <c r="A3272" s="8"/>
      <c r="C3272" s="6"/>
      <c r="E3272" s="6"/>
      <c r="J3272" s="8"/>
      <c r="L3272" s="6"/>
    </row>
    <row r="3273" spans="1:12" x14ac:dyDescent="0.3">
      <c r="A3273" s="8"/>
      <c r="C3273" s="6"/>
      <c r="E3273" s="6"/>
      <c r="J3273" s="8"/>
      <c r="L3273" s="6"/>
    </row>
    <row r="3274" spans="1:12" x14ac:dyDescent="0.3">
      <c r="A3274" s="8"/>
      <c r="C3274" s="6"/>
      <c r="E3274" s="6"/>
      <c r="J3274" s="8"/>
      <c r="L3274" s="6"/>
    </row>
    <row r="3275" spans="1:12" x14ac:dyDescent="0.3">
      <c r="A3275" s="8"/>
      <c r="C3275" s="6"/>
      <c r="E3275" s="6"/>
      <c r="J3275" s="8"/>
      <c r="L3275" s="6"/>
    </row>
    <row r="3276" spans="1:12" x14ac:dyDescent="0.3">
      <c r="A3276" s="8"/>
      <c r="C3276" s="6"/>
      <c r="E3276" s="6"/>
      <c r="J3276" s="8"/>
      <c r="L3276" s="6"/>
    </row>
    <row r="3277" spans="1:12" x14ac:dyDescent="0.3">
      <c r="A3277" s="8"/>
      <c r="C3277" s="6"/>
      <c r="E3277" s="6"/>
      <c r="J3277" s="8"/>
      <c r="L3277" s="6"/>
    </row>
    <row r="3278" spans="1:12" x14ac:dyDescent="0.3">
      <c r="A3278" s="8"/>
      <c r="C3278" s="6"/>
      <c r="E3278" s="6"/>
      <c r="J3278" s="8"/>
      <c r="L3278" s="6"/>
    </row>
    <row r="3279" spans="1:12" x14ac:dyDescent="0.3">
      <c r="A3279" s="8"/>
      <c r="C3279" s="6"/>
      <c r="E3279" s="6"/>
      <c r="J3279" s="8"/>
      <c r="L3279" s="6"/>
    </row>
    <row r="3280" spans="1:12" x14ac:dyDescent="0.3">
      <c r="A3280" s="8"/>
      <c r="C3280" s="6"/>
      <c r="E3280" s="6"/>
      <c r="J3280" s="8"/>
      <c r="L3280" s="6"/>
    </row>
    <row r="3281" spans="1:12" x14ac:dyDescent="0.3">
      <c r="A3281" s="8"/>
      <c r="C3281" s="6"/>
      <c r="E3281" s="6"/>
      <c r="J3281" s="8"/>
      <c r="L3281" s="6"/>
    </row>
    <row r="3282" spans="1:12" x14ac:dyDescent="0.3">
      <c r="A3282" s="8"/>
      <c r="C3282" s="6"/>
      <c r="E3282" s="6"/>
      <c r="J3282" s="8"/>
      <c r="L3282" s="6"/>
    </row>
    <row r="3283" spans="1:12" x14ac:dyDescent="0.3">
      <c r="A3283" s="8"/>
      <c r="C3283" s="6"/>
      <c r="E3283" s="6"/>
      <c r="J3283" s="8"/>
      <c r="L3283" s="6"/>
    </row>
    <row r="3284" spans="1:12" x14ac:dyDescent="0.3">
      <c r="A3284" s="8"/>
      <c r="C3284" s="6"/>
      <c r="E3284" s="6"/>
      <c r="J3284" s="8"/>
      <c r="L3284" s="6"/>
    </row>
    <row r="3285" spans="1:12" x14ac:dyDescent="0.3">
      <c r="A3285" s="8"/>
      <c r="C3285" s="6"/>
      <c r="E3285" s="6"/>
      <c r="J3285" s="8"/>
      <c r="L3285" s="6"/>
    </row>
    <row r="3286" spans="1:12" x14ac:dyDescent="0.3">
      <c r="A3286" s="8"/>
      <c r="C3286" s="6"/>
      <c r="E3286" s="6"/>
      <c r="J3286" s="8"/>
      <c r="L3286" s="6"/>
    </row>
    <row r="3287" spans="1:12" x14ac:dyDescent="0.3">
      <c r="A3287" s="8"/>
      <c r="C3287" s="6"/>
      <c r="E3287" s="6"/>
      <c r="J3287" s="8"/>
      <c r="L3287" s="6"/>
    </row>
    <row r="3288" spans="1:12" x14ac:dyDescent="0.3">
      <c r="A3288" s="8"/>
      <c r="C3288" s="6"/>
      <c r="E3288" s="6"/>
      <c r="J3288" s="8"/>
      <c r="L3288" s="6"/>
    </row>
    <row r="3289" spans="1:12" x14ac:dyDescent="0.3">
      <c r="A3289" s="8"/>
      <c r="C3289" s="6"/>
      <c r="E3289" s="6"/>
      <c r="J3289" s="8"/>
      <c r="L3289" s="6"/>
    </row>
    <row r="3290" spans="1:12" x14ac:dyDescent="0.3">
      <c r="A3290" s="8"/>
      <c r="C3290" s="6"/>
      <c r="E3290" s="6"/>
      <c r="J3290" s="8"/>
      <c r="L3290" s="6"/>
    </row>
    <row r="3291" spans="1:12" x14ac:dyDescent="0.3">
      <c r="A3291" s="8"/>
      <c r="C3291" s="6"/>
      <c r="E3291" s="6"/>
      <c r="J3291" s="8"/>
      <c r="L3291" s="6"/>
    </row>
    <row r="3292" spans="1:12" x14ac:dyDescent="0.3">
      <c r="A3292" s="8"/>
      <c r="C3292" s="6"/>
      <c r="E3292" s="6"/>
      <c r="J3292" s="8"/>
      <c r="L3292" s="6"/>
    </row>
    <row r="3293" spans="1:12" x14ac:dyDescent="0.3">
      <c r="A3293" s="8"/>
      <c r="C3293" s="6"/>
      <c r="E3293" s="6"/>
      <c r="J3293" s="8"/>
      <c r="L3293" s="6"/>
    </row>
    <row r="3294" spans="1:12" x14ac:dyDescent="0.3">
      <c r="A3294" s="8"/>
      <c r="C3294" s="6"/>
      <c r="E3294" s="6"/>
      <c r="J3294" s="8"/>
      <c r="L3294" s="6"/>
    </row>
    <row r="3295" spans="1:12" x14ac:dyDescent="0.3">
      <c r="A3295" s="8"/>
      <c r="C3295" s="6"/>
      <c r="E3295" s="6"/>
      <c r="J3295" s="8"/>
      <c r="L3295" s="6"/>
    </row>
    <row r="3296" spans="1:12" x14ac:dyDescent="0.3">
      <c r="A3296" s="8"/>
      <c r="C3296" s="6"/>
      <c r="E3296" s="6"/>
      <c r="J3296" s="8"/>
      <c r="L3296" s="6"/>
    </row>
    <row r="3297" spans="1:12" x14ac:dyDescent="0.3">
      <c r="A3297" s="8"/>
      <c r="C3297" s="6"/>
      <c r="E3297" s="6"/>
      <c r="J3297" s="8"/>
      <c r="L3297" s="6"/>
    </row>
    <row r="3298" spans="1:12" x14ac:dyDescent="0.3">
      <c r="A3298" s="8"/>
      <c r="C3298" s="6"/>
      <c r="E3298" s="6"/>
      <c r="J3298" s="8"/>
      <c r="L3298" s="6"/>
    </row>
    <row r="3299" spans="1:12" x14ac:dyDescent="0.3">
      <c r="A3299" s="8"/>
      <c r="C3299" s="6"/>
      <c r="E3299" s="6"/>
      <c r="J3299" s="8"/>
      <c r="L3299" s="6"/>
    </row>
    <row r="3300" spans="1:12" x14ac:dyDescent="0.3">
      <c r="A3300" s="8"/>
      <c r="C3300" s="6"/>
      <c r="E3300" s="6"/>
      <c r="J3300" s="8"/>
      <c r="L3300" s="6"/>
    </row>
    <row r="3301" spans="1:12" x14ac:dyDescent="0.3">
      <c r="A3301" s="8"/>
      <c r="C3301" s="6"/>
      <c r="E3301" s="6"/>
      <c r="J3301" s="8"/>
      <c r="L3301" s="6"/>
    </row>
    <row r="3302" spans="1:12" x14ac:dyDescent="0.3">
      <c r="A3302" s="8"/>
      <c r="C3302" s="6"/>
      <c r="E3302" s="6"/>
      <c r="J3302" s="8"/>
      <c r="L3302" s="6"/>
    </row>
    <row r="3303" spans="1:12" x14ac:dyDescent="0.3">
      <c r="A3303" s="8"/>
      <c r="C3303" s="6"/>
      <c r="E3303" s="6"/>
      <c r="J3303" s="8"/>
      <c r="L3303" s="6"/>
    </row>
    <row r="3304" spans="1:12" x14ac:dyDescent="0.3">
      <c r="A3304" s="8"/>
      <c r="C3304" s="6"/>
      <c r="E3304" s="6"/>
      <c r="J3304" s="8"/>
      <c r="L3304" s="6"/>
    </row>
    <row r="3305" spans="1:12" x14ac:dyDescent="0.3">
      <c r="A3305" s="8"/>
      <c r="C3305" s="6"/>
      <c r="E3305" s="6"/>
      <c r="J3305" s="8"/>
      <c r="L3305" s="6"/>
    </row>
    <row r="3306" spans="1:12" x14ac:dyDescent="0.3">
      <c r="A3306" s="8"/>
      <c r="C3306" s="6"/>
      <c r="E3306" s="6"/>
      <c r="J3306" s="8"/>
      <c r="L3306" s="6"/>
    </row>
    <row r="3307" spans="1:12" x14ac:dyDescent="0.3">
      <c r="A3307" s="8"/>
      <c r="C3307" s="6"/>
      <c r="E3307" s="6"/>
      <c r="J3307" s="8"/>
      <c r="L3307" s="6"/>
    </row>
    <row r="3308" spans="1:12" x14ac:dyDescent="0.3">
      <c r="A3308" s="8"/>
      <c r="C3308" s="6"/>
      <c r="E3308" s="6"/>
      <c r="J3308" s="8"/>
      <c r="L3308" s="6"/>
    </row>
    <row r="3309" spans="1:12" x14ac:dyDescent="0.3">
      <c r="A3309" s="8"/>
      <c r="C3309" s="6"/>
      <c r="E3309" s="6"/>
      <c r="J3309" s="8"/>
      <c r="L3309" s="6"/>
    </row>
    <row r="3310" spans="1:12" x14ac:dyDescent="0.3">
      <c r="A3310" s="8"/>
      <c r="C3310" s="6"/>
      <c r="E3310" s="6"/>
      <c r="J3310" s="8"/>
      <c r="L3310" s="6"/>
    </row>
    <row r="3311" spans="1:12" x14ac:dyDescent="0.3">
      <c r="A3311" s="8"/>
      <c r="C3311" s="6"/>
      <c r="E3311" s="6"/>
      <c r="J3311" s="8"/>
      <c r="L3311" s="6"/>
    </row>
    <row r="3312" spans="1:12" x14ac:dyDescent="0.3">
      <c r="A3312" s="8"/>
      <c r="C3312" s="6"/>
      <c r="E3312" s="6"/>
      <c r="J3312" s="8"/>
      <c r="L3312" s="6"/>
    </row>
    <row r="3313" spans="1:12" x14ac:dyDescent="0.3">
      <c r="A3313" s="8"/>
      <c r="C3313" s="6"/>
      <c r="E3313" s="6"/>
      <c r="J3313" s="8"/>
      <c r="L3313" s="6"/>
    </row>
    <row r="3314" spans="1:12" x14ac:dyDescent="0.3">
      <c r="A3314" s="8"/>
      <c r="C3314" s="6"/>
      <c r="E3314" s="6"/>
      <c r="J3314" s="8"/>
      <c r="L3314" s="6"/>
    </row>
    <row r="3315" spans="1:12" x14ac:dyDescent="0.3">
      <c r="A3315" s="8"/>
      <c r="C3315" s="6"/>
      <c r="E3315" s="6"/>
      <c r="J3315" s="8"/>
      <c r="L3315" s="6"/>
    </row>
    <row r="3316" spans="1:12" x14ac:dyDescent="0.3">
      <c r="A3316" s="8"/>
      <c r="C3316" s="6"/>
      <c r="E3316" s="6"/>
      <c r="J3316" s="8"/>
      <c r="L3316" s="6"/>
    </row>
    <row r="3317" spans="1:12" x14ac:dyDescent="0.3">
      <c r="A3317" s="8"/>
      <c r="C3317" s="6"/>
      <c r="E3317" s="6"/>
      <c r="J3317" s="8"/>
      <c r="L3317" s="6"/>
    </row>
    <row r="3318" spans="1:12" x14ac:dyDescent="0.3">
      <c r="A3318" s="8"/>
      <c r="C3318" s="6"/>
      <c r="E3318" s="6"/>
      <c r="J3318" s="8"/>
      <c r="L3318" s="6"/>
    </row>
    <row r="3319" spans="1:12" x14ac:dyDescent="0.3">
      <c r="A3319" s="8"/>
      <c r="C3319" s="6"/>
      <c r="E3319" s="6"/>
      <c r="J3319" s="8"/>
      <c r="L3319" s="6"/>
    </row>
    <row r="3320" spans="1:12" x14ac:dyDescent="0.3">
      <c r="A3320" s="8"/>
      <c r="C3320" s="6"/>
      <c r="E3320" s="6"/>
      <c r="J3320" s="8"/>
      <c r="L3320" s="6"/>
    </row>
    <row r="3321" spans="1:12" x14ac:dyDescent="0.3">
      <c r="A3321" s="8"/>
      <c r="C3321" s="6"/>
      <c r="E3321" s="6"/>
      <c r="J3321" s="8"/>
      <c r="L3321" s="6"/>
    </row>
    <row r="3322" spans="1:12" x14ac:dyDescent="0.3">
      <c r="A3322" s="8"/>
      <c r="C3322" s="6"/>
      <c r="E3322" s="6"/>
      <c r="J3322" s="8"/>
      <c r="L3322" s="6"/>
    </row>
    <row r="3323" spans="1:12" x14ac:dyDescent="0.3">
      <c r="A3323" s="8"/>
      <c r="C3323" s="6"/>
      <c r="E3323" s="6"/>
      <c r="J3323" s="8"/>
      <c r="L3323" s="6"/>
    </row>
    <row r="3324" spans="1:12" x14ac:dyDescent="0.3">
      <c r="A3324" s="8"/>
      <c r="C3324" s="6"/>
      <c r="E3324" s="6"/>
      <c r="J3324" s="8"/>
      <c r="L3324" s="6"/>
    </row>
    <row r="3325" spans="1:12" x14ac:dyDescent="0.3">
      <c r="A3325" s="8"/>
      <c r="C3325" s="6"/>
      <c r="E3325" s="6"/>
      <c r="J3325" s="8"/>
      <c r="L3325" s="6"/>
    </row>
    <row r="3326" spans="1:12" x14ac:dyDescent="0.3">
      <c r="A3326" s="8"/>
      <c r="C3326" s="6"/>
      <c r="E3326" s="6"/>
      <c r="J3326" s="8"/>
      <c r="L3326" s="6"/>
    </row>
    <row r="3327" spans="1:12" x14ac:dyDescent="0.3">
      <c r="A3327" s="8"/>
      <c r="C3327" s="6"/>
      <c r="E3327" s="6"/>
      <c r="J3327" s="8"/>
      <c r="L3327" s="6"/>
    </row>
    <row r="3328" spans="1:12" x14ac:dyDescent="0.3">
      <c r="A3328" s="8"/>
      <c r="C3328" s="6"/>
      <c r="E3328" s="6"/>
      <c r="J3328" s="8"/>
      <c r="L3328" s="6"/>
    </row>
    <row r="3329" spans="1:12" x14ac:dyDescent="0.3">
      <c r="A3329" s="8"/>
      <c r="C3329" s="6"/>
      <c r="E3329" s="6"/>
      <c r="J3329" s="8"/>
      <c r="L3329" s="6"/>
    </row>
    <row r="3330" spans="1:12" x14ac:dyDescent="0.3">
      <c r="A3330" s="8"/>
      <c r="C3330" s="6"/>
      <c r="E3330" s="6"/>
      <c r="J3330" s="8"/>
      <c r="L3330" s="6"/>
    </row>
    <row r="3331" spans="1:12" x14ac:dyDescent="0.3">
      <c r="A3331" s="8"/>
      <c r="C3331" s="6"/>
      <c r="E3331" s="6"/>
      <c r="J3331" s="8"/>
      <c r="L3331" s="6"/>
    </row>
    <row r="3332" spans="1:12" x14ac:dyDescent="0.3">
      <c r="A3332" s="8"/>
      <c r="C3332" s="6"/>
      <c r="E3332" s="6"/>
      <c r="J3332" s="8"/>
      <c r="L3332" s="6"/>
    </row>
    <row r="3333" spans="1:12" x14ac:dyDescent="0.3">
      <c r="A3333" s="8"/>
      <c r="C3333" s="6"/>
      <c r="E3333" s="6"/>
      <c r="J3333" s="8"/>
      <c r="L3333" s="6"/>
    </row>
    <row r="3334" spans="1:12" x14ac:dyDescent="0.3">
      <c r="A3334" s="8"/>
      <c r="C3334" s="6"/>
      <c r="E3334" s="6"/>
      <c r="J3334" s="8"/>
      <c r="L3334" s="6"/>
    </row>
    <row r="3335" spans="1:12" x14ac:dyDescent="0.3">
      <c r="A3335" s="8"/>
      <c r="C3335" s="6"/>
      <c r="E3335" s="6"/>
      <c r="J3335" s="8"/>
      <c r="L3335" s="6"/>
    </row>
    <row r="3336" spans="1:12" x14ac:dyDescent="0.3">
      <c r="A3336" s="8"/>
      <c r="C3336" s="6"/>
      <c r="E3336" s="6"/>
      <c r="J3336" s="8"/>
      <c r="L3336" s="6"/>
    </row>
    <row r="3337" spans="1:12" x14ac:dyDescent="0.3">
      <c r="A3337" s="8"/>
      <c r="C3337" s="6"/>
      <c r="E3337" s="6"/>
      <c r="J3337" s="8"/>
      <c r="L3337" s="6"/>
    </row>
    <row r="3338" spans="1:12" x14ac:dyDescent="0.3">
      <c r="A3338" s="8"/>
      <c r="C3338" s="6"/>
      <c r="E3338" s="6"/>
      <c r="J3338" s="8"/>
      <c r="L3338" s="6"/>
    </row>
    <row r="3339" spans="1:12" x14ac:dyDescent="0.3">
      <c r="A3339" s="8"/>
      <c r="C3339" s="6"/>
      <c r="E3339" s="6"/>
      <c r="J3339" s="8"/>
      <c r="L3339" s="6"/>
    </row>
    <row r="3340" spans="1:12" x14ac:dyDescent="0.3">
      <c r="A3340" s="8"/>
      <c r="C3340" s="6"/>
      <c r="E3340" s="6"/>
      <c r="J3340" s="8"/>
      <c r="L3340" s="6"/>
    </row>
    <row r="3341" spans="1:12" x14ac:dyDescent="0.3">
      <c r="A3341" s="8"/>
      <c r="C3341" s="6"/>
      <c r="E3341" s="6"/>
      <c r="J3341" s="8"/>
      <c r="L3341" s="6"/>
    </row>
    <row r="3342" spans="1:12" x14ac:dyDescent="0.3">
      <c r="A3342" s="8"/>
      <c r="C3342" s="6"/>
      <c r="E3342" s="6"/>
      <c r="J3342" s="8"/>
      <c r="L3342" s="6"/>
    </row>
    <row r="3343" spans="1:12" x14ac:dyDescent="0.3">
      <c r="A3343" s="8"/>
      <c r="C3343" s="6"/>
      <c r="E3343" s="6"/>
      <c r="J3343" s="8"/>
      <c r="L3343" s="6"/>
    </row>
    <row r="3344" spans="1:12" x14ac:dyDescent="0.3">
      <c r="A3344" s="8"/>
      <c r="C3344" s="6"/>
      <c r="E3344" s="6"/>
      <c r="J3344" s="8"/>
      <c r="L3344" s="6"/>
    </row>
    <row r="3345" spans="1:12" x14ac:dyDescent="0.3">
      <c r="A3345" s="8"/>
      <c r="C3345" s="6"/>
      <c r="E3345" s="6"/>
      <c r="J3345" s="8"/>
      <c r="L3345" s="6"/>
    </row>
    <row r="3346" spans="1:12" x14ac:dyDescent="0.3">
      <c r="A3346" s="8"/>
      <c r="C3346" s="6"/>
      <c r="E3346" s="6"/>
      <c r="J3346" s="8"/>
      <c r="L3346" s="6"/>
    </row>
    <row r="3347" spans="1:12" x14ac:dyDescent="0.3">
      <c r="A3347" s="8"/>
      <c r="C3347" s="6"/>
      <c r="E3347" s="6"/>
      <c r="J3347" s="8"/>
      <c r="L3347" s="6"/>
    </row>
    <row r="3348" spans="1:12" x14ac:dyDescent="0.3">
      <c r="A3348" s="8"/>
      <c r="C3348" s="6"/>
      <c r="E3348" s="6"/>
      <c r="J3348" s="8"/>
      <c r="L3348" s="6"/>
    </row>
    <row r="3349" spans="1:12" x14ac:dyDescent="0.3">
      <c r="A3349" s="8"/>
      <c r="C3349" s="6"/>
      <c r="E3349" s="6"/>
      <c r="J3349" s="8"/>
      <c r="L3349" s="6"/>
    </row>
    <row r="3350" spans="1:12" x14ac:dyDescent="0.3">
      <c r="A3350" s="8"/>
      <c r="C3350" s="6"/>
      <c r="E3350" s="6"/>
      <c r="J3350" s="8"/>
      <c r="L3350" s="6"/>
    </row>
    <row r="3351" spans="1:12" x14ac:dyDescent="0.3">
      <c r="A3351" s="8"/>
      <c r="C3351" s="6"/>
      <c r="E3351" s="6"/>
      <c r="J3351" s="8"/>
      <c r="L3351" s="6"/>
    </row>
    <row r="3352" spans="1:12" x14ac:dyDescent="0.3">
      <c r="A3352" s="8"/>
      <c r="C3352" s="6"/>
      <c r="E3352" s="6"/>
      <c r="J3352" s="8"/>
      <c r="L3352" s="6"/>
    </row>
    <row r="3353" spans="1:12" x14ac:dyDescent="0.3">
      <c r="A3353" s="8"/>
      <c r="C3353" s="6"/>
      <c r="E3353" s="6"/>
      <c r="J3353" s="8"/>
      <c r="L3353" s="6"/>
    </row>
    <row r="3354" spans="1:12" x14ac:dyDescent="0.3">
      <c r="A3354" s="8"/>
      <c r="C3354" s="6"/>
      <c r="E3354" s="6"/>
      <c r="J3354" s="8"/>
      <c r="L3354" s="6"/>
    </row>
    <row r="3355" spans="1:12" x14ac:dyDescent="0.3">
      <c r="A3355" s="8"/>
      <c r="C3355" s="6"/>
      <c r="E3355" s="6"/>
      <c r="J3355" s="8"/>
      <c r="L3355" s="6"/>
    </row>
    <row r="3356" spans="1:12" x14ac:dyDescent="0.3">
      <c r="A3356" s="8"/>
      <c r="C3356" s="6"/>
      <c r="E3356" s="6"/>
      <c r="J3356" s="8"/>
      <c r="L3356" s="6"/>
    </row>
    <row r="3357" spans="1:12" x14ac:dyDescent="0.3">
      <c r="A3357" s="8"/>
      <c r="C3357" s="6"/>
      <c r="E3357" s="6"/>
      <c r="J3357" s="8"/>
      <c r="L3357" s="6"/>
    </row>
    <row r="3358" spans="1:12" x14ac:dyDescent="0.3">
      <c r="A3358" s="8"/>
      <c r="C3358" s="6"/>
      <c r="E3358" s="6"/>
      <c r="J3358" s="8"/>
      <c r="L3358" s="6"/>
    </row>
    <row r="3359" spans="1:12" x14ac:dyDescent="0.3">
      <c r="A3359" s="8"/>
      <c r="C3359" s="6"/>
      <c r="E3359" s="6"/>
      <c r="J3359" s="8"/>
      <c r="L3359" s="6"/>
    </row>
    <row r="3360" spans="1:12" x14ac:dyDescent="0.3">
      <c r="A3360" s="8"/>
      <c r="C3360" s="6"/>
      <c r="E3360" s="6"/>
      <c r="J3360" s="8"/>
      <c r="L3360" s="6"/>
    </row>
    <row r="3361" spans="1:12" x14ac:dyDescent="0.3">
      <c r="A3361" s="8"/>
      <c r="C3361" s="6"/>
      <c r="E3361" s="6"/>
      <c r="J3361" s="8"/>
      <c r="L3361" s="6"/>
    </row>
    <row r="3362" spans="1:12" x14ac:dyDescent="0.3">
      <c r="A3362" s="8"/>
      <c r="C3362" s="6"/>
      <c r="E3362" s="6"/>
      <c r="J3362" s="8"/>
      <c r="L3362" s="6"/>
    </row>
    <row r="3363" spans="1:12" x14ac:dyDescent="0.3">
      <c r="A3363" s="8"/>
      <c r="C3363" s="6"/>
      <c r="E3363" s="6"/>
      <c r="J3363" s="8"/>
      <c r="L3363" s="6"/>
    </row>
    <row r="3364" spans="1:12" x14ac:dyDescent="0.3">
      <c r="A3364" s="8"/>
      <c r="C3364" s="6"/>
      <c r="E3364" s="6"/>
      <c r="J3364" s="8"/>
      <c r="L3364" s="6"/>
    </row>
    <row r="3365" spans="1:12" x14ac:dyDescent="0.3">
      <c r="A3365" s="8"/>
      <c r="C3365" s="6"/>
      <c r="E3365" s="6"/>
      <c r="J3365" s="8"/>
      <c r="L3365" s="6"/>
    </row>
    <row r="3366" spans="1:12" x14ac:dyDescent="0.3">
      <c r="A3366" s="8"/>
      <c r="C3366" s="6"/>
      <c r="E3366" s="6"/>
      <c r="J3366" s="8"/>
      <c r="L3366" s="6"/>
    </row>
    <row r="3367" spans="1:12" x14ac:dyDescent="0.3">
      <c r="A3367" s="8"/>
      <c r="C3367" s="6"/>
      <c r="E3367" s="6"/>
      <c r="J3367" s="8"/>
      <c r="L3367" s="6"/>
    </row>
    <row r="3368" spans="1:12" x14ac:dyDescent="0.3">
      <c r="A3368" s="8"/>
      <c r="C3368" s="6"/>
      <c r="E3368" s="6"/>
      <c r="J3368" s="8"/>
      <c r="L3368" s="6"/>
    </row>
    <row r="3369" spans="1:12" x14ac:dyDescent="0.3">
      <c r="A3369" s="8"/>
      <c r="C3369" s="6"/>
      <c r="E3369" s="6"/>
      <c r="J3369" s="8"/>
      <c r="L3369" s="6"/>
    </row>
    <row r="3370" spans="1:12" x14ac:dyDescent="0.3">
      <c r="A3370" s="8"/>
      <c r="C3370" s="6"/>
      <c r="E3370" s="6"/>
      <c r="J3370" s="8"/>
      <c r="L3370" s="6"/>
    </row>
    <row r="3371" spans="1:12" x14ac:dyDescent="0.3">
      <c r="A3371" s="8"/>
      <c r="C3371" s="6"/>
      <c r="E3371" s="6"/>
      <c r="J3371" s="8"/>
      <c r="L3371" s="6"/>
    </row>
    <row r="3372" spans="1:12" x14ac:dyDescent="0.3">
      <c r="A3372" s="8"/>
      <c r="C3372" s="6"/>
      <c r="E3372" s="6"/>
      <c r="J3372" s="8"/>
      <c r="L3372" s="6"/>
    </row>
    <row r="3373" spans="1:12" x14ac:dyDescent="0.3">
      <c r="A3373" s="8"/>
      <c r="C3373" s="6"/>
      <c r="E3373" s="6"/>
      <c r="J3373" s="8"/>
      <c r="L3373" s="6"/>
    </row>
    <row r="3374" spans="1:12" x14ac:dyDescent="0.3">
      <c r="A3374" s="8"/>
      <c r="C3374" s="6"/>
      <c r="E3374" s="6"/>
      <c r="J3374" s="8"/>
      <c r="L3374" s="6"/>
    </row>
    <row r="3375" spans="1:12" x14ac:dyDescent="0.3">
      <c r="A3375" s="8"/>
      <c r="C3375" s="6"/>
      <c r="E3375" s="6"/>
      <c r="J3375" s="8"/>
      <c r="L3375" s="6"/>
    </row>
    <row r="3376" spans="1:12" x14ac:dyDescent="0.3">
      <c r="A3376" s="8"/>
      <c r="C3376" s="6"/>
      <c r="E3376" s="6"/>
      <c r="J3376" s="8"/>
      <c r="L3376" s="6"/>
    </row>
    <row r="3377" spans="1:12" x14ac:dyDescent="0.3">
      <c r="A3377" s="8"/>
      <c r="C3377" s="6"/>
      <c r="E3377" s="6"/>
      <c r="J3377" s="8"/>
      <c r="L3377" s="6"/>
    </row>
    <row r="3378" spans="1:12" x14ac:dyDescent="0.3">
      <c r="A3378" s="8"/>
      <c r="C3378" s="6"/>
      <c r="E3378" s="6"/>
      <c r="J3378" s="8"/>
      <c r="L3378" s="6"/>
    </row>
    <row r="3379" spans="1:12" x14ac:dyDescent="0.3">
      <c r="A3379" s="8"/>
      <c r="C3379" s="6"/>
      <c r="E3379" s="6"/>
      <c r="J3379" s="8"/>
      <c r="L3379" s="6"/>
    </row>
    <row r="3380" spans="1:12" x14ac:dyDescent="0.3">
      <c r="A3380" s="8"/>
      <c r="C3380" s="6"/>
      <c r="E3380" s="6"/>
      <c r="J3380" s="8"/>
      <c r="L3380" s="6"/>
    </row>
    <row r="3381" spans="1:12" x14ac:dyDescent="0.3">
      <c r="A3381" s="8"/>
      <c r="C3381" s="6"/>
      <c r="E3381" s="6"/>
      <c r="J3381" s="8"/>
      <c r="L3381" s="6"/>
    </row>
    <row r="3382" spans="1:12" x14ac:dyDescent="0.3">
      <c r="A3382" s="8"/>
      <c r="C3382" s="6"/>
      <c r="E3382" s="6"/>
      <c r="J3382" s="8"/>
      <c r="L3382" s="6"/>
    </row>
    <row r="3383" spans="1:12" x14ac:dyDescent="0.3">
      <c r="A3383" s="8"/>
      <c r="C3383" s="6"/>
      <c r="E3383" s="6"/>
      <c r="J3383" s="8"/>
      <c r="L3383" s="6"/>
    </row>
    <row r="3384" spans="1:12" x14ac:dyDescent="0.3">
      <c r="A3384" s="8"/>
      <c r="C3384" s="6"/>
      <c r="E3384" s="6"/>
      <c r="J3384" s="8"/>
      <c r="L3384" s="6"/>
    </row>
    <row r="3385" spans="1:12" x14ac:dyDescent="0.3">
      <c r="A3385" s="8"/>
      <c r="C3385" s="6"/>
      <c r="E3385" s="6"/>
      <c r="J3385" s="8"/>
      <c r="L3385" s="6"/>
    </row>
    <row r="3386" spans="1:12" x14ac:dyDescent="0.3">
      <c r="A3386" s="8"/>
      <c r="C3386" s="6"/>
      <c r="E3386" s="6"/>
      <c r="J3386" s="8"/>
      <c r="L3386" s="6"/>
    </row>
    <row r="3387" spans="1:12" x14ac:dyDescent="0.3">
      <c r="A3387" s="8"/>
      <c r="C3387" s="6"/>
      <c r="E3387" s="6"/>
      <c r="J3387" s="8"/>
      <c r="L3387" s="6"/>
    </row>
    <row r="3388" spans="1:12" x14ac:dyDescent="0.3">
      <c r="A3388" s="8"/>
      <c r="C3388" s="6"/>
      <c r="E3388" s="6"/>
      <c r="J3388" s="8"/>
      <c r="L3388" s="6"/>
    </row>
    <row r="3389" spans="1:12" x14ac:dyDescent="0.3">
      <c r="A3389" s="8"/>
      <c r="C3389" s="6"/>
      <c r="E3389" s="6"/>
      <c r="J3389" s="8"/>
      <c r="L3389" s="6"/>
    </row>
    <row r="3390" spans="1:12" x14ac:dyDescent="0.3">
      <c r="A3390" s="8"/>
      <c r="C3390" s="6"/>
      <c r="E3390" s="6"/>
      <c r="J3390" s="8"/>
      <c r="L3390" s="6"/>
    </row>
    <row r="3391" spans="1:12" x14ac:dyDescent="0.3">
      <c r="A3391" s="8"/>
      <c r="C3391" s="6"/>
      <c r="E3391" s="6"/>
      <c r="J3391" s="8"/>
      <c r="L3391" s="6"/>
    </row>
    <row r="3392" spans="1:12" x14ac:dyDescent="0.3">
      <c r="A3392" s="8"/>
      <c r="C3392" s="6"/>
      <c r="E3392" s="6"/>
      <c r="J3392" s="8"/>
      <c r="L3392" s="6"/>
    </row>
    <row r="3393" spans="1:12" x14ac:dyDescent="0.3">
      <c r="A3393" s="8"/>
      <c r="C3393" s="6"/>
      <c r="E3393" s="6"/>
      <c r="J3393" s="8"/>
      <c r="L3393" s="6"/>
    </row>
    <row r="3394" spans="1:12" x14ac:dyDescent="0.3">
      <c r="A3394" s="8"/>
      <c r="C3394" s="6"/>
      <c r="E3394" s="6"/>
      <c r="J3394" s="8"/>
      <c r="L3394" s="6"/>
    </row>
    <row r="3395" spans="1:12" x14ac:dyDescent="0.3">
      <c r="A3395" s="8"/>
      <c r="C3395" s="6"/>
      <c r="E3395" s="6"/>
      <c r="J3395" s="8"/>
      <c r="L3395" s="6"/>
    </row>
    <row r="3396" spans="1:12" x14ac:dyDescent="0.3">
      <c r="A3396" s="8"/>
      <c r="C3396" s="6"/>
      <c r="E3396" s="6"/>
      <c r="J3396" s="8"/>
      <c r="L3396" s="6"/>
    </row>
    <row r="3397" spans="1:12" x14ac:dyDescent="0.3">
      <c r="A3397" s="8"/>
      <c r="C3397" s="6"/>
      <c r="E3397" s="6"/>
      <c r="J3397" s="8"/>
      <c r="L3397" s="6"/>
    </row>
    <row r="3398" spans="1:12" x14ac:dyDescent="0.3">
      <c r="A3398" s="8"/>
      <c r="C3398" s="6"/>
      <c r="E3398" s="6"/>
      <c r="J3398" s="8"/>
      <c r="L3398" s="6"/>
    </row>
    <row r="3399" spans="1:12" x14ac:dyDescent="0.3">
      <c r="A3399" s="8"/>
      <c r="C3399" s="6"/>
      <c r="E3399" s="6"/>
      <c r="J3399" s="8"/>
      <c r="L3399" s="6"/>
    </row>
    <row r="3400" spans="1:12" x14ac:dyDescent="0.3">
      <c r="A3400" s="8"/>
      <c r="C3400" s="6"/>
      <c r="E3400" s="6"/>
      <c r="J3400" s="8"/>
      <c r="L3400" s="6"/>
    </row>
    <row r="3401" spans="1:12" x14ac:dyDescent="0.3">
      <c r="A3401" s="8"/>
      <c r="C3401" s="6"/>
      <c r="E3401" s="6"/>
      <c r="J3401" s="8"/>
      <c r="L3401" s="6"/>
    </row>
    <row r="3402" spans="1:12" x14ac:dyDescent="0.3">
      <c r="A3402" s="8"/>
      <c r="C3402" s="6"/>
      <c r="E3402" s="6"/>
      <c r="J3402" s="8"/>
      <c r="L3402" s="6"/>
    </row>
    <row r="3403" spans="1:12" x14ac:dyDescent="0.3">
      <c r="A3403" s="8"/>
      <c r="C3403" s="6"/>
      <c r="E3403" s="6"/>
      <c r="J3403" s="8"/>
      <c r="L3403" s="6"/>
    </row>
    <row r="3404" spans="1:12" x14ac:dyDescent="0.3">
      <c r="A3404" s="8"/>
      <c r="C3404" s="6"/>
      <c r="E3404" s="6"/>
      <c r="J3404" s="8"/>
      <c r="L3404" s="6"/>
    </row>
    <row r="3405" spans="1:12" x14ac:dyDescent="0.3">
      <c r="A3405" s="8"/>
      <c r="C3405" s="6"/>
      <c r="E3405" s="6"/>
      <c r="J3405" s="8"/>
      <c r="L3405" s="6"/>
    </row>
    <row r="3406" spans="1:12" x14ac:dyDescent="0.3">
      <c r="A3406" s="8"/>
      <c r="C3406" s="6"/>
      <c r="E3406" s="6"/>
      <c r="J3406" s="8"/>
      <c r="L3406" s="6"/>
    </row>
    <row r="3407" spans="1:12" x14ac:dyDescent="0.3">
      <c r="A3407" s="8"/>
      <c r="C3407" s="6"/>
      <c r="E3407" s="6"/>
      <c r="J3407" s="8"/>
      <c r="L3407" s="6"/>
    </row>
    <row r="3408" spans="1:12" x14ac:dyDescent="0.3">
      <c r="A3408" s="8"/>
      <c r="C3408" s="6"/>
      <c r="E3408" s="6"/>
      <c r="J3408" s="8"/>
      <c r="L3408" s="6"/>
    </row>
    <row r="3409" spans="1:12" x14ac:dyDescent="0.3">
      <c r="A3409" s="8"/>
      <c r="C3409" s="6"/>
      <c r="E3409" s="6"/>
      <c r="J3409" s="8"/>
      <c r="L3409" s="6"/>
    </row>
    <row r="3410" spans="1:12" x14ac:dyDescent="0.3">
      <c r="A3410" s="8"/>
      <c r="C3410" s="6"/>
      <c r="E3410" s="6"/>
      <c r="J3410" s="8"/>
      <c r="L3410" s="6"/>
    </row>
    <row r="3411" spans="1:12" x14ac:dyDescent="0.3">
      <c r="A3411" s="8"/>
      <c r="C3411" s="6"/>
      <c r="E3411" s="6"/>
      <c r="J3411" s="8"/>
      <c r="L3411" s="6"/>
    </row>
    <row r="3412" spans="1:12" x14ac:dyDescent="0.3">
      <c r="A3412" s="8"/>
      <c r="C3412" s="6"/>
      <c r="E3412" s="6"/>
      <c r="J3412" s="8"/>
      <c r="L3412" s="6"/>
    </row>
    <row r="3413" spans="1:12" x14ac:dyDescent="0.3">
      <c r="A3413" s="8"/>
      <c r="C3413" s="6"/>
      <c r="E3413" s="6"/>
      <c r="J3413" s="8"/>
      <c r="L3413" s="6"/>
    </row>
    <row r="3414" spans="1:12" x14ac:dyDescent="0.3">
      <c r="A3414" s="8"/>
      <c r="C3414" s="6"/>
      <c r="E3414" s="6"/>
      <c r="J3414" s="8"/>
      <c r="L3414" s="6"/>
    </row>
    <row r="3415" spans="1:12" x14ac:dyDescent="0.3">
      <c r="A3415" s="8"/>
      <c r="C3415" s="6"/>
      <c r="E3415" s="6"/>
      <c r="J3415" s="8"/>
      <c r="L3415" s="6"/>
    </row>
    <row r="3416" spans="1:12" x14ac:dyDescent="0.3">
      <c r="A3416" s="8"/>
      <c r="C3416" s="6"/>
      <c r="E3416" s="6"/>
      <c r="J3416" s="8"/>
      <c r="L3416" s="6"/>
    </row>
    <row r="3417" spans="1:12" x14ac:dyDescent="0.3">
      <c r="A3417" s="8"/>
      <c r="C3417" s="6"/>
      <c r="E3417" s="6"/>
      <c r="J3417" s="8"/>
      <c r="L3417" s="6"/>
    </row>
    <row r="3418" spans="1:12" x14ac:dyDescent="0.3">
      <c r="A3418" s="8"/>
      <c r="C3418" s="6"/>
      <c r="E3418" s="6"/>
      <c r="J3418" s="8"/>
      <c r="L3418" s="6"/>
    </row>
    <row r="3419" spans="1:12" x14ac:dyDescent="0.3">
      <c r="A3419" s="8"/>
      <c r="C3419" s="6"/>
      <c r="E3419" s="6"/>
      <c r="J3419" s="8"/>
      <c r="L3419" s="6"/>
    </row>
    <row r="3420" spans="1:12" x14ac:dyDescent="0.3">
      <c r="A3420" s="8"/>
      <c r="C3420" s="6"/>
      <c r="E3420" s="6"/>
      <c r="J3420" s="8"/>
      <c r="L3420" s="6"/>
    </row>
    <row r="3421" spans="1:12" x14ac:dyDescent="0.3">
      <c r="A3421" s="8"/>
      <c r="C3421" s="6"/>
      <c r="E3421" s="6"/>
      <c r="J3421" s="8"/>
      <c r="L3421" s="6"/>
    </row>
    <row r="3422" spans="1:12" x14ac:dyDescent="0.3">
      <c r="A3422" s="8"/>
      <c r="C3422" s="6"/>
      <c r="E3422" s="6"/>
      <c r="J3422" s="8"/>
      <c r="L3422" s="6"/>
    </row>
    <row r="3423" spans="1:12" x14ac:dyDescent="0.3">
      <c r="A3423" s="8"/>
      <c r="C3423" s="6"/>
      <c r="E3423" s="6"/>
      <c r="J3423" s="8"/>
      <c r="L3423" s="6"/>
    </row>
    <row r="3424" spans="1:12" x14ac:dyDescent="0.3">
      <c r="A3424" s="8"/>
      <c r="C3424" s="6"/>
      <c r="E3424" s="6"/>
      <c r="J3424" s="8"/>
      <c r="L3424" s="6"/>
    </row>
    <row r="3425" spans="1:12" x14ac:dyDescent="0.3">
      <c r="A3425" s="8"/>
      <c r="C3425" s="6"/>
      <c r="E3425" s="6"/>
      <c r="J3425" s="8"/>
      <c r="L3425" s="6"/>
    </row>
    <row r="3426" spans="1:12" x14ac:dyDescent="0.3">
      <c r="A3426" s="8"/>
      <c r="C3426" s="6"/>
      <c r="E3426" s="6"/>
      <c r="J3426" s="8"/>
      <c r="L3426" s="6"/>
    </row>
    <row r="3427" spans="1:12" x14ac:dyDescent="0.3">
      <c r="A3427" s="8"/>
      <c r="C3427" s="6"/>
      <c r="E3427" s="6"/>
      <c r="J3427" s="8"/>
      <c r="L3427" s="6"/>
    </row>
    <row r="3428" spans="1:12" x14ac:dyDescent="0.3">
      <c r="A3428" s="8"/>
      <c r="C3428" s="6"/>
      <c r="E3428" s="6"/>
      <c r="J3428" s="8"/>
      <c r="L3428" s="6"/>
    </row>
    <row r="3429" spans="1:12" x14ac:dyDescent="0.3">
      <c r="A3429" s="8"/>
      <c r="C3429" s="6"/>
      <c r="E3429" s="6"/>
      <c r="J3429" s="8"/>
      <c r="L3429" s="6"/>
    </row>
    <row r="3430" spans="1:12" x14ac:dyDescent="0.3">
      <c r="A3430" s="8"/>
      <c r="C3430" s="6"/>
      <c r="E3430" s="6"/>
      <c r="J3430" s="8"/>
      <c r="L3430" s="6"/>
    </row>
    <row r="3431" spans="1:12" x14ac:dyDescent="0.3">
      <c r="A3431" s="8"/>
      <c r="C3431" s="6"/>
      <c r="E3431" s="6"/>
      <c r="J3431" s="8"/>
      <c r="L3431" s="6"/>
    </row>
    <row r="3432" spans="1:12" x14ac:dyDescent="0.3">
      <c r="A3432" s="8"/>
      <c r="C3432" s="6"/>
      <c r="E3432" s="6"/>
      <c r="J3432" s="8"/>
      <c r="L3432" s="6"/>
    </row>
    <row r="3433" spans="1:12" x14ac:dyDescent="0.3">
      <c r="A3433" s="8"/>
      <c r="C3433" s="6"/>
      <c r="E3433" s="6"/>
      <c r="J3433" s="8"/>
      <c r="L3433" s="6"/>
    </row>
    <row r="3434" spans="1:12" x14ac:dyDescent="0.3">
      <c r="A3434" s="8"/>
      <c r="C3434" s="6"/>
      <c r="E3434" s="6"/>
      <c r="J3434" s="8"/>
      <c r="L3434" s="6"/>
    </row>
    <row r="3435" spans="1:12" x14ac:dyDescent="0.3">
      <c r="A3435" s="8"/>
      <c r="C3435" s="6"/>
      <c r="E3435" s="6"/>
      <c r="J3435" s="8"/>
      <c r="L3435" s="6"/>
    </row>
    <row r="3436" spans="1:12" x14ac:dyDescent="0.3">
      <c r="A3436" s="8"/>
      <c r="C3436" s="6"/>
      <c r="E3436" s="6"/>
      <c r="J3436" s="8"/>
      <c r="L3436" s="6"/>
    </row>
    <row r="3437" spans="1:12" x14ac:dyDescent="0.3">
      <c r="A3437" s="8"/>
      <c r="C3437" s="6"/>
      <c r="E3437" s="6"/>
      <c r="J3437" s="8"/>
      <c r="L3437" s="6"/>
    </row>
    <row r="3438" spans="1:12" x14ac:dyDescent="0.3">
      <c r="A3438" s="8"/>
      <c r="C3438" s="6"/>
      <c r="E3438" s="6"/>
      <c r="J3438" s="8"/>
      <c r="L3438" s="6"/>
    </row>
    <row r="3439" spans="1:12" x14ac:dyDescent="0.3">
      <c r="A3439" s="8"/>
      <c r="C3439" s="6"/>
      <c r="E3439" s="6"/>
      <c r="J3439" s="8"/>
      <c r="L3439" s="6"/>
    </row>
    <row r="3440" spans="1:12" x14ac:dyDescent="0.3">
      <c r="A3440" s="8"/>
      <c r="C3440" s="6"/>
      <c r="E3440" s="6"/>
      <c r="J3440" s="8"/>
      <c r="L3440" s="6"/>
    </row>
    <row r="3441" spans="1:12" x14ac:dyDescent="0.3">
      <c r="A3441" s="8"/>
      <c r="C3441" s="6"/>
      <c r="E3441" s="6"/>
      <c r="J3441" s="8"/>
      <c r="L3441" s="6"/>
    </row>
    <row r="3442" spans="1:12" x14ac:dyDescent="0.3">
      <c r="A3442" s="8"/>
      <c r="C3442" s="6"/>
      <c r="E3442" s="6"/>
      <c r="J3442" s="8"/>
      <c r="L3442" s="6"/>
    </row>
    <row r="3443" spans="1:12" x14ac:dyDescent="0.3">
      <c r="A3443" s="8"/>
      <c r="C3443" s="6"/>
      <c r="E3443" s="6"/>
      <c r="J3443" s="8"/>
      <c r="L3443" s="6"/>
    </row>
    <row r="3444" spans="1:12" x14ac:dyDescent="0.3">
      <c r="A3444" s="8"/>
      <c r="C3444" s="6"/>
      <c r="E3444" s="6"/>
      <c r="J3444" s="8"/>
      <c r="L3444" s="6"/>
    </row>
    <row r="3445" spans="1:12" x14ac:dyDescent="0.3">
      <c r="A3445" s="8"/>
      <c r="C3445" s="6"/>
      <c r="E3445" s="6"/>
      <c r="J3445" s="8"/>
      <c r="L3445" s="6"/>
    </row>
    <row r="3446" spans="1:12" x14ac:dyDescent="0.3">
      <c r="A3446" s="8"/>
      <c r="C3446" s="6"/>
      <c r="E3446" s="6"/>
      <c r="J3446" s="8"/>
      <c r="L3446" s="6"/>
    </row>
    <row r="3447" spans="1:12" x14ac:dyDescent="0.3">
      <c r="A3447" s="8"/>
      <c r="C3447" s="6"/>
      <c r="E3447" s="6"/>
      <c r="J3447" s="8"/>
      <c r="L3447" s="6"/>
    </row>
    <row r="3448" spans="1:12" x14ac:dyDescent="0.3">
      <c r="A3448" s="8"/>
      <c r="C3448" s="6"/>
      <c r="E3448" s="6"/>
      <c r="J3448" s="8"/>
      <c r="L3448" s="6"/>
    </row>
    <row r="3449" spans="1:12" x14ac:dyDescent="0.3">
      <c r="A3449" s="8"/>
      <c r="C3449" s="6"/>
      <c r="E3449" s="6"/>
      <c r="J3449" s="8"/>
      <c r="L3449" s="6"/>
    </row>
    <row r="3450" spans="1:12" x14ac:dyDescent="0.3">
      <c r="A3450" s="8"/>
      <c r="C3450" s="6"/>
      <c r="E3450" s="6"/>
      <c r="J3450" s="8"/>
      <c r="L3450" s="6"/>
    </row>
    <row r="3451" spans="1:12" x14ac:dyDescent="0.3">
      <c r="A3451" s="8"/>
      <c r="C3451" s="6"/>
      <c r="E3451" s="6"/>
      <c r="J3451" s="8"/>
      <c r="L3451" s="6"/>
    </row>
    <row r="3452" spans="1:12" x14ac:dyDescent="0.3">
      <c r="A3452" s="8"/>
      <c r="C3452" s="6"/>
      <c r="E3452" s="6"/>
      <c r="J3452" s="8"/>
      <c r="L3452" s="6"/>
    </row>
    <row r="3453" spans="1:12" x14ac:dyDescent="0.3">
      <c r="A3453" s="8"/>
      <c r="C3453" s="6"/>
      <c r="E3453" s="6"/>
      <c r="J3453" s="8"/>
      <c r="L3453" s="6"/>
    </row>
    <row r="3454" spans="1:12" x14ac:dyDescent="0.3">
      <c r="A3454" s="8"/>
      <c r="C3454" s="6"/>
      <c r="E3454" s="6"/>
      <c r="J3454" s="8"/>
      <c r="L3454" s="6"/>
    </row>
    <row r="3455" spans="1:12" x14ac:dyDescent="0.3">
      <c r="A3455" s="8"/>
      <c r="C3455" s="6"/>
      <c r="E3455" s="6"/>
      <c r="J3455" s="8"/>
      <c r="L3455" s="6"/>
    </row>
    <row r="3456" spans="1:12" x14ac:dyDescent="0.3">
      <c r="A3456" s="8"/>
      <c r="C3456" s="6"/>
      <c r="E3456" s="6"/>
      <c r="J3456" s="8"/>
      <c r="L3456" s="6"/>
    </row>
    <row r="3457" spans="1:12" x14ac:dyDescent="0.3">
      <c r="A3457" s="8"/>
      <c r="C3457" s="6"/>
      <c r="E3457" s="6"/>
      <c r="J3457" s="8"/>
      <c r="L3457" s="6"/>
    </row>
    <row r="3458" spans="1:12" x14ac:dyDescent="0.3">
      <c r="A3458" s="8"/>
      <c r="C3458" s="6"/>
      <c r="E3458" s="6"/>
      <c r="J3458" s="8"/>
      <c r="L3458" s="6"/>
    </row>
    <row r="3459" spans="1:12" x14ac:dyDescent="0.3">
      <c r="A3459" s="8"/>
      <c r="C3459" s="6"/>
      <c r="E3459" s="6"/>
      <c r="J3459" s="8"/>
      <c r="L3459" s="6"/>
    </row>
    <row r="3460" spans="1:12" x14ac:dyDescent="0.3">
      <c r="A3460" s="8"/>
      <c r="C3460" s="6"/>
      <c r="E3460" s="6"/>
      <c r="J3460" s="8"/>
      <c r="L3460" s="6"/>
    </row>
    <row r="3461" spans="1:12" x14ac:dyDescent="0.3">
      <c r="A3461" s="8"/>
      <c r="C3461" s="6"/>
      <c r="E3461" s="6"/>
      <c r="J3461" s="8"/>
      <c r="L3461" s="6"/>
    </row>
    <row r="3462" spans="1:12" x14ac:dyDescent="0.3">
      <c r="A3462" s="8"/>
      <c r="C3462" s="6"/>
      <c r="E3462" s="6"/>
      <c r="J3462" s="8"/>
      <c r="L3462" s="6"/>
    </row>
    <row r="3463" spans="1:12" x14ac:dyDescent="0.3">
      <c r="A3463" s="8"/>
      <c r="C3463" s="6"/>
      <c r="E3463" s="6"/>
      <c r="J3463" s="8"/>
      <c r="L3463" s="6"/>
    </row>
    <row r="3464" spans="1:12" x14ac:dyDescent="0.3">
      <c r="A3464" s="8"/>
      <c r="C3464" s="6"/>
      <c r="E3464" s="6"/>
      <c r="J3464" s="8"/>
      <c r="L3464" s="6"/>
    </row>
    <row r="3465" spans="1:12" x14ac:dyDescent="0.3">
      <c r="A3465" s="8"/>
      <c r="C3465" s="6"/>
      <c r="E3465" s="6"/>
      <c r="J3465" s="8"/>
      <c r="L3465" s="6"/>
    </row>
    <row r="3466" spans="1:12" x14ac:dyDescent="0.3">
      <c r="A3466" s="8"/>
      <c r="C3466" s="6"/>
      <c r="E3466" s="6"/>
      <c r="J3466" s="8"/>
      <c r="L3466" s="6"/>
    </row>
    <row r="3467" spans="1:12" x14ac:dyDescent="0.3">
      <c r="A3467" s="8"/>
      <c r="C3467" s="6"/>
      <c r="E3467" s="6"/>
      <c r="J3467" s="8"/>
      <c r="L3467" s="6"/>
    </row>
    <row r="3468" spans="1:12" x14ac:dyDescent="0.3">
      <c r="A3468" s="8"/>
      <c r="C3468" s="6"/>
      <c r="E3468" s="6"/>
      <c r="J3468" s="8"/>
      <c r="L3468" s="6"/>
    </row>
    <row r="3469" spans="1:12" x14ac:dyDescent="0.3">
      <c r="A3469" s="8"/>
      <c r="C3469" s="6"/>
      <c r="E3469" s="6"/>
      <c r="J3469" s="8"/>
      <c r="L3469" s="6"/>
    </row>
    <row r="3470" spans="1:12" x14ac:dyDescent="0.3">
      <c r="A3470" s="8"/>
      <c r="C3470" s="6"/>
      <c r="E3470" s="6"/>
      <c r="J3470" s="8"/>
      <c r="L3470" s="6"/>
    </row>
    <row r="3471" spans="1:12" x14ac:dyDescent="0.3">
      <c r="A3471" s="8"/>
      <c r="C3471" s="6"/>
      <c r="E3471" s="6"/>
      <c r="J3471" s="8"/>
      <c r="L3471" s="6"/>
    </row>
    <row r="3472" spans="1:12" x14ac:dyDescent="0.3">
      <c r="A3472" s="8"/>
      <c r="C3472" s="6"/>
      <c r="E3472" s="6"/>
      <c r="J3472" s="8"/>
      <c r="L3472" s="6"/>
    </row>
    <row r="3473" spans="1:12" x14ac:dyDescent="0.3">
      <c r="A3473" s="8"/>
      <c r="C3473" s="6"/>
      <c r="E3473" s="6"/>
      <c r="J3473" s="8"/>
      <c r="L3473" s="6"/>
    </row>
    <row r="3474" spans="1:12" x14ac:dyDescent="0.3">
      <c r="A3474" s="8"/>
      <c r="C3474" s="6"/>
      <c r="E3474" s="6"/>
      <c r="J3474" s="8"/>
      <c r="L3474" s="6"/>
    </row>
    <row r="3475" spans="1:12" x14ac:dyDescent="0.3">
      <c r="A3475" s="8"/>
      <c r="C3475" s="6"/>
      <c r="E3475" s="6"/>
      <c r="J3475" s="8"/>
      <c r="L3475" s="6"/>
    </row>
    <row r="3476" spans="1:12" x14ac:dyDescent="0.3">
      <c r="A3476" s="8"/>
      <c r="C3476" s="6"/>
      <c r="E3476" s="6"/>
      <c r="J3476" s="8"/>
      <c r="L3476" s="6"/>
    </row>
    <row r="3477" spans="1:12" x14ac:dyDescent="0.3">
      <c r="A3477" s="8"/>
      <c r="C3477" s="6"/>
      <c r="E3477" s="6"/>
      <c r="J3477" s="8"/>
      <c r="L3477" s="6"/>
    </row>
    <row r="3478" spans="1:12" x14ac:dyDescent="0.3">
      <c r="A3478" s="8"/>
      <c r="C3478" s="6"/>
      <c r="E3478" s="6"/>
      <c r="J3478" s="8"/>
      <c r="L3478" s="6"/>
    </row>
    <row r="3479" spans="1:12" x14ac:dyDescent="0.3">
      <c r="A3479" s="8"/>
      <c r="C3479" s="6"/>
      <c r="E3479" s="6"/>
      <c r="J3479" s="8"/>
      <c r="L3479" s="6"/>
    </row>
    <row r="3480" spans="1:12" x14ac:dyDescent="0.3">
      <c r="A3480" s="8"/>
      <c r="C3480" s="6"/>
      <c r="E3480" s="6"/>
      <c r="J3480" s="8"/>
      <c r="L3480" s="6"/>
    </row>
    <row r="3481" spans="1:12" x14ac:dyDescent="0.3">
      <c r="A3481" s="8"/>
      <c r="C3481" s="6"/>
      <c r="E3481" s="6"/>
      <c r="J3481" s="8"/>
      <c r="L3481" s="6"/>
    </row>
    <row r="3482" spans="1:12" x14ac:dyDescent="0.3">
      <c r="A3482" s="8"/>
      <c r="C3482" s="6"/>
      <c r="E3482" s="6"/>
      <c r="J3482" s="8"/>
      <c r="L3482" s="6"/>
    </row>
    <row r="3483" spans="1:12" x14ac:dyDescent="0.3">
      <c r="A3483" s="8"/>
      <c r="C3483" s="6"/>
      <c r="E3483" s="6"/>
      <c r="J3483" s="8"/>
      <c r="L3483" s="6"/>
    </row>
    <row r="3484" spans="1:12" x14ac:dyDescent="0.3">
      <c r="A3484" s="8"/>
      <c r="C3484" s="6"/>
      <c r="E3484" s="6"/>
      <c r="J3484" s="8"/>
      <c r="L3484" s="6"/>
    </row>
    <row r="3485" spans="1:12" x14ac:dyDescent="0.3">
      <c r="A3485" s="8"/>
      <c r="C3485" s="6"/>
      <c r="E3485" s="6"/>
      <c r="J3485" s="8"/>
      <c r="L3485" s="6"/>
    </row>
    <row r="3486" spans="1:12" x14ac:dyDescent="0.3">
      <c r="A3486" s="8"/>
      <c r="C3486" s="6"/>
      <c r="E3486" s="6"/>
      <c r="J3486" s="8"/>
      <c r="L3486" s="6"/>
    </row>
    <row r="3487" spans="1:12" x14ac:dyDescent="0.3">
      <c r="A3487" s="8"/>
      <c r="C3487" s="6"/>
      <c r="E3487" s="6"/>
      <c r="J3487" s="8"/>
      <c r="L3487" s="6"/>
    </row>
    <row r="3488" spans="1:12" x14ac:dyDescent="0.3">
      <c r="A3488" s="8"/>
      <c r="C3488" s="6"/>
      <c r="E3488" s="6"/>
      <c r="J3488" s="8"/>
      <c r="L3488" s="6"/>
    </row>
    <row r="3489" spans="1:12" x14ac:dyDescent="0.3">
      <c r="A3489" s="8"/>
      <c r="C3489" s="6"/>
      <c r="E3489" s="6"/>
      <c r="J3489" s="8"/>
      <c r="L3489" s="6"/>
    </row>
    <row r="3490" spans="1:12" x14ac:dyDescent="0.3">
      <c r="A3490" s="8"/>
      <c r="C3490" s="6"/>
      <c r="E3490" s="6"/>
      <c r="J3490" s="8"/>
      <c r="L3490" s="6"/>
    </row>
    <row r="3491" spans="1:12" x14ac:dyDescent="0.3">
      <c r="A3491" s="8"/>
      <c r="C3491" s="6"/>
      <c r="E3491" s="6"/>
      <c r="J3491" s="8"/>
      <c r="L3491" s="6"/>
    </row>
    <row r="3492" spans="1:12" x14ac:dyDescent="0.3">
      <c r="A3492" s="8"/>
      <c r="C3492" s="6"/>
      <c r="E3492" s="6"/>
      <c r="J3492" s="8"/>
      <c r="L3492" s="6"/>
    </row>
    <row r="3493" spans="1:12" x14ac:dyDescent="0.3">
      <c r="A3493" s="8"/>
      <c r="C3493" s="6"/>
      <c r="E3493" s="6"/>
      <c r="J3493" s="8"/>
      <c r="L3493" s="6"/>
    </row>
    <row r="3494" spans="1:12" x14ac:dyDescent="0.3">
      <c r="A3494" s="8"/>
      <c r="C3494" s="6"/>
      <c r="E3494" s="6"/>
      <c r="J3494" s="8"/>
      <c r="L3494" s="6"/>
    </row>
    <row r="3495" spans="1:12" x14ac:dyDescent="0.3">
      <c r="A3495" s="8"/>
      <c r="C3495" s="6"/>
      <c r="E3495" s="6"/>
      <c r="J3495" s="8"/>
      <c r="L3495" s="6"/>
    </row>
    <row r="3496" spans="1:12" x14ac:dyDescent="0.3">
      <c r="A3496" s="8"/>
      <c r="C3496" s="6"/>
      <c r="E3496" s="6"/>
      <c r="J3496" s="8"/>
      <c r="L3496" s="6"/>
    </row>
    <row r="3497" spans="1:12" x14ac:dyDescent="0.3">
      <c r="A3497" s="8"/>
      <c r="C3497" s="6"/>
      <c r="E3497" s="6"/>
      <c r="J3497" s="8"/>
      <c r="L3497" s="6"/>
    </row>
    <row r="3498" spans="1:12" x14ac:dyDescent="0.3">
      <c r="A3498" s="8"/>
      <c r="C3498" s="6"/>
      <c r="E3498" s="6"/>
      <c r="J3498" s="8"/>
      <c r="L3498" s="6"/>
    </row>
    <row r="3499" spans="1:12" x14ac:dyDescent="0.3">
      <c r="A3499" s="8"/>
      <c r="C3499" s="6"/>
      <c r="E3499" s="6"/>
      <c r="J3499" s="8"/>
      <c r="L3499" s="6"/>
    </row>
    <row r="3500" spans="1:12" x14ac:dyDescent="0.3">
      <c r="A3500" s="8"/>
      <c r="C3500" s="6"/>
      <c r="E3500" s="6"/>
      <c r="J3500" s="8"/>
      <c r="L3500" s="6"/>
    </row>
    <row r="3501" spans="1:12" x14ac:dyDescent="0.3">
      <c r="A3501" s="8"/>
      <c r="C3501" s="6"/>
      <c r="E3501" s="6"/>
      <c r="J3501" s="8"/>
      <c r="L3501" s="6"/>
    </row>
    <row r="3502" spans="1:12" x14ac:dyDescent="0.3">
      <c r="A3502" s="8"/>
      <c r="C3502" s="6"/>
      <c r="E3502" s="6"/>
      <c r="J3502" s="8"/>
      <c r="L3502" s="6"/>
    </row>
    <row r="3503" spans="1:12" x14ac:dyDescent="0.3">
      <c r="A3503" s="8"/>
      <c r="C3503" s="6"/>
      <c r="E3503" s="6"/>
      <c r="J3503" s="8"/>
      <c r="L3503" s="6"/>
    </row>
    <row r="3504" spans="1:12" x14ac:dyDescent="0.3">
      <c r="A3504" s="8"/>
      <c r="C3504" s="6"/>
      <c r="E3504" s="6"/>
      <c r="J3504" s="8"/>
      <c r="L3504" s="6"/>
    </row>
    <row r="3505" spans="1:12" x14ac:dyDescent="0.3">
      <c r="A3505" s="8"/>
      <c r="C3505" s="6"/>
      <c r="E3505" s="6"/>
      <c r="J3505" s="8"/>
      <c r="L3505" s="6"/>
    </row>
    <row r="3506" spans="1:12" x14ac:dyDescent="0.3">
      <c r="A3506" s="8"/>
      <c r="C3506" s="6"/>
      <c r="E3506" s="6"/>
      <c r="J3506" s="8"/>
      <c r="L3506" s="6"/>
    </row>
    <row r="3507" spans="1:12" x14ac:dyDescent="0.3">
      <c r="A3507" s="8"/>
      <c r="C3507" s="6"/>
      <c r="E3507" s="6"/>
      <c r="J3507" s="8"/>
      <c r="L3507" s="6"/>
    </row>
    <row r="3508" spans="1:12" x14ac:dyDescent="0.3">
      <c r="A3508" s="8"/>
      <c r="C3508" s="6"/>
      <c r="E3508" s="6"/>
      <c r="J3508" s="8"/>
      <c r="L3508" s="6"/>
    </row>
    <row r="3509" spans="1:12" x14ac:dyDescent="0.3">
      <c r="A3509" s="8"/>
      <c r="C3509" s="6"/>
      <c r="E3509" s="6"/>
      <c r="J3509" s="8"/>
      <c r="L3509" s="6"/>
    </row>
    <row r="3510" spans="1:12" x14ac:dyDescent="0.3">
      <c r="A3510" s="8"/>
      <c r="C3510" s="6"/>
      <c r="E3510" s="6"/>
      <c r="J3510" s="8"/>
      <c r="L3510" s="6"/>
    </row>
    <row r="3511" spans="1:12" x14ac:dyDescent="0.3">
      <c r="A3511" s="8"/>
      <c r="C3511" s="6"/>
      <c r="E3511" s="6"/>
      <c r="J3511" s="8"/>
      <c r="L3511" s="6"/>
    </row>
    <row r="3512" spans="1:12" x14ac:dyDescent="0.3">
      <c r="A3512" s="8"/>
      <c r="C3512" s="6"/>
      <c r="E3512" s="6"/>
      <c r="J3512" s="8"/>
      <c r="L3512" s="6"/>
    </row>
    <row r="3513" spans="1:12" x14ac:dyDescent="0.3">
      <c r="A3513" s="8"/>
      <c r="C3513" s="6"/>
      <c r="E3513" s="6"/>
      <c r="J3513" s="8"/>
      <c r="L3513" s="6"/>
    </row>
    <row r="3514" spans="1:12" x14ac:dyDescent="0.3">
      <c r="A3514" s="8"/>
      <c r="C3514" s="6"/>
      <c r="E3514" s="6"/>
      <c r="J3514" s="8"/>
      <c r="L3514" s="6"/>
    </row>
    <row r="3515" spans="1:12" x14ac:dyDescent="0.3">
      <c r="A3515" s="8"/>
      <c r="C3515" s="6"/>
      <c r="E3515" s="6"/>
      <c r="J3515" s="8"/>
      <c r="L3515" s="6"/>
    </row>
    <row r="3516" spans="1:12" x14ac:dyDescent="0.3">
      <c r="A3516" s="8"/>
      <c r="C3516" s="6"/>
      <c r="E3516" s="6"/>
      <c r="J3516" s="8"/>
      <c r="L3516" s="6"/>
    </row>
    <row r="3517" spans="1:12" x14ac:dyDescent="0.3">
      <c r="A3517" s="8"/>
      <c r="C3517" s="6"/>
      <c r="E3517" s="6"/>
      <c r="J3517" s="8"/>
      <c r="L3517" s="6"/>
    </row>
    <row r="3518" spans="1:12" x14ac:dyDescent="0.3">
      <c r="A3518" s="8"/>
      <c r="C3518" s="6"/>
      <c r="E3518" s="6"/>
      <c r="J3518" s="8"/>
      <c r="L3518" s="6"/>
    </row>
    <row r="3519" spans="1:12" x14ac:dyDescent="0.3">
      <c r="A3519" s="8"/>
      <c r="C3519" s="6"/>
      <c r="E3519" s="6"/>
      <c r="J3519" s="8"/>
      <c r="L3519" s="6"/>
    </row>
    <row r="3520" spans="1:12" x14ac:dyDescent="0.3">
      <c r="A3520" s="8"/>
      <c r="C3520" s="6"/>
      <c r="E3520" s="6"/>
      <c r="J3520" s="8"/>
      <c r="L3520" s="6"/>
    </row>
    <row r="3521" spans="1:12" x14ac:dyDescent="0.3">
      <c r="A3521" s="8"/>
      <c r="C3521" s="6"/>
      <c r="E3521" s="6"/>
      <c r="J3521" s="8"/>
      <c r="L3521" s="6"/>
    </row>
    <row r="3522" spans="1:12" x14ac:dyDescent="0.3">
      <c r="A3522" s="8"/>
      <c r="C3522" s="6"/>
      <c r="E3522" s="6"/>
      <c r="J3522" s="8"/>
      <c r="L3522" s="6"/>
    </row>
    <row r="3523" spans="1:12" x14ac:dyDescent="0.3">
      <c r="A3523" s="8"/>
      <c r="C3523" s="6"/>
      <c r="E3523" s="6"/>
      <c r="J3523" s="8"/>
      <c r="L3523" s="6"/>
    </row>
    <row r="3524" spans="1:12" x14ac:dyDescent="0.3">
      <c r="A3524" s="8"/>
      <c r="C3524" s="6"/>
      <c r="E3524" s="6"/>
      <c r="J3524" s="8"/>
      <c r="L3524" s="6"/>
    </row>
    <row r="3525" spans="1:12" x14ac:dyDescent="0.3">
      <c r="A3525" s="8"/>
      <c r="C3525" s="6"/>
      <c r="E3525" s="6"/>
      <c r="J3525" s="8"/>
      <c r="L3525" s="6"/>
    </row>
    <row r="3526" spans="1:12" x14ac:dyDescent="0.3">
      <c r="A3526" s="8"/>
      <c r="C3526" s="6"/>
      <c r="E3526" s="6"/>
      <c r="J3526" s="8"/>
      <c r="L3526" s="6"/>
    </row>
    <row r="3527" spans="1:12" x14ac:dyDescent="0.3">
      <c r="A3527" s="8"/>
      <c r="C3527" s="6"/>
      <c r="E3527" s="6"/>
      <c r="J3527" s="8"/>
      <c r="L3527" s="6"/>
    </row>
    <row r="3528" spans="1:12" x14ac:dyDescent="0.3">
      <c r="A3528" s="8"/>
      <c r="C3528" s="6"/>
      <c r="E3528" s="6"/>
      <c r="J3528" s="8"/>
      <c r="L3528" s="6"/>
    </row>
    <row r="3529" spans="1:12" x14ac:dyDescent="0.3">
      <c r="A3529" s="8"/>
      <c r="C3529" s="6"/>
      <c r="E3529" s="6"/>
      <c r="J3529" s="8"/>
      <c r="L3529" s="6"/>
    </row>
    <row r="3530" spans="1:12" x14ac:dyDescent="0.3">
      <c r="A3530" s="8"/>
      <c r="C3530" s="6"/>
      <c r="E3530" s="6"/>
      <c r="J3530" s="8"/>
      <c r="L3530" s="6"/>
    </row>
    <row r="3531" spans="1:12" x14ac:dyDescent="0.3">
      <c r="A3531" s="8"/>
      <c r="C3531" s="6"/>
      <c r="E3531" s="6"/>
      <c r="J3531" s="8"/>
      <c r="L3531" s="6"/>
    </row>
    <row r="3532" spans="1:12" x14ac:dyDescent="0.3">
      <c r="A3532" s="8"/>
      <c r="C3532" s="6"/>
      <c r="E3532" s="6"/>
      <c r="J3532" s="8"/>
      <c r="L3532" s="6"/>
    </row>
    <row r="3533" spans="1:12" x14ac:dyDescent="0.3">
      <c r="A3533" s="8"/>
      <c r="C3533" s="6"/>
      <c r="E3533" s="6"/>
      <c r="J3533" s="8"/>
      <c r="L3533" s="6"/>
    </row>
    <row r="3534" spans="1:12" x14ac:dyDescent="0.3">
      <c r="A3534" s="8"/>
      <c r="C3534" s="6"/>
      <c r="E3534" s="6"/>
      <c r="J3534" s="8"/>
      <c r="L3534" s="6"/>
    </row>
    <row r="3535" spans="1:12" x14ac:dyDescent="0.3">
      <c r="A3535" s="8"/>
      <c r="C3535" s="6"/>
      <c r="E3535" s="6"/>
      <c r="J3535" s="8"/>
      <c r="L3535" s="6"/>
    </row>
    <row r="3536" spans="1:12" x14ac:dyDescent="0.3">
      <c r="A3536" s="8"/>
      <c r="C3536" s="6"/>
      <c r="E3536" s="6"/>
      <c r="J3536" s="8"/>
      <c r="L3536" s="6"/>
    </row>
    <row r="3537" spans="1:12" x14ac:dyDescent="0.3">
      <c r="A3537" s="8"/>
      <c r="C3537" s="6"/>
      <c r="E3537" s="6"/>
      <c r="J3537" s="8"/>
      <c r="L3537" s="6"/>
    </row>
    <row r="3538" spans="1:12" x14ac:dyDescent="0.3">
      <c r="A3538" s="8"/>
      <c r="C3538" s="6"/>
      <c r="E3538" s="6"/>
      <c r="J3538" s="8"/>
      <c r="L3538" s="6"/>
    </row>
    <row r="3539" spans="1:12" x14ac:dyDescent="0.3">
      <c r="A3539" s="8"/>
      <c r="C3539" s="6"/>
      <c r="E3539" s="6"/>
      <c r="J3539" s="8"/>
      <c r="L3539" s="6"/>
    </row>
    <row r="3540" spans="1:12" x14ac:dyDescent="0.3">
      <c r="A3540" s="8"/>
      <c r="C3540" s="6"/>
      <c r="E3540" s="6"/>
      <c r="J3540" s="8"/>
      <c r="L3540" s="6"/>
    </row>
    <row r="3541" spans="1:12" x14ac:dyDescent="0.3">
      <c r="A3541" s="8"/>
      <c r="C3541" s="6"/>
      <c r="E3541" s="6"/>
      <c r="J3541" s="8"/>
      <c r="L3541" s="6"/>
    </row>
    <row r="3542" spans="1:12" x14ac:dyDescent="0.3">
      <c r="A3542" s="8"/>
      <c r="C3542" s="6"/>
      <c r="E3542" s="6"/>
      <c r="J3542" s="8"/>
      <c r="L3542" s="6"/>
    </row>
    <row r="3543" spans="1:12" x14ac:dyDescent="0.3">
      <c r="A3543" s="8"/>
      <c r="C3543" s="6"/>
      <c r="E3543" s="6"/>
      <c r="J3543" s="8"/>
      <c r="L3543" s="6"/>
    </row>
    <row r="3544" spans="1:12" x14ac:dyDescent="0.3">
      <c r="A3544" s="8"/>
      <c r="C3544" s="6"/>
      <c r="E3544" s="6"/>
      <c r="J3544" s="8"/>
      <c r="L3544" s="6"/>
    </row>
    <row r="3545" spans="1:12" x14ac:dyDescent="0.3">
      <c r="A3545" s="8"/>
      <c r="C3545" s="6"/>
      <c r="E3545" s="6"/>
      <c r="J3545" s="8"/>
      <c r="L3545" s="6"/>
    </row>
    <row r="3546" spans="1:12" x14ac:dyDescent="0.3">
      <c r="A3546" s="8"/>
      <c r="C3546" s="6"/>
      <c r="E3546" s="6"/>
      <c r="J3546" s="8"/>
      <c r="L3546" s="6"/>
    </row>
    <row r="3547" spans="1:12" x14ac:dyDescent="0.3">
      <c r="A3547" s="8"/>
      <c r="C3547" s="6"/>
      <c r="E3547" s="6"/>
      <c r="J3547" s="8"/>
      <c r="L3547" s="6"/>
    </row>
    <row r="3548" spans="1:12" x14ac:dyDescent="0.3">
      <c r="A3548" s="8"/>
      <c r="C3548" s="6"/>
      <c r="E3548" s="6"/>
      <c r="J3548" s="8"/>
      <c r="L3548" s="6"/>
    </row>
    <row r="3549" spans="1:12" x14ac:dyDescent="0.3">
      <c r="A3549" s="8"/>
      <c r="C3549" s="6"/>
      <c r="E3549" s="6"/>
      <c r="J3549" s="8"/>
      <c r="L3549" s="6"/>
    </row>
    <row r="3550" spans="1:12" x14ac:dyDescent="0.3">
      <c r="A3550" s="8"/>
      <c r="C3550" s="6"/>
      <c r="E3550" s="6"/>
      <c r="J3550" s="8"/>
      <c r="L3550" s="6"/>
    </row>
    <row r="3551" spans="1:12" x14ac:dyDescent="0.3">
      <c r="A3551" s="8"/>
      <c r="C3551" s="6"/>
      <c r="E3551" s="6"/>
      <c r="J3551" s="8"/>
      <c r="L3551" s="6"/>
    </row>
    <row r="3552" spans="1:12" x14ac:dyDescent="0.3">
      <c r="A3552" s="8"/>
      <c r="C3552" s="6"/>
      <c r="E3552" s="6"/>
      <c r="J3552" s="8"/>
      <c r="L3552" s="6"/>
    </row>
    <row r="3553" spans="1:12" x14ac:dyDescent="0.3">
      <c r="A3553" s="8"/>
      <c r="C3553" s="6"/>
      <c r="E3553" s="6"/>
      <c r="J3553" s="8"/>
      <c r="L3553" s="6"/>
    </row>
    <row r="3554" spans="1:12" x14ac:dyDescent="0.3">
      <c r="A3554" s="8"/>
      <c r="C3554" s="6"/>
      <c r="E3554" s="6"/>
      <c r="J3554" s="8"/>
      <c r="L3554" s="6"/>
    </row>
    <row r="3555" spans="1:12" x14ac:dyDescent="0.3">
      <c r="A3555" s="8"/>
      <c r="C3555" s="6"/>
      <c r="E3555" s="6"/>
      <c r="J3555" s="8"/>
      <c r="L3555" s="6"/>
    </row>
    <row r="3556" spans="1:12" x14ac:dyDescent="0.3">
      <c r="A3556" s="8"/>
      <c r="C3556" s="6"/>
      <c r="E3556" s="6"/>
      <c r="J3556" s="8"/>
      <c r="L3556" s="6"/>
    </row>
    <row r="3557" spans="1:12" x14ac:dyDescent="0.3">
      <c r="A3557" s="8"/>
      <c r="C3557" s="6"/>
      <c r="E3557" s="6"/>
      <c r="J3557" s="8"/>
      <c r="L3557" s="6"/>
    </row>
    <row r="3558" spans="1:12" x14ac:dyDescent="0.3">
      <c r="A3558" s="8"/>
      <c r="C3558" s="6"/>
      <c r="E3558" s="6"/>
      <c r="J3558" s="8"/>
      <c r="L3558" s="6"/>
    </row>
    <row r="3559" spans="1:12" x14ac:dyDescent="0.3">
      <c r="A3559" s="8"/>
      <c r="C3559" s="6"/>
      <c r="E3559" s="6"/>
      <c r="J3559" s="8"/>
      <c r="L3559" s="6"/>
    </row>
    <row r="3560" spans="1:12" x14ac:dyDescent="0.3">
      <c r="A3560" s="8"/>
      <c r="C3560" s="6"/>
      <c r="E3560" s="6"/>
      <c r="J3560" s="8"/>
      <c r="L3560" s="6"/>
    </row>
    <row r="3561" spans="1:12" x14ac:dyDescent="0.3">
      <c r="A3561" s="8"/>
      <c r="C3561" s="6"/>
      <c r="E3561" s="6"/>
      <c r="J3561" s="8"/>
      <c r="L3561" s="6"/>
    </row>
    <row r="3562" spans="1:12" x14ac:dyDescent="0.3">
      <c r="A3562" s="8"/>
      <c r="C3562" s="6"/>
      <c r="E3562" s="6"/>
      <c r="J3562" s="8"/>
      <c r="L3562" s="6"/>
    </row>
    <row r="3563" spans="1:12" x14ac:dyDescent="0.3">
      <c r="A3563" s="8"/>
      <c r="C3563" s="6"/>
      <c r="E3563" s="6"/>
      <c r="J3563" s="8"/>
      <c r="L3563" s="6"/>
    </row>
    <row r="3564" spans="1:12" x14ac:dyDescent="0.3">
      <c r="A3564" s="8"/>
      <c r="C3564" s="6"/>
      <c r="E3564" s="6"/>
      <c r="J3564" s="8"/>
      <c r="L3564" s="6"/>
    </row>
    <row r="3565" spans="1:12" x14ac:dyDescent="0.3">
      <c r="A3565" s="8"/>
      <c r="C3565" s="6"/>
      <c r="E3565" s="6"/>
      <c r="J3565" s="8"/>
      <c r="L3565" s="6"/>
    </row>
    <row r="3566" spans="1:12" x14ac:dyDescent="0.3">
      <c r="A3566" s="8"/>
      <c r="C3566" s="6"/>
      <c r="E3566" s="6"/>
      <c r="J3566" s="8"/>
      <c r="L3566" s="6"/>
    </row>
    <row r="3567" spans="1:12" x14ac:dyDescent="0.3">
      <c r="A3567" s="8"/>
      <c r="C3567" s="6"/>
      <c r="E3567" s="6"/>
      <c r="J3567" s="8"/>
      <c r="L3567" s="6"/>
    </row>
    <row r="3568" spans="1:12" x14ac:dyDescent="0.3">
      <c r="A3568" s="8"/>
      <c r="C3568" s="6"/>
      <c r="E3568" s="6"/>
      <c r="J3568" s="8"/>
      <c r="L3568" s="6"/>
    </row>
    <row r="3569" spans="1:12" x14ac:dyDescent="0.3">
      <c r="A3569" s="8"/>
      <c r="C3569" s="6"/>
      <c r="E3569" s="6"/>
      <c r="J3569" s="8"/>
      <c r="L3569" s="6"/>
    </row>
    <row r="3570" spans="1:12" x14ac:dyDescent="0.3">
      <c r="A3570" s="8"/>
      <c r="C3570" s="6"/>
      <c r="E3570" s="6"/>
      <c r="J3570" s="8"/>
      <c r="L3570" s="6"/>
    </row>
    <row r="3571" spans="1:12" x14ac:dyDescent="0.3">
      <c r="A3571" s="8"/>
      <c r="C3571" s="6"/>
      <c r="E3571" s="6"/>
      <c r="J3571" s="8"/>
      <c r="L3571" s="6"/>
    </row>
    <row r="3572" spans="1:12" x14ac:dyDescent="0.3">
      <c r="A3572" s="8"/>
      <c r="C3572" s="6"/>
      <c r="E3572" s="6"/>
      <c r="J3572" s="8"/>
      <c r="L3572" s="6"/>
    </row>
    <row r="3573" spans="1:12" x14ac:dyDescent="0.3">
      <c r="A3573" s="8"/>
      <c r="C3573" s="6"/>
      <c r="E3573" s="6"/>
      <c r="J3573" s="8"/>
      <c r="L3573" s="6"/>
    </row>
    <row r="3574" spans="1:12" x14ac:dyDescent="0.3">
      <c r="A3574" s="8"/>
      <c r="C3574" s="6"/>
      <c r="E3574" s="6"/>
      <c r="J3574" s="8"/>
      <c r="L3574" s="6"/>
    </row>
    <row r="3575" spans="1:12" x14ac:dyDescent="0.3">
      <c r="A3575" s="8"/>
      <c r="C3575" s="6"/>
      <c r="E3575" s="6"/>
      <c r="J3575" s="8"/>
      <c r="L3575" s="6"/>
    </row>
    <row r="3576" spans="1:12" x14ac:dyDescent="0.3">
      <c r="A3576" s="8"/>
      <c r="C3576" s="6"/>
      <c r="E3576" s="6"/>
      <c r="J3576" s="8"/>
      <c r="L3576" s="6"/>
    </row>
    <row r="3577" spans="1:12" x14ac:dyDescent="0.3">
      <c r="A3577" s="8"/>
      <c r="C3577" s="6"/>
      <c r="E3577" s="6"/>
      <c r="J3577" s="8"/>
      <c r="L3577" s="6"/>
    </row>
    <row r="3578" spans="1:12" x14ac:dyDescent="0.3">
      <c r="A3578" s="8"/>
      <c r="C3578" s="6"/>
      <c r="E3578" s="6"/>
      <c r="J3578" s="8"/>
      <c r="L3578" s="6"/>
    </row>
    <row r="3579" spans="1:12" x14ac:dyDescent="0.3">
      <c r="A3579" s="8"/>
      <c r="C3579" s="6"/>
      <c r="E3579" s="6"/>
      <c r="J3579" s="8"/>
      <c r="L3579" s="6"/>
    </row>
    <row r="3580" spans="1:12" x14ac:dyDescent="0.3">
      <c r="A3580" s="8"/>
      <c r="C3580" s="6"/>
      <c r="E3580" s="6"/>
      <c r="J3580" s="8"/>
      <c r="L3580" s="6"/>
    </row>
    <row r="3581" spans="1:12" x14ac:dyDescent="0.3">
      <c r="A3581" s="8"/>
      <c r="C3581" s="6"/>
      <c r="E3581" s="6"/>
      <c r="J3581" s="8"/>
      <c r="L3581" s="6"/>
    </row>
    <row r="3582" spans="1:12" x14ac:dyDescent="0.3">
      <c r="A3582" s="8"/>
      <c r="C3582" s="6"/>
      <c r="E3582" s="6"/>
      <c r="J3582" s="8"/>
      <c r="L3582" s="6"/>
    </row>
    <row r="3583" spans="1:12" x14ac:dyDescent="0.3">
      <c r="A3583" s="8"/>
      <c r="C3583" s="6"/>
      <c r="E3583" s="6"/>
      <c r="J3583" s="8"/>
      <c r="L3583" s="6"/>
    </row>
    <row r="3584" spans="1:12" x14ac:dyDescent="0.3">
      <c r="A3584" s="8"/>
      <c r="C3584" s="6"/>
      <c r="E3584" s="6"/>
      <c r="J3584" s="8"/>
      <c r="L3584" s="6"/>
    </row>
    <row r="3585" spans="1:12" x14ac:dyDescent="0.3">
      <c r="A3585" s="8"/>
      <c r="C3585" s="6"/>
      <c r="E3585" s="6"/>
      <c r="J3585" s="8"/>
      <c r="L3585" s="6"/>
    </row>
    <row r="3586" spans="1:12" x14ac:dyDescent="0.3">
      <c r="A3586" s="8"/>
      <c r="C3586" s="6"/>
      <c r="E3586" s="6"/>
      <c r="J3586" s="8"/>
      <c r="L3586" s="6"/>
    </row>
    <row r="3587" spans="1:12" x14ac:dyDescent="0.3">
      <c r="A3587" s="8"/>
      <c r="C3587" s="6"/>
      <c r="E3587" s="6"/>
      <c r="J3587" s="8"/>
      <c r="L3587" s="6"/>
    </row>
    <row r="3588" spans="1:12" x14ac:dyDescent="0.3">
      <c r="A3588" s="8"/>
      <c r="C3588" s="6"/>
      <c r="E3588" s="6"/>
      <c r="J3588" s="8"/>
      <c r="L3588" s="6"/>
    </row>
    <row r="3589" spans="1:12" x14ac:dyDescent="0.3">
      <c r="A3589" s="8"/>
      <c r="C3589" s="6"/>
      <c r="E3589" s="6"/>
      <c r="J3589" s="8"/>
      <c r="L3589" s="6"/>
    </row>
    <row r="3590" spans="1:12" x14ac:dyDescent="0.3">
      <c r="A3590" s="8"/>
      <c r="C3590" s="6"/>
      <c r="E3590" s="6"/>
      <c r="J3590" s="8"/>
      <c r="L3590" s="6"/>
    </row>
    <row r="3591" spans="1:12" x14ac:dyDescent="0.3">
      <c r="A3591" s="8"/>
      <c r="C3591" s="6"/>
      <c r="E3591" s="6"/>
      <c r="J3591" s="8"/>
      <c r="L3591" s="6"/>
    </row>
    <row r="3592" spans="1:12" x14ac:dyDescent="0.3">
      <c r="A3592" s="8"/>
      <c r="C3592" s="6"/>
      <c r="E3592" s="6"/>
      <c r="J3592" s="8"/>
      <c r="L3592" s="6"/>
    </row>
    <row r="3593" spans="1:12" x14ac:dyDescent="0.3">
      <c r="A3593" s="8"/>
      <c r="C3593" s="6"/>
      <c r="E3593" s="6"/>
      <c r="J3593" s="8"/>
      <c r="L3593" s="6"/>
    </row>
    <row r="3594" spans="1:12" x14ac:dyDescent="0.3">
      <c r="A3594" s="8"/>
      <c r="C3594" s="6"/>
      <c r="E3594" s="6"/>
      <c r="J3594" s="8"/>
      <c r="L3594" s="6"/>
    </row>
    <row r="3595" spans="1:12" x14ac:dyDescent="0.3">
      <c r="A3595" s="8"/>
      <c r="C3595" s="6"/>
      <c r="E3595" s="6"/>
      <c r="J3595" s="8"/>
      <c r="L3595" s="6"/>
    </row>
    <row r="3596" spans="1:12" x14ac:dyDescent="0.3">
      <c r="A3596" s="8"/>
      <c r="C3596" s="6"/>
      <c r="E3596" s="6"/>
      <c r="J3596" s="8"/>
      <c r="L3596" s="6"/>
    </row>
    <row r="3597" spans="1:12" x14ac:dyDescent="0.3">
      <c r="A3597" s="8"/>
      <c r="C3597" s="6"/>
      <c r="E3597" s="6"/>
      <c r="J3597" s="8"/>
      <c r="L3597" s="6"/>
    </row>
    <row r="3598" spans="1:12" x14ac:dyDescent="0.3">
      <c r="A3598" s="8"/>
      <c r="C3598" s="6"/>
      <c r="E3598" s="6"/>
      <c r="J3598" s="8"/>
      <c r="L3598" s="6"/>
    </row>
    <row r="3599" spans="1:12" x14ac:dyDescent="0.3">
      <c r="A3599" s="8"/>
      <c r="C3599" s="6"/>
      <c r="E3599" s="6"/>
      <c r="J3599" s="8"/>
      <c r="L3599" s="6"/>
    </row>
    <row r="3600" spans="1:12" x14ac:dyDescent="0.3">
      <c r="A3600" s="8"/>
      <c r="C3600" s="6"/>
      <c r="E3600" s="6"/>
      <c r="J3600" s="8"/>
      <c r="L3600" s="6"/>
    </row>
    <row r="3601" spans="1:12" x14ac:dyDescent="0.3">
      <c r="A3601" s="8"/>
      <c r="C3601" s="6"/>
      <c r="E3601" s="6"/>
      <c r="J3601" s="8"/>
      <c r="L3601" s="6"/>
    </row>
    <row r="3602" spans="1:12" x14ac:dyDescent="0.3">
      <c r="A3602" s="8"/>
      <c r="C3602" s="6"/>
      <c r="E3602" s="6"/>
      <c r="J3602" s="8"/>
      <c r="L3602" s="6"/>
    </row>
    <row r="3603" spans="1:12" x14ac:dyDescent="0.3">
      <c r="A3603" s="8"/>
      <c r="C3603" s="6"/>
      <c r="E3603" s="6"/>
      <c r="J3603" s="8"/>
      <c r="L3603" s="6"/>
    </row>
    <row r="3604" spans="1:12" x14ac:dyDescent="0.3">
      <c r="A3604" s="8"/>
      <c r="C3604" s="6"/>
      <c r="E3604" s="6"/>
      <c r="J3604" s="8"/>
      <c r="L3604" s="6"/>
    </row>
    <row r="3605" spans="1:12" x14ac:dyDescent="0.3">
      <c r="A3605" s="8"/>
      <c r="C3605" s="6"/>
      <c r="E3605" s="6"/>
      <c r="J3605" s="8"/>
      <c r="L3605" s="6"/>
    </row>
    <row r="3606" spans="1:12" x14ac:dyDescent="0.3">
      <c r="A3606" s="8"/>
      <c r="C3606" s="6"/>
      <c r="E3606" s="6"/>
      <c r="J3606" s="8"/>
      <c r="L3606" s="6"/>
    </row>
    <row r="3607" spans="1:12" x14ac:dyDescent="0.3">
      <c r="A3607" s="8"/>
      <c r="C3607" s="6"/>
      <c r="E3607" s="6"/>
      <c r="J3607" s="8"/>
      <c r="L3607" s="6"/>
    </row>
    <row r="3608" spans="1:12" x14ac:dyDescent="0.3">
      <c r="A3608" s="8"/>
      <c r="C3608" s="6"/>
      <c r="E3608" s="6"/>
      <c r="J3608" s="8"/>
      <c r="L3608" s="6"/>
    </row>
    <row r="3609" spans="1:12" x14ac:dyDescent="0.3">
      <c r="A3609" s="8"/>
      <c r="C3609" s="6"/>
      <c r="E3609" s="6"/>
      <c r="J3609" s="8"/>
      <c r="L3609" s="6"/>
    </row>
    <row r="3610" spans="1:12" x14ac:dyDescent="0.3">
      <c r="A3610" s="8"/>
      <c r="C3610" s="6"/>
      <c r="E3610" s="6"/>
      <c r="J3610" s="8"/>
      <c r="L3610" s="6"/>
    </row>
    <row r="3611" spans="1:12" x14ac:dyDescent="0.3">
      <c r="A3611" s="8"/>
      <c r="C3611" s="6"/>
      <c r="E3611" s="6"/>
      <c r="J3611" s="8"/>
      <c r="L3611" s="6"/>
    </row>
    <row r="3612" spans="1:12" x14ac:dyDescent="0.3">
      <c r="A3612" s="8"/>
      <c r="C3612" s="6"/>
      <c r="E3612" s="6"/>
      <c r="J3612" s="8"/>
      <c r="L3612" s="6"/>
    </row>
    <row r="3613" spans="1:12" x14ac:dyDescent="0.3">
      <c r="A3613" s="8"/>
      <c r="C3613" s="6"/>
      <c r="E3613" s="6"/>
      <c r="J3613" s="8"/>
      <c r="L3613" s="6"/>
    </row>
    <row r="3614" spans="1:12" x14ac:dyDescent="0.3">
      <c r="A3614" s="8"/>
      <c r="C3614" s="6"/>
      <c r="E3614" s="6"/>
      <c r="J3614" s="8"/>
      <c r="L3614" s="6"/>
    </row>
    <row r="3615" spans="1:12" x14ac:dyDescent="0.3">
      <c r="A3615" s="8"/>
      <c r="C3615" s="6"/>
      <c r="E3615" s="6"/>
      <c r="J3615" s="8"/>
      <c r="L3615" s="6"/>
    </row>
    <row r="3616" spans="1:12" x14ac:dyDescent="0.3">
      <c r="A3616" s="8"/>
      <c r="C3616" s="6"/>
      <c r="E3616" s="6"/>
      <c r="J3616" s="8"/>
      <c r="L3616" s="6"/>
    </row>
    <row r="3617" spans="1:12" x14ac:dyDescent="0.3">
      <c r="A3617" s="8"/>
      <c r="C3617" s="6"/>
      <c r="E3617" s="6"/>
      <c r="J3617" s="8"/>
      <c r="L3617" s="6"/>
    </row>
    <row r="3618" spans="1:12" x14ac:dyDescent="0.3">
      <c r="A3618" s="8"/>
      <c r="C3618" s="6"/>
      <c r="E3618" s="6"/>
      <c r="J3618" s="8"/>
      <c r="L3618" s="6"/>
    </row>
    <row r="3619" spans="1:12" x14ac:dyDescent="0.3">
      <c r="A3619" s="8"/>
      <c r="C3619" s="6"/>
      <c r="E3619" s="6"/>
      <c r="J3619" s="8"/>
      <c r="L3619" s="6"/>
    </row>
    <row r="3620" spans="1:12" x14ac:dyDescent="0.3">
      <c r="A3620" s="8"/>
      <c r="C3620" s="6"/>
      <c r="E3620" s="6"/>
      <c r="J3620" s="8"/>
      <c r="L3620" s="6"/>
    </row>
    <row r="3621" spans="1:12" x14ac:dyDescent="0.3">
      <c r="A3621" s="8"/>
      <c r="C3621" s="6"/>
      <c r="E3621" s="6"/>
      <c r="J3621" s="8"/>
      <c r="L3621" s="6"/>
    </row>
    <row r="3622" spans="1:12" x14ac:dyDescent="0.3">
      <c r="A3622" s="8"/>
      <c r="C3622" s="6"/>
      <c r="E3622" s="6"/>
      <c r="J3622" s="8"/>
      <c r="L3622" s="6"/>
    </row>
    <row r="3623" spans="1:12" x14ac:dyDescent="0.3">
      <c r="A3623" s="8"/>
      <c r="C3623" s="6"/>
      <c r="E3623" s="6"/>
      <c r="J3623" s="8"/>
      <c r="L3623" s="6"/>
    </row>
    <row r="3624" spans="1:12" x14ac:dyDescent="0.3">
      <c r="A3624" s="8"/>
      <c r="C3624" s="6"/>
      <c r="E3624" s="6"/>
      <c r="J3624" s="8"/>
      <c r="L3624" s="6"/>
    </row>
    <row r="3625" spans="1:12" x14ac:dyDescent="0.3">
      <c r="A3625" s="8"/>
      <c r="C3625" s="6"/>
      <c r="E3625" s="6"/>
      <c r="J3625" s="8"/>
      <c r="L3625" s="6"/>
    </row>
    <row r="3626" spans="1:12" x14ac:dyDescent="0.3">
      <c r="A3626" s="8"/>
      <c r="C3626" s="6"/>
      <c r="E3626" s="6"/>
      <c r="J3626" s="8"/>
      <c r="L3626" s="6"/>
    </row>
    <row r="3627" spans="1:12" x14ac:dyDescent="0.3">
      <c r="A3627" s="8"/>
      <c r="C3627" s="6"/>
      <c r="E3627" s="6"/>
      <c r="J3627" s="8"/>
      <c r="L3627" s="6"/>
    </row>
    <row r="3628" spans="1:12" x14ac:dyDescent="0.3">
      <c r="A3628" s="8"/>
      <c r="C3628" s="6"/>
      <c r="E3628" s="6"/>
      <c r="J3628" s="8"/>
      <c r="L3628" s="6"/>
    </row>
    <row r="3629" spans="1:12" x14ac:dyDescent="0.3">
      <c r="A3629" s="8"/>
      <c r="C3629" s="6"/>
      <c r="E3629" s="6"/>
      <c r="J3629" s="8"/>
      <c r="L3629" s="6"/>
    </row>
    <row r="3630" spans="1:12" x14ac:dyDescent="0.3">
      <c r="A3630" s="8"/>
      <c r="C3630" s="6"/>
      <c r="E3630" s="6"/>
      <c r="J3630" s="8"/>
      <c r="L3630" s="6"/>
    </row>
    <row r="3631" spans="1:12" x14ac:dyDescent="0.3">
      <c r="A3631" s="8"/>
      <c r="C3631" s="6"/>
      <c r="E3631" s="6"/>
      <c r="J3631" s="8"/>
      <c r="L3631" s="6"/>
    </row>
    <row r="3632" spans="1:12" x14ac:dyDescent="0.3">
      <c r="A3632" s="8"/>
      <c r="C3632" s="6"/>
      <c r="E3632" s="6"/>
      <c r="J3632" s="8"/>
      <c r="L3632" s="6"/>
    </row>
    <row r="3633" spans="1:12" x14ac:dyDescent="0.3">
      <c r="A3633" s="8"/>
      <c r="C3633" s="6"/>
      <c r="E3633" s="6"/>
      <c r="J3633" s="8"/>
      <c r="L3633" s="6"/>
    </row>
    <row r="3634" spans="1:12" x14ac:dyDescent="0.3">
      <c r="A3634" s="8"/>
      <c r="C3634" s="6"/>
      <c r="E3634" s="6"/>
      <c r="J3634" s="8"/>
      <c r="L3634" s="6"/>
    </row>
    <row r="3635" spans="1:12" x14ac:dyDescent="0.3">
      <c r="A3635" s="8"/>
      <c r="C3635" s="6"/>
      <c r="E3635" s="6"/>
      <c r="J3635" s="8"/>
      <c r="L3635" s="6"/>
    </row>
    <row r="3636" spans="1:12" x14ac:dyDescent="0.3">
      <c r="A3636" s="8"/>
      <c r="C3636" s="6"/>
      <c r="E3636" s="6"/>
      <c r="J3636" s="8"/>
      <c r="L3636" s="6"/>
    </row>
    <row r="3637" spans="1:12" x14ac:dyDescent="0.3">
      <c r="A3637" s="8"/>
      <c r="C3637" s="6"/>
      <c r="E3637" s="6"/>
      <c r="J3637" s="8"/>
      <c r="L3637" s="6"/>
    </row>
    <row r="3638" spans="1:12" x14ac:dyDescent="0.3">
      <c r="A3638" s="8"/>
      <c r="C3638" s="6"/>
      <c r="E3638" s="6"/>
      <c r="J3638" s="8"/>
      <c r="L3638" s="6"/>
    </row>
    <row r="3639" spans="1:12" x14ac:dyDescent="0.3">
      <c r="A3639" s="8"/>
      <c r="C3639" s="6"/>
      <c r="E3639" s="6"/>
      <c r="J3639" s="8"/>
      <c r="L3639" s="6"/>
    </row>
    <row r="3640" spans="1:12" x14ac:dyDescent="0.3">
      <c r="A3640" s="8"/>
      <c r="C3640" s="6"/>
      <c r="E3640" s="6"/>
      <c r="J3640" s="8"/>
      <c r="L3640" s="6"/>
    </row>
    <row r="3641" spans="1:12" x14ac:dyDescent="0.3">
      <c r="A3641" s="8"/>
      <c r="C3641" s="6"/>
      <c r="E3641" s="6"/>
      <c r="J3641" s="8"/>
      <c r="L3641" s="6"/>
    </row>
    <row r="3642" spans="1:12" x14ac:dyDescent="0.3">
      <c r="A3642" s="8"/>
      <c r="C3642" s="6"/>
      <c r="E3642" s="6"/>
      <c r="J3642" s="8"/>
      <c r="L3642" s="6"/>
    </row>
    <row r="3643" spans="1:12" x14ac:dyDescent="0.3">
      <c r="A3643" s="8"/>
      <c r="C3643" s="6"/>
      <c r="E3643" s="6"/>
      <c r="J3643" s="8"/>
      <c r="L3643" s="6"/>
    </row>
    <row r="3644" spans="1:12" x14ac:dyDescent="0.3">
      <c r="A3644" s="8"/>
      <c r="C3644" s="6"/>
      <c r="E3644" s="6"/>
      <c r="J3644" s="8"/>
      <c r="L3644" s="6"/>
    </row>
    <row r="3645" spans="1:12" x14ac:dyDescent="0.3">
      <c r="A3645" s="8"/>
      <c r="C3645" s="6"/>
      <c r="E3645" s="6"/>
      <c r="J3645" s="8"/>
      <c r="L3645" s="6"/>
    </row>
    <row r="3646" spans="1:12" x14ac:dyDescent="0.3">
      <c r="A3646" s="8"/>
      <c r="C3646" s="6"/>
      <c r="E3646" s="6"/>
      <c r="J3646" s="8"/>
      <c r="L3646" s="6"/>
    </row>
    <row r="3647" spans="1:12" x14ac:dyDescent="0.3">
      <c r="A3647" s="8"/>
      <c r="C3647" s="6"/>
      <c r="E3647" s="6"/>
      <c r="J3647" s="8"/>
      <c r="L3647" s="6"/>
    </row>
    <row r="3648" spans="1:12" x14ac:dyDescent="0.3">
      <c r="A3648" s="8"/>
      <c r="C3648" s="6"/>
      <c r="E3648" s="6"/>
      <c r="J3648" s="8"/>
      <c r="L3648" s="6"/>
    </row>
    <row r="3649" spans="1:12" x14ac:dyDescent="0.3">
      <c r="A3649" s="8"/>
      <c r="C3649" s="6"/>
      <c r="E3649" s="6"/>
      <c r="J3649" s="8"/>
      <c r="L3649" s="6"/>
    </row>
    <row r="3650" spans="1:12" x14ac:dyDescent="0.3">
      <c r="A3650" s="8"/>
      <c r="C3650" s="6"/>
      <c r="E3650" s="6"/>
      <c r="J3650" s="8"/>
      <c r="L3650" s="6"/>
    </row>
    <row r="3651" spans="1:12" x14ac:dyDescent="0.3">
      <c r="A3651" s="8"/>
      <c r="C3651" s="6"/>
      <c r="E3651" s="6"/>
      <c r="J3651" s="8"/>
      <c r="L3651" s="6"/>
    </row>
    <row r="3652" spans="1:12" x14ac:dyDescent="0.3">
      <c r="A3652" s="8"/>
      <c r="C3652" s="6"/>
      <c r="E3652" s="6"/>
      <c r="J3652" s="8"/>
      <c r="L3652" s="6"/>
    </row>
    <row r="3653" spans="1:12" x14ac:dyDescent="0.3">
      <c r="A3653" s="8"/>
      <c r="C3653" s="6"/>
      <c r="E3653" s="6"/>
      <c r="J3653" s="8"/>
      <c r="L3653" s="6"/>
    </row>
    <row r="3654" spans="1:12" x14ac:dyDescent="0.3">
      <c r="A3654" s="8"/>
      <c r="C3654" s="6"/>
      <c r="E3654" s="6"/>
      <c r="J3654" s="8"/>
      <c r="L3654" s="6"/>
    </row>
    <row r="3655" spans="1:12" x14ac:dyDescent="0.3">
      <c r="A3655" s="8"/>
      <c r="C3655" s="6"/>
      <c r="E3655" s="6"/>
      <c r="J3655" s="8"/>
      <c r="L3655" s="6"/>
    </row>
    <row r="3656" spans="1:12" x14ac:dyDescent="0.3">
      <c r="A3656" s="8"/>
      <c r="C3656" s="6"/>
      <c r="E3656" s="6"/>
      <c r="J3656" s="8"/>
      <c r="L3656" s="6"/>
    </row>
    <row r="3657" spans="1:12" x14ac:dyDescent="0.3">
      <c r="A3657" s="8"/>
      <c r="C3657" s="6"/>
      <c r="E3657" s="6"/>
      <c r="J3657" s="8"/>
      <c r="L3657" s="6"/>
    </row>
    <row r="3658" spans="1:12" x14ac:dyDescent="0.3">
      <c r="A3658" s="8"/>
      <c r="C3658" s="6"/>
      <c r="E3658" s="6"/>
      <c r="J3658" s="8"/>
      <c r="L3658" s="6"/>
    </row>
    <row r="3659" spans="1:12" x14ac:dyDescent="0.3">
      <c r="A3659" s="8"/>
      <c r="C3659" s="6"/>
      <c r="E3659" s="6"/>
      <c r="J3659" s="8"/>
      <c r="L3659" s="6"/>
    </row>
    <row r="3660" spans="1:12" x14ac:dyDescent="0.3">
      <c r="A3660" s="8"/>
      <c r="C3660" s="6"/>
      <c r="E3660" s="6"/>
      <c r="J3660" s="8"/>
      <c r="L3660" s="6"/>
    </row>
    <row r="3661" spans="1:12" x14ac:dyDescent="0.3">
      <c r="A3661" s="8"/>
      <c r="C3661" s="6"/>
      <c r="E3661" s="6"/>
      <c r="J3661" s="8"/>
      <c r="L3661" s="6"/>
    </row>
    <row r="3662" spans="1:12" x14ac:dyDescent="0.3">
      <c r="A3662" s="8"/>
      <c r="C3662" s="6"/>
      <c r="E3662" s="6"/>
      <c r="J3662" s="8"/>
      <c r="L3662" s="6"/>
    </row>
    <row r="3663" spans="1:12" x14ac:dyDescent="0.3">
      <c r="A3663" s="8"/>
      <c r="C3663" s="6"/>
      <c r="E3663" s="6"/>
      <c r="J3663" s="8"/>
      <c r="L3663" s="6"/>
    </row>
    <row r="3664" spans="1:12" x14ac:dyDescent="0.3">
      <c r="A3664" s="8"/>
      <c r="C3664" s="6"/>
      <c r="E3664" s="6"/>
      <c r="J3664" s="8"/>
      <c r="L3664" s="6"/>
    </row>
    <row r="3665" spans="1:12" x14ac:dyDescent="0.3">
      <c r="A3665" s="8"/>
      <c r="C3665" s="6"/>
      <c r="E3665" s="6"/>
      <c r="J3665" s="8"/>
      <c r="L3665" s="6"/>
    </row>
    <row r="3666" spans="1:12" x14ac:dyDescent="0.3">
      <c r="A3666" s="8"/>
      <c r="C3666" s="6"/>
      <c r="E3666" s="6"/>
      <c r="J3666" s="8"/>
      <c r="L3666" s="6"/>
    </row>
    <row r="3667" spans="1:12" x14ac:dyDescent="0.3">
      <c r="A3667" s="8"/>
      <c r="C3667" s="6"/>
      <c r="E3667" s="6"/>
      <c r="J3667" s="8"/>
      <c r="L3667" s="6"/>
    </row>
    <row r="3668" spans="1:12" x14ac:dyDescent="0.3">
      <c r="A3668" s="8"/>
      <c r="C3668" s="6"/>
      <c r="E3668" s="6"/>
      <c r="J3668" s="8"/>
      <c r="L3668" s="6"/>
    </row>
    <row r="3669" spans="1:12" x14ac:dyDescent="0.3">
      <c r="A3669" s="8"/>
      <c r="C3669" s="6"/>
      <c r="E3669" s="6"/>
      <c r="J3669" s="8"/>
      <c r="L3669" s="6"/>
    </row>
    <row r="3670" spans="1:12" x14ac:dyDescent="0.3">
      <c r="A3670" s="8"/>
      <c r="C3670" s="6"/>
      <c r="E3670" s="6"/>
      <c r="J3670" s="8"/>
      <c r="L3670" s="6"/>
    </row>
    <row r="3671" spans="1:12" x14ac:dyDescent="0.3">
      <c r="A3671" s="8"/>
      <c r="C3671" s="6"/>
      <c r="E3671" s="6"/>
      <c r="J3671" s="8"/>
      <c r="L3671" s="6"/>
    </row>
    <row r="3672" spans="1:12" x14ac:dyDescent="0.3">
      <c r="A3672" s="8"/>
      <c r="C3672" s="6"/>
      <c r="E3672" s="6"/>
      <c r="J3672" s="8"/>
      <c r="L3672" s="6"/>
    </row>
    <row r="3673" spans="1:12" x14ac:dyDescent="0.3">
      <c r="A3673" s="8"/>
      <c r="C3673" s="6"/>
      <c r="E3673" s="6"/>
      <c r="J3673" s="8"/>
      <c r="L3673" s="6"/>
    </row>
    <row r="3674" spans="1:12" x14ac:dyDescent="0.3">
      <c r="A3674" s="8"/>
      <c r="C3674" s="6"/>
      <c r="E3674" s="6"/>
      <c r="J3674" s="8"/>
      <c r="L3674" s="6"/>
    </row>
    <row r="3675" spans="1:12" x14ac:dyDescent="0.3">
      <c r="A3675" s="8"/>
      <c r="C3675" s="6"/>
      <c r="E3675" s="6"/>
      <c r="J3675" s="8"/>
      <c r="L3675" s="6"/>
    </row>
    <row r="3676" spans="1:12" x14ac:dyDescent="0.3">
      <c r="A3676" s="8"/>
      <c r="C3676" s="6"/>
      <c r="E3676" s="6"/>
      <c r="J3676" s="8"/>
      <c r="L3676" s="6"/>
    </row>
    <row r="3677" spans="1:12" x14ac:dyDescent="0.3">
      <c r="A3677" s="8"/>
      <c r="C3677" s="6"/>
      <c r="E3677" s="6"/>
      <c r="J3677" s="8"/>
      <c r="L3677" s="6"/>
    </row>
    <row r="3678" spans="1:12" x14ac:dyDescent="0.3">
      <c r="A3678" s="8"/>
      <c r="C3678" s="6"/>
      <c r="E3678" s="6"/>
      <c r="J3678" s="8"/>
      <c r="L3678" s="6"/>
    </row>
    <row r="3679" spans="1:12" x14ac:dyDescent="0.3">
      <c r="A3679" s="8"/>
      <c r="C3679" s="6"/>
      <c r="E3679" s="6"/>
      <c r="J3679" s="8"/>
      <c r="L3679" s="6"/>
    </row>
    <row r="3680" spans="1:12" x14ac:dyDescent="0.3">
      <c r="A3680" s="8"/>
      <c r="C3680" s="6"/>
      <c r="E3680" s="6"/>
      <c r="J3680" s="8"/>
      <c r="L3680" s="6"/>
    </row>
    <row r="3681" spans="1:12" x14ac:dyDescent="0.3">
      <c r="A3681" s="8"/>
      <c r="C3681" s="6"/>
      <c r="E3681" s="6"/>
      <c r="J3681" s="8"/>
      <c r="L3681" s="6"/>
    </row>
    <row r="3682" spans="1:12" x14ac:dyDescent="0.3">
      <c r="A3682" s="8"/>
      <c r="C3682" s="6"/>
      <c r="E3682" s="6"/>
      <c r="J3682" s="8"/>
      <c r="L3682" s="6"/>
    </row>
    <row r="3683" spans="1:12" x14ac:dyDescent="0.3">
      <c r="A3683" s="8"/>
      <c r="C3683" s="6"/>
      <c r="E3683" s="6"/>
      <c r="J3683" s="8"/>
      <c r="L3683" s="6"/>
    </row>
    <row r="3684" spans="1:12" x14ac:dyDescent="0.3">
      <c r="A3684" s="8"/>
      <c r="C3684" s="6"/>
      <c r="E3684" s="6"/>
      <c r="J3684" s="8"/>
      <c r="L3684" s="6"/>
    </row>
    <row r="3685" spans="1:12" x14ac:dyDescent="0.3">
      <c r="A3685" s="8"/>
      <c r="C3685" s="6"/>
      <c r="E3685" s="6"/>
      <c r="J3685" s="8"/>
      <c r="L3685" s="6"/>
    </row>
    <row r="3686" spans="1:12" x14ac:dyDescent="0.3">
      <c r="A3686" s="8"/>
      <c r="C3686" s="6"/>
      <c r="E3686" s="6"/>
      <c r="J3686" s="8"/>
      <c r="L3686" s="6"/>
    </row>
    <row r="3687" spans="1:12" x14ac:dyDescent="0.3">
      <c r="A3687" s="8"/>
      <c r="C3687" s="6"/>
      <c r="E3687" s="6"/>
      <c r="J3687" s="8"/>
      <c r="L3687" s="6"/>
    </row>
    <row r="3688" spans="1:12" x14ac:dyDescent="0.3">
      <c r="A3688" s="8"/>
      <c r="C3688" s="6"/>
      <c r="E3688" s="6"/>
      <c r="J3688" s="8"/>
      <c r="L3688" s="6"/>
    </row>
    <row r="3689" spans="1:12" x14ac:dyDescent="0.3">
      <c r="A3689" s="8"/>
      <c r="C3689" s="6"/>
      <c r="E3689" s="6"/>
      <c r="J3689" s="8"/>
      <c r="L3689" s="6"/>
    </row>
    <row r="3690" spans="1:12" x14ac:dyDescent="0.3">
      <c r="A3690" s="8"/>
      <c r="C3690" s="6"/>
      <c r="E3690" s="6"/>
      <c r="J3690" s="8"/>
      <c r="L3690" s="6"/>
    </row>
    <row r="3691" spans="1:12" x14ac:dyDescent="0.3">
      <c r="A3691" s="8"/>
      <c r="C3691" s="6"/>
      <c r="E3691" s="6"/>
      <c r="J3691" s="8"/>
      <c r="L3691" s="6"/>
    </row>
    <row r="3692" spans="1:12" x14ac:dyDescent="0.3">
      <c r="A3692" s="8"/>
      <c r="C3692" s="6"/>
      <c r="E3692" s="6"/>
      <c r="J3692" s="8"/>
      <c r="L3692" s="6"/>
    </row>
    <row r="3693" spans="1:12" x14ac:dyDescent="0.3">
      <c r="A3693" s="8"/>
      <c r="C3693" s="6"/>
      <c r="E3693" s="6"/>
      <c r="J3693" s="8"/>
      <c r="L3693" s="6"/>
    </row>
    <row r="3694" spans="1:12" x14ac:dyDescent="0.3">
      <c r="A3694" s="8"/>
      <c r="C3694" s="6"/>
      <c r="E3694" s="6"/>
      <c r="J3694" s="8"/>
      <c r="L3694" s="6"/>
    </row>
    <row r="3695" spans="1:12" x14ac:dyDescent="0.3">
      <c r="A3695" s="8"/>
      <c r="C3695" s="6"/>
      <c r="E3695" s="6"/>
      <c r="J3695" s="8"/>
      <c r="L3695" s="6"/>
    </row>
    <row r="3696" spans="1:12" x14ac:dyDescent="0.3">
      <c r="A3696" s="8"/>
      <c r="C3696" s="6"/>
      <c r="E3696" s="6"/>
      <c r="J3696" s="8"/>
      <c r="L3696" s="6"/>
    </row>
    <row r="3697" spans="1:12" x14ac:dyDescent="0.3">
      <c r="A3697" s="8"/>
      <c r="C3697" s="6"/>
      <c r="E3697" s="6"/>
      <c r="J3697" s="8"/>
      <c r="L3697" s="6"/>
    </row>
    <row r="3698" spans="1:12" x14ac:dyDescent="0.3">
      <c r="A3698" s="8"/>
      <c r="C3698" s="6"/>
      <c r="E3698" s="6"/>
      <c r="J3698" s="8"/>
      <c r="L3698" s="6"/>
    </row>
    <row r="3699" spans="1:12" x14ac:dyDescent="0.3">
      <c r="A3699" s="8"/>
      <c r="C3699" s="6"/>
      <c r="E3699" s="6"/>
      <c r="J3699" s="8"/>
      <c r="L3699" s="6"/>
    </row>
    <row r="3700" spans="1:12" x14ac:dyDescent="0.3">
      <c r="A3700" s="8"/>
      <c r="C3700" s="6"/>
      <c r="E3700" s="6"/>
      <c r="J3700" s="8"/>
      <c r="L3700" s="6"/>
    </row>
    <row r="3701" spans="1:12" x14ac:dyDescent="0.3">
      <c r="A3701" s="8"/>
      <c r="C3701" s="6"/>
      <c r="E3701" s="6"/>
      <c r="J3701" s="8"/>
      <c r="L3701" s="6"/>
    </row>
    <row r="3702" spans="1:12" x14ac:dyDescent="0.3">
      <c r="A3702" s="8"/>
      <c r="C3702" s="6"/>
      <c r="E3702" s="6"/>
      <c r="J3702" s="8"/>
      <c r="L3702" s="6"/>
    </row>
    <row r="3703" spans="1:12" x14ac:dyDescent="0.3">
      <c r="A3703" s="8"/>
      <c r="C3703" s="6"/>
      <c r="E3703" s="6"/>
      <c r="J3703" s="8"/>
      <c r="L3703" s="6"/>
    </row>
    <row r="3704" spans="1:12" x14ac:dyDescent="0.3">
      <c r="A3704" s="8"/>
      <c r="C3704" s="6"/>
      <c r="E3704" s="6"/>
      <c r="J3704" s="8"/>
      <c r="L3704" s="6"/>
    </row>
    <row r="3705" spans="1:12" x14ac:dyDescent="0.3">
      <c r="A3705" s="8"/>
      <c r="C3705" s="6"/>
      <c r="E3705" s="6"/>
      <c r="J3705" s="8"/>
      <c r="L3705" s="6"/>
    </row>
    <row r="3706" spans="1:12" x14ac:dyDescent="0.3">
      <c r="A3706" s="8"/>
      <c r="C3706" s="6"/>
      <c r="E3706" s="6"/>
      <c r="J3706" s="8"/>
      <c r="L3706" s="6"/>
    </row>
    <row r="3707" spans="1:12" x14ac:dyDescent="0.3">
      <c r="A3707" s="8"/>
      <c r="C3707" s="6"/>
      <c r="E3707" s="6"/>
      <c r="J3707" s="8"/>
      <c r="L3707" s="6"/>
    </row>
    <row r="3708" spans="1:12" x14ac:dyDescent="0.3">
      <c r="A3708" s="8"/>
      <c r="C3708" s="6"/>
      <c r="E3708" s="6"/>
      <c r="J3708" s="8"/>
      <c r="L3708" s="6"/>
    </row>
    <row r="3709" spans="1:12" x14ac:dyDescent="0.3">
      <c r="A3709" s="8"/>
      <c r="C3709" s="6"/>
      <c r="E3709" s="6"/>
      <c r="J3709" s="8"/>
      <c r="L3709" s="6"/>
    </row>
    <row r="3710" spans="1:12" x14ac:dyDescent="0.3">
      <c r="A3710" s="8"/>
      <c r="C3710" s="6"/>
      <c r="E3710" s="6"/>
      <c r="J3710" s="8"/>
      <c r="L3710" s="6"/>
    </row>
    <row r="3711" spans="1:12" x14ac:dyDescent="0.3">
      <c r="A3711" s="8"/>
      <c r="C3711" s="6"/>
      <c r="E3711" s="6"/>
      <c r="J3711" s="8"/>
      <c r="L3711" s="6"/>
    </row>
    <row r="3712" spans="1:12" x14ac:dyDescent="0.3">
      <c r="A3712" s="8"/>
      <c r="C3712" s="6"/>
      <c r="E3712" s="6"/>
      <c r="J3712" s="8"/>
      <c r="L3712" s="6"/>
    </row>
    <row r="3713" spans="1:12" x14ac:dyDescent="0.3">
      <c r="A3713" s="8"/>
      <c r="C3713" s="6"/>
      <c r="E3713" s="6"/>
      <c r="J3713" s="8"/>
      <c r="L3713" s="6"/>
    </row>
    <row r="3714" spans="1:12" x14ac:dyDescent="0.3">
      <c r="A3714" s="8"/>
      <c r="C3714" s="6"/>
      <c r="E3714" s="6"/>
      <c r="J3714" s="8"/>
      <c r="L3714" s="6"/>
    </row>
    <row r="3715" spans="1:12" x14ac:dyDescent="0.3">
      <c r="A3715" s="8"/>
      <c r="C3715" s="6"/>
      <c r="E3715" s="6"/>
      <c r="J3715" s="8"/>
      <c r="L3715" s="6"/>
    </row>
    <row r="3716" spans="1:12" x14ac:dyDescent="0.3">
      <c r="A3716" s="8"/>
      <c r="C3716" s="6"/>
      <c r="E3716" s="6"/>
      <c r="J3716" s="8"/>
      <c r="L3716" s="6"/>
    </row>
    <row r="3717" spans="1:12" x14ac:dyDescent="0.3">
      <c r="A3717" s="8"/>
      <c r="C3717" s="6"/>
      <c r="E3717" s="6"/>
      <c r="J3717" s="8"/>
      <c r="L3717" s="6"/>
    </row>
    <row r="3718" spans="1:12" x14ac:dyDescent="0.3">
      <c r="A3718" s="8"/>
      <c r="C3718" s="6"/>
      <c r="E3718" s="6"/>
      <c r="J3718" s="8"/>
      <c r="L3718" s="6"/>
    </row>
    <row r="3719" spans="1:12" x14ac:dyDescent="0.3">
      <c r="A3719" s="8"/>
      <c r="C3719" s="6"/>
      <c r="E3719" s="6"/>
      <c r="J3719" s="8"/>
      <c r="L3719" s="6"/>
    </row>
    <row r="3720" spans="1:12" x14ac:dyDescent="0.3">
      <c r="A3720" s="8"/>
      <c r="C3720" s="6"/>
      <c r="E3720" s="6"/>
      <c r="J3720" s="8"/>
      <c r="L3720" s="6"/>
    </row>
    <row r="3721" spans="1:12" x14ac:dyDescent="0.3">
      <c r="A3721" s="8"/>
      <c r="C3721" s="6"/>
      <c r="E3721" s="6"/>
      <c r="J3721" s="8"/>
      <c r="L3721" s="6"/>
    </row>
    <row r="3722" spans="1:12" x14ac:dyDescent="0.3">
      <c r="A3722" s="8"/>
      <c r="C3722" s="6"/>
      <c r="E3722" s="6"/>
      <c r="J3722" s="8"/>
      <c r="L3722" s="6"/>
    </row>
    <row r="3723" spans="1:12" x14ac:dyDescent="0.3">
      <c r="A3723" s="8"/>
      <c r="C3723" s="6"/>
      <c r="E3723" s="6"/>
      <c r="J3723" s="8"/>
      <c r="L3723" s="6"/>
    </row>
    <row r="3724" spans="1:12" x14ac:dyDescent="0.3">
      <c r="A3724" s="8"/>
      <c r="C3724" s="6"/>
      <c r="E3724" s="6"/>
      <c r="J3724" s="8"/>
      <c r="L3724" s="6"/>
    </row>
    <row r="3725" spans="1:12" x14ac:dyDescent="0.3">
      <c r="A3725" s="8"/>
      <c r="C3725" s="6"/>
      <c r="E3725" s="6"/>
      <c r="J3725" s="8"/>
      <c r="L3725" s="6"/>
    </row>
    <row r="3726" spans="1:12" x14ac:dyDescent="0.3">
      <c r="A3726" s="8"/>
      <c r="C3726" s="6"/>
      <c r="E3726" s="6"/>
      <c r="J3726" s="8"/>
      <c r="L3726" s="6"/>
    </row>
    <row r="3727" spans="1:12" x14ac:dyDescent="0.3">
      <c r="A3727" s="8"/>
      <c r="C3727" s="6"/>
      <c r="E3727" s="6"/>
      <c r="J3727" s="8"/>
      <c r="L3727" s="6"/>
    </row>
    <row r="3728" spans="1:12" x14ac:dyDescent="0.3">
      <c r="A3728" s="8"/>
      <c r="C3728" s="6"/>
      <c r="E3728" s="6"/>
      <c r="J3728" s="8"/>
      <c r="L3728" s="6"/>
    </row>
    <row r="3729" spans="1:12" x14ac:dyDescent="0.3">
      <c r="A3729" s="8"/>
      <c r="C3729" s="6"/>
      <c r="E3729" s="6"/>
      <c r="J3729" s="8"/>
      <c r="L3729" s="6"/>
    </row>
    <row r="3730" spans="1:12" x14ac:dyDescent="0.3">
      <c r="A3730" s="8"/>
      <c r="C3730" s="6"/>
      <c r="E3730" s="6"/>
      <c r="J3730" s="8"/>
      <c r="L3730" s="6"/>
    </row>
    <row r="3731" spans="1:12" x14ac:dyDescent="0.3">
      <c r="A3731" s="8"/>
      <c r="C3731" s="6"/>
      <c r="E3731" s="6"/>
      <c r="J3731" s="8"/>
      <c r="L3731" s="6"/>
    </row>
    <row r="3732" spans="1:12" x14ac:dyDescent="0.3">
      <c r="A3732" s="8"/>
      <c r="C3732" s="6"/>
      <c r="E3732" s="6"/>
      <c r="J3732" s="8"/>
      <c r="L3732" s="6"/>
    </row>
    <row r="3733" spans="1:12" x14ac:dyDescent="0.3">
      <c r="A3733" s="8"/>
      <c r="C3733" s="6"/>
      <c r="E3733" s="6"/>
      <c r="J3733" s="8"/>
      <c r="L3733" s="6"/>
    </row>
    <row r="3734" spans="1:12" x14ac:dyDescent="0.3">
      <c r="A3734" s="8"/>
      <c r="C3734" s="6"/>
      <c r="E3734" s="6"/>
      <c r="J3734" s="8"/>
      <c r="L3734" s="6"/>
    </row>
    <row r="3735" spans="1:12" x14ac:dyDescent="0.3">
      <c r="A3735" s="8"/>
      <c r="C3735" s="6"/>
      <c r="E3735" s="6"/>
      <c r="J3735" s="8"/>
      <c r="L3735" s="6"/>
    </row>
    <row r="3736" spans="1:12" x14ac:dyDescent="0.3">
      <c r="A3736" s="8"/>
      <c r="C3736" s="6"/>
      <c r="E3736" s="6"/>
      <c r="J3736" s="8"/>
      <c r="L3736" s="6"/>
    </row>
    <row r="3737" spans="1:12" x14ac:dyDescent="0.3">
      <c r="A3737" s="8"/>
      <c r="C3737" s="6"/>
      <c r="E3737" s="6"/>
      <c r="J3737" s="8"/>
      <c r="L3737" s="6"/>
    </row>
    <row r="3738" spans="1:12" x14ac:dyDescent="0.3">
      <c r="A3738" s="8"/>
      <c r="C3738" s="6"/>
      <c r="E3738" s="6"/>
      <c r="J3738" s="8"/>
      <c r="L3738" s="6"/>
    </row>
    <row r="3739" spans="1:12" x14ac:dyDescent="0.3">
      <c r="A3739" s="8"/>
      <c r="C3739" s="6"/>
      <c r="E3739" s="6"/>
      <c r="J3739" s="8"/>
      <c r="L3739" s="6"/>
    </row>
    <row r="3740" spans="1:12" x14ac:dyDescent="0.3">
      <c r="A3740" s="8"/>
      <c r="C3740" s="6"/>
      <c r="E3740" s="6"/>
      <c r="J3740" s="8"/>
      <c r="L3740" s="6"/>
    </row>
    <row r="3741" spans="1:12" x14ac:dyDescent="0.3">
      <c r="A3741" s="8"/>
      <c r="C3741" s="6"/>
      <c r="E3741" s="6"/>
      <c r="J3741" s="8"/>
      <c r="L3741" s="6"/>
    </row>
    <row r="3742" spans="1:12" x14ac:dyDescent="0.3">
      <c r="A3742" s="8"/>
      <c r="C3742" s="6"/>
      <c r="E3742" s="6"/>
      <c r="J3742" s="8"/>
      <c r="L3742" s="6"/>
    </row>
    <row r="3743" spans="1:12" x14ac:dyDescent="0.3">
      <c r="A3743" s="8"/>
      <c r="C3743" s="6"/>
      <c r="E3743" s="6"/>
      <c r="J3743" s="8"/>
      <c r="L3743" s="6"/>
    </row>
    <row r="3744" spans="1:12" x14ac:dyDescent="0.3">
      <c r="A3744" s="8"/>
      <c r="C3744" s="6"/>
      <c r="E3744" s="6"/>
      <c r="J3744" s="8"/>
      <c r="L3744" s="6"/>
    </row>
    <row r="3745" spans="1:12" x14ac:dyDescent="0.3">
      <c r="A3745" s="8"/>
      <c r="C3745" s="6"/>
      <c r="E3745" s="6"/>
      <c r="J3745" s="8"/>
      <c r="L3745" s="6"/>
    </row>
    <row r="3746" spans="1:12" x14ac:dyDescent="0.3">
      <c r="A3746" s="8"/>
      <c r="C3746" s="6"/>
      <c r="E3746" s="6"/>
      <c r="J3746" s="8"/>
      <c r="L3746" s="6"/>
    </row>
    <row r="3747" spans="1:12" x14ac:dyDescent="0.3">
      <c r="A3747" s="8"/>
      <c r="C3747" s="6"/>
      <c r="E3747" s="6"/>
      <c r="J3747" s="8"/>
      <c r="L3747" s="6"/>
    </row>
    <row r="3748" spans="1:12" x14ac:dyDescent="0.3">
      <c r="A3748" s="8"/>
      <c r="C3748" s="6"/>
      <c r="E3748" s="6"/>
      <c r="J3748" s="8"/>
      <c r="L3748" s="6"/>
    </row>
    <row r="3749" spans="1:12" x14ac:dyDescent="0.3">
      <c r="A3749" s="8"/>
      <c r="C3749" s="6"/>
      <c r="E3749" s="6"/>
      <c r="J3749" s="8"/>
      <c r="L3749" s="6"/>
    </row>
    <row r="3750" spans="1:12" x14ac:dyDescent="0.3">
      <c r="A3750" s="8"/>
      <c r="C3750" s="6"/>
      <c r="E3750" s="6"/>
      <c r="J3750" s="8"/>
      <c r="L3750" s="6"/>
    </row>
    <row r="3751" spans="1:12" x14ac:dyDescent="0.3">
      <c r="A3751" s="8"/>
      <c r="C3751" s="6"/>
      <c r="E3751" s="6"/>
      <c r="J3751" s="8"/>
      <c r="L3751" s="6"/>
    </row>
    <row r="3752" spans="1:12" x14ac:dyDescent="0.3">
      <c r="A3752" s="8"/>
      <c r="C3752" s="6"/>
      <c r="E3752" s="6"/>
      <c r="J3752" s="8"/>
      <c r="L3752" s="6"/>
    </row>
    <row r="3753" spans="1:12" x14ac:dyDescent="0.3">
      <c r="A3753" s="8"/>
      <c r="C3753" s="6"/>
      <c r="E3753" s="6"/>
      <c r="J3753" s="8"/>
      <c r="L3753" s="6"/>
    </row>
    <row r="3754" spans="1:12" x14ac:dyDescent="0.3">
      <c r="A3754" s="8"/>
      <c r="C3754" s="6"/>
      <c r="E3754" s="6"/>
      <c r="J3754" s="8"/>
      <c r="L3754" s="6"/>
    </row>
    <row r="3755" spans="1:12" x14ac:dyDescent="0.3">
      <c r="A3755" s="8"/>
      <c r="C3755" s="6"/>
      <c r="E3755" s="6"/>
      <c r="J3755" s="8"/>
      <c r="L3755" s="6"/>
    </row>
    <row r="3756" spans="1:12" x14ac:dyDescent="0.3">
      <c r="A3756" s="8"/>
      <c r="C3756" s="6"/>
      <c r="E3756" s="6"/>
      <c r="J3756" s="8"/>
      <c r="L3756" s="6"/>
    </row>
    <row r="3757" spans="1:12" x14ac:dyDescent="0.3">
      <c r="A3757" s="8"/>
      <c r="C3757" s="6"/>
      <c r="E3757" s="6"/>
      <c r="J3757" s="8"/>
      <c r="L3757" s="6"/>
    </row>
    <row r="3758" spans="1:12" x14ac:dyDescent="0.3">
      <c r="A3758" s="8"/>
      <c r="C3758" s="6"/>
      <c r="E3758" s="6"/>
      <c r="J3758" s="8"/>
      <c r="L3758" s="6"/>
    </row>
    <row r="3759" spans="1:12" x14ac:dyDescent="0.3">
      <c r="A3759" s="8"/>
      <c r="C3759" s="6"/>
      <c r="E3759" s="6"/>
      <c r="J3759" s="8"/>
      <c r="L3759" s="6"/>
    </row>
    <row r="3760" spans="1:12" x14ac:dyDescent="0.3">
      <c r="A3760" s="8"/>
      <c r="C3760" s="6"/>
      <c r="E3760" s="6"/>
      <c r="J3760" s="8"/>
      <c r="L3760" s="6"/>
    </row>
    <row r="3761" spans="1:12" x14ac:dyDescent="0.3">
      <c r="A3761" s="8"/>
      <c r="C3761" s="6"/>
      <c r="E3761" s="6"/>
      <c r="J3761" s="8"/>
      <c r="L3761" s="6"/>
    </row>
    <row r="3762" spans="1:12" x14ac:dyDescent="0.3">
      <c r="A3762" s="8"/>
      <c r="C3762" s="6"/>
      <c r="E3762" s="6"/>
      <c r="J3762" s="8"/>
      <c r="L3762" s="6"/>
    </row>
    <row r="3763" spans="1:12" x14ac:dyDescent="0.3">
      <c r="A3763" s="8"/>
      <c r="C3763" s="6"/>
      <c r="E3763" s="6"/>
      <c r="J3763" s="8"/>
      <c r="L3763" s="6"/>
    </row>
    <row r="3764" spans="1:12" x14ac:dyDescent="0.3">
      <c r="A3764" s="8"/>
      <c r="C3764" s="6"/>
      <c r="E3764" s="6"/>
      <c r="J3764" s="8"/>
      <c r="L3764" s="6"/>
    </row>
    <row r="3765" spans="1:12" x14ac:dyDescent="0.3">
      <c r="A3765" s="8"/>
      <c r="C3765" s="6"/>
      <c r="E3765" s="6"/>
      <c r="J3765" s="8"/>
      <c r="L3765" s="6"/>
    </row>
    <row r="3766" spans="1:12" x14ac:dyDescent="0.3">
      <c r="A3766" s="8"/>
      <c r="C3766" s="6"/>
      <c r="E3766" s="6"/>
      <c r="J3766" s="8"/>
      <c r="L3766" s="6"/>
    </row>
    <row r="3767" spans="1:12" x14ac:dyDescent="0.3">
      <c r="A3767" s="8"/>
      <c r="C3767" s="6"/>
      <c r="E3767" s="6"/>
      <c r="J3767" s="8"/>
      <c r="L3767" s="6"/>
    </row>
    <row r="3768" spans="1:12" x14ac:dyDescent="0.3">
      <c r="A3768" s="8"/>
      <c r="C3768" s="6"/>
      <c r="E3768" s="6"/>
      <c r="J3768" s="8"/>
      <c r="L3768" s="6"/>
    </row>
    <row r="3769" spans="1:12" x14ac:dyDescent="0.3">
      <c r="A3769" s="8"/>
      <c r="C3769" s="6"/>
      <c r="E3769" s="6"/>
      <c r="J3769" s="8"/>
      <c r="L3769" s="6"/>
    </row>
    <row r="3770" spans="1:12" x14ac:dyDescent="0.3">
      <c r="A3770" s="8"/>
      <c r="C3770" s="6"/>
      <c r="E3770" s="6"/>
      <c r="J3770" s="8"/>
      <c r="L3770" s="6"/>
    </row>
    <row r="3771" spans="1:12" x14ac:dyDescent="0.3">
      <c r="A3771" s="8"/>
      <c r="C3771" s="6"/>
      <c r="E3771" s="6"/>
      <c r="J3771" s="8"/>
      <c r="L3771" s="6"/>
    </row>
    <row r="3772" spans="1:12" x14ac:dyDescent="0.3">
      <c r="A3772" s="8"/>
      <c r="C3772" s="6"/>
      <c r="E3772" s="6"/>
      <c r="J3772" s="8"/>
      <c r="L3772" s="6"/>
    </row>
    <row r="3773" spans="1:12" x14ac:dyDescent="0.3">
      <c r="A3773" s="8"/>
      <c r="C3773" s="6"/>
      <c r="E3773" s="6"/>
      <c r="J3773" s="8"/>
      <c r="L3773" s="6"/>
    </row>
    <row r="3774" spans="1:12" x14ac:dyDescent="0.3">
      <c r="A3774" s="8"/>
      <c r="C3774" s="6"/>
      <c r="E3774" s="6"/>
      <c r="J3774" s="8"/>
      <c r="L3774" s="6"/>
    </row>
    <row r="3775" spans="1:12" x14ac:dyDescent="0.3">
      <c r="A3775" s="8"/>
      <c r="C3775" s="6"/>
      <c r="E3775" s="6"/>
      <c r="J3775" s="8"/>
      <c r="L3775" s="6"/>
    </row>
    <row r="3776" spans="1:12" x14ac:dyDescent="0.3">
      <c r="A3776" s="8"/>
      <c r="C3776" s="6"/>
      <c r="E3776" s="6"/>
      <c r="J3776" s="8"/>
      <c r="L3776" s="6"/>
    </row>
    <row r="3777" spans="1:12" x14ac:dyDescent="0.3">
      <c r="A3777" s="8"/>
      <c r="C3777" s="6"/>
      <c r="E3777" s="6"/>
      <c r="J3777" s="8"/>
      <c r="L3777" s="6"/>
    </row>
    <row r="3778" spans="1:12" x14ac:dyDescent="0.3">
      <c r="A3778" s="8"/>
      <c r="C3778" s="6"/>
      <c r="E3778" s="6"/>
      <c r="J3778" s="8"/>
      <c r="L3778" s="6"/>
    </row>
    <row r="3779" spans="1:12" x14ac:dyDescent="0.3">
      <c r="A3779" s="8"/>
      <c r="C3779" s="6"/>
      <c r="E3779" s="6"/>
      <c r="J3779" s="8"/>
      <c r="L3779" s="6"/>
    </row>
    <row r="3780" spans="1:12" x14ac:dyDescent="0.3">
      <c r="A3780" s="8"/>
      <c r="C3780" s="6"/>
      <c r="E3780" s="6"/>
      <c r="J3780" s="8"/>
      <c r="L3780" s="6"/>
    </row>
    <row r="3781" spans="1:12" x14ac:dyDescent="0.3">
      <c r="A3781" s="8"/>
      <c r="C3781" s="6"/>
      <c r="E3781" s="6"/>
      <c r="J3781" s="8"/>
      <c r="L3781" s="6"/>
    </row>
    <row r="3782" spans="1:12" x14ac:dyDescent="0.3">
      <c r="A3782" s="8"/>
      <c r="C3782" s="6"/>
      <c r="E3782" s="6"/>
      <c r="J3782" s="8"/>
      <c r="L3782" s="6"/>
    </row>
    <row r="3783" spans="1:12" x14ac:dyDescent="0.3">
      <c r="A3783" s="8"/>
      <c r="C3783" s="6"/>
      <c r="E3783" s="6"/>
      <c r="J3783" s="8"/>
      <c r="L3783" s="6"/>
    </row>
    <row r="3784" spans="1:12" x14ac:dyDescent="0.3">
      <c r="A3784" s="8"/>
      <c r="C3784" s="6"/>
      <c r="E3784" s="6"/>
      <c r="J3784" s="8"/>
      <c r="L3784" s="6"/>
    </row>
    <row r="3785" spans="1:12" x14ac:dyDescent="0.3">
      <c r="A3785" s="8"/>
      <c r="C3785" s="6"/>
      <c r="E3785" s="6"/>
      <c r="J3785" s="8"/>
      <c r="L3785" s="6"/>
    </row>
    <row r="3786" spans="1:12" x14ac:dyDescent="0.3">
      <c r="A3786" s="8"/>
      <c r="C3786" s="6"/>
      <c r="E3786" s="6"/>
      <c r="J3786" s="8"/>
      <c r="L3786" s="6"/>
    </row>
    <row r="3787" spans="1:12" x14ac:dyDescent="0.3">
      <c r="A3787" s="8"/>
      <c r="C3787" s="6"/>
      <c r="E3787" s="6"/>
      <c r="J3787" s="8"/>
      <c r="L3787" s="6"/>
    </row>
    <row r="3788" spans="1:12" x14ac:dyDescent="0.3">
      <c r="A3788" s="8"/>
      <c r="C3788" s="6"/>
      <c r="E3788" s="6"/>
      <c r="J3788" s="8"/>
      <c r="L3788" s="6"/>
    </row>
    <row r="3789" spans="1:12" x14ac:dyDescent="0.3">
      <c r="A3789" s="8"/>
      <c r="C3789" s="6"/>
      <c r="E3789" s="6"/>
      <c r="J3789" s="8"/>
      <c r="L3789" s="6"/>
    </row>
    <row r="3790" spans="1:12" x14ac:dyDescent="0.3">
      <c r="A3790" s="8"/>
      <c r="C3790" s="6"/>
      <c r="E3790" s="6"/>
      <c r="J3790" s="8"/>
      <c r="L3790" s="6"/>
    </row>
    <row r="3791" spans="1:12" x14ac:dyDescent="0.3">
      <c r="A3791" s="8"/>
      <c r="C3791" s="6"/>
      <c r="E3791" s="6"/>
      <c r="J3791" s="8"/>
      <c r="L3791" s="6"/>
    </row>
    <row r="3792" spans="1:12" x14ac:dyDescent="0.3">
      <c r="A3792" s="8"/>
      <c r="C3792" s="6"/>
      <c r="E3792" s="6"/>
      <c r="J3792" s="8"/>
      <c r="L3792" s="6"/>
    </row>
    <row r="3793" spans="1:12" x14ac:dyDescent="0.3">
      <c r="A3793" s="8"/>
      <c r="C3793" s="6"/>
      <c r="E3793" s="6"/>
      <c r="J3793" s="8"/>
      <c r="L3793" s="6"/>
    </row>
    <row r="3794" spans="1:12" x14ac:dyDescent="0.3">
      <c r="A3794" s="8"/>
      <c r="C3794" s="6"/>
      <c r="E3794" s="6"/>
      <c r="J3794" s="8"/>
      <c r="L3794" s="6"/>
    </row>
    <row r="3795" spans="1:12" x14ac:dyDescent="0.3">
      <c r="A3795" s="8"/>
      <c r="C3795" s="6"/>
      <c r="E3795" s="6"/>
      <c r="J3795" s="8"/>
      <c r="L3795" s="6"/>
    </row>
    <row r="3796" spans="1:12" x14ac:dyDescent="0.3">
      <c r="A3796" s="8"/>
      <c r="C3796" s="6"/>
      <c r="E3796" s="6"/>
      <c r="J3796" s="8"/>
      <c r="L3796" s="6"/>
    </row>
    <row r="3797" spans="1:12" x14ac:dyDescent="0.3">
      <c r="A3797" s="8"/>
      <c r="C3797" s="6"/>
      <c r="E3797" s="6"/>
      <c r="J3797" s="8"/>
      <c r="L3797" s="6"/>
    </row>
    <row r="3798" spans="1:12" x14ac:dyDescent="0.3">
      <c r="A3798" s="8"/>
      <c r="C3798" s="6"/>
      <c r="E3798" s="6"/>
      <c r="J3798" s="8"/>
      <c r="L3798" s="6"/>
    </row>
    <row r="3799" spans="1:12" x14ac:dyDescent="0.3">
      <c r="A3799" s="8"/>
      <c r="C3799" s="6"/>
      <c r="E3799" s="6"/>
      <c r="J3799" s="8"/>
      <c r="L3799" s="6"/>
    </row>
    <row r="3800" spans="1:12" x14ac:dyDescent="0.3">
      <c r="A3800" s="8"/>
      <c r="C3800" s="6"/>
      <c r="E3800" s="6"/>
      <c r="J3800" s="8"/>
      <c r="L3800" s="6"/>
    </row>
    <row r="3801" spans="1:12" x14ac:dyDescent="0.3">
      <c r="A3801" s="8"/>
      <c r="C3801" s="6"/>
      <c r="E3801" s="6"/>
      <c r="J3801" s="8"/>
      <c r="L3801" s="6"/>
    </row>
    <row r="3802" spans="1:12" x14ac:dyDescent="0.3">
      <c r="A3802" s="8"/>
      <c r="C3802" s="6"/>
      <c r="E3802" s="6"/>
      <c r="J3802" s="8"/>
      <c r="L3802" s="6"/>
    </row>
    <row r="3803" spans="1:12" x14ac:dyDescent="0.3">
      <c r="A3803" s="8"/>
      <c r="C3803" s="6"/>
      <c r="E3803" s="6"/>
      <c r="J3803" s="8"/>
      <c r="L3803" s="6"/>
    </row>
    <row r="3804" spans="1:12" x14ac:dyDescent="0.3">
      <c r="A3804" s="8"/>
      <c r="C3804" s="6"/>
      <c r="E3804" s="6"/>
      <c r="J3804" s="8"/>
      <c r="L3804" s="6"/>
    </row>
    <row r="3805" spans="1:12" x14ac:dyDescent="0.3">
      <c r="A3805" s="8"/>
      <c r="C3805" s="6"/>
      <c r="E3805" s="6"/>
      <c r="J3805" s="8"/>
      <c r="L3805" s="6"/>
    </row>
    <row r="3806" spans="1:12" x14ac:dyDescent="0.3">
      <c r="A3806" s="8"/>
      <c r="C3806" s="6"/>
      <c r="E3806" s="6"/>
      <c r="J3806" s="8"/>
      <c r="L3806" s="6"/>
    </row>
    <row r="3807" spans="1:12" x14ac:dyDescent="0.3">
      <c r="A3807" s="8"/>
      <c r="C3807" s="6"/>
      <c r="E3807" s="6"/>
      <c r="J3807" s="8"/>
      <c r="L3807" s="6"/>
    </row>
    <row r="3808" spans="1:12" x14ac:dyDescent="0.3">
      <c r="A3808" s="8"/>
      <c r="C3808" s="6"/>
      <c r="E3808" s="6"/>
      <c r="J3808" s="8"/>
      <c r="L3808" s="6"/>
    </row>
    <row r="3809" spans="1:12" x14ac:dyDescent="0.3">
      <c r="A3809" s="8"/>
      <c r="C3809" s="6"/>
      <c r="E3809" s="6"/>
      <c r="J3809" s="8"/>
      <c r="L3809" s="6"/>
    </row>
    <row r="3810" spans="1:12" x14ac:dyDescent="0.3">
      <c r="A3810" s="8"/>
      <c r="C3810" s="6"/>
      <c r="E3810" s="6"/>
      <c r="J3810" s="8"/>
      <c r="L3810" s="6"/>
    </row>
    <row r="3811" spans="1:12" x14ac:dyDescent="0.3">
      <c r="A3811" s="8"/>
      <c r="C3811" s="6"/>
      <c r="E3811" s="6"/>
      <c r="J3811" s="8"/>
      <c r="L3811" s="6"/>
    </row>
    <row r="3812" spans="1:12" x14ac:dyDescent="0.3">
      <c r="A3812" s="8"/>
      <c r="C3812" s="6"/>
      <c r="E3812" s="6"/>
      <c r="J3812" s="8"/>
      <c r="L3812" s="6"/>
    </row>
    <row r="3813" spans="1:12" x14ac:dyDescent="0.3">
      <c r="A3813" s="8"/>
      <c r="C3813" s="6"/>
      <c r="E3813" s="6"/>
      <c r="J3813" s="8"/>
      <c r="L3813" s="6"/>
    </row>
    <row r="3814" spans="1:12" x14ac:dyDescent="0.3">
      <c r="A3814" s="8"/>
      <c r="C3814" s="6"/>
      <c r="E3814" s="6"/>
      <c r="J3814" s="8"/>
      <c r="L3814" s="6"/>
    </row>
    <row r="3815" spans="1:12" x14ac:dyDescent="0.3">
      <c r="A3815" s="8"/>
      <c r="C3815" s="6"/>
      <c r="E3815" s="6"/>
      <c r="J3815" s="8"/>
      <c r="L3815" s="6"/>
    </row>
    <row r="3816" spans="1:12" x14ac:dyDescent="0.3">
      <c r="A3816" s="8"/>
      <c r="C3816" s="6"/>
      <c r="E3816" s="6"/>
      <c r="J3816" s="8"/>
      <c r="L3816" s="6"/>
    </row>
    <row r="3817" spans="1:12" x14ac:dyDescent="0.3">
      <c r="A3817" s="8"/>
      <c r="C3817" s="6"/>
      <c r="E3817" s="6"/>
      <c r="J3817" s="8"/>
      <c r="L3817" s="6"/>
    </row>
    <row r="3818" spans="1:12" x14ac:dyDescent="0.3">
      <c r="A3818" s="8"/>
      <c r="C3818" s="6"/>
      <c r="E3818" s="6"/>
      <c r="J3818" s="8"/>
      <c r="L3818" s="6"/>
    </row>
    <row r="3819" spans="1:12" x14ac:dyDescent="0.3">
      <c r="A3819" s="8"/>
      <c r="C3819" s="6"/>
      <c r="E3819" s="6"/>
      <c r="J3819" s="8"/>
      <c r="L3819" s="6"/>
    </row>
    <row r="3820" spans="1:12" x14ac:dyDescent="0.3">
      <c r="A3820" s="8"/>
      <c r="C3820" s="6"/>
      <c r="E3820" s="6"/>
      <c r="J3820" s="8"/>
      <c r="L3820" s="6"/>
    </row>
    <row r="3821" spans="1:12" x14ac:dyDescent="0.3">
      <c r="A3821" s="8"/>
      <c r="C3821" s="6"/>
      <c r="E3821" s="6"/>
      <c r="J3821" s="8"/>
      <c r="L3821" s="6"/>
    </row>
    <row r="3822" spans="1:12" x14ac:dyDescent="0.3">
      <c r="A3822" s="8"/>
      <c r="C3822" s="6"/>
      <c r="E3822" s="6"/>
      <c r="J3822" s="8"/>
      <c r="L3822" s="6"/>
    </row>
    <row r="3823" spans="1:12" x14ac:dyDescent="0.3">
      <c r="A3823" s="8"/>
      <c r="C3823" s="6"/>
      <c r="E3823" s="6"/>
      <c r="J3823" s="8"/>
      <c r="L3823" s="6"/>
    </row>
    <row r="3824" spans="1:12" x14ac:dyDescent="0.3">
      <c r="A3824" s="8"/>
      <c r="C3824" s="6"/>
      <c r="E3824" s="6"/>
      <c r="J3824" s="8"/>
      <c r="L3824" s="6"/>
    </row>
    <row r="3825" spans="1:12" x14ac:dyDescent="0.3">
      <c r="A3825" s="8"/>
      <c r="C3825" s="6"/>
      <c r="E3825" s="6"/>
      <c r="J3825" s="8"/>
      <c r="L3825" s="6"/>
    </row>
    <row r="3826" spans="1:12" x14ac:dyDescent="0.3">
      <c r="A3826" s="8"/>
      <c r="C3826" s="6"/>
      <c r="E3826" s="6"/>
      <c r="J3826" s="8"/>
      <c r="L3826" s="6"/>
    </row>
    <row r="3827" spans="1:12" x14ac:dyDescent="0.3">
      <c r="A3827" s="8"/>
      <c r="C3827" s="6"/>
      <c r="E3827" s="6"/>
      <c r="J3827" s="8"/>
      <c r="L3827" s="6"/>
    </row>
    <row r="3828" spans="1:12" x14ac:dyDescent="0.3">
      <c r="A3828" s="8"/>
      <c r="C3828" s="6"/>
      <c r="E3828" s="6"/>
      <c r="J3828" s="8"/>
      <c r="L3828" s="6"/>
    </row>
    <row r="3829" spans="1:12" x14ac:dyDescent="0.3">
      <c r="A3829" s="8"/>
      <c r="C3829" s="6"/>
      <c r="E3829" s="6"/>
      <c r="J3829" s="8"/>
      <c r="L3829" s="6"/>
    </row>
    <row r="3830" spans="1:12" x14ac:dyDescent="0.3">
      <c r="A3830" s="8"/>
      <c r="C3830" s="6"/>
      <c r="E3830" s="6"/>
      <c r="J3830" s="8"/>
      <c r="L3830" s="6"/>
    </row>
    <row r="3831" spans="1:12" x14ac:dyDescent="0.3">
      <c r="A3831" s="8"/>
      <c r="C3831" s="6"/>
      <c r="E3831" s="6"/>
      <c r="J3831" s="8"/>
      <c r="L3831" s="6"/>
    </row>
    <row r="3832" spans="1:12" x14ac:dyDescent="0.3">
      <c r="A3832" s="8"/>
      <c r="C3832" s="6"/>
      <c r="E3832" s="6"/>
      <c r="J3832" s="8"/>
      <c r="L3832" s="6"/>
    </row>
    <row r="3833" spans="1:12" x14ac:dyDescent="0.3">
      <c r="A3833" s="8"/>
      <c r="C3833" s="6"/>
      <c r="E3833" s="6"/>
      <c r="J3833" s="8"/>
      <c r="L3833" s="6"/>
    </row>
    <row r="3834" spans="1:12" x14ac:dyDescent="0.3">
      <c r="A3834" s="8"/>
      <c r="C3834" s="6"/>
      <c r="E3834" s="6"/>
      <c r="J3834" s="8"/>
      <c r="L3834" s="6"/>
    </row>
    <row r="3835" spans="1:12" x14ac:dyDescent="0.3">
      <c r="A3835" s="8"/>
      <c r="C3835" s="6"/>
      <c r="E3835" s="6"/>
      <c r="J3835" s="8"/>
      <c r="L3835" s="6"/>
    </row>
    <row r="3836" spans="1:12" x14ac:dyDescent="0.3">
      <c r="A3836" s="8"/>
      <c r="C3836" s="6"/>
      <c r="E3836" s="6"/>
      <c r="J3836" s="8"/>
      <c r="L3836" s="6"/>
    </row>
    <row r="3837" spans="1:12" x14ac:dyDescent="0.3">
      <c r="A3837" s="8"/>
      <c r="C3837" s="6"/>
      <c r="E3837" s="6"/>
      <c r="J3837" s="8"/>
      <c r="L3837" s="6"/>
    </row>
    <row r="3838" spans="1:12" x14ac:dyDescent="0.3">
      <c r="A3838" s="8"/>
      <c r="C3838" s="6"/>
      <c r="E3838" s="6"/>
      <c r="J3838" s="8"/>
      <c r="L3838" s="6"/>
    </row>
    <row r="3839" spans="1:12" x14ac:dyDescent="0.3">
      <c r="A3839" s="8"/>
      <c r="C3839" s="6"/>
      <c r="E3839" s="6"/>
      <c r="J3839" s="8"/>
      <c r="L3839" s="6"/>
    </row>
    <row r="3840" spans="1:12" x14ac:dyDescent="0.3">
      <c r="A3840" s="8"/>
      <c r="C3840" s="6"/>
      <c r="E3840" s="6"/>
      <c r="J3840" s="8"/>
      <c r="L3840" s="6"/>
    </row>
    <row r="3841" spans="1:12" x14ac:dyDescent="0.3">
      <c r="A3841" s="8"/>
      <c r="C3841" s="6"/>
      <c r="E3841" s="6"/>
      <c r="J3841" s="8"/>
      <c r="L3841" s="6"/>
    </row>
    <row r="3842" spans="1:12" x14ac:dyDescent="0.3">
      <c r="A3842" s="8"/>
      <c r="C3842" s="6"/>
      <c r="E3842" s="6"/>
      <c r="J3842" s="8"/>
      <c r="L3842" s="6"/>
    </row>
    <row r="3843" spans="1:12" x14ac:dyDescent="0.3">
      <c r="A3843" s="8"/>
      <c r="C3843" s="6"/>
      <c r="E3843" s="6"/>
      <c r="J3843" s="8"/>
      <c r="L3843" s="6"/>
    </row>
    <row r="3844" spans="1:12" x14ac:dyDescent="0.3">
      <c r="A3844" s="8"/>
      <c r="C3844" s="6"/>
      <c r="E3844" s="6"/>
      <c r="J3844" s="8"/>
      <c r="L3844" s="6"/>
    </row>
    <row r="3845" spans="1:12" x14ac:dyDescent="0.3">
      <c r="A3845" s="8"/>
      <c r="C3845" s="6"/>
      <c r="E3845" s="6"/>
      <c r="J3845" s="8"/>
      <c r="L3845" s="6"/>
    </row>
    <row r="3846" spans="1:12" x14ac:dyDescent="0.3">
      <c r="A3846" s="8"/>
      <c r="C3846" s="6"/>
      <c r="E3846" s="6"/>
      <c r="J3846" s="8"/>
      <c r="L3846" s="6"/>
    </row>
    <row r="3847" spans="1:12" x14ac:dyDescent="0.3">
      <c r="A3847" s="8"/>
      <c r="C3847" s="6"/>
      <c r="E3847" s="6"/>
      <c r="J3847" s="8"/>
      <c r="L3847" s="6"/>
    </row>
    <row r="3848" spans="1:12" x14ac:dyDescent="0.3">
      <c r="A3848" s="8"/>
      <c r="C3848" s="6"/>
      <c r="E3848" s="6"/>
      <c r="J3848" s="8"/>
      <c r="L3848" s="6"/>
    </row>
    <row r="3849" spans="1:12" x14ac:dyDescent="0.3">
      <c r="A3849" s="8"/>
      <c r="C3849" s="6"/>
      <c r="E3849" s="6"/>
      <c r="J3849" s="8"/>
      <c r="L3849" s="6"/>
    </row>
    <row r="3850" spans="1:12" x14ac:dyDescent="0.3">
      <c r="A3850" s="8"/>
      <c r="C3850" s="6"/>
      <c r="E3850" s="6"/>
      <c r="J3850" s="8"/>
      <c r="L3850" s="6"/>
    </row>
    <row r="3851" spans="1:12" x14ac:dyDescent="0.3">
      <c r="A3851" s="8"/>
      <c r="C3851" s="6"/>
      <c r="E3851" s="6"/>
      <c r="J3851" s="8"/>
      <c r="L3851" s="6"/>
    </row>
    <row r="3852" spans="1:12" x14ac:dyDescent="0.3">
      <c r="A3852" s="8"/>
      <c r="C3852" s="6"/>
      <c r="E3852" s="6"/>
      <c r="J3852" s="8"/>
      <c r="L3852" s="6"/>
    </row>
    <row r="3853" spans="1:12" x14ac:dyDescent="0.3">
      <c r="A3853" s="8"/>
      <c r="C3853" s="6"/>
      <c r="E3853" s="6"/>
      <c r="J3853" s="8"/>
      <c r="L3853" s="6"/>
    </row>
    <row r="3854" spans="1:12" x14ac:dyDescent="0.3">
      <c r="A3854" s="8"/>
      <c r="C3854" s="6"/>
      <c r="E3854" s="6"/>
      <c r="J3854" s="8"/>
      <c r="L3854" s="6"/>
    </row>
    <row r="3855" spans="1:12" x14ac:dyDescent="0.3">
      <c r="A3855" s="8"/>
      <c r="C3855" s="6"/>
      <c r="E3855" s="6"/>
      <c r="J3855" s="8"/>
      <c r="L3855" s="6"/>
    </row>
    <row r="3856" spans="1:12" x14ac:dyDescent="0.3">
      <c r="A3856" s="8"/>
      <c r="C3856" s="6"/>
      <c r="E3856" s="6"/>
      <c r="J3856" s="8"/>
      <c r="L3856" s="6"/>
    </row>
    <row r="3857" spans="1:12" x14ac:dyDescent="0.3">
      <c r="A3857" s="8"/>
      <c r="C3857" s="6"/>
      <c r="E3857" s="6"/>
      <c r="J3857" s="8"/>
      <c r="L3857" s="6"/>
    </row>
    <row r="3858" spans="1:12" x14ac:dyDescent="0.3">
      <c r="A3858" s="8"/>
      <c r="C3858" s="6"/>
      <c r="E3858" s="6"/>
      <c r="J3858" s="8"/>
      <c r="L3858" s="6"/>
    </row>
    <row r="3859" spans="1:12" x14ac:dyDescent="0.3">
      <c r="A3859" s="8"/>
      <c r="C3859" s="6"/>
      <c r="E3859" s="6"/>
      <c r="J3859" s="8"/>
      <c r="L3859" s="6"/>
    </row>
    <row r="3860" spans="1:12" x14ac:dyDescent="0.3">
      <c r="A3860" s="8"/>
      <c r="C3860" s="6"/>
      <c r="E3860" s="6"/>
      <c r="J3860" s="8"/>
      <c r="L3860" s="6"/>
    </row>
    <row r="3861" spans="1:12" x14ac:dyDescent="0.3">
      <c r="A3861" s="8"/>
      <c r="C3861" s="6"/>
      <c r="E3861" s="6"/>
      <c r="J3861" s="8"/>
      <c r="L3861" s="6"/>
    </row>
    <row r="3862" spans="1:12" x14ac:dyDescent="0.3">
      <c r="A3862" s="8"/>
      <c r="C3862" s="6"/>
      <c r="E3862" s="6"/>
      <c r="J3862" s="8"/>
      <c r="L3862" s="6"/>
    </row>
    <row r="3863" spans="1:12" x14ac:dyDescent="0.3">
      <c r="A3863" s="8"/>
      <c r="C3863" s="6"/>
      <c r="E3863" s="6"/>
      <c r="J3863" s="8"/>
      <c r="L3863" s="6"/>
    </row>
    <row r="3864" spans="1:12" x14ac:dyDescent="0.3">
      <c r="A3864" s="8"/>
      <c r="C3864" s="6"/>
      <c r="E3864" s="6"/>
      <c r="J3864" s="8"/>
      <c r="L3864" s="6"/>
    </row>
    <row r="3865" spans="1:12" x14ac:dyDescent="0.3">
      <c r="A3865" s="8"/>
      <c r="C3865" s="6"/>
      <c r="E3865" s="6"/>
      <c r="J3865" s="8"/>
      <c r="L3865" s="6"/>
    </row>
    <row r="3866" spans="1:12" x14ac:dyDescent="0.3">
      <c r="A3866" s="8"/>
      <c r="C3866" s="6"/>
      <c r="E3866" s="6"/>
      <c r="J3866" s="8"/>
      <c r="L3866" s="6"/>
    </row>
    <row r="3867" spans="1:12" x14ac:dyDescent="0.3">
      <c r="A3867" s="8"/>
      <c r="C3867" s="6"/>
      <c r="E3867" s="6"/>
      <c r="J3867" s="8"/>
      <c r="L3867" s="6"/>
    </row>
    <row r="3868" spans="1:12" x14ac:dyDescent="0.3">
      <c r="A3868" s="8"/>
      <c r="C3868" s="6"/>
      <c r="E3868" s="6"/>
      <c r="J3868" s="8"/>
      <c r="L3868" s="6"/>
    </row>
    <row r="3869" spans="1:12" x14ac:dyDescent="0.3">
      <c r="A3869" s="8"/>
      <c r="C3869" s="6"/>
      <c r="E3869" s="6"/>
      <c r="J3869" s="8"/>
      <c r="L3869" s="6"/>
    </row>
    <row r="3870" spans="1:12" x14ac:dyDescent="0.3">
      <c r="A3870" s="8"/>
      <c r="C3870" s="6"/>
      <c r="E3870" s="6"/>
      <c r="J3870" s="8"/>
      <c r="L3870" s="6"/>
    </row>
    <row r="3871" spans="1:12" x14ac:dyDescent="0.3">
      <c r="A3871" s="8"/>
      <c r="C3871" s="6"/>
      <c r="E3871" s="6"/>
      <c r="J3871" s="8"/>
      <c r="L3871" s="6"/>
    </row>
    <row r="3872" spans="1:12" x14ac:dyDescent="0.3">
      <c r="A3872" s="8"/>
      <c r="C3872" s="6"/>
      <c r="E3872" s="6"/>
      <c r="J3872" s="8"/>
      <c r="L3872" s="6"/>
    </row>
    <row r="3873" spans="1:12" x14ac:dyDescent="0.3">
      <c r="A3873" s="8"/>
      <c r="C3873" s="6"/>
      <c r="E3873" s="6"/>
      <c r="J3873" s="8"/>
      <c r="L3873" s="6"/>
    </row>
    <row r="3874" spans="1:12" x14ac:dyDescent="0.3">
      <c r="A3874" s="8"/>
      <c r="C3874" s="6"/>
      <c r="E3874" s="6"/>
      <c r="J3874" s="8"/>
      <c r="L3874" s="6"/>
    </row>
    <row r="3875" spans="1:12" x14ac:dyDescent="0.3">
      <c r="A3875" s="8"/>
      <c r="C3875" s="6"/>
      <c r="E3875" s="6"/>
      <c r="J3875" s="8"/>
      <c r="L3875" s="6"/>
    </row>
    <row r="3876" spans="1:12" x14ac:dyDescent="0.3">
      <c r="A3876" s="8"/>
      <c r="C3876" s="6"/>
      <c r="E3876" s="6"/>
      <c r="J3876" s="8"/>
      <c r="L3876" s="6"/>
    </row>
    <row r="3877" spans="1:12" x14ac:dyDescent="0.3">
      <c r="A3877" s="8"/>
      <c r="C3877" s="6"/>
      <c r="E3877" s="6"/>
      <c r="J3877" s="8"/>
      <c r="L3877" s="6"/>
    </row>
    <row r="3878" spans="1:12" x14ac:dyDescent="0.3">
      <c r="A3878" s="8"/>
      <c r="C3878" s="6"/>
      <c r="E3878" s="6"/>
      <c r="J3878" s="8"/>
      <c r="L3878" s="6"/>
    </row>
    <row r="3879" spans="1:12" x14ac:dyDescent="0.3">
      <c r="A3879" s="8"/>
      <c r="C3879" s="6"/>
      <c r="E3879" s="6"/>
      <c r="J3879" s="8"/>
      <c r="L3879" s="6"/>
    </row>
    <row r="3880" spans="1:12" x14ac:dyDescent="0.3">
      <c r="A3880" s="8"/>
      <c r="C3880" s="6"/>
      <c r="E3880" s="6"/>
      <c r="J3880" s="8"/>
      <c r="L3880" s="6"/>
    </row>
    <row r="3881" spans="1:12" x14ac:dyDescent="0.3">
      <c r="A3881" s="8"/>
      <c r="C3881" s="6"/>
      <c r="E3881" s="6"/>
      <c r="J3881" s="8"/>
      <c r="L3881" s="6"/>
    </row>
    <row r="3882" spans="1:12" x14ac:dyDescent="0.3">
      <c r="A3882" s="8"/>
      <c r="C3882" s="6"/>
      <c r="E3882" s="6"/>
      <c r="J3882" s="8"/>
      <c r="L3882" s="6"/>
    </row>
    <row r="3883" spans="1:12" x14ac:dyDescent="0.3">
      <c r="A3883" s="8"/>
      <c r="C3883" s="6"/>
      <c r="E3883" s="6"/>
      <c r="J3883" s="8"/>
      <c r="L3883" s="6"/>
    </row>
    <row r="3884" spans="1:12" x14ac:dyDescent="0.3">
      <c r="A3884" s="8"/>
      <c r="C3884" s="6"/>
      <c r="E3884" s="6"/>
      <c r="J3884" s="8"/>
      <c r="L3884" s="6"/>
    </row>
    <row r="3885" spans="1:12" x14ac:dyDescent="0.3">
      <c r="A3885" s="8"/>
      <c r="C3885" s="6"/>
      <c r="E3885" s="6"/>
      <c r="J3885" s="8"/>
      <c r="L3885" s="6"/>
    </row>
    <row r="3886" spans="1:12" x14ac:dyDescent="0.3">
      <c r="A3886" s="8"/>
      <c r="C3886" s="6"/>
      <c r="E3886" s="6"/>
      <c r="J3886" s="8"/>
      <c r="L3886" s="6"/>
    </row>
    <row r="3887" spans="1:12" x14ac:dyDescent="0.3">
      <c r="A3887" s="8"/>
      <c r="C3887" s="6"/>
      <c r="E3887" s="6"/>
      <c r="J3887" s="8"/>
      <c r="L3887" s="6"/>
    </row>
    <row r="3888" spans="1:12" x14ac:dyDescent="0.3">
      <c r="A3888" s="8"/>
      <c r="C3888" s="6"/>
      <c r="E3888" s="6"/>
      <c r="J3888" s="8"/>
      <c r="L3888" s="6"/>
    </row>
    <row r="3889" spans="1:12" x14ac:dyDescent="0.3">
      <c r="A3889" s="8"/>
      <c r="C3889" s="6"/>
      <c r="E3889" s="6"/>
      <c r="J3889" s="8"/>
      <c r="L3889" s="6"/>
    </row>
    <row r="3890" spans="1:12" x14ac:dyDescent="0.3">
      <c r="A3890" s="8"/>
      <c r="C3890" s="6"/>
      <c r="E3890" s="6"/>
      <c r="J3890" s="8"/>
      <c r="L3890" s="6"/>
    </row>
    <row r="3891" spans="1:12" x14ac:dyDescent="0.3">
      <c r="A3891" s="8"/>
      <c r="C3891" s="6"/>
      <c r="E3891" s="6"/>
      <c r="J3891" s="8"/>
      <c r="L3891" s="6"/>
    </row>
    <row r="3892" spans="1:12" x14ac:dyDescent="0.3">
      <c r="A3892" s="8"/>
      <c r="C3892" s="6"/>
      <c r="E3892" s="6"/>
      <c r="J3892" s="8"/>
      <c r="L3892" s="6"/>
    </row>
    <row r="3893" spans="1:12" x14ac:dyDescent="0.3">
      <c r="A3893" s="8"/>
      <c r="C3893" s="6"/>
      <c r="E3893" s="6"/>
      <c r="J3893" s="8"/>
      <c r="L3893" s="6"/>
    </row>
    <row r="3894" spans="1:12" x14ac:dyDescent="0.3">
      <c r="A3894" s="8"/>
      <c r="C3894" s="6"/>
      <c r="E3894" s="6"/>
      <c r="J3894" s="8"/>
      <c r="L3894" s="6"/>
    </row>
    <row r="3895" spans="1:12" x14ac:dyDescent="0.3">
      <c r="A3895" s="8"/>
      <c r="C3895" s="6"/>
      <c r="E3895" s="6"/>
      <c r="J3895" s="8"/>
      <c r="L3895" s="6"/>
    </row>
    <row r="3896" spans="1:12" x14ac:dyDescent="0.3">
      <c r="A3896" s="8"/>
      <c r="C3896" s="6"/>
      <c r="E3896" s="6"/>
      <c r="J3896" s="8"/>
      <c r="L3896" s="6"/>
    </row>
    <row r="3897" spans="1:12" x14ac:dyDescent="0.3">
      <c r="A3897" s="8"/>
      <c r="C3897" s="6"/>
      <c r="E3897" s="6"/>
      <c r="J3897" s="8"/>
      <c r="L3897" s="6"/>
    </row>
    <row r="3898" spans="1:12" x14ac:dyDescent="0.3">
      <c r="A3898" s="8"/>
      <c r="C3898" s="6"/>
      <c r="E3898" s="6"/>
      <c r="J3898" s="8"/>
      <c r="L3898" s="6"/>
    </row>
    <row r="3899" spans="1:12" x14ac:dyDescent="0.3">
      <c r="A3899" s="8"/>
      <c r="C3899" s="6"/>
      <c r="E3899" s="6"/>
      <c r="J3899" s="8"/>
      <c r="L3899" s="6"/>
    </row>
    <row r="3900" spans="1:12" x14ac:dyDescent="0.3">
      <c r="A3900" s="8"/>
      <c r="C3900" s="6"/>
      <c r="E3900" s="6"/>
      <c r="J3900" s="8"/>
      <c r="L3900" s="6"/>
    </row>
    <row r="3901" spans="1:12" x14ac:dyDescent="0.3">
      <c r="A3901" s="8"/>
      <c r="C3901" s="6"/>
      <c r="E3901" s="6"/>
      <c r="J3901" s="8"/>
      <c r="L3901" s="6"/>
    </row>
    <row r="3902" spans="1:12" x14ac:dyDescent="0.3">
      <c r="A3902" s="8"/>
      <c r="C3902" s="6"/>
      <c r="E3902" s="6"/>
      <c r="J3902" s="8"/>
      <c r="L3902" s="6"/>
    </row>
    <row r="3903" spans="1:12" x14ac:dyDescent="0.3">
      <c r="A3903" s="8"/>
      <c r="C3903" s="6"/>
      <c r="E3903" s="6"/>
      <c r="J3903" s="8"/>
      <c r="L3903" s="6"/>
    </row>
    <row r="3904" spans="1:12" x14ac:dyDescent="0.3">
      <c r="A3904" s="8"/>
      <c r="C3904" s="6"/>
      <c r="E3904" s="6"/>
      <c r="J3904" s="8"/>
      <c r="L3904" s="6"/>
    </row>
    <row r="3905" spans="1:12" x14ac:dyDescent="0.3">
      <c r="A3905" s="8"/>
      <c r="C3905" s="6"/>
      <c r="E3905" s="6"/>
      <c r="J3905" s="8"/>
      <c r="L3905" s="6"/>
    </row>
    <row r="3906" spans="1:12" x14ac:dyDescent="0.3">
      <c r="A3906" s="8"/>
      <c r="C3906" s="6"/>
      <c r="E3906" s="6"/>
      <c r="J3906" s="8"/>
      <c r="L3906" s="6"/>
    </row>
    <row r="3907" spans="1:12" x14ac:dyDescent="0.3">
      <c r="A3907" s="8"/>
      <c r="C3907" s="6"/>
      <c r="E3907" s="6"/>
      <c r="J3907" s="8"/>
      <c r="L3907" s="6"/>
    </row>
    <row r="3908" spans="1:12" x14ac:dyDescent="0.3">
      <c r="A3908" s="8"/>
      <c r="C3908" s="6"/>
      <c r="E3908" s="6"/>
      <c r="J3908" s="8"/>
      <c r="L3908" s="6"/>
    </row>
    <row r="3909" spans="1:12" x14ac:dyDescent="0.3">
      <c r="A3909" s="8"/>
      <c r="C3909" s="6"/>
      <c r="E3909" s="6"/>
      <c r="J3909" s="8"/>
      <c r="L3909" s="6"/>
    </row>
    <row r="3910" spans="1:12" x14ac:dyDescent="0.3">
      <c r="A3910" s="8"/>
      <c r="C3910" s="6"/>
      <c r="E3910" s="6"/>
      <c r="J3910" s="8"/>
      <c r="L3910" s="6"/>
    </row>
    <row r="3911" spans="1:12" x14ac:dyDescent="0.3">
      <c r="A3911" s="8"/>
      <c r="C3911" s="6"/>
      <c r="E3911" s="6"/>
      <c r="J3911" s="8"/>
      <c r="L3911" s="6"/>
    </row>
    <row r="3912" spans="1:12" x14ac:dyDescent="0.3">
      <c r="A3912" s="8"/>
      <c r="C3912" s="6"/>
      <c r="E3912" s="6"/>
      <c r="J3912" s="8"/>
      <c r="L3912" s="6"/>
    </row>
    <row r="3913" spans="1:12" x14ac:dyDescent="0.3">
      <c r="A3913" s="8"/>
      <c r="C3913" s="6"/>
      <c r="E3913" s="6"/>
      <c r="J3913" s="8"/>
      <c r="L3913" s="6"/>
    </row>
    <row r="3914" spans="1:12" x14ac:dyDescent="0.3">
      <c r="A3914" s="8"/>
      <c r="C3914" s="6"/>
      <c r="E3914" s="6"/>
      <c r="J3914" s="8"/>
      <c r="L3914" s="6"/>
    </row>
    <row r="3915" spans="1:12" x14ac:dyDescent="0.3">
      <c r="A3915" s="8"/>
      <c r="C3915" s="6"/>
      <c r="E3915" s="6"/>
      <c r="J3915" s="8"/>
      <c r="L3915" s="6"/>
    </row>
    <row r="3916" spans="1:12" x14ac:dyDescent="0.3">
      <c r="A3916" s="8"/>
      <c r="C3916" s="6"/>
      <c r="E3916" s="6"/>
      <c r="J3916" s="8"/>
      <c r="L3916" s="6"/>
    </row>
    <row r="3917" spans="1:12" x14ac:dyDescent="0.3">
      <c r="A3917" s="8"/>
      <c r="C3917" s="6"/>
      <c r="E3917" s="6"/>
      <c r="J3917" s="8"/>
      <c r="L3917" s="6"/>
    </row>
    <row r="3918" spans="1:12" x14ac:dyDescent="0.3">
      <c r="A3918" s="8"/>
      <c r="C3918" s="6"/>
      <c r="E3918" s="6"/>
      <c r="J3918" s="8"/>
      <c r="L3918" s="6"/>
    </row>
    <row r="3919" spans="1:12" x14ac:dyDescent="0.3">
      <c r="A3919" s="8"/>
      <c r="C3919" s="6"/>
      <c r="E3919" s="6"/>
      <c r="J3919" s="8"/>
      <c r="L3919" s="6"/>
    </row>
    <row r="3920" spans="1:12" x14ac:dyDescent="0.3">
      <c r="A3920" s="8"/>
      <c r="C3920" s="6"/>
      <c r="E3920" s="6"/>
      <c r="J3920" s="8"/>
      <c r="L3920" s="6"/>
    </row>
    <row r="3921" spans="1:12" x14ac:dyDescent="0.3">
      <c r="A3921" s="8"/>
      <c r="C3921" s="6"/>
      <c r="E3921" s="6"/>
      <c r="J3921" s="8"/>
      <c r="L3921" s="6"/>
    </row>
    <row r="3922" spans="1:12" x14ac:dyDescent="0.3">
      <c r="A3922" s="8"/>
      <c r="C3922" s="6"/>
      <c r="E3922" s="6"/>
      <c r="J3922" s="8"/>
      <c r="L3922" s="6"/>
    </row>
    <row r="3923" spans="1:12" x14ac:dyDescent="0.3">
      <c r="A3923" s="8"/>
      <c r="C3923" s="6"/>
      <c r="E3923" s="6"/>
      <c r="J3923" s="8"/>
      <c r="L3923" s="6"/>
    </row>
    <row r="3924" spans="1:12" x14ac:dyDescent="0.3">
      <c r="A3924" s="8"/>
      <c r="C3924" s="6"/>
      <c r="E3924" s="6"/>
      <c r="J3924" s="8"/>
      <c r="L3924" s="6"/>
    </row>
    <row r="3925" spans="1:12" x14ac:dyDescent="0.3">
      <c r="A3925" s="8"/>
      <c r="C3925" s="6"/>
      <c r="E3925" s="6"/>
      <c r="J3925" s="8"/>
      <c r="L3925" s="6"/>
    </row>
    <row r="3926" spans="1:12" x14ac:dyDescent="0.3">
      <c r="A3926" s="8"/>
      <c r="C3926" s="6"/>
      <c r="E3926" s="6"/>
      <c r="J3926" s="8"/>
      <c r="L3926" s="6"/>
    </row>
    <row r="3927" spans="1:12" x14ac:dyDescent="0.3">
      <c r="A3927" s="8"/>
      <c r="C3927" s="6"/>
      <c r="E3927" s="6"/>
      <c r="J3927" s="8"/>
      <c r="L3927" s="6"/>
    </row>
    <row r="3928" spans="1:12" x14ac:dyDescent="0.3">
      <c r="A3928" s="8"/>
      <c r="C3928" s="6"/>
      <c r="E3928" s="6"/>
      <c r="J3928" s="8"/>
      <c r="L3928" s="6"/>
    </row>
    <row r="3929" spans="1:12" x14ac:dyDescent="0.3">
      <c r="A3929" s="8"/>
      <c r="C3929" s="6"/>
      <c r="E3929" s="6"/>
      <c r="J3929" s="8"/>
      <c r="L3929" s="6"/>
    </row>
    <row r="3930" spans="1:12" x14ac:dyDescent="0.3">
      <c r="A3930" s="8"/>
      <c r="C3930" s="6"/>
      <c r="E3930" s="6"/>
      <c r="J3930" s="8"/>
      <c r="L3930" s="6"/>
    </row>
    <row r="3931" spans="1:12" x14ac:dyDescent="0.3">
      <c r="A3931" s="8"/>
      <c r="C3931" s="6"/>
      <c r="E3931" s="6"/>
      <c r="J3931" s="8"/>
      <c r="L3931" s="6"/>
    </row>
    <row r="3932" spans="1:12" x14ac:dyDescent="0.3">
      <c r="A3932" s="8"/>
      <c r="C3932" s="6"/>
      <c r="E3932" s="6"/>
      <c r="J3932" s="8"/>
      <c r="L3932" s="6"/>
    </row>
    <row r="3933" spans="1:12" x14ac:dyDescent="0.3">
      <c r="A3933" s="8"/>
      <c r="C3933" s="6"/>
      <c r="E3933" s="6"/>
      <c r="J3933" s="8"/>
      <c r="L3933" s="6"/>
    </row>
    <row r="3934" spans="1:12" x14ac:dyDescent="0.3">
      <c r="A3934" s="8"/>
      <c r="C3934" s="6"/>
      <c r="E3934" s="6"/>
      <c r="J3934" s="8"/>
      <c r="L3934" s="6"/>
    </row>
    <row r="3935" spans="1:12" x14ac:dyDescent="0.3">
      <c r="A3935" s="8"/>
      <c r="C3935" s="6"/>
      <c r="E3935" s="6"/>
      <c r="J3935" s="8"/>
      <c r="L3935" s="6"/>
    </row>
    <row r="3936" spans="1:12" x14ac:dyDescent="0.3">
      <c r="A3936" s="8"/>
      <c r="C3936" s="6"/>
      <c r="E3936" s="6"/>
      <c r="J3936" s="8"/>
      <c r="L3936" s="6"/>
    </row>
    <row r="3937" spans="1:12" x14ac:dyDescent="0.3">
      <c r="A3937" s="8"/>
      <c r="C3937" s="6"/>
      <c r="E3937" s="6"/>
      <c r="J3937" s="8"/>
      <c r="L3937" s="6"/>
    </row>
    <row r="3938" spans="1:12" x14ac:dyDescent="0.3">
      <c r="A3938" s="8"/>
      <c r="C3938" s="6"/>
      <c r="E3938" s="6"/>
      <c r="J3938" s="8"/>
      <c r="L3938" s="6"/>
    </row>
    <row r="3939" spans="1:12" x14ac:dyDescent="0.3">
      <c r="A3939" s="8"/>
      <c r="C3939" s="6"/>
      <c r="E3939" s="6"/>
      <c r="J3939" s="8"/>
      <c r="L3939" s="6"/>
    </row>
    <row r="3940" spans="1:12" x14ac:dyDescent="0.3">
      <c r="A3940" s="8"/>
      <c r="C3940" s="6"/>
      <c r="E3940" s="6"/>
      <c r="J3940" s="8"/>
      <c r="L3940" s="6"/>
    </row>
    <row r="3941" spans="1:12" x14ac:dyDescent="0.3">
      <c r="A3941" s="8"/>
      <c r="C3941" s="6"/>
      <c r="E3941" s="6"/>
      <c r="J3941" s="8"/>
      <c r="L3941" s="6"/>
    </row>
    <row r="3942" spans="1:12" x14ac:dyDescent="0.3">
      <c r="A3942" s="8"/>
      <c r="C3942" s="6"/>
      <c r="E3942" s="6"/>
      <c r="J3942" s="8"/>
      <c r="L3942" s="6"/>
    </row>
    <row r="3943" spans="1:12" x14ac:dyDescent="0.3">
      <c r="A3943" s="8"/>
      <c r="C3943" s="6"/>
      <c r="E3943" s="6"/>
      <c r="J3943" s="8"/>
      <c r="L3943" s="6"/>
    </row>
    <row r="3944" spans="1:12" x14ac:dyDescent="0.3">
      <c r="A3944" s="8"/>
      <c r="C3944" s="6"/>
      <c r="E3944" s="6"/>
      <c r="J3944" s="8"/>
      <c r="L3944" s="6"/>
    </row>
    <row r="3945" spans="1:12" x14ac:dyDescent="0.3">
      <c r="A3945" s="8"/>
      <c r="C3945" s="6"/>
      <c r="E3945" s="6"/>
      <c r="J3945" s="8"/>
      <c r="L3945" s="6"/>
    </row>
    <row r="3946" spans="1:12" x14ac:dyDescent="0.3">
      <c r="A3946" s="8"/>
      <c r="C3946" s="6"/>
      <c r="E3946" s="6"/>
      <c r="J3946" s="8"/>
      <c r="L3946" s="6"/>
    </row>
    <row r="3947" spans="1:12" x14ac:dyDescent="0.3">
      <c r="A3947" s="8"/>
      <c r="C3947" s="6"/>
      <c r="E3947" s="6"/>
      <c r="J3947" s="8"/>
      <c r="L3947" s="6"/>
    </row>
    <row r="3948" spans="1:12" x14ac:dyDescent="0.3">
      <c r="A3948" s="8"/>
      <c r="C3948" s="6"/>
      <c r="E3948" s="6"/>
      <c r="J3948" s="8"/>
      <c r="L3948" s="6"/>
    </row>
    <row r="3949" spans="1:12" x14ac:dyDescent="0.3">
      <c r="A3949" s="8"/>
      <c r="C3949" s="6"/>
      <c r="E3949" s="6"/>
      <c r="J3949" s="8"/>
      <c r="L3949" s="6"/>
    </row>
    <row r="3950" spans="1:12" x14ac:dyDescent="0.3">
      <c r="A3950" s="8"/>
      <c r="C3950" s="6"/>
      <c r="E3950" s="6"/>
      <c r="J3950" s="8"/>
      <c r="L3950" s="6"/>
    </row>
    <row r="3951" spans="1:12" x14ac:dyDescent="0.3">
      <c r="A3951" s="8"/>
      <c r="C3951" s="6"/>
      <c r="E3951" s="6"/>
      <c r="J3951" s="8"/>
      <c r="L3951" s="6"/>
    </row>
    <row r="3952" spans="1:12" x14ac:dyDescent="0.3">
      <c r="A3952" s="8"/>
      <c r="C3952" s="6"/>
      <c r="E3952" s="6"/>
      <c r="J3952" s="8"/>
      <c r="L3952" s="6"/>
    </row>
    <row r="3953" spans="1:12" x14ac:dyDescent="0.3">
      <c r="A3953" s="8"/>
      <c r="C3953" s="6"/>
      <c r="E3953" s="6"/>
      <c r="J3953" s="8"/>
      <c r="L3953" s="6"/>
    </row>
    <row r="3954" spans="1:12" x14ac:dyDescent="0.3">
      <c r="A3954" s="8"/>
      <c r="C3954" s="6"/>
      <c r="E3954" s="6"/>
      <c r="J3954" s="8"/>
      <c r="L3954" s="6"/>
    </row>
    <row r="3955" spans="1:12" x14ac:dyDescent="0.3">
      <c r="A3955" s="8"/>
      <c r="C3955" s="6"/>
      <c r="E3955" s="6"/>
      <c r="J3955" s="8"/>
      <c r="L3955" s="6"/>
    </row>
    <row r="3956" spans="1:12" x14ac:dyDescent="0.3">
      <c r="A3956" s="8"/>
      <c r="C3956" s="6"/>
      <c r="E3956" s="6"/>
      <c r="J3956" s="8"/>
      <c r="L3956" s="6"/>
    </row>
    <row r="3957" spans="1:12" x14ac:dyDescent="0.3">
      <c r="A3957" s="8"/>
      <c r="C3957" s="6"/>
      <c r="E3957" s="6"/>
      <c r="J3957" s="8"/>
      <c r="L3957" s="6"/>
    </row>
    <row r="3958" spans="1:12" x14ac:dyDescent="0.3">
      <c r="A3958" s="8"/>
      <c r="C3958" s="6"/>
      <c r="E3958" s="6"/>
      <c r="J3958" s="8"/>
      <c r="L3958" s="6"/>
    </row>
    <row r="3959" spans="1:12" x14ac:dyDescent="0.3">
      <c r="A3959" s="8"/>
      <c r="C3959" s="6"/>
      <c r="E3959" s="6"/>
      <c r="J3959" s="8"/>
      <c r="L3959" s="6"/>
    </row>
    <row r="3960" spans="1:12" x14ac:dyDescent="0.3">
      <c r="A3960" s="8"/>
      <c r="C3960" s="6"/>
      <c r="E3960" s="6"/>
      <c r="J3960" s="8"/>
      <c r="L3960" s="6"/>
    </row>
    <row r="3961" spans="1:12" x14ac:dyDescent="0.3">
      <c r="A3961" s="8"/>
      <c r="C3961" s="6"/>
      <c r="E3961" s="6"/>
      <c r="J3961" s="8"/>
      <c r="L3961" s="6"/>
    </row>
    <row r="3962" spans="1:12" x14ac:dyDescent="0.3">
      <c r="A3962" s="8"/>
      <c r="C3962" s="6"/>
      <c r="E3962" s="6"/>
      <c r="J3962" s="8"/>
      <c r="L3962" s="6"/>
    </row>
    <row r="3963" spans="1:12" x14ac:dyDescent="0.3">
      <c r="A3963" s="8"/>
      <c r="C3963" s="6"/>
      <c r="E3963" s="6"/>
      <c r="J3963" s="8"/>
      <c r="L3963" s="6"/>
    </row>
    <row r="3964" spans="1:12" x14ac:dyDescent="0.3">
      <c r="A3964" s="8"/>
      <c r="C3964" s="6"/>
      <c r="E3964" s="6"/>
      <c r="J3964" s="8"/>
      <c r="L3964" s="6"/>
    </row>
    <row r="3965" spans="1:12" x14ac:dyDescent="0.3">
      <c r="A3965" s="8"/>
      <c r="C3965" s="6"/>
      <c r="E3965" s="6"/>
      <c r="J3965" s="8"/>
      <c r="L3965" s="6"/>
    </row>
    <row r="3966" spans="1:12" x14ac:dyDescent="0.3">
      <c r="A3966" s="8"/>
      <c r="C3966" s="6"/>
      <c r="E3966" s="6"/>
      <c r="J3966" s="8"/>
      <c r="L3966" s="6"/>
    </row>
    <row r="3967" spans="1:12" x14ac:dyDescent="0.3">
      <c r="A3967" s="8"/>
      <c r="C3967" s="6"/>
      <c r="E3967" s="6"/>
      <c r="J3967" s="8"/>
      <c r="L3967" s="6"/>
    </row>
    <row r="3968" spans="1:12" x14ac:dyDescent="0.3">
      <c r="A3968" s="8"/>
      <c r="C3968" s="6"/>
      <c r="E3968" s="6"/>
      <c r="J3968" s="8"/>
      <c r="L3968" s="6"/>
    </row>
    <row r="3969" spans="1:12" x14ac:dyDescent="0.3">
      <c r="A3969" s="8"/>
      <c r="C3969" s="6"/>
      <c r="E3969" s="6"/>
      <c r="J3969" s="8"/>
      <c r="L3969" s="6"/>
    </row>
    <row r="3970" spans="1:12" x14ac:dyDescent="0.3">
      <c r="A3970" s="8"/>
      <c r="C3970" s="6"/>
      <c r="E3970" s="6"/>
      <c r="J3970" s="8"/>
      <c r="L3970" s="6"/>
    </row>
    <row r="3971" spans="1:12" x14ac:dyDescent="0.3">
      <c r="A3971" s="8"/>
      <c r="C3971" s="6"/>
      <c r="E3971" s="6"/>
      <c r="J3971" s="8"/>
      <c r="L3971" s="6"/>
    </row>
    <row r="3972" spans="1:12" x14ac:dyDescent="0.3">
      <c r="A3972" s="8"/>
      <c r="C3972" s="6"/>
      <c r="E3972" s="6"/>
      <c r="J3972" s="8"/>
      <c r="L3972" s="6"/>
    </row>
    <row r="3973" spans="1:12" x14ac:dyDescent="0.3">
      <c r="A3973" s="8"/>
      <c r="C3973" s="6"/>
      <c r="E3973" s="6"/>
      <c r="J3973" s="8"/>
      <c r="L3973" s="6"/>
    </row>
    <row r="3974" spans="1:12" x14ac:dyDescent="0.3">
      <c r="A3974" s="8"/>
      <c r="C3974" s="6"/>
      <c r="E3974" s="6"/>
      <c r="J3974" s="8"/>
      <c r="L3974" s="6"/>
    </row>
    <row r="3975" spans="1:12" x14ac:dyDescent="0.3">
      <c r="A3975" s="8"/>
      <c r="C3975" s="6"/>
      <c r="E3975" s="6"/>
      <c r="J3975" s="8"/>
      <c r="L3975" s="6"/>
    </row>
    <row r="3976" spans="1:12" x14ac:dyDescent="0.3">
      <c r="A3976" s="8"/>
      <c r="C3976" s="6"/>
      <c r="E3976" s="6"/>
      <c r="J3976" s="8"/>
      <c r="L3976" s="6"/>
    </row>
    <row r="3977" spans="1:12" x14ac:dyDescent="0.3">
      <c r="A3977" s="8"/>
      <c r="C3977" s="6"/>
      <c r="E3977" s="6"/>
      <c r="J3977" s="8"/>
      <c r="L3977" s="6"/>
    </row>
    <row r="3978" spans="1:12" x14ac:dyDescent="0.3">
      <c r="A3978" s="8"/>
      <c r="C3978" s="6"/>
      <c r="E3978" s="6"/>
      <c r="J3978" s="8"/>
      <c r="L3978" s="6"/>
    </row>
    <row r="3979" spans="1:12" x14ac:dyDescent="0.3">
      <c r="A3979" s="8"/>
      <c r="C3979" s="6"/>
      <c r="E3979" s="6"/>
      <c r="J3979" s="8"/>
      <c r="L3979" s="6"/>
    </row>
    <row r="3980" spans="1:12" x14ac:dyDescent="0.3">
      <c r="A3980" s="8"/>
      <c r="C3980" s="6"/>
      <c r="E3980" s="6"/>
      <c r="J3980" s="8"/>
      <c r="L3980" s="6"/>
    </row>
    <row r="3981" spans="1:12" x14ac:dyDescent="0.3">
      <c r="A3981" s="8"/>
      <c r="C3981" s="6"/>
      <c r="E3981" s="6"/>
      <c r="J3981" s="8"/>
      <c r="L3981" s="6"/>
    </row>
    <row r="3982" spans="1:12" x14ac:dyDescent="0.3">
      <c r="A3982" s="8"/>
      <c r="C3982" s="6"/>
      <c r="E3982" s="6"/>
      <c r="J3982" s="8"/>
      <c r="L3982" s="6"/>
    </row>
    <row r="3983" spans="1:12" x14ac:dyDescent="0.3">
      <c r="A3983" s="8"/>
      <c r="C3983" s="6"/>
      <c r="E3983" s="6"/>
      <c r="J3983" s="8"/>
      <c r="L3983" s="6"/>
    </row>
    <row r="3984" spans="1:12" x14ac:dyDescent="0.3">
      <c r="A3984" s="8"/>
      <c r="C3984" s="6"/>
      <c r="E3984" s="6"/>
      <c r="J3984" s="8"/>
      <c r="L3984" s="6"/>
    </row>
    <row r="3985" spans="1:12" x14ac:dyDescent="0.3">
      <c r="A3985" s="8"/>
      <c r="C3985" s="6"/>
      <c r="E3985" s="6"/>
      <c r="J3985" s="8"/>
      <c r="L3985" s="6"/>
    </row>
    <row r="3986" spans="1:12" x14ac:dyDescent="0.3">
      <c r="A3986" s="8"/>
      <c r="C3986" s="6"/>
      <c r="E3986" s="6"/>
      <c r="J3986" s="8"/>
      <c r="L3986" s="6"/>
    </row>
    <row r="3987" spans="1:12" x14ac:dyDescent="0.3">
      <c r="A3987" s="8"/>
      <c r="C3987" s="6"/>
      <c r="E3987" s="6"/>
      <c r="J3987" s="8"/>
      <c r="L3987" s="6"/>
    </row>
    <row r="3988" spans="1:12" x14ac:dyDescent="0.3">
      <c r="A3988" s="8"/>
      <c r="C3988" s="6"/>
      <c r="E3988" s="6"/>
      <c r="J3988" s="8"/>
      <c r="L3988" s="6"/>
    </row>
    <row r="3989" spans="1:12" x14ac:dyDescent="0.3">
      <c r="A3989" s="8"/>
      <c r="C3989" s="6"/>
      <c r="E3989" s="6"/>
      <c r="J3989" s="8"/>
      <c r="L3989" s="6"/>
    </row>
    <row r="3990" spans="1:12" x14ac:dyDescent="0.3">
      <c r="A3990" s="8"/>
      <c r="C3990" s="6"/>
      <c r="E3990" s="6"/>
      <c r="J3990" s="8"/>
      <c r="L3990" s="6"/>
    </row>
    <row r="3991" spans="1:12" x14ac:dyDescent="0.3">
      <c r="A3991" s="8"/>
      <c r="C3991" s="6"/>
      <c r="E3991" s="6"/>
      <c r="J3991" s="8"/>
      <c r="L3991" s="6"/>
    </row>
    <row r="3992" spans="1:12" x14ac:dyDescent="0.3">
      <c r="A3992" s="8"/>
      <c r="C3992" s="6"/>
      <c r="E3992" s="6"/>
      <c r="J3992" s="8"/>
      <c r="L3992" s="6"/>
    </row>
    <row r="3993" spans="1:12" x14ac:dyDescent="0.3">
      <c r="A3993" s="8"/>
      <c r="C3993" s="6"/>
      <c r="E3993" s="6"/>
      <c r="J3993" s="8"/>
      <c r="L3993" s="6"/>
    </row>
    <row r="3994" spans="1:12" x14ac:dyDescent="0.3">
      <c r="A3994" s="8"/>
      <c r="C3994" s="6"/>
      <c r="E3994" s="6"/>
      <c r="J3994" s="8"/>
      <c r="L3994" s="6"/>
    </row>
    <row r="3995" spans="1:12" x14ac:dyDescent="0.3">
      <c r="A3995" s="8"/>
      <c r="C3995" s="6"/>
      <c r="E3995" s="6"/>
      <c r="J3995" s="8"/>
      <c r="L3995" s="6"/>
    </row>
    <row r="3996" spans="1:12" x14ac:dyDescent="0.3">
      <c r="A3996" s="8"/>
      <c r="C3996" s="6"/>
      <c r="E3996" s="6"/>
      <c r="J3996" s="8"/>
      <c r="L3996" s="6"/>
    </row>
    <row r="3997" spans="1:12" x14ac:dyDescent="0.3">
      <c r="A3997" s="8"/>
      <c r="C3997" s="6"/>
      <c r="E3997" s="6"/>
      <c r="J3997" s="8"/>
      <c r="L3997" s="6"/>
    </row>
    <row r="3998" spans="1:12" x14ac:dyDescent="0.3">
      <c r="A3998" s="8"/>
      <c r="C3998" s="6"/>
      <c r="E3998" s="6"/>
      <c r="J3998" s="8"/>
      <c r="L3998" s="6"/>
    </row>
    <row r="3999" spans="1:12" x14ac:dyDescent="0.3">
      <c r="A3999" s="8"/>
      <c r="C3999" s="6"/>
      <c r="E3999" s="6"/>
      <c r="J3999" s="8"/>
      <c r="L3999" s="6"/>
    </row>
    <row r="4000" spans="1:12" x14ac:dyDescent="0.3">
      <c r="A4000" s="8"/>
      <c r="C4000" s="6"/>
      <c r="E4000" s="6"/>
      <c r="J4000" s="8"/>
      <c r="L4000" s="6"/>
    </row>
    <row r="4001" spans="1:12" x14ac:dyDescent="0.3">
      <c r="A4001" s="8"/>
      <c r="C4001" s="6"/>
      <c r="E4001" s="6"/>
      <c r="J4001" s="8"/>
      <c r="L4001" s="6"/>
    </row>
    <row r="4002" spans="1:12" x14ac:dyDescent="0.3">
      <c r="A4002" s="8"/>
      <c r="C4002" s="6"/>
      <c r="E4002" s="6"/>
      <c r="J4002" s="8"/>
      <c r="L4002" s="6"/>
    </row>
    <row r="4003" spans="1:12" x14ac:dyDescent="0.3">
      <c r="A4003" s="8"/>
      <c r="C4003" s="6"/>
      <c r="E4003" s="6"/>
      <c r="J4003" s="8"/>
      <c r="L4003" s="6"/>
    </row>
    <row r="4004" spans="1:12" x14ac:dyDescent="0.3">
      <c r="A4004" s="8"/>
      <c r="C4004" s="6"/>
      <c r="E4004" s="6"/>
      <c r="J4004" s="8"/>
      <c r="L4004" s="6"/>
    </row>
    <row r="4005" spans="1:12" x14ac:dyDescent="0.3">
      <c r="A4005" s="8"/>
      <c r="C4005" s="6"/>
      <c r="E4005" s="6"/>
      <c r="J4005" s="8"/>
      <c r="L4005" s="6"/>
    </row>
    <row r="4006" spans="1:12" x14ac:dyDescent="0.3">
      <c r="A4006" s="8"/>
      <c r="C4006" s="6"/>
      <c r="E4006" s="6"/>
      <c r="J4006" s="8"/>
      <c r="L4006" s="6"/>
    </row>
    <row r="4007" spans="1:12" x14ac:dyDescent="0.3">
      <c r="A4007" s="8"/>
      <c r="C4007" s="6"/>
      <c r="E4007" s="6"/>
      <c r="J4007" s="8"/>
      <c r="L4007" s="6"/>
    </row>
    <row r="4008" spans="1:12" x14ac:dyDescent="0.3">
      <c r="A4008" s="8"/>
      <c r="C4008" s="6"/>
      <c r="E4008" s="6"/>
      <c r="J4008" s="8"/>
      <c r="L4008" s="6"/>
    </row>
    <row r="4009" spans="1:12" x14ac:dyDescent="0.3">
      <c r="A4009" s="8"/>
      <c r="C4009" s="6"/>
      <c r="E4009" s="6"/>
      <c r="J4009" s="8"/>
      <c r="L4009" s="6"/>
    </row>
    <row r="4010" spans="1:12" x14ac:dyDescent="0.3">
      <c r="A4010" s="8"/>
      <c r="C4010" s="6"/>
      <c r="E4010" s="6"/>
      <c r="J4010" s="8"/>
      <c r="L4010" s="6"/>
    </row>
    <row r="4011" spans="1:12" x14ac:dyDescent="0.3">
      <c r="A4011" s="8"/>
      <c r="C4011" s="6"/>
      <c r="E4011" s="6"/>
      <c r="J4011" s="8"/>
      <c r="L4011" s="6"/>
    </row>
    <row r="4012" spans="1:12" x14ac:dyDescent="0.3">
      <c r="A4012" s="8"/>
      <c r="C4012" s="6"/>
      <c r="E4012" s="6"/>
      <c r="J4012" s="8"/>
      <c r="L4012" s="6"/>
    </row>
    <row r="4013" spans="1:12" x14ac:dyDescent="0.3">
      <c r="A4013" s="8"/>
      <c r="C4013" s="6"/>
      <c r="E4013" s="6"/>
      <c r="J4013" s="8"/>
      <c r="L4013" s="6"/>
    </row>
    <row r="4014" spans="1:12" x14ac:dyDescent="0.3">
      <c r="A4014" s="8"/>
      <c r="C4014" s="6"/>
      <c r="E4014" s="6"/>
      <c r="J4014" s="8"/>
      <c r="L4014" s="6"/>
    </row>
    <row r="4015" spans="1:12" x14ac:dyDescent="0.3">
      <c r="A4015" s="8"/>
      <c r="C4015" s="6"/>
      <c r="E4015" s="6"/>
      <c r="J4015" s="8"/>
      <c r="L4015" s="6"/>
    </row>
    <row r="4016" spans="1:12" x14ac:dyDescent="0.3">
      <c r="A4016" s="8"/>
      <c r="C4016" s="6"/>
      <c r="E4016" s="6"/>
      <c r="J4016" s="8"/>
      <c r="L4016" s="6"/>
    </row>
    <row r="4017" spans="1:12" x14ac:dyDescent="0.3">
      <c r="A4017" s="8"/>
      <c r="C4017" s="6"/>
      <c r="E4017" s="6"/>
      <c r="J4017" s="8"/>
      <c r="L4017" s="6"/>
    </row>
    <row r="4018" spans="1:12" x14ac:dyDescent="0.3">
      <c r="A4018" s="8"/>
      <c r="C4018" s="6"/>
      <c r="E4018" s="6"/>
      <c r="J4018" s="8"/>
      <c r="L4018" s="6"/>
    </row>
    <row r="4019" spans="1:12" x14ac:dyDescent="0.3">
      <c r="A4019" s="8"/>
      <c r="C4019" s="6"/>
      <c r="E4019" s="6"/>
      <c r="J4019" s="8"/>
      <c r="L4019" s="6"/>
    </row>
    <row r="4020" spans="1:12" x14ac:dyDescent="0.3">
      <c r="A4020" s="8"/>
      <c r="C4020" s="6"/>
      <c r="E4020" s="6"/>
      <c r="J4020" s="8"/>
      <c r="L4020" s="6"/>
    </row>
    <row r="4021" spans="1:12" x14ac:dyDescent="0.3">
      <c r="A4021" s="8"/>
      <c r="C4021" s="6"/>
      <c r="E4021" s="6"/>
      <c r="J4021" s="8"/>
      <c r="L4021" s="6"/>
    </row>
    <row r="4022" spans="1:12" x14ac:dyDescent="0.3">
      <c r="A4022" s="8"/>
      <c r="C4022" s="6"/>
      <c r="E4022" s="6"/>
      <c r="J4022" s="8"/>
      <c r="L4022" s="6"/>
    </row>
    <row r="4023" spans="1:12" x14ac:dyDescent="0.3">
      <c r="A4023" s="8"/>
      <c r="C4023" s="6"/>
      <c r="E4023" s="6"/>
      <c r="J4023" s="8"/>
      <c r="L4023" s="6"/>
    </row>
    <row r="4024" spans="1:12" x14ac:dyDescent="0.3">
      <c r="A4024" s="8"/>
      <c r="C4024" s="6"/>
      <c r="E4024" s="6"/>
      <c r="J4024" s="8"/>
      <c r="L4024" s="6"/>
    </row>
    <row r="4025" spans="1:12" x14ac:dyDescent="0.3">
      <c r="A4025" s="8"/>
      <c r="C4025" s="6"/>
      <c r="E4025" s="6"/>
      <c r="J4025" s="8"/>
      <c r="L4025" s="6"/>
    </row>
    <row r="4026" spans="1:12" x14ac:dyDescent="0.3">
      <c r="A4026" s="8"/>
      <c r="C4026" s="6"/>
      <c r="E4026" s="6"/>
      <c r="J4026" s="8"/>
      <c r="L4026" s="6"/>
    </row>
    <row r="4027" spans="1:12" x14ac:dyDescent="0.3">
      <c r="A4027" s="8"/>
      <c r="C4027" s="6"/>
      <c r="E4027" s="6"/>
      <c r="J4027" s="8"/>
      <c r="L4027" s="6"/>
    </row>
    <row r="4028" spans="1:12" x14ac:dyDescent="0.3">
      <c r="A4028" s="8"/>
      <c r="C4028" s="6"/>
      <c r="E4028" s="6"/>
      <c r="J4028" s="8"/>
      <c r="L4028" s="6"/>
    </row>
    <row r="4029" spans="1:12" x14ac:dyDescent="0.3">
      <c r="A4029" s="8"/>
      <c r="C4029" s="6"/>
      <c r="E4029" s="6"/>
      <c r="J4029" s="8"/>
      <c r="L4029" s="6"/>
    </row>
    <row r="4030" spans="1:12" x14ac:dyDescent="0.3">
      <c r="A4030" s="8"/>
      <c r="C4030" s="6"/>
      <c r="E4030" s="6"/>
      <c r="J4030" s="8"/>
      <c r="L4030" s="6"/>
    </row>
    <row r="4031" spans="1:12" x14ac:dyDescent="0.3">
      <c r="A4031" s="8"/>
      <c r="C4031" s="6"/>
      <c r="E4031" s="6"/>
      <c r="J4031" s="8"/>
      <c r="L4031" s="6"/>
    </row>
    <row r="4032" spans="1:12" x14ac:dyDescent="0.3">
      <c r="A4032" s="8"/>
      <c r="C4032" s="6"/>
      <c r="E4032" s="6"/>
      <c r="J4032" s="8"/>
      <c r="L4032" s="6"/>
    </row>
    <row r="4033" spans="1:12" x14ac:dyDescent="0.3">
      <c r="A4033" s="8"/>
      <c r="C4033" s="6"/>
      <c r="E4033" s="6"/>
      <c r="J4033" s="8"/>
      <c r="L4033" s="6"/>
    </row>
    <row r="4034" spans="1:12" x14ac:dyDescent="0.3">
      <c r="A4034" s="8"/>
      <c r="C4034" s="6"/>
      <c r="E4034" s="6"/>
      <c r="J4034" s="8"/>
      <c r="L4034" s="6"/>
    </row>
    <row r="4035" spans="1:12" x14ac:dyDescent="0.3">
      <c r="A4035" s="8"/>
      <c r="C4035" s="6"/>
      <c r="E4035" s="6"/>
      <c r="J4035" s="8"/>
      <c r="L4035" s="6"/>
    </row>
    <row r="4036" spans="1:12" x14ac:dyDescent="0.3">
      <c r="A4036" s="8"/>
      <c r="C4036" s="6"/>
      <c r="E4036" s="6"/>
      <c r="J4036" s="8"/>
      <c r="L4036" s="6"/>
    </row>
    <row r="4037" spans="1:12" x14ac:dyDescent="0.3">
      <c r="A4037" s="8"/>
      <c r="C4037" s="6"/>
      <c r="E4037" s="6"/>
      <c r="J4037" s="8"/>
      <c r="L4037" s="6"/>
    </row>
    <row r="4038" spans="1:12" x14ac:dyDescent="0.3">
      <c r="A4038" s="8"/>
      <c r="C4038" s="6"/>
      <c r="E4038" s="6"/>
      <c r="J4038" s="8"/>
      <c r="L4038" s="6"/>
    </row>
    <row r="4039" spans="1:12" x14ac:dyDescent="0.3">
      <c r="A4039" s="8"/>
      <c r="C4039" s="6"/>
      <c r="E4039" s="6"/>
      <c r="J4039" s="8"/>
      <c r="L4039" s="6"/>
    </row>
    <row r="4040" spans="1:12" x14ac:dyDescent="0.3">
      <c r="A4040" s="8"/>
      <c r="C4040" s="6"/>
      <c r="E4040" s="6"/>
      <c r="J4040" s="8"/>
      <c r="L4040" s="6"/>
    </row>
    <row r="4041" spans="1:12" x14ac:dyDescent="0.3">
      <c r="A4041" s="8"/>
      <c r="C4041" s="6"/>
      <c r="E4041" s="6"/>
      <c r="J4041" s="8"/>
      <c r="L4041" s="6"/>
    </row>
    <row r="4042" spans="1:12" x14ac:dyDescent="0.3">
      <c r="A4042" s="8"/>
      <c r="C4042" s="6"/>
      <c r="E4042" s="6"/>
      <c r="J4042" s="8"/>
      <c r="L4042" s="6"/>
    </row>
    <row r="4043" spans="1:12" x14ac:dyDescent="0.3">
      <c r="A4043" s="8"/>
      <c r="C4043" s="6"/>
      <c r="E4043" s="6"/>
      <c r="J4043" s="8"/>
      <c r="L4043" s="6"/>
    </row>
    <row r="4044" spans="1:12" x14ac:dyDescent="0.3">
      <c r="A4044" s="8"/>
      <c r="C4044" s="6"/>
      <c r="E4044" s="6"/>
      <c r="J4044" s="8"/>
      <c r="L4044" s="6"/>
    </row>
    <row r="4045" spans="1:12" x14ac:dyDescent="0.3">
      <c r="A4045" s="8"/>
      <c r="C4045" s="6"/>
      <c r="E4045" s="6"/>
      <c r="J4045" s="8"/>
      <c r="L4045" s="6"/>
    </row>
    <row r="4046" spans="1:12" x14ac:dyDescent="0.3">
      <c r="A4046" s="8"/>
      <c r="C4046" s="6"/>
      <c r="E4046" s="6"/>
      <c r="J4046" s="8"/>
      <c r="L4046" s="6"/>
    </row>
    <row r="4047" spans="1:12" x14ac:dyDescent="0.3">
      <c r="A4047" s="8"/>
      <c r="C4047" s="6"/>
      <c r="E4047" s="6"/>
      <c r="J4047" s="8"/>
      <c r="L4047" s="6"/>
    </row>
    <row r="4048" spans="1:12" x14ac:dyDescent="0.3">
      <c r="A4048" s="8"/>
      <c r="C4048" s="6"/>
      <c r="E4048" s="6"/>
      <c r="J4048" s="8"/>
      <c r="L4048" s="6"/>
    </row>
    <row r="4049" spans="1:12" x14ac:dyDescent="0.3">
      <c r="A4049" s="8"/>
      <c r="C4049" s="6"/>
      <c r="E4049" s="6"/>
      <c r="J4049" s="8"/>
      <c r="L4049" s="6"/>
    </row>
    <row r="4050" spans="1:12" x14ac:dyDescent="0.3">
      <c r="A4050" s="8"/>
      <c r="C4050" s="6"/>
      <c r="E4050" s="6"/>
      <c r="J4050" s="8"/>
      <c r="L4050" s="6"/>
    </row>
    <row r="4051" spans="1:12" x14ac:dyDescent="0.3">
      <c r="A4051" s="8"/>
      <c r="C4051" s="6"/>
      <c r="E4051" s="6"/>
      <c r="J4051" s="8"/>
      <c r="L4051" s="6"/>
    </row>
    <row r="4052" spans="1:12" x14ac:dyDescent="0.3">
      <c r="A4052" s="8"/>
      <c r="C4052" s="6"/>
      <c r="E4052" s="6"/>
      <c r="J4052" s="8"/>
      <c r="L4052" s="6"/>
    </row>
    <row r="4053" spans="1:12" x14ac:dyDescent="0.3">
      <c r="A4053" s="8"/>
      <c r="C4053" s="6"/>
      <c r="E4053" s="6"/>
      <c r="J4053" s="8"/>
      <c r="L4053" s="6"/>
    </row>
    <row r="4054" spans="1:12" x14ac:dyDescent="0.3">
      <c r="A4054" s="8"/>
      <c r="C4054" s="6"/>
      <c r="E4054" s="6"/>
      <c r="J4054" s="8"/>
      <c r="L4054" s="6"/>
    </row>
    <row r="4055" spans="1:12" x14ac:dyDescent="0.3">
      <c r="A4055" s="8"/>
      <c r="C4055" s="6"/>
      <c r="E4055" s="6"/>
      <c r="J4055" s="8"/>
      <c r="L4055" s="6"/>
    </row>
    <row r="4056" spans="1:12" x14ac:dyDescent="0.3">
      <c r="A4056" s="8"/>
      <c r="C4056" s="6"/>
      <c r="E4056" s="6"/>
      <c r="J4056" s="8"/>
      <c r="L4056" s="6"/>
    </row>
    <row r="4057" spans="1:12" x14ac:dyDescent="0.3">
      <c r="A4057" s="8"/>
      <c r="C4057" s="6"/>
      <c r="E4057" s="6"/>
      <c r="J4057" s="8"/>
      <c r="L4057" s="6"/>
    </row>
    <row r="4058" spans="1:12" x14ac:dyDescent="0.3">
      <c r="A4058" s="8"/>
      <c r="C4058" s="6"/>
      <c r="E4058" s="6"/>
      <c r="J4058" s="8"/>
      <c r="L4058" s="6"/>
    </row>
    <row r="4059" spans="1:12" x14ac:dyDescent="0.3">
      <c r="A4059" s="8"/>
      <c r="C4059" s="6"/>
      <c r="E4059" s="6"/>
      <c r="J4059" s="8"/>
      <c r="L4059" s="6"/>
    </row>
    <row r="4060" spans="1:12" x14ac:dyDescent="0.3">
      <c r="A4060" s="8"/>
      <c r="C4060" s="6"/>
      <c r="E4060" s="6"/>
      <c r="J4060" s="8"/>
      <c r="L4060" s="6"/>
    </row>
    <row r="4061" spans="1:12" x14ac:dyDescent="0.3">
      <c r="A4061" s="8"/>
      <c r="C4061" s="6"/>
      <c r="E4061" s="6"/>
      <c r="J4061" s="8"/>
      <c r="L4061" s="6"/>
    </row>
    <row r="4062" spans="1:12" x14ac:dyDescent="0.3">
      <c r="A4062" s="8"/>
      <c r="C4062" s="6"/>
      <c r="E4062" s="6"/>
      <c r="J4062" s="8"/>
      <c r="L4062" s="6"/>
    </row>
    <row r="4063" spans="1:12" x14ac:dyDescent="0.3">
      <c r="A4063" s="8"/>
      <c r="C4063" s="6"/>
      <c r="E4063" s="6"/>
      <c r="J4063" s="8"/>
      <c r="L4063" s="6"/>
    </row>
    <row r="4064" spans="1:12" x14ac:dyDescent="0.3">
      <c r="A4064" s="8"/>
      <c r="C4064" s="6"/>
      <c r="E4064" s="6"/>
      <c r="J4064" s="8"/>
      <c r="L4064" s="6"/>
    </row>
    <row r="4065" spans="1:12" x14ac:dyDescent="0.3">
      <c r="A4065" s="8"/>
      <c r="C4065" s="6"/>
      <c r="E4065" s="6"/>
      <c r="J4065" s="8"/>
      <c r="L4065" s="6"/>
    </row>
    <row r="4066" spans="1:12" x14ac:dyDescent="0.3">
      <c r="A4066" s="8"/>
      <c r="C4066" s="6"/>
      <c r="E4066" s="6"/>
      <c r="J4066" s="8"/>
      <c r="L4066" s="6"/>
    </row>
    <row r="4067" spans="1:12" x14ac:dyDescent="0.3">
      <c r="A4067" s="8"/>
      <c r="C4067" s="6"/>
      <c r="E4067" s="6"/>
      <c r="J4067" s="8"/>
      <c r="L4067" s="6"/>
    </row>
    <row r="4068" spans="1:12" x14ac:dyDescent="0.3">
      <c r="A4068" s="8"/>
      <c r="C4068" s="6"/>
      <c r="E4068" s="6"/>
      <c r="J4068" s="8"/>
      <c r="L4068" s="6"/>
    </row>
    <row r="4069" spans="1:12" x14ac:dyDescent="0.3">
      <c r="A4069" s="8"/>
      <c r="C4069" s="6"/>
      <c r="E4069" s="6"/>
      <c r="J4069" s="8"/>
      <c r="L4069" s="6"/>
    </row>
    <row r="4070" spans="1:12" x14ac:dyDescent="0.3">
      <c r="A4070" s="8"/>
      <c r="C4070" s="6"/>
      <c r="E4070" s="6"/>
      <c r="J4070" s="8"/>
      <c r="L4070" s="6"/>
    </row>
    <row r="4071" spans="1:12" x14ac:dyDescent="0.3">
      <c r="A4071" s="8"/>
      <c r="C4071" s="6"/>
      <c r="E4071" s="6"/>
      <c r="J4071" s="8"/>
      <c r="L4071" s="6"/>
    </row>
    <row r="4072" spans="1:12" x14ac:dyDescent="0.3">
      <c r="A4072" s="8"/>
      <c r="C4072" s="6"/>
      <c r="E4072" s="6"/>
      <c r="J4072" s="8"/>
      <c r="L4072" s="6"/>
    </row>
    <row r="4073" spans="1:12" x14ac:dyDescent="0.3">
      <c r="A4073" s="8"/>
      <c r="C4073" s="6"/>
      <c r="E4073" s="6"/>
      <c r="J4073" s="8"/>
      <c r="L4073" s="6"/>
    </row>
    <row r="4074" spans="1:12" x14ac:dyDescent="0.3">
      <c r="A4074" s="8"/>
      <c r="C4074" s="6"/>
      <c r="E4074" s="6"/>
      <c r="J4074" s="8"/>
      <c r="L4074" s="6"/>
    </row>
    <row r="4075" spans="1:12" x14ac:dyDescent="0.3">
      <c r="A4075" s="8"/>
      <c r="C4075" s="6"/>
      <c r="E4075" s="6"/>
      <c r="J4075" s="8"/>
      <c r="L4075" s="6"/>
    </row>
    <row r="4076" spans="1:12" x14ac:dyDescent="0.3">
      <c r="A4076" s="8"/>
      <c r="C4076" s="6"/>
      <c r="E4076" s="6"/>
      <c r="J4076" s="8"/>
      <c r="L4076" s="6"/>
    </row>
    <row r="4077" spans="1:12" x14ac:dyDescent="0.3">
      <c r="A4077" s="8"/>
      <c r="C4077" s="6"/>
      <c r="E4077" s="6"/>
      <c r="J4077" s="8"/>
      <c r="L4077" s="6"/>
    </row>
    <row r="4078" spans="1:12" x14ac:dyDescent="0.3">
      <c r="A4078" s="8"/>
      <c r="C4078" s="6"/>
      <c r="E4078" s="6"/>
      <c r="J4078" s="8"/>
      <c r="L4078" s="6"/>
    </row>
    <row r="4079" spans="1:12" x14ac:dyDescent="0.3">
      <c r="A4079" s="8"/>
      <c r="C4079" s="6"/>
      <c r="E4079" s="6"/>
      <c r="J4079" s="8"/>
      <c r="L4079" s="6"/>
    </row>
    <row r="4080" spans="1:12" x14ac:dyDescent="0.3">
      <c r="A4080" s="8"/>
      <c r="C4080" s="6"/>
      <c r="E4080" s="6"/>
      <c r="J4080" s="8"/>
      <c r="L4080" s="6"/>
    </row>
    <row r="4081" spans="1:12" x14ac:dyDescent="0.3">
      <c r="A4081" s="8"/>
      <c r="C4081" s="6"/>
      <c r="E4081" s="6"/>
      <c r="J4081" s="8"/>
      <c r="L4081" s="6"/>
    </row>
    <row r="4082" spans="1:12" x14ac:dyDescent="0.3">
      <c r="A4082" s="8"/>
      <c r="C4082" s="6"/>
      <c r="E4082" s="6"/>
      <c r="J4082" s="8"/>
      <c r="L4082" s="6"/>
    </row>
    <row r="4083" spans="1:12" x14ac:dyDescent="0.3">
      <c r="A4083" s="8"/>
      <c r="C4083" s="6"/>
      <c r="E4083" s="6"/>
      <c r="J4083" s="8"/>
      <c r="L4083" s="6"/>
    </row>
    <row r="4084" spans="1:12" x14ac:dyDescent="0.3">
      <c r="A4084" s="8"/>
      <c r="C4084" s="6"/>
      <c r="E4084" s="6"/>
      <c r="J4084" s="8"/>
      <c r="L4084" s="6"/>
    </row>
    <row r="4085" spans="1:12" x14ac:dyDescent="0.3">
      <c r="A4085" s="8"/>
      <c r="C4085" s="6"/>
      <c r="E4085" s="6"/>
      <c r="J4085" s="8"/>
      <c r="L4085" s="6"/>
    </row>
    <row r="4086" spans="1:12" x14ac:dyDescent="0.3">
      <c r="A4086" s="8"/>
      <c r="C4086" s="6"/>
      <c r="E4086" s="6"/>
      <c r="J4086" s="8"/>
      <c r="L4086" s="6"/>
    </row>
    <row r="4087" spans="1:12" x14ac:dyDescent="0.3">
      <c r="A4087" s="8"/>
      <c r="C4087" s="6"/>
      <c r="E4087" s="6"/>
      <c r="J4087" s="8"/>
      <c r="L4087" s="6"/>
    </row>
    <row r="4088" spans="1:12" x14ac:dyDescent="0.3">
      <c r="A4088" s="8"/>
      <c r="C4088" s="6"/>
      <c r="E4088" s="6"/>
      <c r="J4088" s="8"/>
      <c r="L4088" s="6"/>
    </row>
    <row r="4089" spans="1:12" x14ac:dyDescent="0.3">
      <c r="A4089" s="8"/>
      <c r="C4089" s="6"/>
      <c r="E4089" s="6"/>
      <c r="J4089" s="8"/>
      <c r="L4089" s="6"/>
    </row>
    <row r="4090" spans="1:12" x14ac:dyDescent="0.3">
      <c r="A4090" s="8"/>
      <c r="C4090" s="6"/>
      <c r="E4090" s="6"/>
      <c r="J4090" s="8"/>
      <c r="L4090" s="6"/>
    </row>
    <row r="4091" spans="1:12" x14ac:dyDescent="0.3">
      <c r="A4091" s="8"/>
      <c r="C4091" s="6"/>
      <c r="E4091" s="6"/>
      <c r="J4091" s="8"/>
      <c r="L4091" s="6"/>
    </row>
    <row r="4092" spans="1:12" x14ac:dyDescent="0.3">
      <c r="A4092" s="8"/>
      <c r="C4092" s="6"/>
      <c r="E4092" s="6"/>
      <c r="J4092" s="8"/>
      <c r="L4092" s="6"/>
    </row>
    <row r="4093" spans="1:12" x14ac:dyDescent="0.3">
      <c r="A4093" s="8"/>
      <c r="C4093" s="6"/>
      <c r="E4093" s="6"/>
      <c r="J4093" s="8"/>
      <c r="L4093" s="6"/>
    </row>
    <row r="4094" spans="1:12" x14ac:dyDescent="0.3">
      <c r="A4094" s="8"/>
      <c r="C4094" s="6"/>
      <c r="E4094" s="6"/>
      <c r="J4094" s="8"/>
      <c r="L4094" s="6"/>
    </row>
    <row r="4095" spans="1:12" x14ac:dyDescent="0.3">
      <c r="A4095" s="8"/>
      <c r="C4095" s="6"/>
      <c r="E4095" s="6"/>
      <c r="J4095" s="8"/>
      <c r="L4095" s="6"/>
    </row>
    <row r="4096" spans="1:12" x14ac:dyDescent="0.3">
      <c r="A4096" s="8"/>
      <c r="C4096" s="6"/>
      <c r="E4096" s="6"/>
      <c r="J4096" s="8"/>
      <c r="L4096" s="6"/>
    </row>
    <row r="4097" spans="1:12" x14ac:dyDescent="0.3">
      <c r="A4097" s="8"/>
      <c r="C4097" s="6"/>
      <c r="E4097" s="6"/>
      <c r="J4097" s="8"/>
      <c r="L4097" s="6"/>
    </row>
    <row r="4098" spans="1:12" x14ac:dyDescent="0.3">
      <c r="A4098" s="8"/>
      <c r="C4098" s="6"/>
      <c r="E4098" s="6"/>
      <c r="J4098" s="8"/>
      <c r="L4098" s="6"/>
    </row>
    <row r="4099" spans="1:12" x14ac:dyDescent="0.3">
      <c r="A4099" s="8"/>
      <c r="C4099" s="6"/>
      <c r="E4099" s="6"/>
      <c r="J4099" s="8"/>
      <c r="L4099" s="6"/>
    </row>
    <row r="4100" spans="1:12" x14ac:dyDescent="0.3">
      <c r="A4100" s="8"/>
      <c r="C4100" s="6"/>
      <c r="E4100" s="6"/>
      <c r="J4100" s="8"/>
      <c r="L4100" s="6"/>
    </row>
    <row r="4101" spans="1:12" x14ac:dyDescent="0.3">
      <c r="A4101" s="8"/>
      <c r="C4101" s="6"/>
      <c r="E4101" s="6"/>
      <c r="J4101" s="8"/>
      <c r="L4101" s="6"/>
    </row>
    <row r="4102" spans="1:12" x14ac:dyDescent="0.3">
      <c r="A4102" s="8"/>
      <c r="C4102" s="6"/>
      <c r="E4102" s="6"/>
      <c r="J4102" s="8"/>
      <c r="L4102" s="6"/>
    </row>
    <row r="4103" spans="1:12" x14ac:dyDescent="0.3">
      <c r="A4103" s="8"/>
      <c r="C4103" s="6"/>
      <c r="E4103" s="6"/>
      <c r="J4103" s="8"/>
      <c r="L4103" s="6"/>
    </row>
    <row r="4104" spans="1:12" x14ac:dyDescent="0.3">
      <c r="A4104" s="8"/>
      <c r="C4104" s="6"/>
      <c r="E4104" s="6"/>
      <c r="J4104" s="8"/>
      <c r="L4104" s="6"/>
    </row>
    <row r="4105" spans="1:12" x14ac:dyDescent="0.3">
      <c r="A4105" s="8"/>
      <c r="C4105" s="6"/>
      <c r="E4105" s="6"/>
      <c r="J4105" s="8"/>
      <c r="L4105" s="6"/>
    </row>
    <row r="4106" spans="1:12" x14ac:dyDescent="0.3">
      <c r="A4106" s="8"/>
      <c r="C4106" s="6"/>
      <c r="E4106" s="6"/>
      <c r="J4106" s="8"/>
      <c r="L4106" s="6"/>
    </row>
    <row r="4107" spans="1:12" x14ac:dyDescent="0.3">
      <c r="A4107" s="8"/>
      <c r="C4107" s="6"/>
      <c r="E4107" s="6"/>
      <c r="J4107" s="8"/>
      <c r="L4107" s="6"/>
    </row>
    <row r="4108" spans="1:12" x14ac:dyDescent="0.3">
      <c r="A4108" s="8"/>
      <c r="C4108" s="6"/>
      <c r="E4108" s="6"/>
      <c r="J4108" s="8"/>
      <c r="L4108" s="6"/>
    </row>
    <row r="4109" spans="1:12" x14ac:dyDescent="0.3">
      <c r="A4109" s="8"/>
      <c r="C4109" s="6"/>
      <c r="E4109" s="6"/>
      <c r="J4109" s="8"/>
      <c r="L4109" s="6"/>
    </row>
    <row r="4110" spans="1:12" x14ac:dyDescent="0.3">
      <c r="A4110" s="8"/>
      <c r="C4110" s="6"/>
      <c r="E4110" s="6"/>
      <c r="J4110" s="8"/>
      <c r="L4110" s="6"/>
    </row>
    <row r="4111" spans="1:12" x14ac:dyDescent="0.3">
      <c r="A4111" s="8"/>
      <c r="C4111" s="6"/>
      <c r="E4111" s="6"/>
      <c r="J4111" s="8"/>
      <c r="L4111" s="6"/>
    </row>
    <row r="4112" spans="1:12" x14ac:dyDescent="0.3">
      <c r="A4112" s="8"/>
      <c r="C4112" s="6"/>
      <c r="E4112" s="6"/>
      <c r="J4112" s="8"/>
      <c r="L4112" s="6"/>
    </row>
    <row r="4113" spans="1:12" x14ac:dyDescent="0.3">
      <c r="A4113" s="8"/>
      <c r="C4113" s="6"/>
      <c r="E4113" s="6"/>
      <c r="J4113" s="8"/>
      <c r="L4113" s="6"/>
    </row>
    <row r="4114" spans="1:12" x14ac:dyDescent="0.3">
      <c r="A4114" s="8"/>
      <c r="C4114" s="6"/>
      <c r="E4114" s="6"/>
      <c r="J4114" s="8"/>
      <c r="L4114" s="6"/>
    </row>
    <row r="4115" spans="1:12" x14ac:dyDescent="0.3">
      <c r="A4115" s="8"/>
      <c r="C4115" s="6"/>
      <c r="E4115" s="6"/>
      <c r="J4115" s="8"/>
      <c r="L4115" s="6"/>
    </row>
    <row r="4116" spans="1:12" x14ac:dyDescent="0.3">
      <c r="A4116" s="8"/>
      <c r="C4116" s="6"/>
      <c r="E4116" s="6"/>
      <c r="J4116" s="8"/>
      <c r="L4116" s="6"/>
    </row>
    <row r="4117" spans="1:12" x14ac:dyDescent="0.3">
      <c r="A4117" s="8"/>
      <c r="C4117" s="6"/>
      <c r="E4117" s="6"/>
      <c r="J4117" s="8"/>
      <c r="L4117" s="6"/>
    </row>
    <row r="4118" spans="1:12" x14ac:dyDescent="0.3">
      <c r="A4118" s="8"/>
      <c r="C4118" s="6"/>
      <c r="E4118" s="6"/>
      <c r="J4118" s="8"/>
      <c r="L4118" s="6"/>
    </row>
    <row r="4119" spans="1:12" x14ac:dyDescent="0.3">
      <c r="A4119" s="8"/>
      <c r="C4119" s="6"/>
      <c r="E4119" s="6"/>
      <c r="J4119" s="8"/>
      <c r="L4119" s="6"/>
    </row>
    <row r="4120" spans="1:12" x14ac:dyDescent="0.3">
      <c r="A4120" s="8"/>
      <c r="C4120" s="6"/>
      <c r="E4120" s="6"/>
      <c r="J4120" s="8"/>
      <c r="L4120" s="6"/>
    </row>
    <row r="4121" spans="1:12" x14ac:dyDescent="0.3">
      <c r="A4121" s="8"/>
      <c r="C4121" s="6"/>
      <c r="E4121" s="6"/>
      <c r="J4121" s="8"/>
      <c r="L4121" s="6"/>
    </row>
    <row r="4122" spans="1:12" x14ac:dyDescent="0.3">
      <c r="A4122" s="8"/>
      <c r="C4122" s="6"/>
      <c r="E4122" s="6"/>
      <c r="J4122" s="8"/>
      <c r="L4122" s="6"/>
    </row>
    <row r="4123" spans="1:12" x14ac:dyDescent="0.3">
      <c r="A4123" s="8"/>
      <c r="C4123" s="6"/>
      <c r="E4123" s="6"/>
      <c r="J4123" s="8"/>
      <c r="L4123" s="6"/>
    </row>
    <row r="4124" spans="1:12" x14ac:dyDescent="0.3">
      <c r="A4124" s="8"/>
      <c r="C4124" s="6"/>
      <c r="E4124" s="6"/>
      <c r="J4124" s="8"/>
      <c r="L4124" s="6"/>
    </row>
    <row r="4125" spans="1:12" x14ac:dyDescent="0.3">
      <c r="A4125" s="8"/>
      <c r="C4125" s="6"/>
      <c r="E4125" s="6"/>
      <c r="J4125" s="8"/>
      <c r="L4125" s="6"/>
    </row>
    <row r="4126" spans="1:12" x14ac:dyDescent="0.3">
      <c r="A4126" s="8"/>
      <c r="C4126" s="6"/>
      <c r="E4126" s="6"/>
      <c r="J4126" s="8"/>
      <c r="L4126" s="6"/>
    </row>
    <row r="4127" spans="1:12" x14ac:dyDescent="0.3">
      <c r="A4127" s="8"/>
      <c r="C4127" s="6"/>
      <c r="E4127" s="6"/>
      <c r="J4127" s="8"/>
      <c r="L4127" s="6"/>
    </row>
    <row r="4128" spans="1:12" x14ac:dyDescent="0.3">
      <c r="A4128" s="8"/>
      <c r="C4128" s="6"/>
      <c r="E4128" s="6"/>
      <c r="J4128" s="8"/>
      <c r="L4128" s="6"/>
    </row>
    <row r="4129" spans="1:12" x14ac:dyDescent="0.3">
      <c r="A4129" s="8"/>
      <c r="C4129" s="6"/>
      <c r="E4129" s="6"/>
      <c r="J4129" s="8"/>
      <c r="L4129" s="6"/>
    </row>
    <row r="4130" spans="1:12" x14ac:dyDescent="0.3">
      <c r="A4130" s="8"/>
      <c r="C4130" s="6"/>
      <c r="E4130" s="6"/>
      <c r="J4130" s="8"/>
      <c r="L4130" s="6"/>
    </row>
    <row r="4131" spans="1:12" x14ac:dyDescent="0.3">
      <c r="A4131" s="8"/>
      <c r="C4131" s="6"/>
      <c r="E4131" s="6"/>
      <c r="J4131" s="8"/>
      <c r="L4131" s="6"/>
    </row>
    <row r="4132" spans="1:12" x14ac:dyDescent="0.3">
      <c r="A4132" s="8"/>
      <c r="C4132" s="6"/>
      <c r="E4132" s="6"/>
      <c r="J4132" s="8"/>
      <c r="L4132" s="6"/>
    </row>
    <row r="4133" spans="1:12" x14ac:dyDescent="0.3">
      <c r="A4133" s="8"/>
      <c r="C4133" s="6"/>
      <c r="E4133" s="6"/>
      <c r="J4133" s="8"/>
      <c r="L4133" s="6"/>
    </row>
    <row r="4134" spans="1:12" x14ac:dyDescent="0.3">
      <c r="A4134" s="8"/>
      <c r="C4134" s="6"/>
      <c r="E4134" s="6"/>
      <c r="J4134" s="8"/>
      <c r="L4134" s="6"/>
    </row>
    <row r="4135" spans="1:12" x14ac:dyDescent="0.3">
      <c r="A4135" s="8"/>
      <c r="C4135" s="6"/>
      <c r="E4135" s="6"/>
      <c r="J4135" s="8"/>
      <c r="L4135" s="6"/>
    </row>
    <row r="4136" spans="1:12" x14ac:dyDescent="0.3">
      <c r="A4136" s="8"/>
      <c r="C4136" s="6"/>
      <c r="E4136" s="6"/>
      <c r="J4136" s="8"/>
      <c r="L4136" s="6"/>
    </row>
    <row r="4137" spans="1:12" x14ac:dyDescent="0.3">
      <c r="A4137" s="8"/>
      <c r="C4137" s="6"/>
      <c r="E4137" s="6"/>
      <c r="J4137" s="8"/>
      <c r="L4137" s="6"/>
    </row>
    <row r="4138" spans="1:12" x14ac:dyDescent="0.3">
      <c r="A4138" s="8"/>
      <c r="C4138" s="6"/>
      <c r="E4138" s="6"/>
      <c r="J4138" s="8"/>
      <c r="L4138" s="6"/>
    </row>
    <row r="4139" spans="1:12" x14ac:dyDescent="0.3">
      <c r="A4139" s="8"/>
      <c r="C4139" s="6"/>
      <c r="E4139" s="6"/>
      <c r="J4139" s="8"/>
      <c r="L4139" s="6"/>
    </row>
    <row r="4140" spans="1:12" x14ac:dyDescent="0.3">
      <c r="A4140" s="8"/>
      <c r="C4140" s="6"/>
      <c r="E4140" s="6"/>
      <c r="J4140" s="8"/>
      <c r="L4140" s="6"/>
    </row>
    <row r="4141" spans="1:12" x14ac:dyDescent="0.3">
      <c r="A4141" s="8"/>
      <c r="C4141" s="6"/>
      <c r="E4141" s="6"/>
      <c r="J4141" s="8"/>
      <c r="L4141" s="6"/>
    </row>
    <row r="4142" spans="1:12" x14ac:dyDescent="0.3">
      <c r="A4142" s="8"/>
      <c r="C4142" s="6"/>
      <c r="E4142" s="6"/>
      <c r="J4142" s="8"/>
      <c r="L4142" s="6"/>
    </row>
    <row r="4143" spans="1:12" x14ac:dyDescent="0.3">
      <c r="A4143" s="8"/>
      <c r="C4143" s="6"/>
      <c r="E4143" s="6"/>
      <c r="J4143" s="8"/>
      <c r="L4143" s="6"/>
    </row>
    <row r="4144" spans="1:12" x14ac:dyDescent="0.3">
      <c r="A4144" s="8"/>
      <c r="C4144" s="6"/>
      <c r="E4144" s="6"/>
      <c r="J4144" s="8"/>
      <c r="L4144" s="6"/>
    </row>
    <row r="4145" spans="1:12" x14ac:dyDescent="0.3">
      <c r="A4145" s="8"/>
      <c r="C4145" s="6"/>
      <c r="E4145" s="6"/>
      <c r="J4145" s="8"/>
      <c r="L4145" s="6"/>
    </row>
    <row r="4146" spans="1:12" x14ac:dyDescent="0.3">
      <c r="A4146" s="8"/>
      <c r="C4146" s="6"/>
      <c r="E4146" s="6"/>
      <c r="J4146" s="8"/>
      <c r="L4146" s="6"/>
    </row>
    <row r="4147" spans="1:12" x14ac:dyDescent="0.3">
      <c r="A4147" s="8"/>
      <c r="C4147" s="6"/>
      <c r="E4147" s="6"/>
      <c r="J4147" s="8"/>
      <c r="L4147" s="6"/>
    </row>
    <row r="4148" spans="1:12" x14ac:dyDescent="0.3">
      <c r="A4148" s="8"/>
      <c r="C4148" s="6"/>
      <c r="E4148" s="6"/>
      <c r="J4148" s="8"/>
      <c r="L4148" s="6"/>
    </row>
    <row r="4149" spans="1:12" x14ac:dyDescent="0.3">
      <c r="A4149" s="8"/>
      <c r="C4149" s="6"/>
      <c r="E4149" s="6"/>
      <c r="J4149" s="8"/>
      <c r="L4149" s="6"/>
    </row>
    <row r="4150" spans="1:12" x14ac:dyDescent="0.3">
      <c r="A4150" s="8"/>
      <c r="C4150" s="6"/>
      <c r="E4150" s="6"/>
      <c r="J4150" s="8"/>
      <c r="L4150" s="6"/>
    </row>
    <row r="4151" spans="1:12" x14ac:dyDescent="0.3">
      <c r="A4151" s="8"/>
      <c r="C4151" s="6"/>
      <c r="E4151" s="6"/>
      <c r="J4151" s="8"/>
      <c r="L4151" s="6"/>
    </row>
    <row r="4152" spans="1:12" x14ac:dyDescent="0.3">
      <c r="A4152" s="8"/>
      <c r="C4152" s="6"/>
      <c r="E4152" s="6"/>
      <c r="J4152" s="8"/>
      <c r="L4152" s="6"/>
    </row>
    <row r="4153" spans="1:12" x14ac:dyDescent="0.3">
      <c r="A4153" s="8"/>
      <c r="C4153" s="6"/>
      <c r="E4153" s="6"/>
      <c r="J4153" s="8"/>
      <c r="L4153" s="6"/>
    </row>
    <row r="4154" spans="1:12" x14ac:dyDescent="0.3">
      <c r="A4154" s="8"/>
      <c r="C4154" s="6"/>
      <c r="E4154" s="6"/>
      <c r="J4154" s="8"/>
      <c r="L4154" s="6"/>
    </row>
    <row r="4155" spans="1:12" x14ac:dyDescent="0.3">
      <c r="A4155" s="8"/>
      <c r="C4155" s="6"/>
      <c r="E4155" s="6"/>
      <c r="J4155" s="8"/>
      <c r="L4155" s="6"/>
    </row>
    <row r="4156" spans="1:12" x14ac:dyDescent="0.3">
      <c r="A4156" s="8"/>
      <c r="C4156" s="6"/>
      <c r="E4156" s="6"/>
      <c r="J4156" s="8"/>
      <c r="L4156" s="6"/>
    </row>
    <row r="4157" spans="1:12" x14ac:dyDescent="0.3">
      <c r="A4157" s="8"/>
      <c r="C4157" s="6"/>
      <c r="E4157" s="6"/>
      <c r="J4157" s="8"/>
      <c r="L4157" s="6"/>
    </row>
    <row r="4158" spans="1:12" x14ac:dyDescent="0.3">
      <c r="A4158" s="8"/>
      <c r="C4158" s="6"/>
      <c r="E4158" s="6"/>
      <c r="J4158" s="8"/>
      <c r="L4158" s="6"/>
    </row>
    <row r="4159" spans="1:12" x14ac:dyDescent="0.3">
      <c r="A4159" s="8"/>
      <c r="C4159" s="6"/>
      <c r="E4159" s="6"/>
      <c r="J4159" s="8"/>
      <c r="L4159" s="6"/>
    </row>
    <row r="4160" spans="1:12" x14ac:dyDescent="0.3">
      <c r="A4160" s="8"/>
      <c r="C4160" s="6"/>
      <c r="E4160" s="6"/>
      <c r="J4160" s="8"/>
      <c r="L4160" s="6"/>
    </row>
    <row r="4161" spans="1:12" x14ac:dyDescent="0.3">
      <c r="A4161" s="8"/>
      <c r="C4161" s="6"/>
      <c r="E4161" s="6"/>
      <c r="J4161" s="8"/>
      <c r="L4161" s="6"/>
    </row>
    <row r="4162" spans="1:12" x14ac:dyDescent="0.3">
      <c r="A4162" s="8"/>
      <c r="C4162" s="6"/>
      <c r="E4162" s="6"/>
      <c r="J4162" s="8"/>
      <c r="L4162" s="6"/>
    </row>
    <row r="4163" spans="1:12" x14ac:dyDescent="0.3">
      <c r="A4163" s="8"/>
      <c r="C4163" s="6"/>
      <c r="E4163" s="6"/>
      <c r="J4163" s="8"/>
      <c r="L4163" s="6"/>
    </row>
    <row r="4164" spans="1:12" x14ac:dyDescent="0.3">
      <c r="A4164" s="8"/>
      <c r="C4164" s="6"/>
      <c r="E4164" s="6"/>
      <c r="J4164" s="8"/>
      <c r="L4164" s="6"/>
    </row>
    <row r="4165" spans="1:12" x14ac:dyDescent="0.3">
      <c r="A4165" s="8"/>
      <c r="C4165" s="6"/>
      <c r="E4165" s="6"/>
      <c r="J4165" s="8"/>
      <c r="L4165" s="6"/>
    </row>
    <row r="4166" spans="1:12" x14ac:dyDescent="0.3">
      <c r="A4166" s="8"/>
      <c r="C4166" s="6"/>
      <c r="E4166" s="6"/>
      <c r="J4166" s="8"/>
      <c r="L4166" s="6"/>
    </row>
    <row r="4167" spans="1:12" x14ac:dyDescent="0.3">
      <c r="A4167" s="8"/>
      <c r="C4167" s="6"/>
      <c r="E4167" s="6"/>
      <c r="J4167" s="8"/>
      <c r="L4167" s="6"/>
    </row>
    <row r="4168" spans="1:12" x14ac:dyDescent="0.3">
      <c r="A4168" s="8"/>
      <c r="C4168" s="6"/>
      <c r="E4168" s="6"/>
      <c r="J4168" s="8"/>
      <c r="L4168" s="6"/>
    </row>
    <row r="4169" spans="1:12" x14ac:dyDescent="0.3">
      <c r="A4169" s="8"/>
      <c r="C4169" s="6"/>
      <c r="E4169" s="6"/>
      <c r="J4169" s="8"/>
      <c r="L4169" s="6"/>
    </row>
    <row r="4170" spans="1:12" x14ac:dyDescent="0.3">
      <c r="A4170" s="8"/>
      <c r="C4170" s="6"/>
      <c r="E4170" s="6"/>
      <c r="J4170" s="8"/>
      <c r="L4170" s="6"/>
    </row>
    <row r="4171" spans="1:12" x14ac:dyDescent="0.3">
      <c r="A4171" s="8"/>
      <c r="C4171" s="6"/>
      <c r="E4171" s="6"/>
      <c r="J4171" s="8"/>
      <c r="L4171" s="6"/>
    </row>
    <row r="4172" spans="1:12" x14ac:dyDescent="0.3">
      <c r="A4172" s="8"/>
      <c r="C4172" s="6"/>
      <c r="E4172" s="6"/>
      <c r="J4172" s="8"/>
      <c r="L4172" s="6"/>
    </row>
    <row r="4173" spans="1:12" x14ac:dyDescent="0.3">
      <c r="A4173" s="8"/>
      <c r="C4173" s="6"/>
      <c r="E4173" s="6"/>
      <c r="J4173" s="8"/>
      <c r="L4173" s="6"/>
    </row>
    <row r="4174" spans="1:12" x14ac:dyDescent="0.3">
      <c r="A4174" s="8"/>
      <c r="C4174" s="6"/>
      <c r="E4174" s="6"/>
      <c r="J4174" s="8"/>
      <c r="L4174" s="6"/>
    </row>
    <row r="4175" spans="1:12" x14ac:dyDescent="0.3">
      <c r="A4175" s="8"/>
      <c r="C4175" s="6"/>
      <c r="E4175" s="6"/>
      <c r="J4175" s="8"/>
      <c r="L4175" s="6"/>
    </row>
    <row r="4176" spans="1:12" x14ac:dyDescent="0.3">
      <c r="A4176" s="8"/>
      <c r="C4176" s="6"/>
      <c r="E4176" s="6"/>
      <c r="J4176" s="8"/>
      <c r="L4176" s="6"/>
    </row>
    <row r="4177" spans="1:12" x14ac:dyDescent="0.3">
      <c r="A4177" s="8"/>
      <c r="C4177" s="6"/>
      <c r="E4177" s="6"/>
      <c r="J4177" s="8"/>
      <c r="L4177" s="6"/>
    </row>
    <row r="4178" spans="1:12" x14ac:dyDescent="0.3">
      <c r="A4178" s="8"/>
      <c r="C4178" s="6"/>
      <c r="E4178" s="6"/>
      <c r="J4178" s="8"/>
      <c r="L4178" s="6"/>
    </row>
    <row r="4179" spans="1:12" x14ac:dyDescent="0.3">
      <c r="A4179" s="8"/>
      <c r="C4179" s="6"/>
      <c r="E4179" s="6"/>
      <c r="J4179" s="8"/>
      <c r="L4179" s="6"/>
    </row>
    <row r="4180" spans="1:12" x14ac:dyDescent="0.3">
      <c r="A4180" s="8"/>
      <c r="C4180" s="6"/>
      <c r="E4180" s="6"/>
      <c r="J4180" s="8"/>
      <c r="L4180" s="6"/>
    </row>
    <row r="4181" spans="1:12" x14ac:dyDescent="0.3">
      <c r="A4181" s="8"/>
      <c r="C4181" s="6"/>
      <c r="E4181" s="6"/>
      <c r="J4181" s="8"/>
      <c r="L4181" s="6"/>
    </row>
    <row r="4182" spans="1:12" x14ac:dyDescent="0.3">
      <c r="A4182" s="8"/>
      <c r="C4182" s="6"/>
      <c r="E4182" s="6"/>
      <c r="J4182" s="8"/>
      <c r="L4182" s="6"/>
    </row>
    <row r="4183" spans="1:12" x14ac:dyDescent="0.3">
      <c r="A4183" s="8"/>
      <c r="C4183" s="6"/>
      <c r="E4183" s="6"/>
      <c r="J4183" s="8"/>
      <c r="L4183" s="6"/>
    </row>
    <row r="4184" spans="1:12" x14ac:dyDescent="0.3">
      <c r="A4184" s="8"/>
      <c r="C4184" s="6"/>
      <c r="E4184" s="6"/>
      <c r="J4184" s="8"/>
      <c r="L4184" s="6"/>
    </row>
    <row r="4185" spans="1:12" x14ac:dyDescent="0.3">
      <c r="A4185" s="8"/>
      <c r="C4185" s="6"/>
      <c r="E4185" s="6"/>
      <c r="J4185" s="8"/>
      <c r="L4185" s="6"/>
    </row>
    <row r="4186" spans="1:12" x14ac:dyDescent="0.3">
      <c r="A4186" s="8"/>
      <c r="C4186" s="6"/>
      <c r="E4186" s="6"/>
      <c r="J4186" s="8"/>
      <c r="L4186" s="6"/>
    </row>
    <row r="4187" spans="1:12" x14ac:dyDescent="0.3">
      <c r="A4187" s="8"/>
      <c r="C4187" s="6"/>
      <c r="E4187" s="6"/>
      <c r="J4187" s="8"/>
      <c r="L4187" s="6"/>
    </row>
    <row r="4188" spans="1:12" x14ac:dyDescent="0.3">
      <c r="A4188" s="8"/>
      <c r="C4188" s="6"/>
      <c r="E4188" s="6"/>
      <c r="J4188" s="8"/>
      <c r="L4188" s="6"/>
    </row>
    <row r="4189" spans="1:12" x14ac:dyDescent="0.3">
      <c r="A4189" s="8"/>
      <c r="C4189" s="6"/>
      <c r="E4189" s="6"/>
      <c r="J4189" s="8"/>
      <c r="L4189" s="6"/>
    </row>
    <row r="4190" spans="1:12" x14ac:dyDescent="0.3">
      <c r="A4190" s="8"/>
      <c r="C4190" s="6"/>
      <c r="E4190" s="6"/>
      <c r="J4190" s="8"/>
      <c r="L4190" s="6"/>
    </row>
    <row r="4191" spans="1:12" x14ac:dyDescent="0.3">
      <c r="A4191" s="8"/>
      <c r="C4191" s="6"/>
      <c r="E4191" s="6"/>
      <c r="J4191" s="8"/>
      <c r="L4191" s="6"/>
    </row>
    <row r="4192" spans="1:12" x14ac:dyDescent="0.3">
      <c r="A4192" s="8"/>
      <c r="C4192" s="6"/>
      <c r="E4192" s="6"/>
      <c r="J4192" s="8"/>
      <c r="L4192" s="6"/>
    </row>
    <row r="4193" spans="1:12" x14ac:dyDescent="0.3">
      <c r="A4193" s="8"/>
      <c r="C4193" s="6"/>
      <c r="E4193" s="6"/>
      <c r="J4193" s="8"/>
      <c r="L4193" s="6"/>
    </row>
    <row r="4194" spans="1:12" x14ac:dyDescent="0.3">
      <c r="A4194" s="8"/>
      <c r="C4194" s="6"/>
      <c r="E4194" s="6"/>
      <c r="J4194" s="8"/>
      <c r="L4194" s="6"/>
    </row>
    <row r="4195" spans="1:12" x14ac:dyDescent="0.3">
      <c r="A4195" s="8"/>
      <c r="C4195" s="6"/>
      <c r="E4195" s="6"/>
      <c r="J4195" s="8"/>
      <c r="L4195" s="6"/>
    </row>
    <row r="4196" spans="1:12" x14ac:dyDescent="0.3">
      <c r="A4196" s="8"/>
      <c r="C4196" s="6"/>
      <c r="E4196" s="6"/>
      <c r="J4196" s="8"/>
      <c r="L4196" s="6"/>
    </row>
    <row r="4197" spans="1:12" x14ac:dyDescent="0.3">
      <c r="A4197" s="8"/>
      <c r="C4197" s="6"/>
      <c r="E4197" s="6"/>
      <c r="J4197" s="8"/>
      <c r="L4197" s="6"/>
    </row>
    <row r="4198" spans="1:12" x14ac:dyDescent="0.3">
      <c r="A4198" s="8"/>
      <c r="C4198" s="6"/>
      <c r="E4198" s="6"/>
      <c r="J4198" s="8"/>
      <c r="L4198" s="6"/>
    </row>
    <row r="4199" spans="1:12" x14ac:dyDescent="0.3">
      <c r="A4199" s="8"/>
      <c r="C4199" s="6"/>
      <c r="E4199" s="6"/>
      <c r="J4199" s="8"/>
      <c r="L4199" s="6"/>
    </row>
    <row r="4200" spans="1:12" x14ac:dyDescent="0.3">
      <c r="A4200" s="8"/>
      <c r="C4200" s="6"/>
      <c r="E4200" s="6"/>
      <c r="J4200" s="8"/>
      <c r="L4200" s="6"/>
    </row>
    <row r="4201" spans="1:12" x14ac:dyDescent="0.3">
      <c r="A4201" s="8"/>
      <c r="C4201" s="6"/>
      <c r="E4201" s="6"/>
      <c r="J4201" s="8"/>
      <c r="L4201" s="6"/>
    </row>
    <row r="4202" spans="1:12" x14ac:dyDescent="0.3">
      <c r="A4202" s="8"/>
      <c r="C4202" s="6"/>
      <c r="E4202" s="6"/>
      <c r="J4202" s="8"/>
      <c r="L4202" s="6"/>
    </row>
    <row r="4203" spans="1:12" x14ac:dyDescent="0.3">
      <c r="A4203" s="8"/>
      <c r="C4203" s="6"/>
      <c r="E4203" s="6"/>
      <c r="J4203" s="8"/>
      <c r="L4203" s="6"/>
    </row>
    <row r="4204" spans="1:12" x14ac:dyDescent="0.3">
      <c r="A4204" s="8"/>
      <c r="C4204" s="6"/>
      <c r="E4204" s="6"/>
      <c r="J4204" s="8"/>
      <c r="L4204" s="6"/>
    </row>
    <row r="4205" spans="1:12" x14ac:dyDescent="0.3">
      <c r="A4205" s="8"/>
      <c r="C4205" s="6"/>
      <c r="E4205" s="6"/>
      <c r="J4205" s="8"/>
      <c r="L4205" s="6"/>
    </row>
    <row r="4206" spans="1:12" x14ac:dyDescent="0.3">
      <c r="A4206" s="8"/>
      <c r="C4206" s="6"/>
      <c r="E4206" s="6"/>
      <c r="J4206" s="8"/>
      <c r="L4206" s="6"/>
    </row>
    <row r="4207" spans="1:12" x14ac:dyDescent="0.3">
      <c r="A4207" s="8"/>
      <c r="C4207" s="6"/>
      <c r="E4207" s="6"/>
      <c r="J4207" s="8"/>
      <c r="L4207" s="6"/>
    </row>
    <row r="4208" spans="1:12" x14ac:dyDescent="0.3">
      <c r="A4208" s="8"/>
      <c r="C4208" s="6"/>
      <c r="E4208" s="6"/>
      <c r="J4208" s="8"/>
      <c r="L4208" s="6"/>
    </row>
    <row r="4209" spans="1:12" x14ac:dyDescent="0.3">
      <c r="A4209" s="8"/>
      <c r="C4209" s="6"/>
      <c r="E4209" s="6"/>
      <c r="J4209" s="8"/>
      <c r="L4209" s="6"/>
    </row>
    <row r="4210" spans="1:12" x14ac:dyDescent="0.3">
      <c r="A4210" s="8"/>
      <c r="C4210" s="6"/>
      <c r="E4210" s="6"/>
      <c r="J4210" s="8"/>
      <c r="L4210" s="6"/>
    </row>
    <row r="4211" spans="1:12" x14ac:dyDescent="0.3">
      <c r="A4211" s="8"/>
      <c r="C4211" s="6"/>
      <c r="E4211" s="6"/>
      <c r="J4211" s="8"/>
      <c r="L4211" s="6"/>
    </row>
    <row r="4212" spans="1:12" x14ac:dyDescent="0.3">
      <c r="A4212" s="8"/>
      <c r="C4212" s="6"/>
      <c r="E4212" s="6"/>
      <c r="J4212" s="8"/>
      <c r="L4212" s="6"/>
    </row>
    <row r="4213" spans="1:12" x14ac:dyDescent="0.3">
      <c r="A4213" s="8"/>
      <c r="C4213" s="6"/>
      <c r="E4213" s="6"/>
      <c r="J4213" s="8"/>
      <c r="L4213" s="6"/>
    </row>
    <row r="4214" spans="1:12" x14ac:dyDescent="0.3">
      <c r="A4214" s="8"/>
      <c r="C4214" s="6"/>
      <c r="E4214" s="6"/>
      <c r="J4214" s="8"/>
      <c r="L4214" s="6"/>
    </row>
    <row r="4215" spans="1:12" x14ac:dyDescent="0.3">
      <c r="A4215" s="8"/>
      <c r="C4215" s="6"/>
      <c r="E4215" s="6"/>
      <c r="J4215" s="8"/>
      <c r="L4215" s="6"/>
    </row>
    <row r="4216" spans="1:12" x14ac:dyDescent="0.3">
      <c r="A4216" s="8"/>
      <c r="C4216" s="6"/>
      <c r="E4216" s="6"/>
      <c r="J4216" s="8"/>
      <c r="L4216" s="6"/>
    </row>
    <row r="4217" spans="1:12" x14ac:dyDescent="0.3">
      <c r="A4217" s="8"/>
      <c r="C4217" s="6"/>
      <c r="E4217" s="6"/>
      <c r="J4217" s="8"/>
      <c r="L4217" s="6"/>
    </row>
    <row r="4218" spans="1:12" x14ac:dyDescent="0.3">
      <c r="A4218" s="8"/>
      <c r="C4218" s="6"/>
      <c r="E4218" s="6"/>
      <c r="J4218" s="8"/>
      <c r="L4218" s="6"/>
    </row>
    <row r="4219" spans="1:12" x14ac:dyDescent="0.3">
      <c r="A4219" s="8"/>
      <c r="C4219" s="6"/>
      <c r="E4219" s="6"/>
      <c r="J4219" s="8"/>
      <c r="L4219" s="6"/>
    </row>
    <row r="4220" spans="1:12" x14ac:dyDescent="0.3">
      <c r="A4220" s="8"/>
      <c r="C4220" s="6"/>
      <c r="E4220" s="6"/>
      <c r="J4220" s="8"/>
      <c r="L4220" s="6"/>
    </row>
    <row r="4221" spans="1:12" x14ac:dyDescent="0.3">
      <c r="A4221" s="8"/>
      <c r="C4221" s="6"/>
      <c r="E4221" s="6"/>
      <c r="J4221" s="8"/>
      <c r="L4221" s="6"/>
    </row>
    <row r="4222" spans="1:12" x14ac:dyDescent="0.3">
      <c r="A4222" s="8"/>
      <c r="C4222" s="6"/>
      <c r="E4222" s="6"/>
      <c r="J4222" s="8"/>
      <c r="L4222" s="6"/>
    </row>
    <row r="4223" spans="1:12" x14ac:dyDescent="0.3">
      <c r="A4223" s="8"/>
      <c r="C4223" s="6"/>
      <c r="E4223" s="6"/>
      <c r="J4223" s="8"/>
      <c r="L4223" s="6"/>
    </row>
    <row r="4224" spans="1:12" x14ac:dyDescent="0.3">
      <c r="A4224" s="8"/>
      <c r="C4224" s="6"/>
      <c r="E4224" s="6"/>
      <c r="J4224" s="8"/>
      <c r="L4224" s="6"/>
    </row>
    <row r="4225" spans="1:12" x14ac:dyDescent="0.3">
      <c r="A4225" s="8"/>
      <c r="C4225" s="6"/>
      <c r="E4225" s="6"/>
      <c r="J4225" s="8"/>
      <c r="L4225" s="6"/>
    </row>
    <row r="4226" spans="1:12" x14ac:dyDescent="0.3">
      <c r="A4226" s="8"/>
      <c r="C4226" s="6"/>
      <c r="E4226" s="6"/>
      <c r="J4226" s="8"/>
      <c r="L4226" s="6"/>
    </row>
    <row r="4227" spans="1:12" x14ac:dyDescent="0.3">
      <c r="A4227" s="8"/>
      <c r="C4227" s="6"/>
      <c r="E4227" s="6"/>
      <c r="J4227" s="8"/>
      <c r="L4227" s="6"/>
    </row>
    <row r="4228" spans="1:12" x14ac:dyDescent="0.3">
      <c r="A4228" s="8"/>
      <c r="C4228" s="6"/>
      <c r="E4228" s="6"/>
      <c r="J4228" s="8"/>
      <c r="L4228" s="6"/>
    </row>
    <row r="4229" spans="1:12" x14ac:dyDescent="0.3">
      <c r="A4229" s="8"/>
      <c r="C4229" s="6"/>
      <c r="E4229" s="6"/>
      <c r="J4229" s="8"/>
      <c r="L4229" s="6"/>
    </row>
    <row r="4230" spans="1:12" x14ac:dyDescent="0.3">
      <c r="A4230" s="8"/>
      <c r="C4230" s="6"/>
      <c r="E4230" s="6"/>
      <c r="J4230" s="8"/>
      <c r="L4230" s="6"/>
    </row>
    <row r="4231" spans="1:12" x14ac:dyDescent="0.3">
      <c r="A4231" s="8"/>
      <c r="C4231" s="6"/>
      <c r="E4231" s="6"/>
      <c r="J4231" s="8"/>
      <c r="L4231" s="6"/>
    </row>
    <row r="4232" spans="1:12" x14ac:dyDescent="0.3">
      <c r="A4232" s="8"/>
      <c r="C4232" s="6"/>
      <c r="E4232" s="6"/>
      <c r="J4232" s="8"/>
      <c r="L4232" s="6"/>
    </row>
    <row r="4233" spans="1:12" x14ac:dyDescent="0.3">
      <c r="A4233" s="8"/>
      <c r="C4233" s="6"/>
      <c r="E4233" s="6"/>
      <c r="J4233" s="8"/>
      <c r="L4233" s="6"/>
    </row>
    <row r="4234" spans="1:12" x14ac:dyDescent="0.3">
      <c r="A4234" s="8"/>
      <c r="C4234" s="6"/>
      <c r="E4234" s="6"/>
      <c r="J4234" s="8"/>
      <c r="L4234" s="6"/>
    </row>
    <row r="4235" spans="1:12" x14ac:dyDescent="0.3">
      <c r="A4235" s="8"/>
      <c r="C4235" s="6"/>
      <c r="E4235" s="6"/>
      <c r="J4235" s="8"/>
      <c r="L4235" s="6"/>
    </row>
    <row r="4236" spans="1:12" x14ac:dyDescent="0.3">
      <c r="A4236" s="8"/>
      <c r="C4236" s="6"/>
      <c r="E4236" s="6"/>
      <c r="J4236" s="8"/>
      <c r="L4236" s="6"/>
    </row>
    <row r="4237" spans="1:12" x14ac:dyDescent="0.3">
      <c r="A4237" s="8"/>
      <c r="C4237" s="6"/>
      <c r="E4237" s="6"/>
      <c r="J4237" s="8"/>
      <c r="L4237" s="6"/>
    </row>
    <row r="4238" spans="1:12" x14ac:dyDescent="0.3">
      <c r="A4238" s="8"/>
      <c r="C4238" s="6"/>
      <c r="E4238" s="6"/>
      <c r="J4238" s="8"/>
      <c r="L4238" s="6"/>
    </row>
    <row r="4239" spans="1:12" x14ac:dyDescent="0.3">
      <c r="A4239" s="8"/>
      <c r="C4239" s="6"/>
      <c r="E4239" s="6"/>
      <c r="J4239" s="8"/>
      <c r="L4239" s="6"/>
    </row>
    <row r="4240" spans="1:12" x14ac:dyDescent="0.3">
      <c r="A4240" s="8"/>
      <c r="C4240" s="6"/>
      <c r="E4240" s="6"/>
      <c r="J4240" s="8"/>
      <c r="L4240" s="6"/>
    </row>
    <row r="4241" spans="1:12" x14ac:dyDescent="0.3">
      <c r="A4241" s="8"/>
      <c r="C4241" s="6"/>
      <c r="E4241" s="6"/>
      <c r="J4241" s="8"/>
      <c r="L4241" s="6"/>
    </row>
    <row r="4242" spans="1:12" x14ac:dyDescent="0.3">
      <c r="A4242" s="8"/>
      <c r="C4242" s="6"/>
      <c r="E4242" s="6"/>
      <c r="J4242" s="8"/>
      <c r="L4242" s="6"/>
    </row>
    <row r="4243" spans="1:12" x14ac:dyDescent="0.3">
      <c r="A4243" s="8"/>
      <c r="C4243" s="6"/>
      <c r="E4243" s="6"/>
      <c r="J4243" s="8"/>
      <c r="L4243" s="6"/>
    </row>
    <row r="4244" spans="1:12" x14ac:dyDescent="0.3">
      <c r="A4244" s="8"/>
      <c r="C4244" s="6"/>
      <c r="E4244" s="6"/>
      <c r="J4244" s="8"/>
      <c r="L4244" s="6"/>
    </row>
    <row r="4245" spans="1:12" x14ac:dyDescent="0.3">
      <c r="A4245" s="8"/>
      <c r="C4245" s="6"/>
      <c r="E4245" s="6"/>
      <c r="J4245" s="8"/>
      <c r="L4245" s="6"/>
    </row>
    <row r="4246" spans="1:12" x14ac:dyDescent="0.3">
      <c r="A4246" s="8"/>
      <c r="C4246" s="6"/>
      <c r="E4246" s="6"/>
      <c r="J4246" s="8"/>
      <c r="L4246" s="6"/>
    </row>
    <row r="4247" spans="1:12" x14ac:dyDescent="0.3">
      <c r="A4247" s="8"/>
      <c r="C4247" s="6"/>
      <c r="E4247" s="6"/>
      <c r="J4247" s="8"/>
      <c r="L4247" s="6"/>
    </row>
    <row r="4248" spans="1:12" x14ac:dyDescent="0.3">
      <c r="A4248" s="8"/>
      <c r="C4248" s="6"/>
      <c r="E4248" s="6"/>
      <c r="J4248" s="8"/>
      <c r="L4248" s="6"/>
    </row>
    <row r="4249" spans="1:12" x14ac:dyDescent="0.3">
      <c r="A4249" s="8"/>
      <c r="C4249" s="6"/>
      <c r="E4249" s="6"/>
      <c r="J4249" s="8"/>
      <c r="L4249" s="6"/>
    </row>
    <row r="4250" spans="1:12" x14ac:dyDescent="0.3">
      <c r="A4250" s="8"/>
      <c r="C4250" s="6"/>
      <c r="E4250" s="6"/>
      <c r="J4250" s="8"/>
      <c r="L4250" s="6"/>
    </row>
    <row r="4251" spans="1:12" x14ac:dyDescent="0.3">
      <c r="A4251" s="8"/>
      <c r="C4251" s="6"/>
      <c r="E4251" s="6"/>
      <c r="J4251" s="8"/>
      <c r="L4251" s="6"/>
    </row>
    <row r="4252" spans="1:12" x14ac:dyDescent="0.3">
      <c r="A4252" s="8"/>
      <c r="C4252" s="6"/>
      <c r="E4252" s="6"/>
      <c r="J4252" s="8"/>
      <c r="L4252" s="6"/>
    </row>
    <row r="4253" spans="1:12" x14ac:dyDescent="0.3">
      <c r="A4253" s="8"/>
      <c r="C4253" s="6"/>
      <c r="E4253" s="6"/>
      <c r="J4253" s="8"/>
      <c r="L4253" s="6"/>
    </row>
    <row r="4254" spans="1:12" x14ac:dyDescent="0.3">
      <c r="A4254" s="8"/>
      <c r="C4254" s="6"/>
      <c r="E4254" s="6"/>
      <c r="J4254" s="8"/>
      <c r="L4254" s="6"/>
    </row>
    <row r="4255" spans="1:12" x14ac:dyDescent="0.3">
      <c r="A4255" s="8"/>
      <c r="C4255" s="6"/>
      <c r="E4255" s="6"/>
      <c r="J4255" s="8"/>
      <c r="L4255" s="6"/>
    </row>
    <row r="4256" spans="1:12" x14ac:dyDescent="0.3">
      <c r="A4256" s="8"/>
      <c r="C4256" s="6"/>
      <c r="E4256" s="6"/>
      <c r="J4256" s="8"/>
      <c r="L4256" s="6"/>
    </row>
    <row r="4257" spans="1:12" x14ac:dyDescent="0.3">
      <c r="A4257" s="8"/>
      <c r="C4257" s="6"/>
      <c r="E4257" s="6"/>
      <c r="J4257" s="8"/>
      <c r="L4257" s="6"/>
    </row>
    <row r="4258" spans="1:12" x14ac:dyDescent="0.3">
      <c r="A4258" s="8"/>
      <c r="C4258" s="6"/>
      <c r="E4258" s="6"/>
      <c r="J4258" s="8"/>
      <c r="L4258" s="6"/>
    </row>
    <row r="4259" spans="1:12" x14ac:dyDescent="0.3">
      <c r="A4259" s="8"/>
      <c r="C4259" s="6"/>
      <c r="E4259" s="6"/>
      <c r="J4259" s="8"/>
      <c r="L4259" s="6"/>
    </row>
    <row r="4260" spans="1:12" x14ac:dyDescent="0.3">
      <c r="A4260" s="8"/>
      <c r="C4260" s="6"/>
      <c r="E4260" s="6"/>
      <c r="J4260" s="8"/>
      <c r="L4260" s="6"/>
    </row>
    <row r="4261" spans="1:12" x14ac:dyDescent="0.3">
      <c r="A4261" s="8"/>
      <c r="C4261" s="6"/>
      <c r="E4261" s="6"/>
      <c r="J4261" s="8"/>
      <c r="L4261" s="6"/>
    </row>
    <row r="4262" spans="1:12" x14ac:dyDescent="0.3">
      <c r="A4262" s="8"/>
      <c r="C4262" s="6"/>
      <c r="E4262" s="6"/>
      <c r="J4262" s="8"/>
      <c r="L4262" s="6"/>
    </row>
    <row r="4263" spans="1:12" x14ac:dyDescent="0.3">
      <c r="A4263" s="8"/>
      <c r="C4263" s="6"/>
      <c r="E4263" s="6"/>
      <c r="J4263" s="8"/>
      <c r="L4263" s="6"/>
    </row>
    <row r="4264" spans="1:12" x14ac:dyDescent="0.3">
      <c r="A4264" s="8"/>
      <c r="C4264" s="6"/>
      <c r="E4264" s="6"/>
      <c r="J4264" s="8"/>
      <c r="L4264" s="6"/>
    </row>
    <row r="4265" spans="1:12" x14ac:dyDescent="0.3">
      <c r="A4265" s="8"/>
      <c r="C4265" s="6"/>
      <c r="E4265" s="6"/>
      <c r="J4265" s="8"/>
      <c r="L4265" s="6"/>
    </row>
    <row r="4266" spans="1:12" x14ac:dyDescent="0.3">
      <c r="A4266" s="8"/>
      <c r="C4266" s="6"/>
      <c r="E4266" s="6"/>
      <c r="J4266" s="8"/>
      <c r="L4266" s="6"/>
    </row>
    <row r="4267" spans="1:12" x14ac:dyDescent="0.3">
      <c r="A4267" s="8"/>
      <c r="C4267" s="6"/>
      <c r="E4267" s="6"/>
      <c r="J4267" s="8"/>
      <c r="L4267" s="6"/>
    </row>
    <row r="4268" spans="1:12" x14ac:dyDescent="0.3">
      <c r="A4268" s="8"/>
      <c r="C4268" s="6"/>
      <c r="E4268" s="6"/>
      <c r="J4268" s="8"/>
      <c r="L4268" s="6"/>
    </row>
    <row r="4269" spans="1:12" x14ac:dyDescent="0.3">
      <c r="A4269" s="8"/>
      <c r="C4269" s="6"/>
      <c r="E4269" s="6"/>
      <c r="J4269" s="8"/>
      <c r="L4269" s="6"/>
    </row>
    <row r="4270" spans="1:12" x14ac:dyDescent="0.3">
      <c r="A4270" s="8"/>
      <c r="C4270" s="6"/>
      <c r="E4270" s="6"/>
      <c r="J4270" s="8"/>
      <c r="L4270" s="6"/>
    </row>
    <row r="4271" spans="1:12" x14ac:dyDescent="0.3">
      <c r="A4271" s="8"/>
      <c r="C4271" s="6"/>
      <c r="E4271" s="6"/>
      <c r="J4271" s="8"/>
      <c r="L4271" s="6"/>
    </row>
    <row r="4272" spans="1:12" x14ac:dyDescent="0.3">
      <c r="A4272" s="8"/>
      <c r="C4272" s="6"/>
      <c r="E4272" s="6"/>
      <c r="J4272" s="8"/>
      <c r="L4272" s="6"/>
    </row>
    <row r="4273" spans="1:12" x14ac:dyDescent="0.3">
      <c r="A4273" s="8"/>
      <c r="C4273" s="6"/>
      <c r="E4273" s="6"/>
      <c r="J4273" s="8"/>
      <c r="L4273" s="6"/>
    </row>
    <row r="4274" spans="1:12" x14ac:dyDescent="0.3">
      <c r="A4274" s="8"/>
      <c r="C4274" s="6"/>
      <c r="E4274" s="6"/>
      <c r="J4274" s="8"/>
      <c r="L4274" s="6"/>
    </row>
    <row r="4275" spans="1:12" x14ac:dyDescent="0.3">
      <c r="A4275" s="8"/>
      <c r="C4275" s="6"/>
      <c r="E4275" s="6"/>
      <c r="J4275" s="8"/>
      <c r="L4275" s="6"/>
    </row>
    <row r="4276" spans="1:12" x14ac:dyDescent="0.3">
      <c r="A4276" s="8"/>
      <c r="C4276" s="6"/>
      <c r="E4276" s="6"/>
      <c r="J4276" s="8"/>
      <c r="L4276" s="6"/>
    </row>
    <row r="4277" spans="1:12" x14ac:dyDescent="0.3">
      <c r="A4277" s="8"/>
      <c r="C4277" s="6"/>
      <c r="E4277" s="6"/>
      <c r="J4277" s="8"/>
      <c r="L4277" s="6"/>
    </row>
    <row r="4278" spans="1:12" x14ac:dyDescent="0.3">
      <c r="A4278" s="8"/>
      <c r="C4278" s="6"/>
      <c r="E4278" s="6"/>
      <c r="J4278" s="8"/>
      <c r="L4278" s="6"/>
    </row>
    <row r="4279" spans="1:12" x14ac:dyDescent="0.3">
      <c r="A4279" s="8"/>
      <c r="C4279" s="6"/>
      <c r="E4279" s="6"/>
      <c r="J4279" s="8"/>
      <c r="L4279" s="6"/>
    </row>
    <row r="4280" spans="1:12" x14ac:dyDescent="0.3">
      <c r="A4280" s="8"/>
      <c r="C4280" s="6"/>
      <c r="E4280" s="6"/>
      <c r="J4280" s="8"/>
      <c r="L4280" s="6"/>
    </row>
    <row r="4281" spans="1:12" x14ac:dyDescent="0.3">
      <c r="A4281" s="8"/>
      <c r="C4281" s="6"/>
      <c r="E4281" s="6"/>
      <c r="J4281" s="8"/>
      <c r="L4281" s="6"/>
    </row>
    <row r="4282" spans="1:12" x14ac:dyDescent="0.3">
      <c r="A4282" s="8"/>
      <c r="C4282" s="6"/>
      <c r="E4282" s="6"/>
      <c r="J4282" s="8"/>
      <c r="L4282" s="6"/>
    </row>
    <row r="4283" spans="1:12" x14ac:dyDescent="0.3">
      <c r="A4283" s="8"/>
      <c r="C4283" s="6"/>
      <c r="E4283" s="6"/>
      <c r="J4283" s="8"/>
      <c r="L4283" s="6"/>
    </row>
    <row r="4284" spans="1:12" x14ac:dyDescent="0.3">
      <c r="A4284" s="8"/>
      <c r="C4284" s="6"/>
      <c r="E4284" s="6"/>
      <c r="J4284" s="8"/>
      <c r="L4284" s="6"/>
    </row>
    <row r="4285" spans="1:12" x14ac:dyDescent="0.3">
      <c r="A4285" s="8"/>
      <c r="C4285" s="6"/>
      <c r="E4285" s="6"/>
      <c r="J4285" s="8"/>
      <c r="L4285" s="6"/>
    </row>
    <row r="4286" spans="1:12" x14ac:dyDescent="0.3">
      <c r="A4286" s="8"/>
      <c r="C4286" s="6"/>
      <c r="E4286" s="6"/>
      <c r="J4286" s="8"/>
      <c r="L4286" s="6"/>
    </row>
    <row r="4287" spans="1:12" x14ac:dyDescent="0.3">
      <c r="A4287" s="8"/>
      <c r="C4287" s="6"/>
      <c r="E4287" s="6"/>
      <c r="J4287" s="8"/>
      <c r="L4287" s="6"/>
    </row>
    <row r="4288" spans="1:12" x14ac:dyDescent="0.3">
      <c r="A4288" s="8"/>
      <c r="C4288" s="6"/>
      <c r="E4288" s="6"/>
      <c r="J4288" s="8"/>
      <c r="L4288" s="6"/>
    </row>
    <row r="4289" spans="1:12" x14ac:dyDescent="0.3">
      <c r="A4289" s="8"/>
      <c r="C4289" s="6"/>
      <c r="E4289" s="6"/>
      <c r="J4289" s="8"/>
      <c r="L4289" s="6"/>
    </row>
    <row r="4290" spans="1:12" x14ac:dyDescent="0.3">
      <c r="A4290" s="8"/>
      <c r="C4290" s="6"/>
      <c r="E4290" s="6"/>
      <c r="J4290" s="8"/>
      <c r="L4290" s="6"/>
    </row>
    <row r="4291" spans="1:12" x14ac:dyDescent="0.3">
      <c r="A4291" s="8"/>
      <c r="C4291" s="6"/>
      <c r="E4291" s="6"/>
      <c r="J4291" s="8"/>
      <c r="L4291" s="6"/>
    </row>
    <row r="4292" spans="1:12" x14ac:dyDescent="0.3">
      <c r="A4292" s="8"/>
      <c r="C4292" s="6"/>
      <c r="E4292" s="6"/>
      <c r="J4292" s="8"/>
      <c r="L4292" s="6"/>
    </row>
    <row r="4293" spans="1:12" x14ac:dyDescent="0.3">
      <c r="A4293" s="8"/>
      <c r="C4293" s="6"/>
      <c r="E4293" s="6"/>
      <c r="J4293" s="8"/>
      <c r="L4293" s="6"/>
    </row>
    <row r="4294" spans="1:12" x14ac:dyDescent="0.3">
      <c r="A4294" s="8"/>
      <c r="C4294" s="6"/>
      <c r="E4294" s="6"/>
      <c r="J4294" s="8"/>
      <c r="L4294" s="6"/>
    </row>
    <row r="4295" spans="1:12" x14ac:dyDescent="0.3">
      <c r="A4295" s="8"/>
      <c r="C4295" s="6"/>
      <c r="E4295" s="6"/>
      <c r="J4295" s="8"/>
      <c r="L4295" s="6"/>
    </row>
    <row r="4296" spans="1:12" x14ac:dyDescent="0.3">
      <c r="A4296" s="8"/>
      <c r="C4296" s="6"/>
      <c r="E4296" s="6"/>
      <c r="J4296" s="8"/>
      <c r="L4296" s="6"/>
    </row>
    <row r="4297" spans="1:12" x14ac:dyDescent="0.3">
      <c r="A4297" s="8"/>
      <c r="C4297" s="6"/>
      <c r="E4297" s="6"/>
      <c r="J4297" s="8"/>
      <c r="L4297" s="6"/>
    </row>
    <row r="4298" spans="1:12" x14ac:dyDescent="0.3">
      <c r="A4298" s="8"/>
      <c r="C4298" s="6"/>
      <c r="E4298" s="6"/>
      <c r="J4298" s="8"/>
      <c r="L4298" s="6"/>
    </row>
    <row r="4299" spans="1:12" x14ac:dyDescent="0.3">
      <c r="A4299" s="8"/>
      <c r="C4299" s="6"/>
      <c r="E4299" s="6"/>
      <c r="J4299" s="8"/>
      <c r="L4299" s="6"/>
    </row>
    <row r="4300" spans="1:12" x14ac:dyDescent="0.3">
      <c r="A4300" s="8"/>
      <c r="C4300" s="6"/>
      <c r="E4300" s="6"/>
      <c r="J4300" s="8"/>
      <c r="L4300" s="6"/>
    </row>
    <row r="4301" spans="1:12" x14ac:dyDescent="0.3">
      <c r="A4301" s="8"/>
      <c r="C4301" s="6"/>
      <c r="E4301" s="6"/>
      <c r="J4301" s="8"/>
      <c r="L4301" s="6"/>
    </row>
    <row r="4302" spans="1:12" x14ac:dyDescent="0.3">
      <c r="A4302" s="8"/>
      <c r="C4302" s="6"/>
      <c r="E4302" s="6"/>
      <c r="J4302" s="8"/>
      <c r="L4302" s="6"/>
    </row>
    <row r="4303" spans="1:12" x14ac:dyDescent="0.3">
      <c r="A4303" s="8"/>
      <c r="C4303" s="6"/>
      <c r="E4303" s="6"/>
      <c r="J4303" s="8"/>
      <c r="L4303" s="6"/>
    </row>
    <row r="4304" spans="1:12" x14ac:dyDescent="0.3">
      <c r="A4304" s="8"/>
      <c r="C4304" s="6"/>
      <c r="E4304" s="6"/>
      <c r="J4304" s="8"/>
      <c r="L4304" s="6"/>
    </row>
    <row r="4305" spans="1:12" x14ac:dyDescent="0.3">
      <c r="A4305" s="8"/>
      <c r="C4305" s="6"/>
      <c r="E4305" s="6"/>
      <c r="J4305" s="8"/>
      <c r="L4305" s="6"/>
    </row>
    <row r="4306" spans="1:12" x14ac:dyDescent="0.3">
      <c r="A4306" s="8"/>
      <c r="C4306" s="6"/>
      <c r="E4306" s="6"/>
      <c r="J4306" s="8"/>
      <c r="L4306" s="6"/>
    </row>
    <row r="4307" spans="1:12" x14ac:dyDescent="0.3">
      <c r="A4307" s="8"/>
      <c r="C4307" s="6"/>
      <c r="E4307" s="6"/>
      <c r="J4307" s="8"/>
      <c r="L4307" s="6"/>
    </row>
    <row r="4308" spans="1:12" x14ac:dyDescent="0.3">
      <c r="A4308" s="8"/>
      <c r="C4308" s="6"/>
      <c r="E4308" s="6"/>
      <c r="J4308" s="8"/>
      <c r="L4308" s="6"/>
    </row>
    <row r="4309" spans="1:12" x14ac:dyDescent="0.3">
      <c r="A4309" s="8"/>
      <c r="C4309" s="6"/>
      <c r="E4309" s="6"/>
      <c r="J4309" s="8"/>
      <c r="L4309" s="6"/>
    </row>
    <row r="4310" spans="1:12" x14ac:dyDescent="0.3">
      <c r="A4310" s="8"/>
      <c r="C4310" s="6"/>
      <c r="E4310" s="6"/>
      <c r="J4310" s="8"/>
      <c r="L4310" s="6"/>
    </row>
    <row r="4311" spans="1:12" x14ac:dyDescent="0.3">
      <c r="A4311" s="8"/>
      <c r="C4311" s="6"/>
      <c r="E4311" s="6"/>
      <c r="J4311" s="8"/>
      <c r="L4311" s="6"/>
    </row>
    <row r="4312" spans="1:12" x14ac:dyDescent="0.3">
      <c r="A4312" s="8"/>
      <c r="C4312" s="6"/>
      <c r="E4312" s="6"/>
      <c r="J4312" s="8"/>
      <c r="L4312" s="6"/>
    </row>
    <row r="4313" spans="1:12" x14ac:dyDescent="0.3">
      <c r="A4313" s="8"/>
      <c r="C4313" s="6"/>
      <c r="E4313" s="6"/>
      <c r="J4313" s="8"/>
      <c r="L4313" s="6"/>
    </row>
    <row r="4314" spans="1:12" x14ac:dyDescent="0.3">
      <c r="A4314" s="8"/>
      <c r="C4314" s="6"/>
      <c r="E4314" s="6"/>
      <c r="J4314" s="8"/>
      <c r="L4314" s="6"/>
    </row>
    <row r="4315" spans="1:12" x14ac:dyDescent="0.3">
      <c r="A4315" s="8"/>
      <c r="C4315" s="6"/>
      <c r="E4315" s="6"/>
      <c r="J4315" s="8"/>
      <c r="L4315" s="6"/>
    </row>
    <row r="4316" spans="1:12" x14ac:dyDescent="0.3">
      <c r="A4316" s="8"/>
      <c r="C4316" s="6"/>
      <c r="E4316" s="6"/>
      <c r="J4316" s="8"/>
      <c r="L4316" s="6"/>
    </row>
    <row r="4317" spans="1:12" x14ac:dyDescent="0.3">
      <c r="A4317" s="8"/>
      <c r="C4317" s="6"/>
      <c r="E4317" s="6"/>
      <c r="J4317" s="8"/>
      <c r="L4317" s="6"/>
    </row>
    <row r="4318" spans="1:12" x14ac:dyDescent="0.3">
      <c r="A4318" s="8"/>
      <c r="C4318" s="6"/>
      <c r="E4318" s="6"/>
      <c r="J4318" s="8"/>
      <c r="L4318" s="6"/>
    </row>
    <row r="4319" spans="1:12" x14ac:dyDescent="0.3">
      <c r="A4319" s="8"/>
      <c r="C4319" s="6"/>
      <c r="E4319" s="6"/>
      <c r="J4319" s="8"/>
      <c r="L4319" s="6"/>
    </row>
    <row r="4320" spans="1:12" x14ac:dyDescent="0.3">
      <c r="A4320" s="8"/>
      <c r="C4320" s="6"/>
      <c r="E4320" s="6"/>
      <c r="J4320" s="8"/>
      <c r="L4320" s="6"/>
    </row>
    <row r="4321" spans="1:12" x14ac:dyDescent="0.3">
      <c r="A4321" s="8"/>
      <c r="C4321" s="6"/>
      <c r="E4321" s="6"/>
      <c r="J4321" s="8"/>
      <c r="L4321" s="6"/>
    </row>
    <row r="4322" spans="1:12" x14ac:dyDescent="0.3">
      <c r="A4322" s="8"/>
      <c r="C4322" s="6"/>
      <c r="E4322" s="6"/>
      <c r="J4322" s="8"/>
      <c r="L4322" s="6"/>
    </row>
    <row r="4323" spans="1:12" x14ac:dyDescent="0.3">
      <c r="A4323" s="8"/>
      <c r="C4323" s="6"/>
      <c r="E4323" s="6"/>
      <c r="J4323" s="8"/>
      <c r="L4323" s="6"/>
    </row>
    <row r="4324" spans="1:12" x14ac:dyDescent="0.3">
      <c r="A4324" s="8"/>
      <c r="C4324" s="6"/>
      <c r="E4324" s="6"/>
      <c r="J4324" s="8"/>
      <c r="L4324" s="6"/>
    </row>
    <row r="4325" spans="1:12" x14ac:dyDescent="0.3">
      <c r="A4325" s="8"/>
      <c r="C4325" s="6"/>
      <c r="E4325" s="6"/>
      <c r="J4325" s="8"/>
      <c r="L4325" s="6"/>
    </row>
    <row r="4326" spans="1:12" x14ac:dyDescent="0.3">
      <c r="A4326" s="8"/>
      <c r="C4326" s="6"/>
      <c r="E4326" s="6"/>
      <c r="J4326" s="8"/>
      <c r="L4326" s="6"/>
    </row>
    <row r="4327" spans="1:12" x14ac:dyDescent="0.3">
      <c r="A4327" s="8"/>
      <c r="C4327" s="6"/>
      <c r="E4327" s="6"/>
      <c r="J4327" s="8"/>
      <c r="L4327" s="6"/>
    </row>
    <row r="4328" spans="1:12" x14ac:dyDescent="0.3">
      <c r="A4328" s="8"/>
      <c r="C4328" s="6"/>
      <c r="E4328" s="6"/>
      <c r="J4328" s="8"/>
      <c r="L4328" s="6"/>
    </row>
    <row r="4329" spans="1:12" x14ac:dyDescent="0.3">
      <c r="A4329" s="8"/>
      <c r="C4329" s="6"/>
      <c r="E4329" s="6"/>
      <c r="J4329" s="8"/>
      <c r="L4329" s="6"/>
    </row>
    <row r="4330" spans="1:12" x14ac:dyDescent="0.3">
      <c r="A4330" s="8"/>
      <c r="C4330" s="6"/>
      <c r="E4330" s="6"/>
      <c r="J4330" s="8"/>
      <c r="L4330" s="6"/>
    </row>
    <row r="4331" spans="1:12" x14ac:dyDescent="0.3">
      <c r="A4331" s="8"/>
      <c r="C4331" s="6"/>
      <c r="E4331" s="6"/>
      <c r="J4331" s="8"/>
      <c r="L4331" s="6"/>
    </row>
    <row r="4332" spans="1:12" x14ac:dyDescent="0.3">
      <c r="A4332" s="8"/>
      <c r="C4332" s="6"/>
      <c r="E4332" s="6"/>
      <c r="J4332" s="8"/>
      <c r="L4332" s="6"/>
    </row>
    <row r="4333" spans="1:12" x14ac:dyDescent="0.3">
      <c r="A4333" s="8"/>
      <c r="C4333" s="6"/>
      <c r="E4333" s="6"/>
      <c r="J4333" s="8"/>
      <c r="L4333" s="6"/>
    </row>
    <row r="4334" spans="1:12" x14ac:dyDescent="0.3">
      <c r="A4334" s="8"/>
      <c r="C4334" s="6"/>
      <c r="E4334" s="6"/>
      <c r="J4334" s="8"/>
      <c r="L4334" s="6"/>
    </row>
    <row r="4335" spans="1:12" x14ac:dyDescent="0.3">
      <c r="A4335" s="8"/>
      <c r="C4335" s="6"/>
      <c r="E4335" s="6"/>
      <c r="J4335" s="8"/>
      <c r="L4335" s="6"/>
    </row>
    <row r="4336" spans="1:12" x14ac:dyDescent="0.3">
      <c r="A4336" s="8"/>
      <c r="C4336" s="6"/>
      <c r="E4336" s="6"/>
      <c r="J4336" s="8"/>
      <c r="L4336" s="6"/>
    </row>
    <row r="4337" spans="1:12" x14ac:dyDescent="0.3">
      <c r="A4337" s="8"/>
      <c r="C4337" s="6"/>
      <c r="E4337" s="6"/>
      <c r="J4337" s="8"/>
      <c r="L4337" s="6"/>
    </row>
    <row r="4338" spans="1:12" x14ac:dyDescent="0.3">
      <c r="A4338" s="8"/>
      <c r="C4338" s="6"/>
      <c r="E4338" s="6"/>
      <c r="J4338" s="8"/>
      <c r="L4338" s="6"/>
    </row>
    <row r="4339" spans="1:12" x14ac:dyDescent="0.3">
      <c r="A4339" s="8"/>
      <c r="C4339" s="6"/>
      <c r="E4339" s="6"/>
      <c r="J4339" s="8"/>
      <c r="L4339" s="6"/>
    </row>
    <row r="4340" spans="1:12" x14ac:dyDescent="0.3">
      <c r="A4340" s="8"/>
      <c r="C4340" s="6"/>
      <c r="E4340" s="6"/>
      <c r="J4340" s="8"/>
      <c r="L4340" s="6"/>
    </row>
    <row r="4341" spans="1:12" x14ac:dyDescent="0.3">
      <c r="A4341" s="8"/>
      <c r="C4341" s="6"/>
      <c r="E4341" s="6"/>
      <c r="J4341" s="8"/>
      <c r="L4341" s="6"/>
    </row>
    <row r="4342" spans="1:12" x14ac:dyDescent="0.3">
      <c r="A4342" s="8"/>
      <c r="C4342" s="6"/>
      <c r="E4342" s="6"/>
      <c r="J4342" s="8"/>
      <c r="L4342" s="6"/>
    </row>
    <row r="4343" spans="1:12" x14ac:dyDescent="0.3">
      <c r="A4343" s="8"/>
      <c r="C4343" s="6"/>
      <c r="E4343" s="6"/>
      <c r="J4343" s="8"/>
      <c r="L4343" s="6"/>
    </row>
    <row r="4344" spans="1:12" x14ac:dyDescent="0.3">
      <c r="A4344" s="8"/>
      <c r="C4344" s="6"/>
      <c r="E4344" s="6"/>
      <c r="J4344" s="8"/>
      <c r="L4344" s="6"/>
    </row>
    <row r="4345" spans="1:12" x14ac:dyDescent="0.3">
      <c r="A4345" s="8"/>
      <c r="C4345" s="6"/>
      <c r="E4345" s="6"/>
      <c r="J4345" s="8"/>
      <c r="L4345" s="6"/>
    </row>
    <row r="4346" spans="1:12" x14ac:dyDescent="0.3">
      <c r="A4346" s="8"/>
      <c r="C4346" s="6"/>
      <c r="E4346" s="6"/>
      <c r="J4346" s="8"/>
      <c r="L4346" s="6"/>
    </row>
    <row r="4347" spans="1:12" x14ac:dyDescent="0.3">
      <c r="A4347" s="8"/>
      <c r="C4347" s="6"/>
      <c r="E4347" s="6"/>
      <c r="J4347" s="8"/>
      <c r="L4347" s="6"/>
    </row>
    <row r="4348" spans="1:12" x14ac:dyDescent="0.3">
      <c r="A4348" s="8"/>
      <c r="C4348" s="6"/>
      <c r="E4348" s="6"/>
      <c r="J4348" s="8"/>
      <c r="L4348" s="6"/>
    </row>
    <row r="4349" spans="1:12" x14ac:dyDescent="0.3">
      <c r="A4349" s="8"/>
      <c r="C4349" s="6"/>
      <c r="E4349" s="6"/>
      <c r="J4349" s="8"/>
      <c r="L4349" s="6"/>
    </row>
    <row r="4350" spans="1:12" x14ac:dyDescent="0.3">
      <c r="A4350" s="8"/>
      <c r="C4350" s="6"/>
      <c r="E4350" s="6"/>
      <c r="J4350" s="8"/>
      <c r="L4350" s="6"/>
    </row>
    <row r="4351" spans="1:12" x14ac:dyDescent="0.3">
      <c r="A4351" s="8"/>
      <c r="C4351" s="6"/>
      <c r="E4351" s="6"/>
      <c r="J4351" s="8"/>
      <c r="L4351" s="6"/>
    </row>
    <row r="4352" spans="1:12" x14ac:dyDescent="0.3">
      <c r="A4352" s="8"/>
      <c r="C4352" s="6"/>
      <c r="E4352" s="6"/>
      <c r="J4352" s="8"/>
      <c r="L4352" s="6"/>
    </row>
    <row r="4353" spans="1:12" x14ac:dyDescent="0.3">
      <c r="A4353" s="8"/>
      <c r="C4353" s="6"/>
      <c r="E4353" s="6"/>
      <c r="J4353" s="8"/>
      <c r="L4353" s="6"/>
    </row>
    <row r="4354" spans="1:12" x14ac:dyDescent="0.3">
      <c r="A4354" s="8"/>
      <c r="C4354" s="6"/>
      <c r="E4354" s="6"/>
      <c r="J4354" s="8"/>
      <c r="L4354" s="6"/>
    </row>
    <row r="4355" spans="1:12" x14ac:dyDescent="0.3">
      <c r="A4355" s="8"/>
      <c r="C4355" s="6"/>
      <c r="E4355" s="6"/>
      <c r="J4355" s="8"/>
      <c r="L4355" s="6"/>
    </row>
    <row r="4356" spans="1:12" x14ac:dyDescent="0.3">
      <c r="A4356" s="8"/>
      <c r="C4356" s="6"/>
      <c r="E4356" s="6"/>
      <c r="J4356" s="8"/>
      <c r="L4356" s="6"/>
    </row>
    <row r="4357" spans="1:12" x14ac:dyDescent="0.3">
      <c r="A4357" s="8"/>
      <c r="C4357" s="6"/>
      <c r="E4357" s="6"/>
      <c r="J4357" s="8"/>
      <c r="L4357" s="6"/>
    </row>
    <row r="4358" spans="1:12" x14ac:dyDescent="0.3">
      <c r="A4358" s="8"/>
      <c r="C4358" s="6"/>
      <c r="E4358" s="6"/>
      <c r="J4358" s="8"/>
      <c r="L4358" s="6"/>
    </row>
    <row r="4359" spans="1:12" x14ac:dyDescent="0.3">
      <c r="A4359" s="8"/>
      <c r="C4359" s="6"/>
      <c r="E4359" s="6"/>
      <c r="J4359" s="8"/>
      <c r="L4359" s="6"/>
    </row>
    <row r="4360" spans="1:12" x14ac:dyDescent="0.3">
      <c r="A4360" s="8"/>
      <c r="C4360" s="6"/>
      <c r="E4360" s="6"/>
      <c r="J4360" s="8"/>
      <c r="L4360" s="6"/>
    </row>
    <row r="4361" spans="1:12" x14ac:dyDescent="0.3">
      <c r="A4361" s="8"/>
      <c r="C4361" s="6"/>
      <c r="E4361" s="6"/>
      <c r="J4361" s="8"/>
      <c r="L4361" s="6"/>
    </row>
    <row r="4362" spans="1:12" x14ac:dyDescent="0.3">
      <c r="A4362" s="8"/>
      <c r="C4362" s="6"/>
      <c r="E4362" s="6"/>
      <c r="J4362" s="8"/>
      <c r="L4362" s="6"/>
    </row>
    <row r="4363" spans="1:12" x14ac:dyDescent="0.3">
      <c r="A4363" s="8"/>
      <c r="C4363" s="6"/>
      <c r="E4363" s="6"/>
      <c r="J4363" s="8"/>
      <c r="L4363" s="6"/>
    </row>
    <row r="4364" spans="1:12" x14ac:dyDescent="0.3">
      <c r="A4364" s="8"/>
      <c r="C4364" s="6"/>
      <c r="E4364" s="6"/>
      <c r="J4364" s="8"/>
      <c r="L4364" s="6"/>
    </row>
    <row r="4365" spans="1:12" x14ac:dyDescent="0.3">
      <c r="A4365" s="8"/>
      <c r="C4365" s="6"/>
      <c r="E4365" s="6"/>
      <c r="J4365" s="8"/>
      <c r="L4365" s="6"/>
    </row>
    <row r="4366" spans="1:12" x14ac:dyDescent="0.3">
      <c r="A4366" s="8"/>
      <c r="C4366" s="6"/>
      <c r="E4366" s="6"/>
      <c r="J4366" s="8"/>
      <c r="L4366" s="6"/>
    </row>
    <row r="4367" spans="1:12" x14ac:dyDescent="0.3">
      <c r="A4367" s="8"/>
      <c r="C4367" s="6"/>
      <c r="E4367" s="6"/>
      <c r="J4367" s="8"/>
      <c r="L4367" s="6"/>
    </row>
    <row r="4368" spans="1:12" x14ac:dyDescent="0.3">
      <c r="A4368" s="8"/>
      <c r="C4368" s="6"/>
      <c r="E4368" s="6"/>
      <c r="J4368" s="8"/>
      <c r="L4368" s="6"/>
    </row>
    <row r="4369" spans="1:12" x14ac:dyDescent="0.3">
      <c r="A4369" s="8"/>
      <c r="C4369" s="6"/>
      <c r="E4369" s="6"/>
      <c r="J4369" s="8"/>
      <c r="L4369" s="6"/>
    </row>
    <row r="4370" spans="1:12" x14ac:dyDescent="0.3">
      <c r="A4370" s="8"/>
      <c r="C4370" s="6"/>
      <c r="E4370" s="6"/>
      <c r="J4370" s="8"/>
      <c r="L4370" s="6"/>
    </row>
    <row r="4371" spans="1:12" x14ac:dyDescent="0.3">
      <c r="A4371" s="8"/>
      <c r="C4371" s="6"/>
      <c r="E4371" s="6"/>
      <c r="J4371" s="8"/>
      <c r="L4371" s="6"/>
    </row>
    <row r="4372" spans="1:12" x14ac:dyDescent="0.3">
      <c r="A4372" s="8"/>
      <c r="C4372" s="6"/>
      <c r="E4372" s="6"/>
      <c r="J4372" s="8"/>
      <c r="L4372" s="6"/>
    </row>
    <row r="4373" spans="1:12" x14ac:dyDescent="0.3">
      <c r="A4373" s="8"/>
      <c r="C4373" s="6"/>
      <c r="E4373" s="6"/>
      <c r="J4373" s="8"/>
      <c r="L4373" s="6"/>
    </row>
    <row r="4374" spans="1:12" x14ac:dyDescent="0.3">
      <c r="A4374" s="8"/>
      <c r="C4374" s="6"/>
      <c r="E4374" s="6"/>
      <c r="J4374" s="8"/>
      <c r="L4374" s="6"/>
    </row>
    <row r="4375" spans="1:12" x14ac:dyDescent="0.3">
      <c r="A4375" s="8"/>
      <c r="C4375" s="6"/>
      <c r="E4375" s="6"/>
      <c r="J4375" s="8"/>
      <c r="L4375" s="6"/>
    </row>
    <row r="4376" spans="1:12" x14ac:dyDescent="0.3">
      <c r="A4376" s="8"/>
      <c r="C4376" s="6"/>
      <c r="E4376" s="6"/>
      <c r="J4376" s="8"/>
      <c r="L4376" s="6"/>
    </row>
    <row r="4377" spans="1:12" x14ac:dyDescent="0.3">
      <c r="A4377" s="8"/>
      <c r="C4377" s="6"/>
      <c r="E4377" s="6"/>
      <c r="J4377" s="8"/>
      <c r="L4377" s="6"/>
    </row>
    <row r="4378" spans="1:12" x14ac:dyDescent="0.3">
      <c r="A4378" s="8"/>
      <c r="C4378" s="6"/>
      <c r="E4378" s="6"/>
      <c r="J4378" s="8"/>
      <c r="L4378" s="6"/>
    </row>
    <row r="4379" spans="1:12" x14ac:dyDescent="0.3">
      <c r="A4379" s="8"/>
      <c r="C4379" s="6"/>
      <c r="E4379" s="6"/>
      <c r="J4379" s="8"/>
      <c r="L4379" s="6"/>
    </row>
    <row r="4380" spans="1:12" x14ac:dyDescent="0.3">
      <c r="A4380" s="8"/>
      <c r="C4380" s="6"/>
      <c r="E4380" s="6"/>
      <c r="J4380" s="8"/>
      <c r="L4380" s="6"/>
    </row>
    <row r="4381" spans="1:12" x14ac:dyDescent="0.3">
      <c r="A4381" s="8"/>
      <c r="C4381" s="6"/>
      <c r="E4381" s="6"/>
      <c r="J4381" s="8"/>
      <c r="L4381" s="6"/>
    </row>
    <row r="4382" spans="1:12" x14ac:dyDescent="0.3">
      <c r="A4382" s="8"/>
      <c r="C4382" s="6"/>
      <c r="E4382" s="6"/>
      <c r="J4382" s="8"/>
      <c r="L4382" s="6"/>
    </row>
    <row r="4383" spans="1:12" x14ac:dyDescent="0.3">
      <c r="A4383" s="8"/>
      <c r="C4383" s="6"/>
      <c r="E4383" s="6"/>
      <c r="J4383" s="8"/>
      <c r="L4383" s="6"/>
    </row>
    <row r="4384" spans="1:12" x14ac:dyDescent="0.3">
      <c r="A4384" s="8"/>
      <c r="C4384" s="6"/>
      <c r="E4384" s="6"/>
      <c r="J4384" s="8"/>
      <c r="L4384" s="6"/>
    </row>
    <row r="4385" spans="1:12" x14ac:dyDescent="0.3">
      <c r="A4385" s="8"/>
      <c r="C4385" s="6"/>
      <c r="E4385" s="6"/>
      <c r="J4385" s="8"/>
      <c r="L4385" s="6"/>
    </row>
    <row r="4386" spans="1:12" x14ac:dyDescent="0.3">
      <c r="A4386" s="8"/>
      <c r="C4386" s="6"/>
      <c r="E4386" s="6"/>
      <c r="J4386" s="8"/>
      <c r="L4386" s="6"/>
    </row>
    <row r="4387" spans="1:12" x14ac:dyDescent="0.3">
      <c r="A4387" s="8"/>
      <c r="C4387" s="6"/>
      <c r="E4387" s="6"/>
      <c r="J4387" s="8"/>
      <c r="L4387" s="6"/>
    </row>
    <row r="4388" spans="1:12" x14ac:dyDescent="0.3">
      <c r="A4388" s="8"/>
      <c r="C4388" s="6"/>
      <c r="E4388" s="6"/>
      <c r="J4388" s="8"/>
      <c r="L4388" s="6"/>
    </row>
    <row r="4389" spans="1:12" x14ac:dyDescent="0.3">
      <c r="A4389" s="8"/>
      <c r="C4389" s="6"/>
      <c r="E4389" s="6"/>
      <c r="J4389" s="8"/>
      <c r="L4389" s="6"/>
    </row>
    <row r="4390" spans="1:12" x14ac:dyDescent="0.3">
      <c r="A4390" s="8"/>
      <c r="C4390" s="6"/>
      <c r="E4390" s="6"/>
      <c r="J4390" s="8"/>
      <c r="L4390" s="6"/>
    </row>
    <row r="4391" spans="1:12" x14ac:dyDescent="0.3">
      <c r="A4391" s="8"/>
      <c r="C4391" s="6"/>
      <c r="E4391" s="6"/>
      <c r="J4391" s="8"/>
      <c r="L4391" s="6"/>
    </row>
    <row r="4392" spans="1:12" x14ac:dyDescent="0.3">
      <c r="A4392" s="8"/>
      <c r="C4392" s="6"/>
      <c r="E4392" s="6"/>
      <c r="J4392" s="8"/>
      <c r="L4392" s="6"/>
    </row>
    <row r="4393" spans="1:12" x14ac:dyDescent="0.3">
      <c r="A4393" s="8"/>
      <c r="C4393" s="6"/>
      <c r="E4393" s="6"/>
      <c r="J4393" s="8"/>
      <c r="L4393" s="6"/>
    </row>
    <row r="4394" spans="1:12" x14ac:dyDescent="0.3">
      <c r="A4394" s="8"/>
      <c r="C4394" s="6"/>
      <c r="E4394" s="6"/>
      <c r="J4394" s="8"/>
      <c r="L4394" s="6"/>
    </row>
    <row r="4395" spans="1:12" x14ac:dyDescent="0.3">
      <c r="A4395" s="8"/>
      <c r="C4395" s="6"/>
      <c r="E4395" s="6"/>
      <c r="J4395" s="8"/>
      <c r="L4395" s="6"/>
    </row>
    <row r="4396" spans="1:12" x14ac:dyDescent="0.3">
      <c r="A4396" s="8"/>
      <c r="C4396" s="6"/>
      <c r="E4396" s="6"/>
      <c r="J4396" s="8"/>
      <c r="L4396" s="6"/>
    </row>
    <row r="4397" spans="1:12" x14ac:dyDescent="0.3">
      <c r="A4397" s="8"/>
      <c r="C4397" s="6"/>
      <c r="E4397" s="6"/>
      <c r="J4397" s="8"/>
      <c r="L4397" s="6"/>
    </row>
    <row r="4398" spans="1:12" x14ac:dyDescent="0.3">
      <c r="A4398" s="8"/>
      <c r="C4398" s="6"/>
      <c r="E4398" s="6"/>
      <c r="J4398" s="8"/>
      <c r="L4398" s="6"/>
    </row>
    <row r="4399" spans="1:12" x14ac:dyDescent="0.3">
      <c r="A4399" s="8"/>
      <c r="C4399" s="6"/>
      <c r="E4399" s="6"/>
      <c r="J4399" s="8"/>
      <c r="L4399" s="6"/>
    </row>
    <row r="4400" spans="1:12" x14ac:dyDescent="0.3">
      <c r="A4400" s="8"/>
      <c r="C4400" s="6"/>
      <c r="E4400" s="6"/>
      <c r="J4400" s="8"/>
      <c r="L4400" s="6"/>
    </row>
    <row r="4401" spans="1:12" x14ac:dyDescent="0.3">
      <c r="A4401" s="8"/>
      <c r="C4401" s="6"/>
      <c r="E4401" s="6"/>
      <c r="J4401" s="8"/>
      <c r="L4401" s="6"/>
    </row>
    <row r="4402" spans="1:12" x14ac:dyDescent="0.3">
      <c r="A4402" s="8"/>
      <c r="C4402" s="6"/>
      <c r="E4402" s="6"/>
      <c r="J4402" s="8"/>
      <c r="L4402" s="6"/>
    </row>
    <row r="4403" spans="1:12" x14ac:dyDescent="0.3">
      <c r="A4403" s="8"/>
      <c r="C4403" s="6"/>
      <c r="E4403" s="6"/>
      <c r="J4403" s="8"/>
      <c r="L4403" s="6"/>
    </row>
    <row r="4404" spans="1:12" x14ac:dyDescent="0.3">
      <c r="A4404" s="8"/>
      <c r="C4404" s="6"/>
      <c r="E4404" s="6"/>
      <c r="J4404" s="8"/>
      <c r="L4404" s="6"/>
    </row>
    <row r="4405" spans="1:12" x14ac:dyDescent="0.3">
      <c r="A4405" s="8"/>
      <c r="C4405" s="6"/>
      <c r="E4405" s="6"/>
      <c r="J4405" s="8"/>
      <c r="L4405" s="6"/>
    </row>
    <row r="4406" spans="1:12" x14ac:dyDescent="0.3">
      <c r="A4406" s="8"/>
      <c r="C4406" s="6"/>
      <c r="E4406" s="6"/>
      <c r="J4406" s="8"/>
      <c r="L4406" s="6"/>
    </row>
    <row r="4407" spans="1:12" x14ac:dyDescent="0.3">
      <c r="A4407" s="8"/>
      <c r="C4407" s="6"/>
      <c r="E4407" s="6"/>
      <c r="J4407" s="8"/>
      <c r="L4407" s="6"/>
    </row>
    <row r="4408" spans="1:12" x14ac:dyDescent="0.3">
      <c r="A4408" s="8"/>
      <c r="C4408" s="6"/>
      <c r="E4408" s="6"/>
      <c r="J4408" s="8"/>
      <c r="L4408" s="6"/>
    </row>
    <row r="4409" spans="1:12" x14ac:dyDescent="0.3">
      <c r="A4409" s="8"/>
      <c r="C4409" s="6"/>
      <c r="E4409" s="6"/>
      <c r="J4409" s="8"/>
      <c r="L4409" s="6"/>
    </row>
    <row r="4410" spans="1:12" x14ac:dyDescent="0.3">
      <c r="A4410" s="8"/>
      <c r="C4410" s="6"/>
      <c r="E4410" s="6"/>
      <c r="J4410" s="8"/>
      <c r="L4410" s="6"/>
    </row>
    <row r="4411" spans="1:12" x14ac:dyDescent="0.3">
      <c r="A4411" s="8"/>
      <c r="C4411" s="6"/>
      <c r="E4411" s="6"/>
      <c r="J4411" s="8"/>
      <c r="L4411" s="6"/>
    </row>
    <row r="4412" spans="1:12" x14ac:dyDescent="0.3">
      <c r="A4412" s="8"/>
      <c r="C4412" s="6"/>
      <c r="E4412" s="6"/>
      <c r="J4412" s="8"/>
      <c r="L4412" s="6"/>
    </row>
    <row r="4413" spans="1:12" x14ac:dyDescent="0.3">
      <c r="A4413" s="8"/>
      <c r="C4413" s="6"/>
      <c r="E4413" s="6"/>
      <c r="J4413" s="8"/>
      <c r="L4413" s="6"/>
    </row>
    <row r="4414" spans="1:12" x14ac:dyDescent="0.3">
      <c r="A4414" s="8"/>
      <c r="C4414" s="6"/>
      <c r="E4414" s="6"/>
      <c r="J4414" s="8"/>
      <c r="L4414" s="6"/>
    </row>
    <row r="4415" spans="1:12" x14ac:dyDescent="0.3">
      <c r="A4415" s="8"/>
      <c r="C4415" s="6"/>
      <c r="E4415" s="6"/>
      <c r="J4415" s="8"/>
      <c r="L4415" s="6"/>
    </row>
    <row r="4416" spans="1:12" x14ac:dyDescent="0.3">
      <c r="A4416" s="8"/>
      <c r="C4416" s="6"/>
      <c r="E4416" s="6"/>
      <c r="J4416" s="8"/>
      <c r="L4416" s="6"/>
    </row>
    <row r="4417" spans="1:12" x14ac:dyDescent="0.3">
      <c r="A4417" s="8"/>
      <c r="C4417" s="6"/>
      <c r="E4417" s="6"/>
      <c r="J4417" s="8"/>
      <c r="L4417" s="6"/>
    </row>
    <row r="4418" spans="1:12" x14ac:dyDescent="0.3">
      <c r="A4418" s="8"/>
      <c r="C4418" s="6"/>
      <c r="E4418" s="6"/>
      <c r="J4418" s="8"/>
      <c r="L4418" s="6"/>
    </row>
    <row r="4419" spans="1:12" x14ac:dyDescent="0.3">
      <c r="A4419" s="8"/>
      <c r="C4419" s="6"/>
      <c r="E4419" s="6"/>
      <c r="J4419" s="8"/>
      <c r="L4419" s="6"/>
    </row>
    <row r="4420" spans="1:12" x14ac:dyDescent="0.3">
      <c r="A4420" s="8"/>
      <c r="C4420" s="6"/>
      <c r="E4420" s="6"/>
      <c r="J4420" s="8"/>
      <c r="L4420" s="6"/>
    </row>
    <row r="4421" spans="1:12" x14ac:dyDescent="0.3">
      <c r="A4421" s="8"/>
      <c r="C4421" s="6"/>
      <c r="E4421" s="6"/>
      <c r="J4421" s="8"/>
      <c r="L4421" s="6"/>
    </row>
    <row r="4422" spans="1:12" x14ac:dyDescent="0.3">
      <c r="A4422" s="8"/>
      <c r="C4422" s="6"/>
      <c r="E4422" s="6"/>
      <c r="J4422" s="8"/>
      <c r="L4422" s="6"/>
    </row>
    <row r="4423" spans="1:12" x14ac:dyDescent="0.3">
      <c r="A4423" s="8"/>
      <c r="C4423" s="6"/>
      <c r="E4423" s="6"/>
      <c r="J4423" s="8"/>
      <c r="L4423" s="6"/>
    </row>
    <row r="4424" spans="1:12" x14ac:dyDescent="0.3">
      <c r="A4424" s="8"/>
      <c r="C4424" s="6"/>
      <c r="E4424" s="6"/>
      <c r="J4424" s="8"/>
      <c r="L4424" s="6"/>
    </row>
    <row r="4425" spans="1:12" x14ac:dyDescent="0.3">
      <c r="A4425" s="8"/>
      <c r="C4425" s="6"/>
      <c r="E4425" s="6"/>
      <c r="J4425" s="8"/>
      <c r="L4425" s="6"/>
    </row>
    <row r="4426" spans="1:12" x14ac:dyDescent="0.3">
      <c r="A4426" s="8"/>
      <c r="C4426" s="6"/>
      <c r="E4426" s="6"/>
      <c r="J4426" s="8"/>
      <c r="L4426" s="6"/>
    </row>
    <row r="4427" spans="1:12" x14ac:dyDescent="0.3">
      <c r="A4427" s="8"/>
      <c r="C4427" s="6"/>
      <c r="E4427" s="6"/>
      <c r="J4427" s="8"/>
      <c r="L4427" s="6"/>
    </row>
    <row r="4428" spans="1:12" x14ac:dyDescent="0.3">
      <c r="A4428" s="8"/>
      <c r="C4428" s="6"/>
      <c r="E4428" s="6"/>
      <c r="J4428" s="8"/>
      <c r="L4428" s="6"/>
    </row>
    <row r="4429" spans="1:12" x14ac:dyDescent="0.3">
      <c r="A4429" s="8"/>
      <c r="C4429" s="6"/>
      <c r="E4429" s="6"/>
      <c r="J4429" s="8"/>
      <c r="L4429" s="6"/>
    </row>
    <row r="4430" spans="1:12" x14ac:dyDescent="0.3">
      <c r="A4430" s="8"/>
      <c r="C4430" s="6"/>
      <c r="E4430" s="6"/>
      <c r="J4430" s="8"/>
      <c r="L4430" s="6"/>
    </row>
    <row r="4431" spans="1:12" x14ac:dyDescent="0.3">
      <c r="A4431" s="8"/>
      <c r="C4431" s="6"/>
      <c r="E4431" s="6"/>
      <c r="J4431" s="8"/>
      <c r="L4431" s="6"/>
    </row>
    <row r="4432" spans="1:12" x14ac:dyDescent="0.3">
      <c r="A4432" s="8"/>
      <c r="C4432" s="6"/>
      <c r="E4432" s="6"/>
      <c r="J4432" s="8"/>
      <c r="L4432" s="6"/>
    </row>
    <row r="4433" spans="1:12" x14ac:dyDescent="0.3">
      <c r="A4433" s="8"/>
      <c r="C4433" s="6"/>
      <c r="E4433" s="6"/>
      <c r="J4433" s="8"/>
      <c r="L4433" s="6"/>
    </row>
    <row r="4434" spans="1:12" x14ac:dyDescent="0.3">
      <c r="A4434" s="8"/>
      <c r="C4434" s="6"/>
      <c r="E4434" s="6"/>
      <c r="J4434" s="8"/>
      <c r="L4434" s="6"/>
    </row>
    <row r="4435" spans="1:12" x14ac:dyDescent="0.3">
      <c r="A4435" s="8"/>
      <c r="C4435" s="6"/>
      <c r="E4435" s="6"/>
      <c r="J4435" s="8"/>
      <c r="L4435" s="6"/>
    </row>
    <row r="4436" spans="1:12" x14ac:dyDescent="0.3">
      <c r="A4436" s="8"/>
      <c r="C4436" s="6"/>
      <c r="E4436" s="6"/>
      <c r="J4436" s="8"/>
      <c r="L4436" s="6"/>
    </row>
    <row r="4437" spans="1:12" x14ac:dyDescent="0.3">
      <c r="A4437" s="8"/>
      <c r="C4437" s="6"/>
      <c r="E4437" s="6"/>
      <c r="J4437" s="8"/>
      <c r="L4437" s="6"/>
    </row>
    <row r="4438" spans="1:12" x14ac:dyDescent="0.3">
      <c r="A4438" s="8"/>
      <c r="C4438" s="6"/>
      <c r="E4438" s="6"/>
      <c r="J4438" s="8"/>
      <c r="L4438" s="6"/>
    </row>
    <row r="4439" spans="1:12" x14ac:dyDescent="0.3">
      <c r="A4439" s="8"/>
      <c r="C4439" s="6"/>
      <c r="E4439" s="6"/>
      <c r="J4439" s="8"/>
      <c r="L4439" s="6"/>
    </row>
    <row r="4440" spans="1:12" x14ac:dyDescent="0.3">
      <c r="A4440" s="8"/>
      <c r="C4440" s="6"/>
      <c r="E4440" s="6"/>
      <c r="J4440" s="8"/>
      <c r="L4440" s="6"/>
    </row>
    <row r="4441" spans="1:12" x14ac:dyDescent="0.3">
      <c r="A4441" s="8"/>
      <c r="C4441" s="6"/>
      <c r="E4441" s="6"/>
      <c r="J4441" s="8"/>
      <c r="L4441" s="6"/>
    </row>
    <row r="4442" spans="1:12" x14ac:dyDescent="0.3">
      <c r="A4442" s="8"/>
      <c r="C4442" s="6"/>
      <c r="E4442" s="6"/>
      <c r="J4442" s="8"/>
      <c r="L4442" s="6"/>
    </row>
    <row r="4443" spans="1:12" x14ac:dyDescent="0.3">
      <c r="A4443" s="8"/>
      <c r="C4443" s="6"/>
      <c r="E4443" s="6"/>
      <c r="J4443" s="8"/>
      <c r="L4443" s="6"/>
    </row>
    <row r="4444" spans="1:12" x14ac:dyDescent="0.3">
      <c r="A4444" s="8"/>
      <c r="C4444" s="6"/>
      <c r="E4444" s="6"/>
      <c r="J4444" s="8"/>
      <c r="L4444" s="6"/>
    </row>
    <row r="4445" spans="1:12" x14ac:dyDescent="0.3">
      <c r="A4445" s="8"/>
      <c r="C4445" s="6"/>
      <c r="E4445" s="6"/>
      <c r="J4445" s="8"/>
      <c r="L4445" s="6"/>
    </row>
    <row r="4446" spans="1:12" x14ac:dyDescent="0.3">
      <c r="A4446" s="8"/>
      <c r="C4446" s="6"/>
      <c r="E4446" s="6"/>
      <c r="J4446" s="8"/>
      <c r="L4446" s="6"/>
    </row>
    <row r="4447" spans="1:12" x14ac:dyDescent="0.3">
      <c r="A4447" s="8"/>
      <c r="C4447" s="6"/>
      <c r="E4447" s="6"/>
      <c r="J4447" s="8"/>
      <c r="L4447" s="6"/>
    </row>
    <row r="4448" spans="1:12" x14ac:dyDescent="0.3">
      <c r="A4448" s="8"/>
      <c r="C4448" s="6"/>
      <c r="E4448" s="6"/>
      <c r="J4448" s="8"/>
      <c r="L4448" s="6"/>
    </row>
    <row r="4449" spans="1:12" x14ac:dyDescent="0.3">
      <c r="A4449" s="8"/>
      <c r="C4449" s="6"/>
      <c r="E4449" s="6"/>
      <c r="J4449" s="8"/>
      <c r="L4449" s="6"/>
    </row>
    <row r="4450" spans="1:12" x14ac:dyDescent="0.3">
      <c r="A4450" s="8"/>
      <c r="C4450" s="6"/>
      <c r="E4450" s="6"/>
      <c r="J4450" s="8"/>
      <c r="L4450" s="6"/>
    </row>
    <row r="4451" spans="1:12" x14ac:dyDescent="0.3">
      <c r="A4451" s="8"/>
      <c r="C4451" s="6"/>
      <c r="E4451" s="6"/>
      <c r="J4451" s="8"/>
      <c r="L4451" s="6"/>
    </row>
    <row r="4452" spans="1:12" x14ac:dyDescent="0.3">
      <c r="A4452" s="8"/>
      <c r="C4452" s="6"/>
      <c r="E4452" s="6"/>
      <c r="J4452" s="8"/>
      <c r="L4452" s="6"/>
    </row>
    <row r="4453" spans="1:12" x14ac:dyDescent="0.3">
      <c r="A4453" s="8"/>
      <c r="C4453" s="6"/>
      <c r="E4453" s="6"/>
      <c r="J4453" s="8"/>
      <c r="L4453" s="6"/>
    </row>
    <row r="4454" spans="1:12" x14ac:dyDescent="0.3">
      <c r="A4454" s="8"/>
      <c r="C4454" s="6"/>
      <c r="E4454" s="6"/>
      <c r="J4454" s="8"/>
      <c r="L4454" s="6"/>
    </row>
    <row r="4455" spans="1:12" x14ac:dyDescent="0.3">
      <c r="A4455" s="8"/>
      <c r="C4455" s="6"/>
      <c r="E4455" s="6"/>
      <c r="J4455" s="8"/>
      <c r="L4455" s="6"/>
    </row>
    <row r="4456" spans="1:12" x14ac:dyDescent="0.3">
      <c r="A4456" s="8"/>
      <c r="C4456" s="6"/>
      <c r="E4456" s="6"/>
      <c r="J4456" s="8"/>
      <c r="L4456" s="6"/>
    </row>
    <row r="4457" spans="1:12" x14ac:dyDescent="0.3">
      <c r="A4457" s="8"/>
      <c r="C4457" s="6"/>
      <c r="E4457" s="6"/>
      <c r="J4457" s="8"/>
      <c r="L4457" s="6"/>
    </row>
    <row r="4458" spans="1:12" x14ac:dyDescent="0.3">
      <c r="A4458" s="8"/>
      <c r="C4458" s="6"/>
      <c r="E4458" s="6"/>
      <c r="J4458" s="8"/>
      <c r="L4458" s="6"/>
    </row>
    <row r="4459" spans="1:12" x14ac:dyDescent="0.3">
      <c r="A4459" s="8"/>
      <c r="C4459" s="6"/>
      <c r="E4459" s="6"/>
      <c r="J4459" s="8"/>
      <c r="L4459" s="6"/>
    </row>
    <row r="4460" spans="1:12" x14ac:dyDescent="0.3">
      <c r="A4460" s="8"/>
      <c r="C4460" s="6"/>
      <c r="E4460" s="6"/>
      <c r="J4460" s="8"/>
      <c r="L4460" s="6"/>
    </row>
    <row r="4461" spans="1:12" x14ac:dyDescent="0.3">
      <c r="A4461" s="8"/>
      <c r="C4461" s="6"/>
      <c r="E4461" s="6"/>
      <c r="J4461" s="8"/>
      <c r="L4461" s="6"/>
    </row>
    <row r="4462" spans="1:12" x14ac:dyDescent="0.3">
      <c r="A4462" s="8"/>
      <c r="C4462" s="6"/>
      <c r="E4462" s="6"/>
      <c r="J4462" s="8"/>
      <c r="L4462" s="6"/>
    </row>
    <row r="4463" spans="1:12" x14ac:dyDescent="0.3">
      <c r="A4463" s="8"/>
      <c r="C4463" s="6"/>
      <c r="E4463" s="6"/>
      <c r="J4463" s="8"/>
      <c r="L4463" s="6"/>
    </row>
    <row r="4464" spans="1:12" x14ac:dyDescent="0.3">
      <c r="A4464" s="8"/>
      <c r="C4464" s="6"/>
      <c r="E4464" s="6"/>
      <c r="J4464" s="8"/>
      <c r="L4464" s="6"/>
    </row>
    <row r="4465" spans="1:12" x14ac:dyDescent="0.3">
      <c r="A4465" s="8"/>
      <c r="C4465" s="6"/>
      <c r="E4465" s="6"/>
      <c r="J4465" s="8"/>
      <c r="L4465" s="6"/>
    </row>
    <row r="4466" spans="1:12" x14ac:dyDescent="0.3">
      <c r="A4466" s="8"/>
      <c r="C4466" s="6"/>
      <c r="E4466" s="6"/>
      <c r="J4466" s="8"/>
      <c r="L4466" s="6"/>
    </row>
    <row r="4467" spans="1:12" x14ac:dyDescent="0.3">
      <c r="A4467" s="8"/>
      <c r="C4467" s="6"/>
      <c r="E4467" s="6"/>
      <c r="J4467" s="8"/>
      <c r="L4467" s="6"/>
    </row>
    <row r="4468" spans="1:12" x14ac:dyDescent="0.3">
      <c r="A4468" s="8"/>
      <c r="C4468" s="6"/>
      <c r="E4468" s="6"/>
      <c r="J4468" s="8"/>
      <c r="L4468" s="6"/>
    </row>
    <row r="4469" spans="1:12" x14ac:dyDescent="0.3">
      <c r="A4469" s="8"/>
      <c r="C4469" s="6"/>
      <c r="E4469" s="6"/>
      <c r="J4469" s="8"/>
      <c r="L4469" s="6"/>
    </row>
    <row r="4470" spans="1:12" x14ac:dyDescent="0.3">
      <c r="A4470" s="8"/>
      <c r="C4470" s="6"/>
      <c r="E4470" s="6"/>
      <c r="J4470" s="8"/>
      <c r="L4470" s="6"/>
    </row>
    <row r="4471" spans="1:12" x14ac:dyDescent="0.3">
      <c r="A4471" s="8"/>
      <c r="C4471" s="6"/>
      <c r="E4471" s="6"/>
      <c r="J4471" s="8"/>
      <c r="L4471" s="6"/>
    </row>
    <row r="4472" spans="1:12" x14ac:dyDescent="0.3">
      <c r="A4472" s="8"/>
      <c r="C4472" s="6"/>
      <c r="E4472" s="6"/>
      <c r="J4472" s="8"/>
      <c r="L4472" s="6"/>
    </row>
    <row r="4473" spans="1:12" x14ac:dyDescent="0.3">
      <c r="A4473" s="8"/>
      <c r="C4473" s="6"/>
      <c r="E4473" s="6"/>
      <c r="J4473" s="8"/>
      <c r="L4473" s="6"/>
    </row>
    <row r="4474" spans="1:12" x14ac:dyDescent="0.3">
      <c r="A4474" s="8"/>
      <c r="C4474" s="6"/>
      <c r="E4474" s="6"/>
      <c r="J4474" s="8"/>
      <c r="L4474" s="6"/>
    </row>
    <row r="4475" spans="1:12" x14ac:dyDescent="0.3">
      <c r="A4475" s="8"/>
      <c r="C4475" s="6"/>
      <c r="E4475" s="6"/>
      <c r="J4475" s="8"/>
      <c r="L4475" s="6"/>
    </row>
    <row r="4476" spans="1:12" x14ac:dyDescent="0.3">
      <c r="A4476" s="8"/>
      <c r="C4476" s="6"/>
      <c r="E4476" s="6"/>
      <c r="J4476" s="8"/>
      <c r="L4476" s="6"/>
    </row>
    <row r="4477" spans="1:12" x14ac:dyDescent="0.3">
      <c r="A4477" s="8"/>
      <c r="C4477" s="6"/>
      <c r="E4477" s="6"/>
      <c r="J4477" s="8"/>
      <c r="L4477" s="6"/>
    </row>
    <row r="4478" spans="1:12" x14ac:dyDescent="0.3">
      <c r="A4478" s="8"/>
      <c r="C4478" s="6"/>
      <c r="E4478" s="6"/>
      <c r="J4478" s="8"/>
      <c r="L4478" s="6"/>
    </row>
    <row r="4479" spans="1:12" x14ac:dyDescent="0.3">
      <c r="A4479" s="8"/>
      <c r="C4479" s="6"/>
      <c r="E4479" s="6"/>
      <c r="J4479" s="8"/>
      <c r="L4479" s="6"/>
    </row>
    <row r="4480" spans="1:12" x14ac:dyDescent="0.3">
      <c r="A4480" s="8"/>
      <c r="C4480" s="6"/>
      <c r="E4480" s="6"/>
      <c r="J4480" s="8"/>
      <c r="L4480" s="6"/>
    </row>
    <row r="4481" spans="1:12" x14ac:dyDescent="0.3">
      <c r="A4481" s="8"/>
      <c r="C4481" s="6"/>
      <c r="E4481" s="6"/>
      <c r="J4481" s="8"/>
      <c r="L4481" s="6"/>
    </row>
    <row r="4482" spans="1:12" x14ac:dyDescent="0.3">
      <c r="A4482" s="8"/>
      <c r="C4482" s="6"/>
      <c r="E4482" s="6"/>
      <c r="J4482" s="8"/>
      <c r="L4482" s="6"/>
    </row>
    <row r="4483" spans="1:12" x14ac:dyDescent="0.3">
      <c r="A4483" s="8"/>
      <c r="C4483" s="6"/>
      <c r="E4483" s="6"/>
      <c r="J4483" s="8"/>
      <c r="L4483" s="6"/>
    </row>
    <row r="4484" spans="1:12" x14ac:dyDescent="0.3">
      <c r="A4484" s="8"/>
      <c r="C4484" s="6"/>
      <c r="E4484" s="6"/>
      <c r="J4484" s="8"/>
      <c r="L4484" s="6"/>
    </row>
    <row r="4485" spans="1:12" x14ac:dyDescent="0.3">
      <c r="A4485" s="8"/>
      <c r="C4485" s="6"/>
      <c r="E4485" s="6"/>
      <c r="J4485" s="8"/>
      <c r="L4485" s="6"/>
    </row>
    <row r="4486" spans="1:12" x14ac:dyDescent="0.3">
      <c r="A4486" s="8"/>
      <c r="C4486" s="6"/>
      <c r="E4486" s="6"/>
      <c r="J4486" s="8"/>
      <c r="L4486" s="6"/>
    </row>
    <row r="4487" spans="1:12" x14ac:dyDescent="0.3">
      <c r="A4487" s="8"/>
      <c r="C4487" s="6"/>
      <c r="E4487" s="6"/>
      <c r="J4487" s="8"/>
      <c r="L4487" s="6"/>
    </row>
    <row r="4488" spans="1:12" x14ac:dyDescent="0.3">
      <c r="A4488" s="8"/>
      <c r="C4488" s="6"/>
      <c r="E4488" s="6"/>
      <c r="J4488" s="8"/>
      <c r="L4488" s="6"/>
    </row>
    <row r="4489" spans="1:12" x14ac:dyDescent="0.3">
      <c r="A4489" s="8"/>
      <c r="C4489" s="6"/>
      <c r="E4489" s="6"/>
      <c r="J4489" s="8"/>
      <c r="L4489" s="6"/>
    </row>
    <row r="4490" spans="1:12" x14ac:dyDescent="0.3">
      <c r="A4490" s="8"/>
      <c r="C4490" s="6"/>
      <c r="E4490" s="6"/>
      <c r="J4490" s="8"/>
      <c r="L4490" s="6"/>
    </row>
    <row r="4491" spans="1:12" x14ac:dyDescent="0.3">
      <c r="A4491" s="8"/>
      <c r="C4491" s="6"/>
      <c r="E4491" s="6"/>
      <c r="J4491" s="8"/>
      <c r="L4491" s="6"/>
    </row>
    <row r="4492" spans="1:12" x14ac:dyDescent="0.3">
      <c r="A4492" s="8"/>
      <c r="C4492" s="6"/>
      <c r="E4492" s="6"/>
      <c r="J4492" s="8"/>
      <c r="L4492" s="6"/>
    </row>
    <row r="4493" spans="1:12" x14ac:dyDescent="0.3">
      <c r="A4493" s="8"/>
      <c r="C4493" s="6"/>
      <c r="E4493" s="6"/>
      <c r="J4493" s="8"/>
      <c r="L4493" s="6"/>
    </row>
    <row r="4494" spans="1:12" x14ac:dyDescent="0.3">
      <c r="A4494" s="8"/>
      <c r="C4494" s="6"/>
      <c r="E4494" s="6"/>
      <c r="J4494" s="8"/>
      <c r="L4494" s="6"/>
    </row>
    <row r="4495" spans="1:12" x14ac:dyDescent="0.3">
      <c r="A4495" s="8"/>
      <c r="C4495" s="6"/>
      <c r="E4495" s="6"/>
      <c r="J4495" s="8"/>
      <c r="L4495" s="6"/>
    </row>
    <row r="4496" spans="1:12" x14ac:dyDescent="0.3">
      <c r="A4496" s="8"/>
      <c r="C4496" s="6"/>
      <c r="E4496" s="6"/>
      <c r="J4496" s="8"/>
      <c r="L4496" s="6"/>
    </row>
    <row r="4497" spans="1:12" x14ac:dyDescent="0.3">
      <c r="A4497" s="8"/>
      <c r="C4497" s="6"/>
      <c r="E4497" s="6"/>
      <c r="J4497" s="8"/>
      <c r="L4497" s="6"/>
    </row>
    <row r="4498" spans="1:12" x14ac:dyDescent="0.3">
      <c r="A4498" s="8"/>
      <c r="C4498" s="6"/>
      <c r="E4498" s="6"/>
      <c r="J4498" s="8"/>
      <c r="L4498" s="6"/>
    </row>
    <row r="4499" spans="1:12" x14ac:dyDescent="0.3">
      <c r="A4499" s="8"/>
      <c r="C4499" s="6"/>
      <c r="E4499" s="6"/>
      <c r="J4499" s="8"/>
      <c r="L4499" s="6"/>
    </row>
    <row r="4500" spans="1:12" x14ac:dyDescent="0.3">
      <c r="A4500" s="8"/>
      <c r="C4500" s="6"/>
      <c r="E4500" s="6"/>
      <c r="J4500" s="8"/>
      <c r="L4500" s="6"/>
    </row>
    <row r="4501" spans="1:12" x14ac:dyDescent="0.3">
      <c r="A4501" s="8"/>
      <c r="C4501" s="6"/>
      <c r="E4501" s="6"/>
      <c r="J4501" s="8"/>
      <c r="L4501" s="6"/>
    </row>
    <row r="4502" spans="1:12" x14ac:dyDescent="0.3">
      <c r="A4502" s="8"/>
      <c r="C4502" s="6"/>
      <c r="E4502" s="6"/>
      <c r="J4502" s="8"/>
      <c r="L4502" s="6"/>
    </row>
    <row r="4503" spans="1:12" x14ac:dyDescent="0.3">
      <c r="A4503" s="8"/>
      <c r="C4503" s="6"/>
      <c r="E4503" s="6"/>
      <c r="J4503" s="8"/>
      <c r="L4503" s="6"/>
    </row>
    <row r="4504" spans="1:12" x14ac:dyDescent="0.3">
      <c r="A4504" s="8"/>
      <c r="C4504" s="6"/>
      <c r="E4504" s="6"/>
      <c r="J4504" s="8"/>
      <c r="L4504" s="6"/>
    </row>
    <row r="4505" spans="1:12" x14ac:dyDescent="0.3">
      <c r="A4505" s="8"/>
      <c r="C4505" s="6"/>
      <c r="E4505" s="6"/>
      <c r="J4505" s="8"/>
      <c r="L4505" s="6"/>
    </row>
    <row r="4506" spans="1:12" x14ac:dyDescent="0.3">
      <c r="A4506" s="8"/>
      <c r="C4506" s="6"/>
      <c r="E4506" s="6"/>
      <c r="J4506" s="8"/>
      <c r="L4506" s="6"/>
    </row>
    <row r="4507" spans="1:12" x14ac:dyDescent="0.3">
      <c r="A4507" s="8"/>
      <c r="C4507" s="6"/>
      <c r="E4507" s="6"/>
      <c r="J4507" s="8"/>
      <c r="L4507" s="6"/>
    </row>
    <row r="4508" spans="1:12" x14ac:dyDescent="0.3">
      <c r="A4508" s="8"/>
      <c r="C4508" s="6"/>
      <c r="E4508" s="6"/>
      <c r="J4508" s="8"/>
      <c r="L4508" s="6"/>
    </row>
    <row r="4509" spans="1:12" x14ac:dyDescent="0.3">
      <c r="A4509" s="8"/>
      <c r="C4509" s="6"/>
      <c r="E4509" s="6"/>
      <c r="J4509" s="8"/>
      <c r="L4509" s="6"/>
    </row>
    <row r="4510" spans="1:12" x14ac:dyDescent="0.3">
      <c r="A4510" s="8"/>
      <c r="C4510" s="6"/>
      <c r="E4510" s="6"/>
      <c r="J4510" s="8"/>
      <c r="L4510" s="6"/>
    </row>
    <row r="4511" spans="1:12" x14ac:dyDescent="0.3">
      <c r="A4511" s="8"/>
      <c r="C4511" s="6"/>
      <c r="E4511" s="6"/>
      <c r="J4511" s="8"/>
      <c r="L4511" s="6"/>
    </row>
    <row r="4512" spans="1:12" x14ac:dyDescent="0.3">
      <c r="A4512" s="8"/>
      <c r="C4512" s="6"/>
      <c r="E4512" s="6"/>
      <c r="J4512" s="8"/>
      <c r="L4512" s="6"/>
    </row>
    <row r="4513" spans="1:12" x14ac:dyDescent="0.3">
      <c r="A4513" s="8"/>
      <c r="C4513" s="6"/>
      <c r="E4513" s="6"/>
      <c r="J4513" s="8"/>
      <c r="L4513" s="6"/>
    </row>
    <row r="4514" spans="1:12" x14ac:dyDescent="0.3">
      <c r="A4514" s="8"/>
      <c r="C4514" s="6"/>
      <c r="E4514" s="6"/>
      <c r="J4514" s="8"/>
      <c r="L4514" s="6"/>
    </row>
    <row r="4515" spans="1:12" x14ac:dyDescent="0.3">
      <c r="A4515" s="8"/>
      <c r="C4515" s="6"/>
      <c r="E4515" s="6"/>
      <c r="J4515" s="8"/>
      <c r="L4515" s="6"/>
    </row>
    <row r="4516" spans="1:12" x14ac:dyDescent="0.3">
      <c r="A4516" s="8"/>
      <c r="C4516" s="6"/>
      <c r="E4516" s="6"/>
      <c r="J4516" s="8"/>
      <c r="L4516" s="6"/>
    </row>
    <row r="4517" spans="1:12" x14ac:dyDescent="0.3">
      <c r="A4517" s="8"/>
      <c r="C4517" s="6"/>
      <c r="E4517" s="6"/>
      <c r="J4517" s="8"/>
      <c r="L4517" s="6"/>
    </row>
    <row r="4518" spans="1:12" x14ac:dyDescent="0.3">
      <c r="A4518" s="8"/>
      <c r="C4518" s="6"/>
      <c r="E4518" s="6"/>
      <c r="J4518" s="8"/>
      <c r="L4518" s="6"/>
    </row>
    <row r="4519" spans="1:12" x14ac:dyDescent="0.3">
      <c r="A4519" s="8"/>
      <c r="C4519" s="6"/>
      <c r="E4519" s="6"/>
      <c r="J4519" s="8"/>
      <c r="L4519" s="6"/>
    </row>
    <row r="4520" spans="1:12" x14ac:dyDescent="0.3">
      <c r="A4520" s="8"/>
      <c r="C4520" s="6"/>
      <c r="E4520" s="6"/>
      <c r="J4520" s="8"/>
      <c r="L4520" s="6"/>
    </row>
    <row r="4521" spans="1:12" x14ac:dyDescent="0.3">
      <c r="A4521" s="8"/>
      <c r="C4521" s="6"/>
      <c r="E4521" s="6"/>
      <c r="J4521" s="8"/>
      <c r="L4521" s="6"/>
    </row>
    <row r="4522" spans="1:12" x14ac:dyDescent="0.3">
      <c r="A4522" s="8"/>
      <c r="C4522" s="6"/>
      <c r="E4522" s="6"/>
      <c r="J4522" s="8"/>
      <c r="L4522" s="6"/>
    </row>
    <row r="4523" spans="1:12" x14ac:dyDescent="0.3">
      <c r="A4523" s="8"/>
      <c r="C4523" s="6"/>
      <c r="E4523" s="6"/>
      <c r="J4523" s="8"/>
      <c r="L4523" s="6"/>
    </row>
    <row r="4524" spans="1:12" x14ac:dyDescent="0.3">
      <c r="A4524" s="8"/>
      <c r="C4524" s="6"/>
      <c r="E4524" s="6"/>
      <c r="J4524" s="8"/>
      <c r="L4524" s="6"/>
    </row>
    <row r="4525" spans="1:12" x14ac:dyDescent="0.3">
      <c r="A4525" s="8"/>
      <c r="C4525" s="6"/>
      <c r="E4525" s="6"/>
      <c r="J4525" s="8"/>
      <c r="L4525" s="6"/>
    </row>
    <row r="4526" spans="1:12" x14ac:dyDescent="0.3">
      <c r="A4526" s="8"/>
      <c r="C4526" s="6"/>
      <c r="E4526" s="6"/>
      <c r="J4526" s="8"/>
      <c r="L4526" s="6"/>
    </row>
    <row r="4527" spans="1:12" x14ac:dyDescent="0.3">
      <c r="A4527" s="8"/>
      <c r="C4527" s="6"/>
      <c r="E4527" s="6"/>
      <c r="J4527" s="8"/>
      <c r="L4527" s="6"/>
    </row>
    <row r="4528" spans="1:12" x14ac:dyDescent="0.3">
      <c r="A4528" s="8"/>
      <c r="C4528" s="6"/>
      <c r="E4528" s="6"/>
      <c r="J4528" s="8"/>
      <c r="L4528" s="6"/>
    </row>
    <row r="4529" spans="1:12" x14ac:dyDescent="0.3">
      <c r="A4529" s="8"/>
      <c r="C4529" s="6"/>
      <c r="E4529" s="6"/>
      <c r="J4529" s="8"/>
      <c r="L4529" s="6"/>
    </row>
    <row r="4530" spans="1:12" x14ac:dyDescent="0.3">
      <c r="A4530" s="8"/>
      <c r="C4530" s="6"/>
      <c r="E4530" s="6"/>
      <c r="J4530" s="8"/>
      <c r="L4530" s="6"/>
    </row>
    <row r="4531" spans="1:12" x14ac:dyDescent="0.3">
      <c r="A4531" s="8"/>
      <c r="C4531" s="6"/>
      <c r="E4531" s="6"/>
      <c r="J4531" s="8"/>
      <c r="L4531" s="6"/>
    </row>
    <row r="4532" spans="1:12" x14ac:dyDescent="0.3">
      <c r="A4532" s="8"/>
      <c r="C4532" s="6"/>
      <c r="E4532" s="6"/>
      <c r="J4532" s="8"/>
      <c r="L4532" s="6"/>
    </row>
    <row r="4533" spans="1:12" x14ac:dyDescent="0.3">
      <c r="A4533" s="8"/>
      <c r="C4533" s="6"/>
      <c r="E4533" s="6"/>
      <c r="J4533" s="8"/>
      <c r="L4533" s="6"/>
    </row>
    <row r="4534" spans="1:12" x14ac:dyDescent="0.3">
      <c r="A4534" s="8"/>
      <c r="C4534" s="6"/>
      <c r="E4534" s="6"/>
      <c r="J4534" s="8"/>
      <c r="L4534" s="6"/>
    </row>
    <row r="4535" spans="1:12" x14ac:dyDescent="0.3">
      <c r="A4535" s="8"/>
      <c r="C4535" s="6"/>
      <c r="E4535" s="6"/>
      <c r="J4535" s="8"/>
      <c r="L4535" s="6"/>
    </row>
    <row r="4536" spans="1:12" x14ac:dyDescent="0.3">
      <c r="A4536" s="8"/>
      <c r="C4536" s="6"/>
      <c r="E4536" s="6"/>
      <c r="J4536" s="8"/>
      <c r="L4536" s="6"/>
    </row>
    <row r="4537" spans="1:12" x14ac:dyDescent="0.3">
      <c r="A4537" s="8"/>
      <c r="C4537" s="6"/>
      <c r="E4537" s="6"/>
      <c r="J4537" s="8"/>
      <c r="L4537" s="6"/>
    </row>
    <row r="4538" spans="1:12" x14ac:dyDescent="0.3">
      <c r="A4538" s="8"/>
      <c r="C4538" s="6"/>
      <c r="E4538" s="6"/>
      <c r="J4538" s="8"/>
      <c r="L4538" s="6"/>
    </row>
    <row r="4539" spans="1:12" x14ac:dyDescent="0.3">
      <c r="A4539" s="8"/>
      <c r="C4539" s="6"/>
      <c r="E4539" s="6"/>
      <c r="J4539" s="8"/>
      <c r="L4539" s="6"/>
    </row>
    <row r="4540" spans="1:12" x14ac:dyDescent="0.3">
      <c r="A4540" s="8"/>
      <c r="C4540" s="6"/>
      <c r="E4540" s="6"/>
      <c r="J4540" s="8"/>
      <c r="L4540" s="6"/>
    </row>
    <row r="4541" spans="1:12" x14ac:dyDescent="0.3">
      <c r="A4541" s="8"/>
      <c r="C4541" s="6"/>
      <c r="E4541" s="6"/>
      <c r="J4541" s="8"/>
      <c r="L4541" s="6"/>
    </row>
    <row r="4542" spans="1:12" x14ac:dyDescent="0.3">
      <c r="A4542" s="8"/>
      <c r="C4542" s="6"/>
      <c r="E4542" s="6"/>
      <c r="J4542" s="8"/>
      <c r="L4542" s="6"/>
    </row>
    <row r="4543" spans="1:12" x14ac:dyDescent="0.3">
      <c r="A4543" s="8"/>
      <c r="C4543" s="6"/>
      <c r="E4543" s="6"/>
      <c r="J4543" s="8"/>
      <c r="L4543" s="6"/>
    </row>
    <row r="4544" spans="1:12" x14ac:dyDescent="0.3">
      <c r="A4544" s="8"/>
      <c r="C4544" s="6"/>
      <c r="E4544" s="6"/>
      <c r="J4544" s="8"/>
      <c r="L4544" s="6"/>
    </row>
    <row r="4545" spans="1:12" x14ac:dyDescent="0.3">
      <c r="A4545" s="8"/>
      <c r="C4545" s="6"/>
      <c r="E4545" s="6"/>
      <c r="J4545" s="8"/>
      <c r="L4545" s="6"/>
    </row>
    <row r="4546" spans="1:12" x14ac:dyDescent="0.3">
      <c r="A4546" s="8"/>
      <c r="C4546" s="6"/>
      <c r="E4546" s="6"/>
      <c r="J4546" s="8"/>
      <c r="L4546" s="6"/>
    </row>
    <row r="4547" spans="1:12" x14ac:dyDescent="0.3">
      <c r="A4547" s="8"/>
      <c r="C4547" s="6"/>
      <c r="E4547" s="6"/>
      <c r="J4547" s="8"/>
      <c r="L4547" s="6"/>
    </row>
    <row r="4548" spans="1:12" x14ac:dyDescent="0.3">
      <c r="A4548" s="8"/>
      <c r="C4548" s="6"/>
      <c r="E4548" s="6"/>
      <c r="J4548" s="8"/>
      <c r="L4548" s="6"/>
    </row>
    <row r="4549" spans="1:12" x14ac:dyDescent="0.3">
      <c r="A4549" s="8"/>
      <c r="C4549" s="6"/>
      <c r="E4549" s="6"/>
      <c r="J4549" s="8"/>
      <c r="L4549" s="6"/>
    </row>
    <row r="4550" spans="1:12" x14ac:dyDescent="0.3">
      <c r="A4550" s="8"/>
      <c r="C4550" s="6"/>
      <c r="E4550" s="6"/>
      <c r="J4550" s="8"/>
      <c r="L4550" s="6"/>
    </row>
    <row r="4551" spans="1:12" x14ac:dyDescent="0.3">
      <c r="A4551" s="8"/>
      <c r="C4551" s="6"/>
      <c r="E4551" s="6"/>
      <c r="J4551" s="8"/>
      <c r="L4551" s="6"/>
    </row>
    <row r="4552" spans="1:12" x14ac:dyDescent="0.3">
      <c r="A4552" s="8"/>
      <c r="C4552" s="6"/>
      <c r="E4552" s="6"/>
      <c r="J4552" s="8"/>
      <c r="L4552" s="6"/>
    </row>
    <row r="4553" spans="1:12" x14ac:dyDescent="0.3">
      <c r="A4553" s="8"/>
      <c r="C4553" s="6"/>
      <c r="E4553" s="6"/>
      <c r="J4553" s="8"/>
      <c r="L4553" s="6"/>
    </row>
    <row r="4554" spans="1:12" x14ac:dyDescent="0.3">
      <c r="A4554" s="8"/>
      <c r="C4554" s="6"/>
      <c r="E4554" s="6"/>
      <c r="J4554" s="8"/>
      <c r="L4554" s="6"/>
    </row>
    <row r="4555" spans="1:12" x14ac:dyDescent="0.3">
      <c r="A4555" s="8"/>
      <c r="C4555" s="6"/>
      <c r="E4555" s="6"/>
      <c r="J4555" s="8"/>
      <c r="L4555" s="6"/>
    </row>
    <row r="4556" spans="1:12" x14ac:dyDescent="0.3">
      <c r="A4556" s="8"/>
      <c r="C4556" s="6"/>
      <c r="E4556" s="6"/>
      <c r="J4556" s="8"/>
      <c r="L4556" s="6"/>
    </row>
    <row r="4557" spans="1:12" x14ac:dyDescent="0.3">
      <c r="A4557" s="8"/>
      <c r="C4557" s="6"/>
      <c r="E4557" s="6"/>
      <c r="J4557" s="8"/>
      <c r="L4557" s="6"/>
    </row>
    <row r="4558" spans="1:12" x14ac:dyDescent="0.3">
      <c r="A4558" s="8"/>
      <c r="C4558" s="6"/>
      <c r="E4558" s="6"/>
      <c r="J4558" s="8"/>
      <c r="L4558" s="6"/>
    </row>
    <row r="4559" spans="1:12" x14ac:dyDescent="0.3">
      <c r="A4559" s="8"/>
      <c r="C4559" s="6"/>
      <c r="E4559" s="6"/>
      <c r="J4559" s="8"/>
      <c r="L4559" s="6"/>
    </row>
    <row r="4560" spans="1:12" x14ac:dyDescent="0.3">
      <c r="A4560" s="8"/>
      <c r="C4560" s="6"/>
      <c r="E4560" s="6"/>
      <c r="J4560" s="8"/>
      <c r="L4560" s="6"/>
    </row>
    <row r="4561" spans="1:12" x14ac:dyDescent="0.3">
      <c r="A4561" s="8"/>
      <c r="C4561" s="6"/>
      <c r="E4561" s="6"/>
      <c r="J4561" s="8"/>
      <c r="L4561" s="6"/>
    </row>
    <row r="4562" spans="1:12" x14ac:dyDescent="0.3">
      <c r="A4562" s="8"/>
      <c r="C4562" s="6"/>
      <c r="E4562" s="6"/>
      <c r="J4562" s="8"/>
      <c r="L4562" s="6"/>
    </row>
    <row r="4563" spans="1:12" x14ac:dyDescent="0.3">
      <c r="A4563" s="8"/>
      <c r="C4563" s="6"/>
      <c r="E4563" s="6"/>
      <c r="J4563" s="8"/>
      <c r="L4563" s="6"/>
    </row>
    <row r="4564" spans="1:12" x14ac:dyDescent="0.3">
      <c r="A4564" s="8"/>
      <c r="C4564" s="6"/>
      <c r="E4564" s="6"/>
      <c r="J4564" s="8"/>
      <c r="L4564" s="6"/>
    </row>
    <row r="4565" spans="1:12" x14ac:dyDescent="0.3">
      <c r="A4565" s="8"/>
      <c r="C4565" s="6"/>
      <c r="E4565" s="6"/>
      <c r="J4565" s="8"/>
      <c r="L4565" s="6"/>
    </row>
    <row r="4566" spans="1:12" x14ac:dyDescent="0.3">
      <c r="A4566" s="8"/>
      <c r="C4566" s="6"/>
      <c r="E4566" s="6"/>
      <c r="J4566" s="8"/>
      <c r="L4566" s="6"/>
    </row>
    <row r="4567" spans="1:12" x14ac:dyDescent="0.3">
      <c r="A4567" s="8"/>
      <c r="C4567" s="6"/>
      <c r="E4567" s="6"/>
      <c r="J4567" s="8"/>
      <c r="L4567" s="6"/>
    </row>
    <row r="4568" spans="1:12" x14ac:dyDescent="0.3">
      <c r="A4568" s="8"/>
      <c r="C4568" s="6"/>
      <c r="E4568" s="6"/>
      <c r="J4568" s="8"/>
      <c r="L4568" s="6"/>
    </row>
    <row r="4569" spans="1:12" x14ac:dyDescent="0.3">
      <c r="A4569" s="8"/>
      <c r="C4569" s="6"/>
      <c r="E4569" s="6"/>
      <c r="J4569" s="8"/>
      <c r="L4569" s="6"/>
    </row>
    <row r="4570" spans="1:12" x14ac:dyDescent="0.3">
      <c r="A4570" s="8"/>
      <c r="C4570" s="6"/>
      <c r="E4570" s="6"/>
      <c r="J4570" s="8"/>
      <c r="L4570" s="6"/>
    </row>
    <row r="4571" spans="1:12" x14ac:dyDescent="0.3">
      <c r="A4571" s="8"/>
      <c r="C4571" s="6"/>
      <c r="E4571" s="6"/>
      <c r="J4571" s="8"/>
      <c r="L4571" s="6"/>
    </row>
    <row r="4572" spans="1:12" x14ac:dyDescent="0.3">
      <c r="A4572" s="8"/>
      <c r="C4572" s="6"/>
      <c r="E4572" s="6"/>
      <c r="J4572" s="8"/>
      <c r="L4572" s="6"/>
    </row>
    <row r="4573" spans="1:12" x14ac:dyDescent="0.3">
      <c r="A4573" s="8"/>
      <c r="C4573" s="6"/>
      <c r="E4573" s="6"/>
      <c r="J4573" s="8"/>
      <c r="L4573" s="6"/>
    </row>
    <row r="4574" spans="1:12" x14ac:dyDescent="0.3">
      <c r="A4574" s="8"/>
      <c r="C4574" s="6"/>
      <c r="E4574" s="6"/>
      <c r="J4574" s="8"/>
      <c r="L4574" s="6"/>
    </row>
    <row r="4575" spans="1:12" x14ac:dyDescent="0.3">
      <c r="A4575" s="8"/>
      <c r="C4575" s="6"/>
      <c r="E4575" s="6"/>
      <c r="J4575" s="8"/>
      <c r="L4575" s="6"/>
    </row>
    <row r="4576" spans="1:12" x14ac:dyDescent="0.3">
      <c r="A4576" s="8"/>
      <c r="C4576" s="6"/>
      <c r="E4576" s="6"/>
      <c r="J4576" s="8"/>
      <c r="L4576" s="6"/>
    </row>
    <row r="4577" spans="1:12" x14ac:dyDescent="0.3">
      <c r="A4577" s="8"/>
      <c r="C4577" s="6"/>
      <c r="E4577" s="6"/>
      <c r="J4577" s="8"/>
      <c r="L4577" s="6"/>
    </row>
    <row r="4578" spans="1:12" x14ac:dyDescent="0.3">
      <c r="A4578" s="8"/>
      <c r="C4578" s="6"/>
      <c r="E4578" s="6"/>
      <c r="J4578" s="8"/>
      <c r="L4578" s="6"/>
    </row>
    <row r="4579" spans="1:12" x14ac:dyDescent="0.3">
      <c r="A4579" s="8"/>
      <c r="C4579" s="6"/>
      <c r="E4579" s="6"/>
      <c r="J4579" s="8"/>
      <c r="L4579" s="6"/>
    </row>
    <row r="4580" spans="1:12" x14ac:dyDescent="0.3">
      <c r="A4580" s="8"/>
      <c r="C4580" s="6"/>
      <c r="E4580" s="6"/>
      <c r="J4580" s="8"/>
      <c r="L4580" s="6"/>
    </row>
    <row r="4581" spans="1:12" x14ac:dyDescent="0.3">
      <c r="A4581" s="8"/>
      <c r="C4581" s="6"/>
      <c r="E4581" s="6"/>
      <c r="J4581" s="8"/>
      <c r="L4581" s="6"/>
    </row>
    <row r="4582" spans="1:12" x14ac:dyDescent="0.3">
      <c r="A4582" s="8"/>
      <c r="C4582" s="6"/>
      <c r="E4582" s="6"/>
      <c r="J4582" s="8"/>
      <c r="L4582" s="6"/>
    </row>
    <row r="4583" spans="1:12" x14ac:dyDescent="0.3">
      <c r="A4583" s="8"/>
      <c r="C4583" s="6"/>
      <c r="E4583" s="6"/>
      <c r="J4583" s="8"/>
      <c r="L4583" s="6"/>
    </row>
    <row r="4584" spans="1:12" x14ac:dyDescent="0.3">
      <c r="A4584" s="8"/>
      <c r="C4584" s="6"/>
      <c r="E4584" s="6"/>
      <c r="J4584" s="8"/>
      <c r="L4584" s="6"/>
    </row>
    <row r="4585" spans="1:12" x14ac:dyDescent="0.3">
      <c r="A4585" s="8"/>
      <c r="C4585" s="6"/>
      <c r="E4585" s="6"/>
      <c r="J4585" s="8"/>
      <c r="L4585" s="6"/>
    </row>
    <row r="4586" spans="1:12" x14ac:dyDescent="0.3">
      <c r="A4586" s="8"/>
      <c r="C4586" s="6"/>
      <c r="E4586" s="6"/>
      <c r="J4586" s="8"/>
      <c r="L4586" s="6"/>
    </row>
    <row r="4587" spans="1:12" x14ac:dyDescent="0.3">
      <c r="A4587" s="8"/>
      <c r="C4587" s="6"/>
      <c r="E4587" s="6"/>
      <c r="J4587" s="8"/>
      <c r="L4587" s="6"/>
    </row>
    <row r="4588" spans="1:12" x14ac:dyDescent="0.3">
      <c r="A4588" s="8"/>
      <c r="C4588" s="6"/>
      <c r="E4588" s="6"/>
      <c r="J4588" s="8"/>
      <c r="L4588" s="6"/>
    </row>
    <row r="4589" spans="1:12" x14ac:dyDescent="0.3">
      <c r="A4589" s="8"/>
      <c r="C4589" s="6"/>
      <c r="E4589" s="6"/>
      <c r="J4589" s="8"/>
      <c r="L4589" s="6"/>
    </row>
    <row r="4590" spans="1:12" x14ac:dyDescent="0.3">
      <c r="A4590" s="8"/>
      <c r="C4590" s="6"/>
      <c r="E4590" s="6"/>
      <c r="J4590" s="8"/>
      <c r="L4590" s="6"/>
    </row>
    <row r="4591" spans="1:12" x14ac:dyDescent="0.3">
      <c r="A4591" s="8"/>
      <c r="C4591" s="6"/>
      <c r="E4591" s="6"/>
      <c r="J4591" s="8"/>
      <c r="L4591" s="6"/>
    </row>
    <row r="4592" spans="1:12" x14ac:dyDescent="0.3">
      <c r="A4592" s="8"/>
      <c r="C4592" s="6"/>
      <c r="E4592" s="6"/>
      <c r="J4592" s="8"/>
      <c r="L4592" s="6"/>
    </row>
    <row r="4593" spans="1:12" x14ac:dyDescent="0.3">
      <c r="A4593" s="8"/>
      <c r="C4593" s="6"/>
      <c r="E4593" s="6"/>
      <c r="J4593" s="8"/>
      <c r="L4593" s="6"/>
    </row>
    <row r="4594" spans="1:12" x14ac:dyDescent="0.3">
      <c r="A4594" s="8"/>
      <c r="C4594" s="6"/>
      <c r="E4594" s="6"/>
      <c r="J4594" s="8"/>
      <c r="L4594" s="6"/>
    </row>
    <row r="4595" spans="1:12" x14ac:dyDescent="0.3">
      <c r="A4595" s="8"/>
      <c r="C4595" s="6"/>
      <c r="E4595" s="6"/>
      <c r="J4595" s="8"/>
      <c r="L4595" s="6"/>
    </row>
    <row r="4596" spans="1:12" x14ac:dyDescent="0.3">
      <c r="A4596" s="8"/>
      <c r="C4596" s="6"/>
      <c r="E4596" s="6"/>
      <c r="J4596" s="8"/>
      <c r="L4596" s="6"/>
    </row>
    <row r="4597" spans="1:12" x14ac:dyDescent="0.3">
      <c r="A4597" s="8"/>
      <c r="C4597" s="6"/>
      <c r="E4597" s="6"/>
      <c r="J4597" s="8"/>
      <c r="L4597" s="6"/>
    </row>
    <row r="4598" spans="1:12" x14ac:dyDescent="0.3">
      <c r="A4598" s="8"/>
      <c r="C4598" s="6"/>
      <c r="E4598" s="6"/>
      <c r="J4598" s="8"/>
      <c r="L4598" s="6"/>
    </row>
    <row r="4599" spans="1:12" x14ac:dyDescent="0.3">
      <c r="A4599" s="8"/>
      <c r="C4599" s="6"/>
      <c r="E4599" s="6"/>
      <c r="J4599" s="8"/>
      <c r="L4599" s="6"/>
    </row>
    <row r="4600" spans="1:12" x14ac:dyDescent="0.3">
      <c r="A4600" s="8"/>
      <c r="C4600" s="6"/>
      <c r="E4600" s="6"/>
      <c r="J4600" s="8"/>
      <c r="L4600" s="6"/>
    </row>
    <row r="4601" spans="1:12" x14ac:dyDescent="0.3">
      <c r="A4601" s="8"/>
      <c r="C4601" s="6"/>
      <c r="E4601" s="6"/>
      <c r="J4601" s="8"/>
      <c r="L4601" s="6"/>
    </row>
    <row r="4602" spans="1:12" x14ac:dyDescent="0.3">
      <c r="A4602" s="8"/>
      <c r="C4602" s="6"/>
      <c r="E4602" s="6"/>
      <c r="J4602" s="8"/>
      <c r="L4602" s="6"/>
    </row>
    <row r="4603" spans="1:12" x14ac:dyDescent="0.3">
      <c r="A4603" s="8"/>
      <c r="C4603" s="6"/>
      <c r="E4603" s="6"/>
      <c r="J4603" s="8"/>
      <c r="L4603" s="6"/>
    </row>
    <row r="4604" spans="1:12" x14ac:dyDescent="0.3">
      <c r="A4604" s="8"/>
      <c r="C4604" s="6"/>
      <c r="E4604" s="6"/>
      <c r="J4604" s="8"/>
      <c r="L4604" s="6"/>
    </row>
    <row r="4605" spans="1:12" x14ac:dyDescent="0.3">
      <c r="A4605" s="8"/>
      <c r="C4605" s="6"/>
      <c r="E4605" s="6"/>
      <c r="J4605" s="8"/>
      <c r="L4605" s="6"/>
    </row>
    <row r="4606" spans="1:12" x14ac:dyDescent="0.3">
      <c r="A4606" s="8"/>
      <c r="C4606" s="6"/>
      <c r="E4606" s="6"/>
      <c r="J4606" s="8"/>
      <c r="L4606" s="6"/>
    </row>
    <row r="4607" spans="1:12" x14ac:dyDescent="0.3">
      <c r="A4607" s="8"/>
      <c r="C4607" s="6"/>
      <c r="E4607" s="6"/>
      <c r="J4607" s="8"/>
      <c r="L4607" s="6"/>
    </row>
    <row r="4608" spans="1:12" x14ac:dyDescent="0.3">
      <c r="A4608" s="8"/>
      <c r="C4608" s="6"/>
      <c r="E4608" s="6"/>
      <c r="J4608" s="8"/>
      <c r="L4608" s="6"/>
    </row>
    <row r="4609" spans="1:12" x14ac:dyDescent="0.3">
      <c r="A4609" s="8"/>
      <c r="C4609" s="6"/>
      <c r="E4609" s="6"/>
      <c r="J4609" s="8"/>
      <c r="L4609" s="6"/>
    </row>
    <row r="4610" spans="1:12" x14ac:dyDescent="0.3">
      <c r="A4610" s="8"/>
      <c r="C4610" s="6"/>
      <c r="E4610" s="6"/>
      <c r="J4610" s="8"/>
      <c r="L4610" s="6"/>
    </row>
    <row r="4611" spans="1:12" x14ac:dyDescent="0.3">
      <c r="A4611" s="8"/>
      <c r="C4611" s="6"/>
      <c r="E4611" s="6"/>
      <c r="J4611" s="8"/>
      <c r="L4611" s="6"/>
    </row>
    <row r="4612" spans="1:12" x14ac:dyDescent="0.3">
      <c r="A4612" s="8"/>
      <c r="C4612" s="6"/>
      <c r="E4612" s="6"/>
      <c r="J4612" s="8"/>
      <c r="L4612" s="6"/>
    </row>
    <row r="4613" spans="1:12" x14ac:dyDescent="0.3">
      <c r="A4613" s="8"/>
      <c r="C4613" s="6"/>
      <c r="E4613" s="6"/>
      <c r="J4613" s="8"/>
      <c r="L4613" s="6"/>
    </row>
    <row r="4614" spans="1:12" x14ac:dyDescent="0.3">
      <c r="A4614" s="8"/>
      <c r="C4614" s="6"/>
      <c r="E4614" s="6"/>
      <c r="J4614" s="8"/>
      <c r="L4614" s="6"/>
    </row>
    <row r="4615" spans="1:12" x14ac:dyDescent="0.3">
      <c r="A4615" s="8"/>
      <c r="C4615" s="6"/>
      <c r="E4615" s="6"/>
      <c r="J4615" s="8"/>
      <c r="L4615" s="6"/>
    </row>
    <row r="4616" spans="1:12" x14ac:dyDescent="0.3">
      <c r="A4616" s="8"/>
      <c r="C4616" s="6"/>
      <c r="E4616" s="6"/>
      <c r="J4616" s="8"/>
      <c r="L4616" s="6"/>
    </row>
    <row r="4617" spans="1:12" x14ac:dyDescent="0.3">
      <c r="A4617" s="8"/>
      <c r="C4617" s="6"/>
      <c r="E4617" s="6"/>
      <c r="J4617" s="8"/>
      <c r="L4617" s="6"/>
    </row>
    <row r="4618" spans="1:12" x14ac:dyDescent="0.3">
      <c r="A4618" s="8"/>
      <c r="C4618" s="6"/>
      <c r="E4618" s="6"/>
      <c r="J4618" s="8"/>
      <c r="L4618" s="6"/>
    </row>
    <row r="4619" spans="1:12" x14ac:dyDescent="0.3">
      <c r="A4619" s="8"/>
      <c r="C4619" s="6"/>
      <c r="E4619" s="6"/>
      <c r="J4619" s="8"/>
      <c r="L4619" s="6"/>
    </row>
    <row r="4620" spans="1:12" x14ac:dyDescent="0.3">
      <c r="A4620" s="8"/>
      <c r="C4620" s="6"/>
      <c r="E4620" s="6"/>
      <c r="J4620" s="8"/>
      <c r="L4620" s="6"/>
    </row>
    <row r="4621" spans="1:12" x14ac:dyDescent="0.3">
      <c r="A4621" s="8"/>
      <c r="C4621" s="6"/>
      <c r="E4621" s="6"/>
      <c r="J4621" s="8"/>
      <c r="L4621" s="6"/>
    </row>
    <row r="4622" spans="1:12" x14ac:dyDescent="0.3">
      <c r="A4622" s="8"/>
      <c r="C4622" s="6"/>
      <c r="E4622" s="6"/>
      <c r="J4622" s="8"/>
      <c r="L4622" s="6"/>
    </row>
    <row r="4623" spans="1:12" x14ac:dyDescent="0.3">
      <c r="A4623" s="8"/>
      <c r="C4623" s="6"/>
      <c r="E4623" s="6"/>
      <c r="J4623" s="8"/>
      <c r="L4623" s="6"/>
    </row>
    <row r="4624" spans="1:12" x14ac:dyDescent="0.3">
      <c r="A4624" s="8"/>
      <c r="C4624" s="6"/>
      <c r="E4624" s="6"/>
      <c r="J4624" s="8"/>
      <c r="L4624" s="6"/>
    </row>
    <row r="4625" spans="1:12" x14ac:dyDescent="0.3">
      <c r="A4625" s="8"/>
      <c r="C4625" s="6"/>
      <c r="E4625" s="6"/>
      <c r="J4625" s="8"/>
      <c r="L4625" s="6"/>
    </row>
    <row r="4626" spans="1:12" x14ac:dyDescent="0.3">
      <c r="A4626" s="8"/>
      <c r="C4626" s="6"/>
      <c r="E4626" s="6"/>
      <c r="J4626" s="8"/>
      <c r="L4626" s="6"/>
    </row>
    <row r="4627" spans="1:12" x14ac:dyDescent="0.3">
      <c r="A4627" s="8"/>
      <c r="C4627" s="6"/>
      <c r="E4627" s="6"/>
      <c r="J4627" s="8"/>
      <c r="L4627" s="6"/>
    </row>
    <row r="4628" spans="1:12" x14ac:dyDescent="0.3">
      <c r="A4628" s="8"/>
      <c r="C4628" s="6"/>
      <c r="E4628" s="6"/>
      <c r="J4628" s="8"/>
      <c r="L4628" s="6"/>
    </row>
    <row r="4629" spans="1:12" x14ac:dyDescent="0.3">
      <c r="A4629" s="8"/>
      <c r="C4629" s="6"/>
      <c r="E4629" s="6"/>
      <c r="J4629" s="8"/>
      <c r="L4629" s="6"/>
    </row>
    <row r="4630" spans="1:12" x14ac:dyDescent="0.3">
      <c r="A4630" s="8"/>
      <c r="C4630" s="6"/>
      <c r="E4630" s="6"/>
      <c r="J4630" s="8"/>
      <c r="L4630" s="6"/>
    </row>
    <row r="4631" spans="1:12" x14ac:dyDescent="0.3">
      <c r="A4631" s="8"/>
      <c r="C4631" s="6"/>
      <c r="E4631" s="6"/>
      <c r="J4631" s="8"/>
      <c r="L4631" s="6"/>
    </row>
    <row r="4632" spans="1:12" x14ac:dyDescent="0.3">
      <c r="A4632" s="8"/>
      <c r="C4632" s="6"/>
      <c r="E4632" s="6"/>
      <c r="J4632" s="8"/>
      <c r="L4632" s="6"/>
    </row>
    <row r="4633" spans="1:12" x14ac:dyDescent="0.3">
      <c r="A4633" s="8"/>
      <c r="C4633" s="6"/>
      <c r="E4633" s="6"/>
      <c r="J4633" s="8"/>
      <c r="L4633" s="6"/>
    </row>
    <row r="4634" spans="1:12" x14ac:dyDescent="0.3">
      <c r="A4634" s="8"/>
      <c r="C4634" s="6"/>
      <c r="E4634" s="6"/>
      <c r="J4634" s="8"/>
      <c r="L4634" s="6"/>
    </row>
    <row r="4635" spans="1:12" x14ac:dyDescent="0.3">
      <c r="A4635" s="8"/>
      <c r="C4635" s="6"/>
      <c r="E4635" s="6"/>
      <c r="J4635" s="8"/>
      <c r="L4635" s="6"/>
    </row>
    <row r="4636" spans="1:12" x14ac:dyDescent="0.3">
      <c r="A4636" s="8"/>
      <c r="C4636" s="6"/>
      <c r="E4636" s="6"/>
      <c r="J4636" s="8"/>
      <c r="L4636" s="6"/>
    </row>
    <row r="4637" spans="1:12" x14ac:dyDescent="0.3">
      <c r="A4637" s="8"/>
      <c r="C4637" s="6"/>
      <c r="E4637" s="6"/>
      <c r="J4637" s="8"/>
      <c r="L4637" s="6"/>
    </row>
    <row r="4638" spans="1:12" x14ac:dyDescent="0.3">
      <c r="A4638" s="8"/>
      <c r="C4638" s="6"/>
      <c r="E4638" s="6"/>
      <c r="J4638" s="8"/>
      <c r="L4638" s="6"/>
    </row>
    <row r="4639" spans="1:12" x14ac:dyDescent="0.3">
      <c r="A4639" s="8"/>
      <c r="C4639" s="6"/>
      <c r="E4639" s="6"/>
      <c r="J4639" s="8"/>
      <c r="L4639" s="6"/>
    </row>
    <row r="4640" spans="1:12" x14ac:dyDescent="0.3">
      <c r="A4640" s="8"/>
      <c r="C4640" s="6"/>
      <c r="E4640" s="6"/>
      <c r="J4640" s="8"/>
      <c r="L4640" s="6"/>
    </row>
    <row r="4641" spans="1:12" x14ac:dyDescent="0.3">
      <c r="A4641" s="8"/>
      <c r="C4641" s="6"/>
      <c r="E4641" s="6"/>
      <c r="J4641" s="8"/>
      <c r="L4641" s="6"/>
    </row>
    <row r="4642" spans="1:12" x14ac:dyDescent="0.3">
      <c r="A4642" s="8"/>
      <c r="C4642" s="6"/>
      <c r="E4642" s="6"/>
      <c r="J4642" s="8"/>
      <c r="L4642" s="6"/>
    </row>
    <row r="4643" spans="1:12" x14ac:dyDescent="0.3">
      <c r="A4643" s="8"/>
      <c r="C4643" s="6"/>
      <c r="E4643" s="6"/>
      <c r="J4643" s="8"/>
      <c r="L4643" s="6"/>
    </row>
    <row r="4644" spans="1:12" x14ac:dyDescent="0.3">
      <c r="A4644" s="8"/>
      <c r="C4644" s="6"/>
      <c r="E4644" s="6"/>
      <c r="J4644" s="8"/>
      <c r="L4644" s="6"/>
    </row>
    <row r="4645" spans="1:12" x14ac:dyDescent="0.3">
      <c r="A4645" s="8"/>
      <c r="C4645" s="6"/>
      <c r="E4645" s="6"/>
      <c r="J4645" s="8"/>
      <c r="L4645" s="6"/>
    </row>
    <row r="4646" spans="1:12" x14ac:dyDescent="0.3">
      <c r="A4646" s="8"/>
      <c r="C4646" s="6"/>
      <c r="E4646" s="6"/>
      <c r="J4646" s="8"/>
      <c r="L4646" s="6"/>
    </row>
    <row r="4647" spans="1:12" x14ac:dyDescent="0.3">
      <c r="A4647" s="8"/>
      <c r="C4647" s="6"/>
      <c r="E4647" s="6"/>
      <c r="J4647" s="8"/>
      <c r="L4647" s="6"/>
    </row>
    <row r="4648" spans="1:12" x14ac:dyDescent="0.3">
      <c r="A4648" s="8"/>
      <c r="C4648" s="6"/>
      <c r="E4648" s="6"/>
      <c r="J4648" s="8"/>
      <c r="L4648" s="6"/>
    </row>
    <row r="4649" spans="1:12" x14ac:dyDescent="0.3">
      <c r="A4649" s="8"/>
      <c r="C4649" s="6"/>
      <c r="E4649" s="6"/>
      <c r="J4649" s="8"/>
      <c r="L4649" s="6"/>
    </row>
    <row r="4650" spans="1:12" x14ac:dyDescent="0.3">
      <c r="A4650" s="8"/>
      <c r="C4650" s="6"/>
      <c r="E4650" s="6"/>
      <c r="J4650" s="8"/>
      <c r="L4650" s="6"/>
    </row>
    <row r="4651" spans="1:12" x14ac:dyDescent="0.3">
      <c r="A4651" s="8"/>
      <c r="C4651" s="6"/>
      <c r="E4651" s="6"/>
      <c r="J4651" s="8"/>
      <c r="L4651" s="6"/>
    </row>
    <row r="4652" spans="1:12" x14ac:dyDescent="0.3">
      <c r="A4652" s="8"/>
      <c r="C4652" s="6"/>
      <c r="E4652" s="6"/>
      <c r="J4652" s="8"/>
      <c r="L4652" s="6"/>
    </row>
    <row r="4653" spans="1:12" x14ac:dyDescent="0.3">
      <c r="A4653" s="8"/>
      <c r="C4653" s="6"/>
      <c r="E4653" s="6"/>
      <c r="J4653" s="8"/>
      <c r="L4653" s="6"/>
    </row>
    <row r="4654" spans="1:12" x14ac:dyDescent="0.3">
      <c r="A4654" s="8"/>
      <c r="C4654" s="6"/>
      <c r="E4654" s="6"/>
      <c r="J4654" s="8"/>
      <c r="L4654" s="6"/>
    </row>
    <row r="4655" spans="1:12" x14ac:dyDescent="0.3">
      <c r="A4655" s="8"/>
      <c r="C4655" s="6"/>
      <c r="E4655" s="6"/>
      <c r="J4655" s="8"/>
      <c r="L4655" s="6"/>
    </row>
    <row r="4656" spans="1:12" x14ac:dyDescent="0.3">
      <c r="A4656" s="8"/>
      <c r="C4656" s="6"/>
      <c r="E4656" s="6"/>
      <c r="J4656" s="8"/>
      <c r="L4656" s="6"/>
    </row>
    <row r="4657" spans="1:12" x14ac:dyDescent="0.3">
      <c r="A4657" s="8"/>
      <c r="C4657" s="6"/>
      <c r="E4657" s="6"/>
      <c r="J4657" s="8"/>
      <c r="L4657" s="6"/>
    </row>
    <row r="4658" spans="1:12" x14ac:dyDescent="0.3">
      <c r="A4658" s="8"/>
      <c r="C4658" s="6"/>
      <c r="E4658" s="6"/>
      <c r="J4658" s="8"/>
      <c r="L4658" s="6"/>
    </row>
    <row r="4659" spans="1:12" x14ac:dyDescent="0.3">
      <c r="A4659" s="8"/>
      <c r="C4659" s="6"/>
      <c r="E4659" s="6"/>
      <c r="J4659" s="8"/>
      <c r="L4659" s="6"/>
    </row>
    <row r="4660" spans="1:12" x14ac:dyDescent="0.3">
      <c r="A4660" s="8"/>
      <c r="C4660" s="6"/>
      <c r="E4660" s="6"/>
      <c r="J4660" s="8"/>
      <c r="L4660" s="6"/>
    </row>
    <row r="4661" spans="1:12" x14ac:dyDescent="0.3">
      <c r="A4661" s="8"/>
      <c r="C4661" s="6"/>
      <c r="E4661" s="6"/>
      <c r="J4661" s="8"/>
      <c r="L4661" s="6"/>
    </row>
    <row r="4662" spans="1:12" x14ac:dyDescent="0.3">
      <c r="A4662" s="8"/>
      <c r="C4662" s="6"/>
      <c r="E4662" s="6"/>
      <c r="J4662" s="8"/>
      <c r="L4662" s="6"/>
    </row>
    <row r="4663" spans="1:12" x14ac:dyDescent="0.3">
      <c r="A4663" s="8"/>
      <c r="C4663" s="6"/>
      <c r="E4663" s="6"/>
      <c r="J4663" s="8"/>
      <c r="L4663" s="6"/>
    </row>
    <row r="4664" spans="1:12" x14ac:dyDescent="0.3">
      <c r="A4664" s="8"/>
      <c r="C4664" s="6"/>
      <c r="E4664" s="6"/>
      <c r="J4664" s="8"/>
      <c r="L4664" s="6"/>
    </row>
    <row r="4665" spans="1:12" x14ac:dyDescent="0.3">
      <c r="A4665" s="8"/>
      <c r="C4665" s="6"/>
      <c r="E4665" s="6"/>
      <c r="J4665" s="8"/>
      <c r="L4665" s="6"/>
    </row>
    <row r="4666" spans="1:12" x14ac:dyDescent="0.3">
      <c r="A4666" s="8"/>
      <c r="C4666" s="6"/>
      <c r="E4666" s="6"/>
      <c r="J4666" s="8"/>
      <c r="L4666" s="6"/>
    </row>
    <row r="4667" spans="1:12" x14ac:dyDescent="0.3">
      <c r="A4667" s="8"/>
      <c r="C4667" s="6"/>
      <c r="E4667" s="6"/>
      <c r="J4667" s="8"/>
      <c r="L4667" s="6"/>
    </row>
    <row r="4668" spans="1:12" x14ac:dyDescent="0.3">
      <c r="A4668" s="8"/>
      <c r="C4668" s="6"/>
      <c r="E4668" s="6"/>
      <c r="J4668" s="8"/>
      <c r="L4668" s="6"/>
    </row>
    <row r="4669" spans="1:12" x14ac:dyDescent="0.3">
      <c r="A4669" s="8"/>
      <c r="C4669" s="6"/>
      <c r="E4669" s="6"/>
      <c r="J4669" s="8"/>
      <c r="L4669" s="6"/>
    </row>
    <row r="4670" spans="1:12" x14ac:dyDescent="0.3">
      <c r="A4670" s="8"/>
      <c r="C4670" s="6"/>
      <c r="E4670" s="6"/>
      <c r="J4670" s="8"/>
      <c r="L4670" s="6"/>
    </row>
    <row r="4671" spans="1:12" x14ac:dyDescent="0.3">
      <c r="A4671" s="8"/>
      <c r="C4671" s="6"/>
      <c r="E4671" s="6"/>
      <c r="J4671" s="8"/>
      <c r="L4671" s="6"/>
    </row>
    <row r="4672" spans="1:12" x14ac:dyDescent="0.3">
      <c r="A4672" s="8"/>
      <c r="C4672" s="6"/>
      <c r="E4672" s="6"/>
      <c r="J4672" s="8"/>
      <c r="L4672" s="6"/>
    </row>
    <row r="4673" spans="1:12" x14ac:dyDescent="0.3">
      <c r="A4673" s="8"/>
      <c r="C4673" s="6"/>
      <c r="E4673" s="6"/>
      <c r="J4673" s="8"/>
      <c r="L4673" s="6"/>
    </row>
    <row r="4674" spans="1:12" x14ac:dyDescent="0.3">
      <c r="A4674" s="8"/>
      <c r="C4674" s="6"/>
      <c r="E4674" s="6"/>
      <c r="J4674" s="8"/>
      <c r="L4674" s="6"/>
    </row>
    <row r="4675" spans="1:12" x14ac:dyDescent="0.3">
      <c r="A4675" s="8"/>
      <c r="C4675" s="6"/>
      <c r="E4675" s="6"/>
      <c r="J4675" s="8"/>
      <c r="L4675" s="6"/>
    </row>
    <row r="4676" spans="1:12" x14ac:dyDescent="0.3">
      <c r="A4676" s="8"/>
      <c r="C4676" s="6"/>
      <c r="E4676" s="6"/>
      <c r="J4676" s="8"/>
      <c r="L4676" s="6"/>
    </row>
    <row r="4677" spans="1:12" x14ac:dyDescent="0.3">
      <c r="A4677" s="8"/>
      <c r="C4677" s="6"/>
      <c r="E4677" s="6"/>
      <c r="J4677" s="8"/>
      <c r="L4677" s="6"/>
    </row>
    <row r="4678" spans="1:12" x14ac:dyDescent="0.3">
      <c r="A4678" s="8"/>
      <c r="C4678" s="6"/>
      <c r="E4678" s="6"/>
      <c r="J4678" s="8"/>
      <c r="L4678" s="6"/>
    </row>
    <row r="4679" spans="1:12" x14ac:dyDescent="0.3">
      <c r="A4679" s="8"/>
      <c r="C4679" s="6"/>
      <c r="E4679" s="6"/>
      <c r="J4679" s="8"/>
      <c r="L4679" s="6"/>
    </row>
    <row r="4680" spans="1:12" x14ac:dyDescent="0.3">
      <c r="A4680" s="8"/>
      <c r="C4680" s="6"/>
      <c r="E4680" s="6"/>
      <c r="J4680" s="8"/>
      <c r="L4680" s="6"/>
    </row>
    <row r="4681" spans="1:12" x14ac:dyDescent="0.3">
      <c r="A4681" s="8"/>
      <c r="C4681" s="6"/>
      <c r="E4681" s="6"/>
      <c r="J4681" s="8"/>
      <c r="L4681" s="6"/>
    </row>
    <row r="4682" spans="1:12" x14ac:dyDescent="0.3">
      <c r="A4682" s="8"/>
      <c r="C4682" s="6"/>
      <c r="E4682" s="6"/>
      <c r="J4682" s="8"/>
      <c r="L4682" s="6"/>
    </row>
    <row r="4683" spans="1:12" x14ac:dyDescent="0.3">
      <c r="A4683" s="8"/>
      <c r="C4683" s="6"/>
      <c r="E4683" s="6"/>
      <c r="J4683" s="8"/>
      <c r="L4683" s="6"/>
    </row>
    <row r="4684" spans="1:12" x14ac:dyDescent="0.3">
      <c r="A4684" s="8"/>
      <c r="C4684" s="6"/>
      <c r="E4684" s="6"/>
      <c r="J4684" s="8"/>
      <c r="L4684" s="6"/>
    </row>
    <row r="4685" spans="1:12" x14ac:dyDescent="0.3">
      <c r="A4685" s="8"/>
      <c r="C4685" s="6"/>
      <c r="E4685" s="6"/>
      <c r="J4685" s="8"/>
      <c r="L4685" s="6"/>
    </row>
    <row r="4686" spans="1:12" x14ac:dyDescent="0.3">
      <c r="A4686" s="8"/>
      <c r="C4686" s="6"/>
      <c r="E4686" s="6"/>
      <c r="J4686" s="8"/>
      <c r="L4686" s="6"/>
    </row>
    <row r="4687" spans="1:12" x14ac:dyDescent="0.3">
      <c r="A4687" s="8"/>
      <c r="C4687" s="6"/>
      <c r="E4687" s="6"/>
      <c r="J4687" s="8"/>
      <c r="L4687" s="6"/>
    </row>
    <row r="4688" spans="1:12" x14ac:dyDescent="0.3">
      <c r="A4688" s="8"/>
      <c r="C4688" s="6"/>
      <c r="E4688" s="6"/>
      <c r="J4688" s="8"/>
      <c r="L4688" s="6"/>
    </row>
    <row r="4689" spans="1:12" x14ac:dyDescent="0.3">
      <c r="A4689" s="8"/>
      <c r="C4689" s="6"/>
      <c r="E4689" s="6"/>
      <c r="J4689" s="8"/>
      <c r="L4689" s="6"/>
    </row>
    <row r="4690" spans="1:12" x14ac:dyDescent="0.3">
      <c r="A4690" s="8"/>
      <c r="C4690" s="6"/>
      <c r="E4690" s="6"/>
      <c r="J4690" s="8"/>
      <c r="L4690" s="6"/>
    </row>
    <row r="4691" spans="1:12" x14ac:dyDescent="0.3">
      <c r="A4691" s="8"/>
      <c r="C4691" s="6"/>
      <c r="E4691" s="6"/>
      <c r="J4691" s="8"/>
      <c r="L4691" s="6"/>
    </row>
    <row r="4692" spans="1:12" x14ac:dyDescent="0.3">
      <c r="A4692" s="8"/>
      <c r="C4692" s="6"/>
      <c r="E4692" s="6"/>
      <c r="J4692" s="8"/>
      <c r="L4692" s="6"/>
    </row>
    <row r="4693" spans="1:12" x14ac:dyDescent="0.3">
      <c r="A4693" s="8"/>
      <c r="C4693" s="6"/>
      <c r="E4693" s="6"/>
      <c r="J4693" s="8"/>
      <c r="L4693" s="6"/>
    </row>
    <row r="4694" spans="1:12" x14ac:dyDescent="0.3">
      <c r="A4694" s="8"/>
      <c r="C4694" s="6"/>
      <c r="E4694" s="6"/>
      <c r="J4694" s="8"/>
      <c r="L4694" s="6"/>
    </row>
    <row r="4695" spans="1:12" x14ac:dyDescent="0.3">
      <c r="A4695" s="8"/>
      <c r="C4695" s="6"/>
      <c r="E4695" s="6"/>
      <c r="J4695" s="8"/>
      <c r="L4695" s="6"/>
    </row>
    <row r="4696" spans="1:12" x14ac:dyDescent="0.3">
      <c r="A4696" s="8"/>
      <c r="C4696" s="6"/>
      <c r="E4696" s="6"/>
      <c r="J4696" s="8"/>
      <c r="L4696" s="6"/>
    </row>
    <row r="4697" spans="1:12" x14ac:dyDescent="0.3">
      <c r="A4697" s="8"/>
      <c r="C4697" s="6"/>
      <c r="E4697" s="6"/>
      <c r="J4697" s="8"/>
      <c r="L4697" s="6"/>
    </row>
    <row r="4698" spans="1:12" x14ac:dyDescent="0.3">
      <c r="A4698" s="8"/>
      <c r="C4698" s="6"/>
      <c r="E4698" s="6"/>
      <c r="J4698" s="8"/>
      <c r="L4698" s="6"/>
    </row>
    <row r="4699" spans="1:12" x14ac:dyDescent="0.3">
      <c r="A4699" s="8"/>
      <c r="C4699" s="6"/>
      <c r="E4699" s="6"/>
      <c r="J4699" s="8"/>
      <c r="L4699" s="6"/>
    </row>
    <row r="4700" spans="1:12" x14ac:dyDescent="0.3">
      <c r="A4700" s="8"/>
      <c r="C4700" s="6"/>
      <c r="E4700" s="6"/>
      <c r="J4700" s="8"/>
      <c r="L4700" s="6"/>
    </row>
    <row r="4701" spans="1:12" x14ac:dyDescent="0.3">
      <c r="A4701" s="8"/>
      <c r="C4701" s="6"/>
      <c r="E4701" s="6"/>
      <c r="J4701" s="8"/>
      <c r="L4701" s="6"/>
    </row>
    <row r="4702" spans="1:12" x14ac:dyDescent="0.3">
      <c r="A4702" s="8"/>
      <c r="C4702" s="6"/>
      <c r="E4702" s="6"/>
      <c r="J4702" s="8"/>
      <c r="L4702" s="6"/>
    </row>
    <row r="4703" spans="1:12" x14ac:dyDescent="0.3">
      <c r="A4703" s="8"/>
      <c r="C4703" s="6"/>
      <c r="E4703" s="6"/>
      <c r="J4703" s="8"/>
      <c r="L4703" s="6"/>
    </row>
    <row r="4704" spans="1:12" x14ac:dyDescent="0.3">
      <c r="A4704" s="8"/>
      <c r="C4704" s="6"/>
      <c r="E4704" s="6"/>
      <c r="J4704" s="8"/>
      <c r="L4704" s="6"/>
    </row>
    <row r="4705" spans="1:12" x14ac:dyDescent="0.3">
      <c r="A4705" s="8"/>
      <c r="C4705" s="6"/>
      <c r="E4705" s="6"/>
      <c r="J4705" s="8"/>
      <c r="L4705" s="6"/>
    </row>
    <row r="4706" spans="1:12" x14ac:dyDescent="0.3">
      <c r="A4706" s="8"/>
      <c r="C4706" s="6"/>
      <c r="E4706" s="6"/>
      <c r="J4706" s="8"/>
      <c r="L4706" s="6"/>
    </row>
    <row r="4707" spans="1:12" x14ac:dyDescent="0.3">
      <c r="A4707" s="8"/>
      <c r="C4707" s="6"/>
      <c r="E4707" s="6"/>
      <c r="J4707" s="8"/>
      <c r="L4707" s="6"/>
    </row>
    <row r="4708" spans="1:12" x14ac:dyDescent="0.3">
      <c r="A4708" s="8"/>
      <c r="C4708" s="6"/>
      <c r="E4708" s="6"/>
      <c r="J4708" s="8"/>
      <c r="L4708" s="6"/>
    </row>
    <row r="4709" spans="1:12" x14ac:dyDescent="0.3">
      <c r="A4709" s="8"/>
      <c r="C4709" s="6"/>
      <c r="E4709" s="6"/>
      <c r="J4709" s="8"/>
      <c r="L4709" s="6"/>
    </row>
    <row r="4710" spans="1:12" x14ac:dyDescent="0.3">
      <c r="A4710" s="8"/>
      <c r="C4710" s="6"/>
      <c r="E4710" s="6"/>
      <c r="J4710" s="8"/>
      <c r="L4710" s="6"/>
    </row>
    <row r="4711" spans="1:12" x14ac:dyDescent="0.3">
      <c r="A4711" s="8"/>
      <c r="C4711" s="6"/>
      <c r="E4711" s="6"/>
      <c r="J4711" s="8"/>
      <c r="L4711" s="6"/>
    </row>
    <row r="4712" spans="1:12" x14ac:dyDescent="0.3">
      <c r="A4712" s="8"/>
      <c r="C4712" s="6"/>
      <c r="E4712" s="6"/>
      <c r="J4712" s="8"/>
      <c r="L4712" s="6"/>
    </row>
    <row r="4713" spans="1:12" x14ac:dyDescent="0.3">
      <c r="A4713" s="8"/>
      <c r="C4713" s="6"/>
      <c r="E4713" s="6"/>
      <c r="J4713" s="8"/>
      <c r="L4713" s="6"/>
    </row>
    <row r="4714" spans="1:12" x14ac:dyDescent="0.3">
      <c r="A4714" s="8"/>
      <c r="C4714" s="6"/>
      <c r="E4714" s="6"/>
      <c r="J4714" s="8"/>
      <c r="L4714" s="6"/>
    </row>
    <row r="4715" spans="1:12" x14ac:dyDescent="0.3">
      <c r="A4715" s="8"/>
      <c r="C4715" s="6"/>
      <c r="E4715" s="6"/>
      <c r="J4715" s="8"/>
      <c r="L4715" s="6"/>
    </row>
    <row r="4716" spans="1:12" x14ac:dyDescent="0.3">
      <c r="A4716" s="8"/>
      <c r="C4716" s="6"/>
      <c r="E4716" s="6"/>
      <c r="J4716" s="8"/>
      <c r="L4716" s="6"/>
    </row>
    <row r="4717" spans="1:12" x14ac:dyDescent="0.3">
      <c r="A4717" s="8"/>
      <c r="C4717" s="6"/>
      <c r="E4717" s="6"/>
      <c r="J4717" s="8"/>
      <c r="L4717" s="6"/>
    </row>
    <row r="4718" spans="1:12" x14ac:dyDescent="0.3">
      <c r="A4718" s="8"/>
      <c r="C4718" s="6"/>
      <c r="E4718" s="6"/>
      <c r="J4718" s="8"/>
      <c r="L4718" s="6"/>
    </row>
    <row r="4719" spans="1:12" x14ac:dyDescent="0.3">
      <c r="A4719" s="8"/>
      <c r="C4719" s="6"/>
      <c r="E4719" s="6"/>
      <c r="J4719" s="8"/>
      <c r="L4719" s="6"/>
    </row>
    <row r="4720" spans="1:12" x14ac:dyDescent="0.3">
      <c r="A4720" s="8"/>
      <c r="C4720" s="6"/>
      <c r="E4720" s="6"/>
      <c r="J4720" s="8"/>
      <c r="L4720" s="6"/>
    </row>
    <row r="4721" spans="1:12" x14ac:dyDescent="0.3">
      <c r="A4721" s="8"/>
      <c r="C4721" s="6"/>
      <c r="E4721" s="6"/>
      <c r="J4721" s="8"/>
      <c r="L4721" s="6"/>
    </row>
    <row r="4722" spans="1:12" x14ac:dyDescent="0.3">
      <c r="A4722" s="8"/>
      <c r="C4722" s="6"/>
      <c r="E4722" s="6"/>
      <c r="J4722" s="8"/>
      <c r="L4722" s="6"/>
    </row>
    <row r="4723" spans="1:12" x14ac:dyDescent="0.3">
      <c r="A4723" s="8"/>
      <c r="C4723" s="6"/>
      <c r="E4723" s="6"/>
      <c r="J4723" s="8"/>
      <c r="L4723" s="6"/>
    </row>
    <row r="4724" spans="1:12" x14ac:dyDescent="0.3">
      <c r="A4724" s="8"/>
      <c r="C4724" s="6"/>
      <c r="E4724" s="6"/>
      <c r="J4724" s="8"/>
      <c r="L4724" s="6"/>
    </row>
    <row r="4725" spans="1:12" x14ac:dyDescent="0.3">
      <c r="A4725" s="8"/>
      <c r="C4725" s="6"/>
      <c r="E4725" s="6"/>
      <c r="J4725" s="8"/>
      <c r="L4725" s="6"/>
    </row>
    <row r="4726" spans="1:12" x14ac:dyDescent="0.3">
      <c r="A4726" s="8"/>
      <c r="C4726" s="6"/>
      <c r="E4726" s="6"/>
      <c r="J4726" s="8"/>
      <c r="L4726" s="6"/>
    </row>
    <row r="4727" spans="1:12" x14ac:dyDescent="0.3">
      <c r="A4727" s="8"/>
      <c r="C4727" s="6"/>
      <c r="E4727" s="6"/>
      <c r="J4727" s="8"/>
      <c r="L4727" s="6"/>
    </row>
    <row r="4728" spans="1:12" x14ac:dyDescent="0.3">
      <c r="A4728" s="8"/>
      <c r="C4728" s="6"/>
      <c r="E4728" s="6"/>
      <c r="J4728" s="8"/>
      <c r="L4728" s="6"/>
    </row>
    <row r="4729" spans="1:12" x14ac:dyDescent="0.3">
      <c r="A4729" s="8"/>
      <c r="C4729" s="6"/>
      <c r="E4729" s="6"/>
      <c r="J4729" s="8"/>
      <c r="L4729" s="6"/>
    </row>
    <row r="4730" spans="1:12" x14ac:dyDescent="0.3">
      <c r="A4730" s="8"/>
      <c r="C4730" s="6"/>
      <c r="E4730" s="6"/>
      <c r="J4730" s="8"/>
      <c r="L4730" s="6"/>
    </row>
    <row r="4731" spans="1:12" x14ac:dyDescent="0.3">
      <c r="A4731" s="8"/>
      <c r="C4731" s="6"/>
      <c r="E4731" s="6"/>
      <c r="J4731" s="8"/>
      <c r="L4731" s="6"/>
    </row>
    <row r="4732" spans="1:12" x14ac:dyDescent="0.3">
      <c r="A4732" s="8"/>
      <c r="C4732" s="6"/>
      <c r="E4732" s="6"/>
      <c r="J4732" s="8"/>
      <c r="L4732" s="6"/>
    </row>
    <row r="4733" spans="1:12" x14ac:dyDescent="0.3">
      <c r="A4733" s="8"/>
      <c r="C4733" s="6"/>
      <c r="E4733" s="6"/>
      <c r="J4733" s="8"/>
      <c r="L4733" s="6"/>
    </row>
    <row r="4734" spans="1:12" x14ac:dyDescent="0.3">
      <c r="A4734" s="8"/>
      <c r="C4734" s="6"/>
      <c r="E4734" s="6"/>
      <c r="J4734" s="8"/>
      <c r="L4734" s="6"/>
    </row>
    <row r="4735" spans="1:12" x14ac:dyDescent="0.3">
      <c r="A4735" s="8"/>
      <c r="C4735" s="6"/>
      <c r="E4735" s="6"/>
      <c r="J4735" s="8"/>
      <c r="L4735" s="6"/>
    </row>
    <row r="4736" spans="1:12" x14ac:dyDescent="0.3">
      <c r="A4736" s="8"/>
      <c r="C4736" s="6"/>
      <c r="E4736" s="6"/>
      <c r="J4736" s="8"/>
      <c r="L4736" s="6"/>
    </row>
    <row r="4737" spans="1:12" x14ac:dyDescent="0.3">
      <c r="A4737" s="8"/>
      <c r="C4737" s="6"/>
      <c r="E4737" s="6"/>
      <c r="J4737" s="8"/>
      <c r="L4737" s="6"/>
    </row>
    <row r="4738" spans="1:12" x14ac:dyDescent="0.3">
      <c r="A4738" s="8"/>
      <c r="C4738" s="6"/>
      <c r="E4738" s="6"/>
      <c r="J4738" s="8"/>
      <c r="L4738" s="6"/>
    </row>
    <row r="4739" spans="1:12" x14ac:dyDescent="0.3">
      <c r="A4739" s="8"/>
      <c r="C4739" s="6"/>
      <c r="E4739" s="6"/>
      <c r="J4739" s="8"/>
      <c r="L4739" s="6"/>
    </row>
    <row r="4740" spans="1:12" x14ac:dyDescent="0.3">
      <c r="A4740" s="8"/>
      <c r="C4740" s="6"/>
      <c r="E4740" s="6"/>
      <c r="J4740" s="8"/>
      <c r="L4740" s="6"/>
    </row>
    <row r="4741" spans="1:12" x14ac:dyDescent="0.3">
      <c r="A4741" s="8"/>
      <c r="C4741" s="6"/>
      <c r="E4741" s="6"/>
      <c r="J4741" s="8"/>
      <c r="L4741" s="6"/>
    </row>
    <row r="4742" spans="1:12" x14ac:dyDescent="0.3">
      <c r="A4742" s="8"/>
      <c r="C4742" s="6"/>
      <c r="E4742" s="6"/>
      <c r="J4742" s="8"/>
      <c r="L4742" s="6"/>
    </row>
    <row r="4743" spans="1:12" x14ac:dyDescent="0.3">
      <c r="A4743" s="8"/>
      <c r="C4743" s="6"/>
      <c r="E4743" s="6"/>
      <c r="J4743" s="8"/>
      <c r="L4743" s="6"/>
    </row>
    <row r="4744" spans="1:12" x14ac:dyDescent="0.3">
      <c r="A4744" s="8"/>
      <c r="C4744" s="6"/>
      <c r="E4744" s="6"/>
      <c r="J4744" s="8"/>
      <c r="L4744" s="6"/>
    </row>
    <row r="4745" spans="1:12" x14ac:dyDescent="0.3">
      <c r="A4745" s="8"/>
      <c r="C4745" s="6"/>
      <c r="E4745" s="6"/>
      <c r="J4745" s="8"/>
      <c r="L4745" s="6"/>
    </row>
    <row r="4746" spans="1:12" x14ac:dyDescent="0.3">
      <c r="A4746" s="8"/>
      <c r="C4746" s="6"/>
      <c r="E4746" s="6"/>
      <c r="J4746" s="8"/>
      <c r="L4746" s="6"/>
    </row>
    <row r="4747" spans="1:12" x14ac:dyDescent="0.3">
      <c r="A4747" s="8"/>
      <c r="C4747" s="6"/>
      <c r="E4747" s="6"/>
      <c r="J4747" s="8"/>
      <c r="L4747" s="6"/>
    </row>
    <row r="4748" spans="1:12" x14ac:dyDescent="0.3">
      <c r="A4748" s="8"/>
      <c r="C4748" s="6"/>
      <c r="E4748" s="6"/>
      <c r="J4748" s="8"/>
      <c r="L4748" s="6"/>
    </row>
    <row r="4749" spans="1:12" x14ac:dyDescent="0.3">
      <c r="A4749" s="8"/>
      <c r="C4749" s="6"/>
      <c r="E4749" s="6"/>
      <c r="J4749" s="8"/>
      <c r="L4749" s="6"/>
    </row>
    <row r="4750" spans="1:12" x14ac:dyDescent="0.3">
      <c r="A4750" s="8"/>
      <c r="C4750" s="6"/>
      <c r="E4750" s="6"/>
      <c r="J4750" s="8"/>
      <c r="L4750" s="6"/>
    </row>
    <row r="4751" spans="1:12" x14ac:dyDescent="0.3">
      <c r="A4751" s="8"/>
      <c r="C4751" s="6"/>
      <c r="E4751" s="6"/>
      <c r="J4751" s="8"/>
      <c r="L4751" s="6"/>
    </row>
    <row r="4752" spans="1:12" x14ac:dyDescent="0.3">
      <c r="A4752" s="8"/>
      <c r="C4752" s="6"/>
      <c r="E4752" s="6"/>
      <c r="J4752" s="8"/>
      <c r="L4752" s="6"/>
    </row>
    <row r="4753" spans="1:12" x14ac:dyDescent="0.3">
      <c r="A4753" s="8"/>
      <c r="C4753" s="6"/>
      <c r="E4753" s="6"/>
      <c r="J4753" s="8"/>
      <c r="L4753" s="6"/>
    </row>
    <row r="4754" spans="1:12" x14ac:dyDescent="0.3">
      <c r="A4754" s="8"/>
      <c r="C4754" s="6"/>
      <c r="E4754" s="6"/>
      <c r="J4754" s="8"/>
      <c r="L4754" s="6"/>
    </row>
    <row r="4755" spans="1:12" x14ac:dyDescent="0.3">
      <c r="A4755" s="8"/>
      <c r="C4755" s="6"/>
      <c r="E4755" s="6"/>
      <c r="J4755" s="8"/>
      <c r="L4755" s="6"/>
    </row>
    <row r="4756" spans="1:12" x14ac:dyDescent="0.3">
      <c r="A4756" s="8"/>
      <c r="C4756" s="6"/>
      <c r="E4756" s="6"/>
      <c r="J4756" s="8"/>
      <c r="L4756" s="6"/>
    </row>
    <row r="4757" spans="1:12" x14ac:dyDescent="0.3">
      <c r="A4757" s="8"/>
      <c r="C4757" s="6"/>
      <c r="E4757" s="6"/>
      <c r="J4757" s="8"/>
      <c r="L4757" s="6"/>
    </row>
    <row r="4758" spans="1:12" x14ac:dyDescent="0.3">
      <c r="A4758" s="8"/>
      <c r="C4758" s="6"/>
      <c r="E4758" s="6"/>
      <c r="J4758" s="8"/>
      <c r="L4758" s="6"/>
    </row>
    <row r="4759" spans="1:12" x14ac:dyDescent="0.3">
      <c r="A4759" s="8"/>
      <c r="C4759" s="6"/>
      <c r="E4759" s="6"/>
      <c r="J4759" s="8"/>
      <c r="L4759" s="6"/>
    </row>
    <row r="4760" spans="1:12" x14ac:dyDescent="0.3">
      <c r="A4760" s="8"/>
      <c r="C4760" s="6"/>
      <c r="E4760" s="6"/>
      <c r="J4760" s="8"/>
      <c r="L4760" s="6"/>
    </row>
    <row r="4761" spans="1:12" x14ac:dyDescent="0.3">
      <c r="A4761" s="8"/>
      <c r="C4761" s="6"/>
      <c r="E4761" s="6"/>
      <c r="J4761" s="8"/>
      <c r="L4761" s="6"/>
    </row>
    <row r="4762" spans="1:12" x14ac:dyDescent="0.3">
      <c r="A4762" s="8"/>
      <c r="C4762" s="6"/>
      <c r="E4762" s="6"/>
      <c r="J4762" s="8"/>
      <c r="L4762" s="6"/>
    </row>
    <row r="4763" spans="1:12" x14ac:dyDescent="0.3">
      <c r="A4763" s="8"/>
      <c r="C4763" s="6"/>
      <c r="E4763" s="6"/>
      <c r="J4763" s="8"/>
      <c r="L4763" s="6"/>
    </row>
    <row r="4764" spans="1:12" x14ac:dyDescent="0.3">
      <c r="A4764" s="8"/>
      <c r="C4764" s="6"/>
      <c r="E4764" s="6"/>
      <c r="J4764" s="8"/>
      <c r="L4764" s="6"/>
    </row>
    <row r="4765" spans="1:12" x14ac:dyDescent="0.3">
      <c r="A4765" s="8"/>
      <c r="C4765" s="6"/>
      <c r="E4765" s="6"/>
      <c r="J4765" s="8"/>
      <c r="L4765" s="6"/>
    </row>
    <row r="4766" spans="1:12" x14ac:dyDescent="0.3">
      <c r="A4766" s="8"/>
      <c r="C4766" s="6"/>
      <c r="E4766" s="6"/>
      <c r="J4766" s="8"/>
      <c r="L4766" s="6"/>
    </row>
    <row r="4767" spans="1:12" x14ac:dyDescent="0.3">
      <c r="A4767" s="8"/>
      <c r="C4767" s="6"/>
      <c r="E4767" s="6"/>
      <c r="J4767" s="8"/>
      <c r="L4767" s="6"/>
    </row>
    <row r="4768" spans="1:12" x14ac:dyDescent="0.3">
      <c r="A4768" s="8"/>
      <c r="C4768" s="6"/>
      <c r="E4768" s="6"/>
      <c r="J4768" s="8"/>
      <c r="L4768" s="6"/>
    </row>
    <row r="4769" spans="1:12" x14ac:dyDescent="0.3">
      <c r="A4769" s="8"/>
      <c r="C4769" s="6"/>
      <c r="E4769" s="6"/>
      <c r="J4769" s="8"/>
      <c r="L4769" s="6"/>
    </row>
    <row r="4770" spans="1:12" x14ac:dyDescent="0.3">
      <c r="A4770" s="8"/>
      <c r="C4770" s="6"/>
      <c r="E4770" s="6"/>
      <c r="J4770" s="8"/>
      <c r="L4770" s="6"/>
    </row>
    <row r="4771" spans="1:12" x14ac:dyDescent="0.3">
      <c r="A4771" s="8"/>
      <c r="C4771" s="6"/>
      <c r="E4771" s="6"/>
      <c r="J4771" s="8"/>
      <c r="L4771" s="6"/>
    </row>
    <row r="4772" spans="1:12" x14ac:dyDescent="0.3">
      <c r="A4772" s="8"/>
      <c r="C4772" s="6"/>
      <c r="E4772" s="6"/>
      <c r="J4772" s="8"/>
      <c r="L4772" s="6"/>
    </row>
    <row r="4773" spans="1:12" x14ac:dyDescent="0.3">
      <c r="A4773" s="8"/>
      <c r="C4773" s="6"/>
      <c r="E4773" s="6"/>
      <c r="J4773" s="8"/>
      <c r="L4773" s="6"/>
    </row>
    <row r="4774" spans="1:12" x14ac:dyDescent="0.3">
      <c r="A4774" s="8"/>
      <c r="C4774" s="6"/>
      <c r="E4774" s="6"/>
      <c r="J4774" s="8"/>
      <c r="L4774" s="6"/>
    </row>
    <row r="4775" spans="1:12" x14ac:dyDescent="0.3">
      <c r="A4775" s="8"/>
      <c r="C4775" s="6"/>
      <c r="E4775" s="6"/>
      <c r="J4775" s="8"/>
      <c r="L4775" s="6"/>
    </row>
    <row r="4776" spans="1:12" x14ac:dyDescent="0.3">
      <c r="A4776" s="8"/>
      <c r="C4776" s="6"/>
      <c r="E4776" s="6"/>
      <c r="J4776" s="8"/>
      <c r="L4776" s="6"/>
    </row>
    <row r="4777" spans="1:12" x14ac:dyDescent="0.3">
      <c r="A4777" s="8"/>
      <c r="C4777" s="6"/>
      <c r="E4777" s="6"/>
      <c r="J4777" s="8"/>
      <c r="L4777" s="6"/>
    </row>
    <row r="4778" spans="1:12" x14ac:dyDescent="0.3">
      <c r="A4778" s="8"/>
      <c r="C4778" s="6"/>
      <c r="E4778" s="6"/>
      <c r="J4778" s="8"/>
      <c r="L4778" s="6"/>
    </row>
    <row r="4779" spans="1:12" x14ac:dyDescent="0.3">
      <c r="A4779" s="8"/>
      <c r="C4779" s="6"/>
      <c r="E4779" s="6"/>
      <c r="J4779" s="8"/>
      <c r="L4779" s="6"/>
    </row>
    <row r="4780" spans="1:12" x14ac:dyDescent="0.3">
      <c r="A4780" s="8"/>
      <c r="C4780" s="6"/>
      <c r="E4780" s="6"/>
      <c r="J4780" s="8"/>
      <c r="L4780" s="6"/>
    </row>
    <row r="4781" spans="1:12" x14ac:dyDescent="0.3">
      <c r="A4781" s="8"/>
      <c r="C4781" s="6"/>
      <c r="E4781" s="6"/>
      <c r="J4781" s="8"/>
      <c r="L4781" s="6"/>
    </row>
    <row r="4782" spans="1:12" x14ac:dyDescent="0.3">
      <c r="A4782" s="8"/>
      <c r="C4782" s="6"/>
      <c r="E4782" s="6"/>
      <c r="J4782" s="8"/>
      <c r="L4782" s="6"/>
    </row>
    <row r="4783" spans="1:12" x14ac:dyDescent="0.3">
      <c r="A4783" s="8"/>
      <c r="C4783" s="6"/>
      <c r="E4783" s="6"/>
      <c r="J4783" s="8"/>
      <c r="L4783" s="6"/>
    </row>
    <row r="4784" spans="1:12" x14ac:dyDescent="0.3">
      <c r="A4784" s="8"/>
      <c r="C4784" s="6"/>
      <c r="E4784" s="6"/>
      <c r="J4784" s="8"/>
      <c r="L4784" s="6"/>
    </row>
    <row r="4785" spans="1:12" x14ac:dyDescent="0.3">
      <c r="A4785" s="8"/>
      <c r="C4785" s="6"/>
      <c r="E4785" s="6"/>
      <c r="J4785" s="8"/>
      <c r="L4785" s="6"/>
    </row>
    <row r="4786" spans="1:12" x14ac:dyDescent="0.3">
      <c r="A4786" s="8"/>
      <c r="C4786" s="6"/>
      <c r="E4786" s="6"/>
      <c r="J4786" s="8"/>
      <c r="L4786" s="6"/>
    </row>
    <row r="4787" spans="1:12" x14ac:dyDescent="0.3">
      <c r="A4787" s="8"/>
      <c r="C4787" s="6"/>
      <c r="E4787" s="6"/>
      <c r="J4787" s="8"/>
      <c r="L4787" s="6"/>
    </row>
    <row r="4788" spans="1:12" x14ac:dyDescent="0.3">
      <c r="A4788" s="8"/>
      <c r="C4788" s="6"/>
      <c r="E4788" s="6"/>
      <c r="J4788" s="8"/>
      <c r="L4788" s="6"/>
    </row>
    <row r="4789" spans="1:12" x14ac:dyDescent="0.3">
      <c r="A4789" s="8"/>
      <c r="C4789" s="6"/>
      <c r="E4789" s="6"/>
      <c r="J4789" s="8"/>
      <c r="L4789" s="6"/>
    </row>
    <row r="4790" spans="1:12" x14ac:dyDescent="0.3">
      <c r="A4790" s="8"/>
      <c r="C4790" s="6"/>
      <c r="E4790" s="6"/>
      <c r="J4790" s="8"/>
      <c r="L4790" s="6"/>
    </row>
    <row r="4791" spans="1:12" x14ac:dyDescent="0.3">
      <c r="A4791" s="8"/>
      <c r="C4791" s="6"/>
      <c r="E4791" s="6"/>
      <c r="J4791" s="8"/>
      <c r="L4791" s="6"/>
    </row>
    <row r="4792" spans="1:12" x14ac:dyDescent="0.3">
      <c r="A4792" s="8"/>
      <c r="C4792" s="6"/>
      <c r="E4792" s="6"/>
      <c r="J4792" s="8"/>
      <c r="L4792" s="6"/>
    </row>
    <row r="4793" spans="1:12" x14ac:dyDescent="0.3">
      <c r="A4793" s="8"/>
      <c r="C4793" s="6"/>
      <c r="E4793" s="6"/>
      <c r="J4793" s="8"/>
      <c r="L4793" s="6"/>
    </row>
    <row r="4794" spans="1:12" x14ac:dyDescent="0.3">
      <c r="A4794" s="8"/>
      <c r="C4794" s="6"/>
      <c r="E4794" s="6"/>
      <c r="J4794" s="8"/>
      <c r="L4794" s="6"/>
    </row>
    <row r="4795" spans="1:12" x14ac:dyDescent="0.3">
      <c r="A4795" s="8"/>
      <c r="C4795" s="6"/>
      <c r="E4795" s="6"/>
      <c r="J4795" s="8"/>
      <c r="L4795" s="6"/>
    </row>
    <row r="4796" spans="1:12" x14ac:dyDescent="0.3">
      <c r="A4796" s="8"/>
      <c r="C4796" s="6"/>
      <c r="E4796" s="6"/>
      <c r="J4796" s="8"/>
      <c r="L4796" s="6"/>
    </row>
    <row r="4797" spans="1:12" x14ac:dyDescent="0.3">
      <c r="A4797" s="8"/>
      <c r="C4797" s="6"/>
      <c r="E4797" s="6"/>
      <c r="J4797" s="8"/>
      <c r="L4797" s="6"/>
    </row>
    <row r="4798" spans="1:12" x14ac:dyDescent="0.3">
      <c r="A4798" s="8"/>
      <c r="C4798" s="6"/>
      <c r="E4798" s="6"/>
      <c r="J4798" s="8"/>
      <c r="L4798" s="6"/>
    </row>
    <row r="4799" spans="1:12" x14ac:dyDescent="0.3">
      <c r="A4799" s="8"/>
      <c r="C4799" s="6"/>
      <c r="E4799" s="6"/>
      <c r="J4799" s="8"/>
      <c r="L4799" s="6"/>
    </row>
    <row r="4800" spans="1:12" x14ac:dyDescent="0.3">
      <c r="A4800" s="8"/>
      <c r="C4800" s="6"/>
      <c r="E4800" s="6"/>
      <c r="J4800" s="8"/>
      <c r="L4800" s="6"/>
    </row>
    <row r="4801" spans="1:12" x14ac:dyDescent="0.3">
      <c r="A4801" s="8"/>
      <c r="C4801" s="6"/>
      <c r="E4801" s="6"/>
      <c r="J4801" s="8"/>
      <c r="L4801" s="6"/>
    </row>
    <row r="4802" spans="1:12" x14ac:dyDescent="0.3">
      <c r="A4802" s="8"/>
      <c r="C4802" s="6"/>
      <c r="E4802" s="6"/>
      <c r="J4802" s="8"/>
      <c r="L4802" s="6"/>
    </row>
    <row r="4803" spans="1:12" x14ac:dyDescent="0.3">
      <c r="A4803" s="8"/>
      <c r="C4803" s="6"/>
      <c r="E4803" s="6"/>
      <c r="J4803" s="8"/>
      <c r="L4803" s="6"/>
    </row>
    <row r="4804" spans="1:12" x14ac:dyDescent="0.3">
      <c r="A4804" s="8"/>
      <c r="C4804" s="6"/>
      <c r="E4804" s="6"/>
      <c r="J4804" s="8"/>
      <c r="L4804" s="6"/>
    </row>
    <row r="4805" spans="1:12" x14ac:dyDescent="0.3">
      <c r="A4805" s="8"/>
      <c r="C4805" s="6"/>
      <c r="E4805" s="6"/>
      <c r="J4805" s="8"/>
      <c r="L4805" s="6"/>
    </row>
    <row r="4806" spans="1:12" x14ac:dyDescent="0.3">
      <c r="A4806" s="8"/>
      <c r="C4806" s="6"/>
      <c r="E4806" s="6"/>
      <c r="J4806" s="8"/>
      <c r="L4806" s="6"/>
    </row>
    <row r="4807" spans="1:12" x14ac:dyDescent="0.3">
      <c r="A4807" s="8"/>
      <c r="C4807" s="6"/>
      <c r="E4807" s="6"/>
      <c r="J4807" s="8"/>
      <c r="L4807" s="6"/>
    </row>
    <row r="4808" spans="1:12" x14ac:dyDescent="0.3">
      <c r="A4808" s="8"/>
      <c r="C4808" s="6"/>
      <c r="E4808" s="6"/>
      <c r="J4808" s="8"/>
      <c r="L4808" s="6"/>
    </row>
    <row r="4809" spans="1:12" x14ac:dyDescent="0.3">
      <c r="A4809" s="8"/>
      <c r="C4809" s="6"/>
      <c r="E4809" s="6"/>
      <c r="J4809" s="8"/>
      <c r="L4809" s="6"/>
    </row>
    <row r="4810" spans="1:12" x14ac:dyDescent="0.3">
      <c r="A4810" s="8"/>
      <c r="C4810" s="6"/>
      <c r="E4810" s="6"/>
      <c r="J4810" s="8"/>
      <c r="L4810" s="6"/>
    </row>
    <row r="4811" spans="1:12" x14ac:dyDescent="0.3">
      <c r="A4811" s="8"/>
      <c r="C4811" s="6"/>
      <c r="E4811" s="6"/>
      <c r="J4811" s="8"/>
      <c r="L4811" s="6"/>
    </row>
    <row r="4812" spans="1:12" x14ac:dyDescent="0.3">
      <c r="A4812" s="8"/>
      <c r="C4812" s="6"/>
      <c r="E4812" s="6"/>
      <c r="J4812" s="8"/>
      <c r="L4812" s="6"/>
    </row>
    <row r="4813" spans="1:12" x14ac:dyDescent="0.3">
      <c r="A4813" s="8"/>
      <c r="C4813" s="6"/>
      <c r="E4813" s="6"/>
      <c r="J4813" s="8"/>
      <c r="L4813" s="6"/>
    </row>
    <row r="4814" spans="1:12" x14ac:dyDescent="0.3">
      <c r="A4814" s="8"/>
      <c r="C4814" s="6"/>
      <c r="E4814" s="6"/>
      <c r="J4814" s="8"/>
      <c r="L4814" s="6"/>
    </row>
    <row r="4815" spans="1:12" x14ac:dyDescent="0.3">
      <c r="A4815" s="8"/>
      <c r="C4815" s="6"/>
      <c r="E4815" s="6"/>
      <c r="J4815" s="8"/>
      <c r="L4815" s="6"/>
    </row>
    <row r="4816" spans="1:12" x14ac:dyDescent="0.3">
      <c r="A4816" s="8"/>
      <c r="C4816" s="6"/>
      <c r="E4816" s="6"/>
      <c r="J4816" s="8"/>
      <c r="L4816" s="6"/>
    </row>
    <row r="4817" spans="1:12" x14ac:dyDescent="0.3">
      <c r="A4817" s="8"/>
      <c r="C4817" s="6"/>
      <c r="E4817" s="6"/>
      <c r="J4817" s="8"/>
      <c r="L4817" s="6"/>
    </row>
    <row r="4818" spans="1:12" x14ac:dyDescent="0.3">
      <c r="A4818" s="8"/>
      <c r="C4818" s="6"/>
      <c r="E4818" s="6"/>
      <c r="J4818" s="8"/>
      <c r="L4818" s="6"/>
    </row>
    <row r="4819" spans="1:12" x14ac:dyDescent="0.3">
      <c r="A4819" s="8"/>
      <c r="C4819" s="6"/>
      <c r="E4819" s="6"/>
      <c r="J4819" s="8"/>
      <c r="L4819" s="6"/>
    </row>
    <row r="4820" spans="1:12" x14ac:dyDescent="0.3">
      <c r="A4820" s="8"/>
      <c r="C4820" s="6"/>
      <c r="E4820" s="6"/>
      <c r="J4820" s="8"/>
      <c r="L4820" s="6"/>
    </row>
    <row r="4821" spans="1:12" x14ac:dyDescent="0.3">
      <c r="A4821" s="8"/>
      <c r="C4821" s="6"/>
      <c r="E4821" s="6"/>
      <c r="J4821" s="8"/>
      <c r="L4821" s="6"/>
    </row>
    <row r="4822" spans="1:12" x14ac:dyDescent="0.3">
      <c r="A4822" s="8"/>
      <c r="C4822" s="6"/>
      <c r="E4822" s="6"/>
      <c r="J4822" s="8"/>
      <c r="L4822" s="6"/>
    </row>
    <row r="4823" spans="1:12" x14ac:dyDescent="0.3">
      <c r="A4823" s="8"/>
      <c r="C4823" s="6"/>
      <c r="E4823" s="6"/>
      <c r="J4823" s="8"/>
      <c r="L4823" s="6"/>
    </row>
    <row r="4824" spans="1:12" x14ac:dyDescent="0.3">
      <c r="A4824" s="8"/>
      <c r="C4824" s="6"/>
      <c r="E4824" s="6"/>
      <c r="J4824" s="8"/>
      <c r="L4824" s="6"/>
    </row>
    <row r="4825" spans="1:12" x14ac:dyDescent="0.3">
      <c r="A4825" s="8"/>
      <c r="C4825" s="6"/>
      <c r="E4825" s="6"/>
      <c r="J4825" s="8"/>
      <c r="L4825" s="6"/>
    </row>
    <row r="4826" spans="1:12" x14ac:dyDescent="0.3">
      <c r="A4826" s="8"/>
      <c r="C4826" s="6"/>
      <c r="E4826" s="6"/>
      <c r="J4826" s="8"/>
      <c r="L4826" s="6"/>
    </row>
    <row r="4827" spans="1:12" x14ac:dyDescent="0.3">
      <c r="A4827" s="8"/>
      <c r="C4827" s="6"/>
      <c r="E4827" s="6"/>
      <c r="J4827" s="8"/>
      <c r="L4827" s="6"/>
    </row>
    <row r="4828" spans="1:12" x14ac:dyDescent="0.3">
      <c r="A4828" s="8"/>
      <c r="C4828" s="6"/>
      <c r="E4828" s="6"/>
      <c r="J4828" s="8"/>
      <c r="L4828" s="6"/>
    </row>
    <row r="4829" spans="1:12" x14ac:dyDescent="0.3">
      <c r="A4829" s="8"/>
      <c r="C4829" s="6"/>
      <c r="E4829" s="6"/>
      <c r="J4829" s="8"/>
      <c r="L4829" s="6"/>
    </row>
    <row r="4830" spans="1:12" x14ac:dyDescent="0.3">
      <c r="A4830" s="8"/>
      <c r="C4830" s="6"/>
      <c r="E4830" s="6"/>
      <c r="J4830" s="8"/>
      <c r="L4830" s="6"/>
    </row>
    <row r="4831" spans="1:12" x14ac:dyDescent="0.3">
      <c r="A4831" s="8"/>
      <c r="C4831" s="6"/>
      <c r="E4831" s="6"/>
      <c r="J4831" s="8"/>
      <c r="L4831" s="6"/>
    </row>
    <row r="4832" spans="1:12" x14ac:dyDescent="0.3">
      <c r="A4832" s="8"/>
      <c r="C4832" s="6"/>
      <c r="E4832" s="6"/>
      <c r="J4832" s="8"/>
      <c r="L4832" s="6"/>
    </row>
    <row r="4833" spans="1:12" x14ac:dyDescent="0.3">
      <c r="A4833" s="8"/>
      <c r="C4833" s="6"/>
      <c r="E4833" s="6"/>
      <c r="J4833" s="8"/>
      <c r="L4833" s="6"/>
    </row>
    <row r="4834" spans="1:12" x14ac:dyDescent="0.3">
      <c r="A4834" s="8"/>
      <c r="C4834" s="6"/>
      <c r="E4834" s="6"/>
      <c r="J4834" s="8"/>
      <c r="L4834" s="6"/>
    </row>
    <row r="4835" spans="1:12" x14ac:dyDescent="0.3">
      <c r="A4835" s="8"/>
      <c r="C4835" s="6"/>
      <c r="E4835" s="6"/>
      <c r="J4835" s="8"/>
      <c r="L4835" s="6"/>
    </row>
    <row r="4836" spans="1:12" x14ac:dyDescent="0.3">
      <c r="A4836" s="8"/>
      <c r="C4836" s="6"/>
      <c r="E4836" s="6"/>
      <c r="J4836" s="8"/>
      <c r="L4836" s="6"/>
    </row>
    <row r="4837" spans="1:12" x14ac:dyDescent="0.3">
      <c r="A4837" s="8"/>
      <c r="C4837" s="6"/>
      <c r="E4837" s="6"/>
      <c r="J4837" s="8"/>
      <c r="L4837" s="6"/>
    </row>
    <row r="4838" spans="1:12" x14ac:dyDescent="0.3">
      <c r="A4838" s="8"/>
      <c r="C4838" s="6"/>
      <c r="E4838" s="6"/>
      <c r="J4838" s="8"/>
      <c r="L4838" s="6"/>
    </row>
    <row r="4839" spans="1:12" x14ac:dyDescent="0.3">
      <c r="A4839" s="8"/>
      <c r="C4839" s="6"/>
      <c r="E4839" s="6"/>
      <c r="J4839" s="8"/>
      <c r="L4839" s="6"/>
    </row>
    <row r="4840" spans="1:12" x14ac:dyDescent="0.3">
      <c r="A4840" s="8"/>
      <c r="C4840" s="6"/>
      <c r="E4840" s="6"/>
      <c r="J4840" s="8"/>
      <c r="L4840" s="6"/>
    </row>
    <row r="4841" spans="1:12" x14ac:dyDescent="0.3">
      <c r="A4841" s="8"/>
      <c r="C4841" s="6"/>
      <c r="E4841" s="6"/>
      <c r="J4841" s="8"/>
      <c r="L4841" s="6"/>
    </row>
    <row r="4842" spans="1:12" x14ac:dyDescent="0.3">
      <c r="A4842" s="8"/>
      <c r="C4842" s="6"/>
      <c r="E4842" s="6"/>
      <c r="J4842" s="8"/>
      <c r="L4842" s="6"/>
    </row>
    <row r="4843" spans="1:12" x14ac:dyDescent="0.3">
      <c r="A4843" s="8"/>
      <c r="C4843" s="6"/>
      <c r="E4843" s="6"/>
      <c r="J4843" s="8"/>
      <c r="L4843" s="6"/>
    </row>
    <row r="4844" spans="1:12" x14ac:dyDescent="0.3">
      <c r="A4844" s="8"/>
      <c r="C4844" s="6"/>
      <c r="E4844" s="6"/>
      <c r="J4844" s="8"/>
      <c r="L4844" s="6"/>
    </row>
    <row r="4845" spans="1:12" x14ac:dyDescent="0.3">
      <c r="A4845" s="8"/>
      <c r="C4845" s="6"/>
      <c r="E4845" s="6"/>
      <c r="J4845" s="8"/>
      <c r="L4845" s="6"/>
    </row>
    <row r="4846" spans="1:12" x14ac:dyDescent="0.3">
      <c r="A4846" s="8"/>
      <c r="C4846" s="6"/>
      <c r="E4846" s="6"/>
      <c r="J4846" s="8"/>
      <c r="L4846" s="6"/>
    </row>
    <row r="4847" spans="1:12" x14ac:dyDescent="0.3">
      <c r="A4847" s="8"/>
      <c r="C4847" s="6"/>
      <c r="E4847" s="6"/>
      <c r="J4847" s="8"/>
      <c r="L4847" s="6"/>
    </row>
    <row r="4848" spans="1:12" x14ac:dyDescent="0.3">
      <c r="A4848" s="8"/>
      <c r="C4848" s="6"/>
      <c r="E4848" s="6"/>
      <c r="J4848" s="8"/>
      <c r="L4848" s="6"/>
    </row>
    <row r="4849" spans="1:12" x14ac:dyDescent="0.3">
      <c r="A4849" s="8"/>
      <c r="C4849" s="6"/>
      <c r="E4849" s="6"/>
      <c r="J4849" s="8"/>
      <c r="L4849" s="6"/>
    </row>
    <row r="4850" spans="1:12" x14ac:dyDescent="0.3">
      <c r="A4850" s="8"/>
      <c r="C4850" s="6"/>
      <c r="E4850" s="6"/>
      <c r="J4850" s="8"/>
      <c r="L4850" s="6"/>
    </row>
    <row r="4851" spans="1:12" x14ac:dyDescent="0.3">
      <c r="A4851" s="8"/>
      <c r="C4851" s="6"/>
      <c r="E4851" s="6"/>
      <c r="J4851" s="8"/>
      <c r="L4851" s="6"/>
    </row>
    <row r="4852" spans="1:12" x14ac:dyDescent="0.3">
      <c r="A4852" s="8"/>
      <c r="C4852" s="6"/>
      <c r="E4852" s="6"/>
      <c r="J4852" s="8"/>
      <c r="L4852" s="6"/>
    </row>
    <row r="4853" spans="1:12" x14ac:dyDescent="0.3">
      <c r="A4853" s="8"/>
      <c r="C4853" s="6"/>
      <c r="E4853" s="6"/>
      <c r="J4853" s="8"/>
      <c r="L4853" s="6"/>
    </row>
    <row r="4854" spans="1:12" x14ac:dyDescent="0.3">
      <c r="A4854" s="8"/>
      <c r="C4854" s="6"/>
      <c r="E4854" s="6"/>
      <c r="J4854" s="8"/>
      <c r="L4854" s="6"/>
    </row>
    <row r="4855" spans="1:12" x14ac:dyDescent="0.3">
      <c r="A4855" s="8"/>
      <c r="C4855" s="6"/>
      <c r="E4855" s="6"/>
      <c r="J4855" s="8"/>
      <c r="L4855" s="6"/>
    </row>
    <row r="4856" spans="1:12" x14ac:dyDescent="0.3">
      <c r="A4856" s="8"/>
      <c r="C4856" s="6"/>
      <c r="E4856" s="6"/>
      <c r="J4856" s="8"/>
      <c r="L4856" s="6"/>
    </row>
    <row r="4857" spans="1:12" x14ac:dyDescent="0.3">
      <c r="A4857" s="8"/>
      <c r="C4857" s="6"/>
      <c r="E4857" s="6"/>
      <c r="J4857" s="8"/>
      <c r="L4857" s="6"/>
    </row>
    <row r="4858" spans="1:12" x14ac:dyDescent="0.3">
      <c r="A4858" s="8"/>
      <c r="C4858" s="6"/>
      <c r="E4858" s="6"/>
      <c r="J4858" s="8"/>
      <c r="L4858" s="6"/>
    </row>
    <row r="4859" spans="1:12" x14ac:dyDescent="0.3">
      <c r="A4859" s="8"/>
      <c r="C4859" s="6"/>
      <c r="E4859" s="6"/>
      <c r="J4859" s="8"/>
      <c r="L4859" s="6"/>
    </row>
    <row r="4860" spans="1:12" x14ac:dyDescent="0.3">
      <c r="A4860" s="8"/>
      <c r="C4860" s="6"/>
      <c r="E4860" s="6"/>
      <c r="J4860" s="8"/>
      <c r="L4860" s="6"/>
    </row>
    <row r="4861" spans="1:12" x14ac:dyDescent="0.3">
      <c r="A4861" s="8"/>
      <c r="C4861" s="6"/>
      <c r="E4861" s="6"/>
      <c r="J4861" s="8"/>
      <c r="L4861" s="6"/>
    </row>
    <row r="4862" spans="1:12" x14ac:dyDescent="0.3">
      <c r="A4862" s="8"/>
      <c r="C4862" s="6"/>
      <c r="E4862" s="6"/>
      <c r="J4862" s="8"/>
      <c r="L4862" s="6"/>
    </row>
    <row r="4863" spans="1:12" x14ac:dyDescent="0.3">
      <c r="A4863" s="8"/>
      <c r="C4863" s="6"/>
      <c r="E4863" s="6"/>
      <c r="J4863" s="8"/>
      <c r="L4863" s="6"/>
    </row>
    <row r="4864" spans="1:12" x14ac:dyDescent="0.3">
      <c r="A4864" s="8"/>
      <c r="C4864" s="6"/>
      <c r="E4864" s="6"/>
      <c r="J4864" s="8"/>
      <c r="L4864" s="6"/>
    </row>
    <row r="4865" spans="1:12" x14ac:dyDescent="0.3">
      <c r="A4865" s="8"/>
      <c r="C4865" s="6"/>
      <c r="E4865" s="6"/>
      <c r="J4865" s="8"/>
      <c r="L4865" s="6"/>
    </row>
    <row r="4866" spans="1:12" x14ac:dyDescent="0.3">
      <c r="A4866" s="8"/>
      <c r="C4866" s="6"/>
      <c r="E4866" s="6"/>
      <c r="J4866" s="8"/>
      <c r="L4866" s="6"/>
    </row>
    <row r="4867" spans="1:12" x14ac:dyDescent="0.3">
      <c r="A4867" s="8"/>
      <c r="C4867" s="6"/>
      <c r="E4867" s="6"/>
      <c r="J4867" s="8"/>
      <c r="L4867" s="6"/>
    </row>
    <row r="4868" spans="1:12" x14ac:dyDescent="0.3">
      <c r="A4868" s="8"/>
      <c r="C4868" s="6"/>
      <c r="E4868" s="6"/>
      <c r="J4868" s="8"/>
      <c r="L4868" s="6"/>
    </row>
    <row r="4869" spans="1:12" x14ac:dyDescent="0.3">
      <c r="A4869" s="8"/>
      <c r="C4869" s="6"/>
      <c r="E4869" s="6"/>
      <c r="J4869" s="8"/>
      <c r="L4869" s="6"/>
    </row>
    <row r="4870" spans="1:12" x14ac:dyDescent="0.3">
      <c r="A4870" s="8"/>
      <c r="C4870" s="6"/>
      <c r="E4870" s="6"/>
      <c r="J4870" s="8"/>
      <c r="L4870" s="6"/>
    </row>
    <row r="4871" spans="1:12" x14ac:dyDescent="0.3">
      <c r="A4871" s="8"/>
      <c r="C4871" s="6"/>
      <c r="E4871" s="6"/>
      <c r="J4871" s="8"/>
      <c r="L4871" s="6"/>
    </row>
    <row r="4872" spans="1:12" x14ac:dyDescent="0.3">
      <c r="A4872" s="8"/>
      <c r="C4872" s="6"/>
      <c r="E4872" s="6"/>
      <c r="J4872" s="8"/>
      <c r="L4872" s="6"/>
    </row>
    <row r="4873" spans="1:12" x14ac:dyDescent="0.3">
      <c r="A4873" s="8"/>
      <c r="C4873" s="6"/>
      <c r="E4873" s="6"/>
      <c r="J4873" s="8"/>
      <c r="L4873" s="6"/>
    </row>
    <row r="4874" spans="1:12" x14ac:dyDescent="0.3">
      <c r="A4874" s="8"/>
      <c r="C4874" s="6"/>
      <c r="E4874" s="6"/>
      <c r="J4874" s="8"/>
      <c r="L4874" s="6"/>
    </row>
    <row r="4875" spans="1:12" x14ac:dyDescent="0.3">
      <c r="A4875" s="8"/>
      <c r="C4875" s="6"/>
      <c r="E4875" s="6"/>
      <c r="J4875" s="8"/>
      <c r="L4875" s="6"/>
    </row>
    <row r="4876" spans="1:12" x14ac:dyDescent="0.3">
      <c r="A4876" s="8"/>
      <c r="C4876" s="6"/>
      <c r="E4876" s="6"/>
      <c r="J4876" s="8"/>
      <c r="L4876" s="6"/>
    </row>
    <row r="4877" spans="1:12" x14ac:dyDescent="0.3">
      <c r="A4877" s="8"/>
      <c r="C4877" s="6"/>
      <c r="E4877" s="6"/>
      <c r="J4877" s="8"/>
      <c r="L4877" s="6"/>
    </row>
    <row r="4878" spans="1:12" x14ac:dyDescent="0.3">
      <c r="A4878" s="8"/>
      <c r="C4878" s="6"/>
      <c r="E4878" s="6"/>
      <c r="J4878" s="8"/>
      <c r="L4878" s="6"/>
    </row>
    <row r="4879" spans="1:12" x14ac:dyDescent="0.3">
      <c r="A4879" s="8"/>
      <c r="C4879" s="6"/>
      <c r="E4879" s="6"/>
      <c r="J4879" s="8"/>
      <c r="L4879" s="6"/>
    </row>
    <row r="4880" spans="1:12" x14ac:dyDescent="0.3">
      <c r="A4880" s="8"/>
      <c r="C4880" s="6"/>
      <c r="E4880" s="6"/>
      <c r="J4880" s="8"/>
      <c r="L4880" s="6"/>
    </row>
    <row r="4881" spans="1:12" x14ac:dyDescent="0.3">
      <c r="A4881" s="8"/>
      <c r="C4881" s="6"/>
      <c r="E4881" s="6"/>
      <c r="J4881" s="8"/>
      <c r="L4881" s="6"/>
    </row>
    <row r="4882" spans="1:12" x14ac:dyDescent="0.3">
      <c r="A4882" s="8"/>
      <c r="C4882" s="6"/>
      <c r="E4882" s="6"/>
      <c r="J4882" s="8"/>
      <c r="L4882" s="6"/>
    </row>
    <row r="4883" spans="1:12" x14ac:dyDescent="0.3">
      <c r="A4883" s="8"/>
      <c r="C4883" s="6"/>
      <c r="E4883" s="6"/>
      <c r="J4883" s="8"/>
      <c r="L4883" s="6"/>
    </row>
    <row r="4884" spans="1:12" x14ac:dyDescent="0.3">
      <c r="A4884" s="8"/>
      <c r="C4884" s="6"/>
      <c r="E4884" s="6"/>
      <c r="J4884" s="8"/>
      <c r="L4884" s="6"/>
    </row>
    <row r="4885" spans="1:12" x14ac:dyDescent="0.3">
      <c r="A4885" s="8"/>
      <c r="C4885" s="6"/>
      <c r="E4885" s="6"/>
      <c r="J4885" s="8"/>
      <c r="L4885" s="6"/>
    </row>
    <row r="4886" spans="1:12" x14ac:dyDescent="0.3">
      <c r="A4886" s="8"/>
      <c r="C4886" s="6"/>
      <c r="E4886" s="6"/>
      <c r="J4886" s="8"/>
      <c r="L4886" s="6"/>
    </row>
    <row r="4887" spans="1:12" x14ac:dyDescent="0.3">
      <c r="A4887" s="8"/>
      <c r="C4887" s="6"/>
      <c r="E4887" s="6"/>
      <c r="J4887" s="8"/>
      <c r="L4887" s="6"/>
    </row>
    <row r="4888" spans="1:12" x14ac:dyDescent="0.3">
      <c r="A4888" s="8"/>
      <c r="C4888" s="6"/>
      <c r="E4888" s="6"/>
      <c r="J4888" s="8"/>
      <c r="L4888" s="6"/>
    </row>
    <row r="4889" spans="1:12" x14ac:dyDescent="0.3">
      <c r="A4889" s="8"/>
      <c r="C4889" s="6"/>
      <c r="E4889" s="6"/>
      <c r="J4889" s="8"/>
      <c r="L4889" s="6"/>
    </row>
    <row r="4890" spans="1:12" x14ac:dyDescent="0.3">
      <c r="A4890" s="8"/>
      <c r="C4890" s="6"/>
      <c r="E4890" s="6"/>
      <c r="J4890" s="8"/>
      <c r="L4890" s="6"/>
    </row>
    <row r="4891" spans="1:12" x14ac:dyDescent="0.3">
      <c r="A4891" s="8"/>
      <c r="C4891" s="6"/>
      <c r="E4891" s="6"/>
      <c r="J4891" s="8"/>
      <c r="L4891" s="6"/>
    </row>
    <row r="4892" spans="1:12" x14ac:dyDescent="0.3">
      <c r="A4892" s="8"/>
      <c r="C4892" s="6"/>
      <c r="E4892" s="6"/>
      <c r="J4892" s="8"/>
      <c r="L4892" s="6"/>
    </row>
    <row r="4893" spans="1:12" x14ac:dyDescent="0.3">
      <c r="A4893" s="8"/>
      <c r="C4893" s="6"/>
      <c r="E4893" s="6"/>
      <c r="J4893" s="8"/>
      <c r="L4893" s="6"/>
    </row>
    <row r="4894" spans="1:12" x14ac:dyDescent="0.3">
      <c r="A4894" s="8"/>
      <c r="C4894" s="6"/>
      <c r="E4894" s="6"/>
      <c r="J4894" s="8"/>
      <c r="L4894" s="6"/>
    </row>
    <row r="4895" spans="1:12" x14ac:dyDescent="0.3">
      <c r="A4895" s="8"/>
      <c r="C4895" s="6"/>
      <c r="E4895" s="6"/>
      <c r="J4895" s="8"/>
      <c r="L4895" s="6"/>
    </row>
    <row r="4896" spans="1:12" x14ac:dyDescent="0.3">
      <c r="A4896" s="8"/>
      <c r="C4896" s="6"/>
      <c r="E4896" s="6"/>
      <c r="J4896" s="8"/>
      <c r="L4896" s="6"/>
    </row>
    <row r="4897" spans="1:12" x14ac:dyDescent="0.3">
      <c r="A4897" s="8"/>
      <c r="C4897" s="6"/>
      <c r="E4897" s="6"/>
      <c r="J4897" s="8"/>
      <c r="L4897" s="6"/>
    </row>
    <row r="4898" spans="1:12" x14ac:dyDescent="0.3">
      <c r="A4898" s="8"/>
      <c r="C4898" s="6"/>
      <c r="E4898" s="6"/>
      <c r="J4898" s="8"/>
      <c r="L4898" s="6"/>
    </row>
    <row r="4899" spans="1:12" x14ac:dyDescent="0.3">
      <c r="A4899" s="8"/>
      <c r="C4899" s="6"/>
      <c r="E4899" s="6"/>
      <c r="J4899" s="8"/>
      <c r="L4899" s="6"/>
    </row>
    <row r="4900" spans="1:12" x14ac:dyDescent="0.3">
      <c r="A4900" s="8"/>
      <c r="C4900" s="6"/>
      <c r="E4900" s="6"/>
      <c r="J4900" s="8"/>
      <c r="L4900" s="6"/>
    </row>
    <row r="4901" spans="1:12" x14ac:dyDescent="0.3">
      <c r="A4901" s="8"/>
      <c r="C4901" s="6"/>
      <c r="E4901" s="6"/>
      <c r="J4901" s="8"/>
      <c r="L4901" s="6"/>
    </row>
    <row r="4902" spans="1:12" x14ac:dyDescent="0.3">
      <c r="A4902" s="8"/>
      <c r="C4902" s="6"/>
      <c r="E4902" s="6"/>
      <c r="J4902" s="8"/>
      <c r="L4902" s="6"/>
    </row>
    <row r="4903" spans="1:12" x14ac:dyDescent="0.3">
      <c r="A4903" s="8"/>
      <c r="C4903" s="6"/>
      <c r="E4903" s="6"/>
      <c r="J4903" s="8"/>
      <c r="L4903" s="6"/>
    </row>
    <row r="4904" spans="1:12" x14ac:dyDescent="0.3">
      <c r="A4904" s="8"/>
      <c r="C4904" s="6"/>
      <c r="E4904" s="6"/>
      <c r="J4904" s="8"/>
      <c r="L4904" s="6"/>
    </row>
    <row r="4905" spans="1:12" x14ac:dyDescent="0.3">
      <c r="A4905" s="8"/>
      <c r="C4905" s="6"/>
      <c r="E4905" s="6"/>
      <c r="J4905" s="8"/>
      <c r="L4905" s="6"/>
    </row>
    <row r="4906" spans="1:12" x14ac:dyDescent="0.3">
      <c r="A4906" s="8"/>
      <c r="C4906" s="6"/>
      <c r="E4906" s="6"/>
      <c r="J4906" s="8"/>
      <c r="L4906" s="6"/>
    </row>
    <row r="4907" spans="1:12" x14ac:dyDescent="0.3">
      <c r="A4907" s="8"/>
      <c r="C4907" s="6"/>
      <c r="E4907" s="6"/>
      <c r="J4907" s="8"/>
      <c r="L4907" s="6"/>
    </row>
    <row r="4908" spans="1:12" x14ac:dyDescent="0.3">
      <c r="A4908" s="8"/>
      <c r="C4908" s="6"/>
      <c r="E4908" s="6"/>
      <c r="J4908" s="8"/>
      <c r="L4908" s="6"/>
    </row>
    <row r="4909" spans="1:12" x14ac:dyDescent="0.3">
      <c r="A4909" s="8"/>
      <c r="C4909" s="6"/>
      <c r="E4909" s="6"/>
      <c r="J4909" s="8"/>
      <c r="L4909" s="6"/>
    </row>
    <row r="4910" spans="1:12" x14ac:dyDescent="0.3">
      <c r="A4910" s="8"/>
      <c r="C4910" s="6"/>
      <c r="E4910" s="6"/>
      <c r="J4910" s="8"/>
      <c r="L4910" s="6"/>
    </row>
    <row r="4911" spans="1:12" x14ac:dyDescent="0.3">
      <c r="A4911" s="8"/>
      <c r="C4911" s="6"/>
      <c r="E4911" s="6"/>
      <c r="J4911" s="8"/>
      <c r="L4911" s="6"/>
    </row>
    <row r="4912" spans="1:12" x14ac:dyDescent="0.3">
      <c r="A4912" s="8"/>
      <c r="C4912" s="6"/>
      <c r="E4912" s="6"/>
      <c r="J4912" s="8"/>
      <c r="L4912" s="6"/>
    </row>
    <row r="4913" spans="1:12" x14ac:dyDescent="0.3">
      <c r="A4913" s="8"/>
      <c r="C4913" s="6"/>
      <c r="E4913" s="6"/>
      <c r="J4913" s="8"/>
      <c r="L4913" s="6"/>
    </row>
    <row r="4914" spans="1:12" x14ac:dyDescent="0.3">
      <c r="A4914" s="8"/>
      <c r="C4914" s="6"/>
      <c r="E4914" s="6"/>
      <c r="J4914" s="8"/>
      <c r="L4914" s="6"/>
    </row>
    <row r="4915" spans="1:12" x14ac:dyDescent="0.3">
      <c r="A4915" s="8"/>
      <c r="C4915" s="6"/>
      <c r="E4915" s="6"/>
      <c r="J4915" s="8"/>
      <c r="L4915" s="6"/>
    </row>
    <row r="4916" spans="1:12" x14ac:dyDescent="0.3">
      <c r="A4916" s="8"/>
      <c r="C4916" s="6"/>
      <c r="E4916" s="6"/>
      <c r="J4916" s="8"/>
      <c r="L4916" s="6"/>
    </row>
    <row r="4917" spans="1:12" x14ac:dyDescent="0.3">
      <c r="A4917" s="8"/>
      <c r="C4917" s="6"/>
      <c r="E4917" s="6"/>
      <c r="J4917" s="8"/>
      <c r="L4917" s="6"/>
    </row>
    <row r="4918" spans="1:12" x14ac:dyDescent="0.3">
      <c r="A4918" s="8"/>
      <c r="C4918" s="6"/>
      <c r="E4918" s="6"/>
      <c r="J4918" s="8"/>
      <c r="L4918" s="6"/>
    </row>
    <row r="4919" spans="1:12" x14ac:dyDescent="0.3">
      <c r="A4919" s="8"/>
      <c r="C4919" s="6"/>
      <c r="E4919" s="6"/>
      <c r="J4919" s="8"/>
      <c r="L4919" s="6"/>
    </row>
    <row r="4920" spans="1:12" x14ac:dyDescent="0.3">
      <c r="A4920" s="8"/>
      <c r="C4920" s="6"/>
      <c r="E4920" s="6"/>
      <c r="J4920" s="8"/>
      <c r="L4920" s="6"/>
    </row>
    <row r="4921" spans="1:12" x14ac:dyDescent="0.3">
      <c r="A4921" s="8"/>
      <c r="C4921" s="6"/>
      <c r="E4921" s="6"/>
      <c r="J4921" s="8"/>
      <c r="L4921" s="6"/>
    </row>
    <row r="4922" spans="1:12" x14ac:dyDescent="0.3">
      <c r="A4922" s="8"/>
      <c r="C4922" s="6"/>
      <c r="E4922" s="6"/>
      <c r="J4922" s="8"/>
      <c r="L4922" s="6"/>
    </row>
    <row r="4923" spans="1:12" x14ac:dyDescent="0.3">
      <c r="A4923" s="8"/>
      <c r="C4923" s="6"/>
      <c r="E4923" s="6"/>
      <c r="J4923" s="8"/>
      <c r="L4923" s="6"/>
    </row>
    <row r="4924" spans="1:12" x14ac:dyDescent="0.3">
      <c r="A4924" s="8"/>
      <c r="C4924" s="6"/>
      <c r="E4924" s="6"/>
      <c r="J4924" s="8"/>
      <c r="L4924" s="6"/>
    </row>
    <row r="4925" spans="1:12" x14ac:dyDescent="0.3">
      <c r="A4925" s="8"/>
      <c r="C4925" s="6"/>
      <c r="E4925" s="6"/>
      <c r="J4925" s="8"/>
      <c r="L4925" s="6"/>
    </row>
    <row r="4926" spans="1:12" x14ac:dyDescent="0.3">
      <c r="A4926" s="8"/>
      <c r="C4926" s="6"/>
      <c r="E4926" s="6"/>
      <c r="J4926" s="8"/>
      <c r="L4926" s="6"/>
    </row>
    <row r="4927" spans="1:12" x14ac:dyDescent="0.3">
      <c r="A4927" s="8"/>
      <c r="C4927" s="6"/>
      <c r="E4927" s="6"/>
      <c r="J4927" s="8"/>
      <c r="L4927" s="6"/>
    </row>
    <row r="4928" spans="1:12" x14ac:dyDescent="0.3">
      <c r="A4928" s="8"/>
      <c r="C4928" s="6"/>
      <c r="E4928" s="6"/>
      <c r="J4928" s="8"/>
      <c r="L4928" s="6"/>
    </row>
    <row r="4929" spans="1:12" x14ac:dyDescent="0.3">
      <c r="A4929" s="8"/>
      <c r="C4929" s="6"/>
      <c r="E4929" s="6"/>
      <c r="J4929" s="8"/>
      <c r="L4929" s="6"/>
    </row>
    <row r="4930" spans="1:12" x14ac:dyDescent="0.3">
      <c r="A4930" s="8"/>
      <c r="C4930" s="6"/>
      <c r="E4930" s="6"/>
      <c r="J4930" s="8"/>
      <c r="L4930" s="6"/>
    </row>
    <row r="4931" spans="1:12" x14ac:dyDescent="0.3">
      <c r="A4931" s="8"/>
      <c r="C4931" s="6"/>
      <c r="E4931" s="6"/>
      <c r="J4931" s="8"/>
      <c r="L4931" s="6"/>
    </row>
    <row r="4932" spans="1:12" x14ac:dyDescent="0.3">
      <c r="A4932" s="8"/>
      <c r="C4932" s="6"/>
      <c r="E4932" s="6"/>
      <c r="J4932" s="8"/>
      <c r="L4932" s="6"/>
    </row>
    <row r="4933" spans="1:12" x14ac:dyDescent="0.3">
      <c r="A4933" s="8"/>
      <c r="C4933" s="6"/>
      <c r="E4933" s="6"/>
      <c r="J4933" s="8"/>
      <c r="L4933" s="6"/>
    </row>
    <row r="4934" spans="1:12" x14ac:dyDescent="0.3">
      <c r="A4934" s="8"/>
      <c r="C4934" s="6"/>
      <c r="E4934" s="6"/>
      <c r="J4934" s="8"/>
      <c r="L4934" s="6"/>
    </row>
    <row r="4935" spans="1:12" x14ac:dyDescent="0.3">
      <c r="A4935" s="8"/>
      <c r="C4935" s="6"/>
      <c r="E4935" s="6"/>
      <c r="J4935" s="8"/>
      <c r="L4935" s="6"/>
    </row>
    <row r="4936" spans="1:12" x14ac:dyDescent="0.3">
      <c r="A4936" s="8"/>
      <c r="C4936" s="6"/>
      <c r="E4936" s="6"/>
      <c r="J4936" s="8"/>
      <c r="L4936" s="6"/>
    </row>
    <row r="4937" spans="1:12" x14ac:dyDescent="0.3">
      <c r="A4937" s="8"/>
      <c r="C4937" s="6"/>
      <c r="E4937" s="6"/>
      <c r="J4937" s="8"/>
      <c r="L4937" s="6"/>
    </row>
    <row r="4938" spans="1:12" x14ac:dyDescent="0.3">
      <c r="A4938" s="8"/>
      <c r="C4938" s="6"/>
      <c r="E4938" s="6"/>
      <c r="J4938" s="8"/>
      <c r="L4938" s="6"/>
    </row>
    <row r="4939" spans="1:12" x14ac:dyDescent="0.3">
      <c r="A4939" s="8"/>
      <c r="C4939" s="6"/>
      <c r="E4939" s="6"/>
      <c r="J4939" s="8"/>
      <c r="L4939" s="6"/>
    </row>
    <row r="4940" spans="1:12" x14ac:dyDescent="0.3">
      <c r="A4940" s="8"/>
      <c r="C4940" s="6"/>
      <c r="E4940" s="6"/>
      <c r="J4940" s="8"/>
      <c r="L4940" s="6"/>
    </row>
    <row r="4941" spans="1:12" x14ac:dyDescent="0.3">
      <c r="A4941" s="8"/>
      <c r="C4941" s="6"/>
      <c r="E4941" s="6"/>
      <c r="J4941" s="8"/>
      <c r="L4941" s="6"/>
    </row>
    <row r="4942" spans="1:12" x14ac:dyDescent="0.3">
      <c r="A4942" s="8"/>
      <c r="C4942" s="6"/>
      <c r="E4942" s="6"/>
      <c r="J4942" s="8"/>
      <c r="L4942" s="6"/>
    </row>
    <row r="4943" spans="1:12" x14ac:dyDescent="0.3">
      <c r="A4943" s="8"/>
      <c r="C4943" s="6"/>
      <c r="E4943" s="6"/>
      <c r="J4943" s="8"/>
      <c r="L4943" s="6"/>
    </row>
    <row r="4944" spans="1:12" x14ac:dyDescent="0.3">
      <c r="A4944" s="8"/>
      <c r="C4944" s="6"/>
      <c r="E4944" s="6"/>
      <c r="J4944" s="8"/>
      <c r="L4944" s="6"/>
    </row>
    <row r="4945" spans="1:12" x14ac:dyDescent="0.3">
      <c r="A4945" s="8"/>
      <c r="C4945" s="6"/>
      <c r="E4945" s="6"/>
      <c r="J4945" s="8"/>
      <c r="L4945" s="6"/>
    </row>
    <row r="4946" spans="1:12" x14ac:dyDescent="0.3">
      <c r="A4946" s="8"/>
      <c r="C4946" s="6"/>
      <c r="E4946" s="6"/>
      <c r="J4946" s="8"/>
      <c r="L4946" s="6"/>
    </row>
    <row r="4947" spans="1:12" x14ac:dyDescent="0.3">
      <c r="A4947" s="8"/>
      <c r="C4947" s="6"/>
      <c r="E4947" s="6"/>
      <c r="J4947" s="8"/>
      <c r="L4947" s="6"/>
    </row>
    <row r="4948" spans="1:12" x14ac:dyDescent="0.3">
      <c r="A4948" s="8"/>
      <c r="C4948" s="6"/>
      <c r="E4948" s="6"/>
      <c r="J4948" s="8"/>
      <c r="L4948" s="6"/>
    </row>
    <row r="4949" spans="1:12" x14ac:dyDescent="0.3">
      <c r="A4949" s="8"/>
      <c r="C4949" s="6"/>
      <c r="E4949" s="6"/>
      <c r="J4949" s="8"/>
      <c r="L4949" s="6"/>
    </row>
    <row r="4950" spans="1:12" x14ac:dyDescent="0.3">
      <c r="A4950" s="8"/>
      <c r="C4950" s="6"/>
      <c r="E4950" s="6"/>
      <c r="J4950" s="8"/>
      <c r="L4950" s="6"/>
    </row>
    <row r="4951" spans="1:12" x14ac:dyDescent="0.3">
      <c r="A4951" s="8"/>
      <c r="C4951" s="6"/>
      <c r="E4951" s="6"/>
      <c r="J4951" s="8"/>
      <c r="L4951" s="6"/>
    </row>
    <row r="4952" spans="1:12" x14ac:dyDescent="0.3">
      <c r="A4952" s="8"/>
      <c r="C4952" s="6"/>
      <c r="E4952" s="6"/>
      <c r="J4952" s="8"/>
      <c r="L4952" s="6"/>
    </row>
    <row r="4953" spans="1:12" x14ac:dyDescent="0.3">
      <c r="A4953" s="8"/>
      <c r="C4953" s="6"/>
      <c r="E4953" s="6"/>
      <c r="J4953" s="8"/>
      <c r="L4953" s="6"/>
    </row>
    <row r="4954" spans="1:12" x14ac:dyDescent="0.3">
      <c r="A4954" s="8"/>
      <c r="C4954" s="6"/>
      <c r="E4954" s="6"/>
      <c r="J4954" s="8"/>
      <c r="L4954" s="6"/>
    </row>
    <row r="4955" spans="1:12" x14ac:dyDescent="0.3">
      <c r="A4955" s="8"/>
      <c r="C4955" s="6"/>
      <c r="E4955" s="6"/>
      <c r="J4955" s="8"/>
      <c r="L4955" s="6"/>
    </row>
    <row r="4956" spans="1:12" x14ac:dyDescent="0.3">
      <c r="A4956" s="8"/>
      <c r="C4956" s="6"/>
      <c r="E4956" s="6"/>
      <c r="J4956" s="8"/>
      <c r="L4956" s="6"/>
    </row>
    <row r="4957" spans="1:12" x14ac:dyDescent="0.3">
      <c r="A4957" s="8"/>
      <c r="C4957" s="6"/>
      <c r="E4957" s="6"/>
      <c r="J4957" s="8"/>
      <c r="L4957" s="6"/>
    </row>
    <row r="4958" spans="1:12" x14ac:dyDescent="0.3">
      <c r="A4958" s="8"/>
      <c r="C4958" s="6"/>
      <c r="E4958" s="6"/>
      <c r="J4958" s="8"/>
      <c r="L4958" s="6"/>
    </row>
    <row r="4959" spans="1:12" x14ac:dyDescent="0.3">
      <c r="A4959" s="8"/>
      <c r="C4959" s="6"/>
      <c r="E4959" s="6"/>
      <c r="J4959" s="8"/>
      <c r="L4959" s="6"/>
    </row>
    <row r="4960" spans="1:12" x14ac:dyDescent="0.3">
      <c r="A4960" s="8"/>
      <c r="C4960" s="6"/>
      <c r="E4960" s="6"/>
      <c r="J4960" s="8"/>
      <c r="L4960" s="6"/>
    </row>
    <row r="4961" spans="1:12" x14ac:dyDescent="0.3">
      <c r="A4961" s="8"/>
      <c r="C4961" s="6"/>
      <c r="E4961" s="6"/>
      <c r="J4961" s="8"/>
      <c r="L4961" s="6"/>
    </row>
    <row r="4962" spans="1:12" x14ac:dyDescent="0.3">
      <c r="A4962" s="8"/>
      <c r="C4962" s="6"/>
      <c r="E4962" s="6"/>
      <c r="J4962" s="8"/>
      <c r="L4962" s="6"/>
    </row>
    <row r="4963" spans="1:12" x14ac:dyDescent="0.3">
      <c r="A4963" s="8"/>
      <c r="C4963" s="6"/>
      <c r="E4963" s="6"/>
      <c r="J4963" s="8"/>
      <c r="L4963" s="6"/>
    </row>
    <row r="4964" spans="1:12" x14ac:dyDescent="0.3">
      <c r="A4964" s="8"/>
      <c r="C4964" s="6"/>
      <c r="E4964" s="6"/>
      <c r="J4964" s="8"/>
      <c r="L4964" s="6"/>
    </row>
    <row r="4965" spans="1:12" x14ac:dyDescent="0.3">
      <c r="A4965" s="8"/>
      <c r="C4965" s="6"/>
      <c r="E4965" s="6"/>
      <c r="J4965" s="8"/>
      <c r="L4965" s="6"/>
    </row>
    <row r="4966" spans="1:12" x14ac:dyDescent="0.3">
      <c r="A4966" s="8"/>
      <c r="C4966" s="6"/>
      <c r="E4966" s="6"/>
      <c r="J4966" s="8"/>
      <c r="L4966" s="6"/>
    </row>
    <row r="4967" spans="1:12" x14ac:dyDescent="0.3">
      <c r="A4967" s="8"/>
      <c r="C4967" s="6"/>
      <c r="E4967" s="6"/>
      <c r="J4967" s="8"/>
      <c r="L4967" s="6"/>
    </row>
    <row r="4968" spans="1:12" x14ac:dyDescent="0.3">
      <c r="A4968" s="8"/>
      <c r="C4968" s="6"/>
      <c r="E4968" s="6"/>
      <c r="J4968" s="8"/>
      <c r="L4968" s="6"/>
    </row>
    <row r="4969" spans="1:12" x14ac:dyDescent="0.3">
      <c r="A4969" s="8"/>
      <c r="C4969" s="6"/>
      <c r="E4969" s="6"/>
      <c r="J4969" s="8"/>
      <c r="L4969" s="6"/>
    </row>
    <row r="4970" spans="1:12" x14ac:dyDescent="0.3">
      <c r="A4970" s="8"/>
      <c r="C4970" s="6"/>
      <c r="E4970" s="6"/>
      <c r="J4970" s="8"/>
      <c r="L4970" s="6"/>
    </row>
    <row r="4971" spans="1:12" x14ac:dyDescent="0.3">
      <c r="A4971" s="8"/>
      <c r="C4971" s="6"/>
      <c r="E4971" s="6"/>
      <c r="J4971" s="8"/>
      <c r="L4971" s="6"/>
    </row>
    <row r="4972" spans="1:12" x14ac:dyDescent="0.3">
      <c r="A4972" s="8"/>
      <c r="C4972" s="6"/>
      <c r="E4972" s="6"/>
      <c r="J4972" s="8"/>
      <c r="L4972" s="6"/>
    </row>
    <row r="4973" spans="1:12" x14ac:dyDescent="0.3">
      <c r="A4973" s="8"/>
      <c r="C4973" s="6"/>
      <c r="E4973" s="6"/>
      <c r="J4973" s="8"/>
      <c r="L4973" s="6"/>
    </row>
    <row r="4974" spans="1:12" x14ac:dyDescent="0.3">
      <c r="A4974" s="8"/>
      <c r="C4974" s="6"/>
      <c r="E4974" s="6"/>
      <c r="J4974" s="8"/>
      <c r="L4974" s="6"/>
    </row>
    <row r="4975" spans="1:12" x14ac:dyDescent="0.3">
      <c r="A4975" s="8"/>
      <c r="C4975" s="6"/>
      <c r="E4975" s="6"/>
      <c r="J4975" s="8"/>
      <c r="L4975" s="6"/>
    </row>
    <row r="4976" spans="1:12" x14ac:dyDescent="0.3">
      <c r="A4976" s="8"/>
      <c r="C4976" s="6"/>
      <c r="E4976" s="6"/>
      <c r="J4976" s="8"/>
      <c r="L4976" s="6"/>
    </row>
    <row r="4977" spans="1:12" x14ac:dyDescent="0.3">
      <c r="A4977" s="8"/>
      <c r="C4977" s="6"/>
      <c r="E4977" s="6"/>
      <c r="J4977" s="8"/>
      <c r="L4977" s="6"/>
    </row>
    <row r="4978" spans="1:12" x14ac:dyDescent="0.3">
      <c r="A4978" s="8"/>
      <c r="C4978" s="6"/>
      <c r="E4978" s="6"/>
      <c r="J4978" s="8"/>
      <c r="L4978" s="6"/>
    </row>
    <row r="4979" spans="1:12" x14ac:dyDescent="0.3">
      <c r="A4979" s="8"/>
      <c r="C4979" s="6"/>
      <c r="E4979" s="6"/>
      <c r="J4979" s="8"/>
      <c r="L4979" s="6"/>
    </row>
    <row r="4980" spans="1:12" x14ac:dyDescent="0.3">
      <c r="A4980" s="8"/>
      <c r="C4980" s="6"/>
      <c r="E4980" s="6"/>
      <c r="J4980" s="8"/>
      <c r="L4980" s="6"/>
    </row>
    <row r="4981" spans="1:12" x14ac:dyDescent="0.3">
      <c r="A4981" s="8"/>
      <c r="C4981" s="6"/>
      <c r="E4981" s="6"/>
      <c r="J4981" s="8"/>
      <c r="L4981" s="6"/>
    </row>
    <row r="4982" spans="1:12" x14ac:dyDescent="0.3">
      <c r="A4982" s="8"/>
      <c r="C4982" s="6"/>
      <c r="E4982" s="6"/>
      <c r="J4982" s="8"/>
      <c r="L4982" s="6"/>
    </row>
    <row r="4983" spans="1:12" x14ac:dyDescent="0.3">
      <c r="A4983" s="8"/>
      <c r="C4983" s="6"/>
      <c r="E4983" s="6"/>
      <c r="J4983" s="8"/>
      <c r="L4983" s="6"/>
    </row>
    <row r="4984" spans="1:12" x14ac:dyDescent="0.3">
      <c r="A4984" s="8"/>
      <c r="C4984" s="6"/>
      <c r="E4984" s="6"/>
      <c r="J4984" s="8"/>
      <c r="L4984" s="6"/>
    </row>
    <row r="4985" spans="1:12" x14ac:dyDescent="0.3">
      <c r="A4985" s="8"/>
      <c r="C4985" s="6"/>
      <c r="E4985" s="6"/>
      <c r="J4985" s="8"/>
      <c r="L4985" s="6"/>
    </row>
    <row r="4986" spans="1:12" x14ac:dyDescent="0.3">
      <c r="A4986" s="8"/>
      <c r="C4986" s="6"/>
      <c r="E4986" s="6"/>
      <c r="J4986" s="8"/>
      <c r="L4986" s="6"/>
    </row>
    <row r="4987" spans="1:12" x14ac:dyDescent="0.3">
      <c r="A4987" s="8"/>
      <c r="C4987" s="6"/>
      <c r="E4987" s="6"/>
      <c r="J4987" s="8"/>
      <c r="L4987" s="6"/>
    </row>
    <row r="4988" spans="1:12" x14ac:dyDescent="0.3">
      <c r="A4988" s="8"/>
      <c r="C4988" s="6"/>
      <c r="E4988" s="6"/>
      <c r="J4988" s="8"/>
      <c r="L4988" s="6"/>
    </row>
    <row r="4989" spans="1:12" x14ac:dyDescent="0.3">
      <c r="A4989" s="8"/>
      <c r="C4989" s="6"/>
      <c r="E4989" s="6"/>
      <c r="J4989" s="8"/>
      <c r="L4989" s="6"/>
    </row>
    <row r="4990" spans="1:12" x14ac:dyDescent="0.3">
      <c r="A4990" s="8"/>
      <c r="C4990" s="6"/>
      <c r="E4990" s="6"/>
      <c r="J4990" s="8"/>
      <c r="L4990" s="6"/>
    </row>
    <row r="4991" spans="1:12" x14ac:dyDescent="0.3">
      <c r="A4991" s="8"/>
      <c r="C4991" s="6"/>
      <c r="E4991" s="6"/>
      <c r="J4991" s="8"/>
      <c r="L4991" s="6"/>
    </row>
    <row r="4992" spans="1:12" x14ac:dyDescent="0.3">
      <c r="A4992" s="8"/>
      <c r="C4992" s="6"/>
      <c r="E4992" s="6"/>
      <c r="J4992" s="8"/>
      <c r="L4992" s="6"/>
    </row>
    <row r="4993" spans="1:12" x14ac:dyDescent="0.3">
      <c r="A4993" s="8"/>
      <c r="C4993" s="6"/>
      <c r="E4993" s="6"/>
      <c r="J4993" s="8"/>
      <c r="L4993" s="6"/>
    </row>
    <row r="4994" spans="1:12" x14ac:dyDescent="0.3">
      <c r="A4994" s="8"/>
      <c r="C4994" s="6"/>
      <c r="E4994" s="6"/>
      <c r="J4994" s="8"/>
      <c r="L4994" s="6"/>
    </row>
    <row r="4995" spans="1:12" x14ac:dyDescent="0.3">
      <c r="A4995" s="8"/>
      <c r="C4995" s="6"/>
      <c r="E4995" s="6"/>
      <c r="J4995" s="8"/>
      <c r="L4995" s="6"/>
    </row>
    <row r="4996" spans="1:12" x14ac:dyDescent="0.3">
      <c r="A4996" s="8"/>
      <c r="C4996" s="6"/>
      <c r="E4996" s="6"/>
      <c r="J4996" s="8"/>
      <c r="L4996" s="6"/>
    </row>
    <row r="4997" spans="1:12" x14ac:dyDescent="0.3">
      <c r="A4997" s="8"/>
      <c r="C4997" s="6"/>
      <c r="E4997" s="6"/>
      <c r="J4997" s="8"/>
      <c r="L4997" s="6"/>
    </row>
    <row r="4998" spans="1:12" x14ac:dyDescent="0.3">
      <c r="A4998" s="8"/>
      <c r="C4998" s="6"/>
      <c r="E4998" s="6"/>
      <c r="J4998" s="8"/>
      <c r="L4998" s="6"/>
    </row>
    <row r="4999" spans="1:12" x14ac:dyDescent="0.3">
      <c r="A4999" s="8"/>
      <c r="C4999" s="6"/>
      <c r="E4999" s="6"/>
      <c r="J4999" s="8"/>
      <c r="L4999" s="6"/>
    </row>
    <row r="5000" spans="1:12" x14ac:dyDescent="0.3">
      <c r="A5000" s="8"/>
      <c r="C5000" s="6"/>
      <c r="E5000" s="6"/>
      <c r="J5000" s="8"/>
      <c r="L5000" s="6"/>
    </row>
  </sheetData>
  <hyperlinks>
    <hyperlink ref="J2" r:id="rId1" xr:uid="{28BF243A-8C09-4DF0-938C-27A70F1C4514}"/>
    <hyperlink ref="J3" r:id="rId2" xr:uid="{796F4E02-0EE2-4530-95DF-0EFC37C31E75}"/>
    <hyperlink ref="J4" r:id="rId3" xr:uid="{F9373024-C02C-4360-96A1-10ABC795238F}"/>
    <hyperlink ref="J5" r:id="rId4" xr:uid="{A1649492-243A-4347-AAAB-3FF2A93D6A2B}"/>
    <hyperlink ref="J6" r:id="rId5" xr:uid="{0A673F69-403E-4E91-8B40-F15E432BEA77}"/>
    <hyperlink ref="J7" r:id="rId6" xr:uid="{633EED30-4CD7-47B8-9A3A-A2F293188CFC}"/>
    <hyperlink ref="J8" r:id="rId7" xr:uid="{786E59AC-8ECA-4B28-8359-AC3D2C4775B0}"/>
    <hyperlink ref="J9" r:id="rId8" xr:uid="{F3961FE2-85CB-4E77-8AFD-A11E77D2FD5B}"/>
    <hyperlink ref="J10" r:id="rId9" xr:uid="{491CBB50-F863-4348-B8F0-C96819DCD189}"/>
    <hyperlink ref="J11" r:id="rId10" xr:uid="{74FDE9B7-0EBD-410C-93BC-7D85D7C4A6FB}"/>
    <hyperlink ref="J12" r:id="rId11" xr:uid="{861DC00B-B8D9-42CB-8737-6CBEB0D3FDEB}"/>
    <hyperlink ref="J13" r:id="rId12" xr:uid="{B2A928CA-AA10-4F29-A07C-1D58DE0EB17E}"/>
    <hyperlink ref="J14" r:id="rId13" xr:uid="{8FDBBEED-606B-4766-B1C3-129E23405FC3}"/>
    <hyperlink ref="J15" r:id="rId14" xr:uid="{98C99932-D2F2-4184-B808-1BD00F2B8D45}"/>
    <hyperlink ref="J16" r:id="rId15" xr:uid="{C2B83C23-9DA8-47F0-8C77-CA97B71B73DB}"/>
    <hyperlink ref="J17" r:id="rId16" xr:uid="{E5776010-EDB5-4E21-8C7B-D9B39B2DC00F}"/>
    <hyperlink ref="J18" r:id="rId17" xr:uid="{C65D64DB-F078-46A5-BE32-FF12AD5C620D}"/>
    <hyperlink ref="J19" r:id="rId18" xr:uid="{6E455EC5-1173-4A7F-8F49-F2B4F5A17B1A}"/>
    <hyperlink ref="J20" r:id="rId19" xr:uid="{40C149A1-0BE5-4B78-AF73-4D120E752AEF}"/>
    <hyperlink ref="J21" r:id="rId20" xr:uid="{77AABC95-EF7A-4366-87AD-A457733C3714}"/>
    <hyperlink ref="J22" r:id="rId21" xr:uid="{8B8503E6-3DE9-44E4-A429-C95A87F9FCFF}"/>
    <hyperlink ref="J23" r:id="rId22" xr:uid="{9C299F2E-DEC1-48F0-B2C6-E6DD5C988BCA}"/>
    <hyperlink ref="J24" r:id="rId23" xr:uid="{4E712EB7-172A-4D73-869C-644BCC43264C}"/>
    <hyperlink ref="J25" r:id="rId24" xr:uid="{6B4E364B-2393-4925-B3B3-C1E06DE29919}"/>
    <hyperlink ref="J26" r:id="rId25" xr:uid="{E510AC83-02EA-4881-AC7D-4C27CADA9E75}"/>
    <hyperlink ref="J27" r:id="rId26" xr:uid="{0B1FC501-E9F6-4E03-B167-B90844AE0301}"/>
    <hyperlink ref="J29" r:id="rId27" xr:uid="{F44CE33E-E171-43E6-8CE9-9C13B32F3065}"/>
    <hyperlink ref="J30" r:id="rId28" xr:uid="{1FE45276-D5C4-49FD-A7F2-97555B9C7240}"/>
    <hyperlink ref="J31" r:id="rId29" xr:uid="{48920EF7-E58A-423D-95D9-9B2B633950C1}"/>
    <hyperlink ref="J32" r:id="rId30" xr:uid="{B777EE61-D07B-4351-B521-717E667F9CD4}"/>
    <hyperlink ref="J34" r:id="rId31" xr:uid="{7F9BE4F1-DA00-4818-9514-AF1366316C64}"/>
    <hyperlink ref="J36" r:id="rId32" xr:uid="{F11C493E-CFFA-4B58-B6E4-73C4D37E4828}"/>
    <hyperlink ref="J38" r:id="rId33" xr:uid="{26A99EA3-917A-4157-852F-94E6FDFFF4B2}"/>
    <hyperlink ref="J39" r:id="rId34" xr:uid="{A0A5F93C-BA66-4DAF-9C47-94D50AC96DDE}"/>
    <hyperlink ref="J40" r:id="rId35" xr:uid="{3125EC26-829D-418D-9668-DD1B48E7B8E8}"/>
    <hyperlink ref="J41" r:id="rId36" xr:uid="{2155F2EC-9F85-4DC9-855D-D2177E6D744E}"/>
    <hyperlink ref="J42" r:id="rId37" xr:uid="{E795EA07-FA8A-4B1F-BF94-9B521D0D56FF}"/>
    <hyperlink ref="J43" r:id="rId38" xr:uid="{0AD6F0A9-1C92-40E7-B0E2-F50BACB2F3B7}"/>
    <hyperlink ref="J44" r:id="rId39" xr:uid="{5B92A2B6-AD63-442F-A41C-E0F75D3AEABE}"/>
    <hyperlink ref="J46" r:id="rId40" xr:uid="{B26E32E5-EDC4-40F1-B0E6-30F2950F1AC2}"/>
    <hyperlink ref="J47" r:id="rId41" xr:uid="{65B0221F-57D6-41D0-BFD6-00923A88054B}"/>
    <hyperlink ref="J48" r:id="rId42" xr:uid="{2C66A822-C5A9-4123-B191-DF8BC79D32A8}"/>
    <hyperlink ref="J49" r:id="rId43" xr:uid="{F24936FA-AC1E-4251-AB1E-3F6136357451}"/>
    <hyperlink ref="J50" r:id="rId44" xr:uid="{8FEE9D30-F792-44BE-AA0D-10BF0F8B68A9}"/>
    <hyperlink ref="J51" r:id="rId45" xr:uid="{832269AB-E94A-4A9A-91B1-FD398EC45859}"/>
    <hyperlink ref="J52" r:id="rId46" xr:uid="{2F0E6318-D315-4368-88AF-C4B7005D4978}"/>
    <hyperlink ref="J53" r:id="rId47" xr:uid="{E06E5B2E-103A-43ED-BF78-269A21958289}"/>
    <hyperlink ref="J56" r:id="rId48" xr:uid="{0FCFC130-30D1-43B9-A55D-6C1EB26D06A7}"/>
    <hyperlink ref="J57" r:id="rId49" xr:uid="{9BDA9B07-9A37-4BE9-B055-460A67153140}"/>
    <hyperlink ref="J58" r:id="rId50" xr:uid="{6155C8B1-5130-4831-B454-4CD05E0A7FAE}"/>
    <hyperlink ref="J59" r:id="rId51" xr:uid="{0D2960C9-2FC6-4BBE-96D6-682E54FA7877}"/>
    <hyperlink ref="J60" r:id="rId52" xr:uid="{3678F70A-36F7-4989-8BD5-C13EB96CF910}"/>
    <hyperlink ref="J61" r:id="rId53" xr:uid="{CE719DAB-A09D-42A8-98C4-C807C0AC5937}"/>
    <hyperlink ref="J62" r:id="rId54" xr:uid="{8C57E8DF-FD6D-40CE-82C2-02577AA85E9F}"/>
    <hyperlink ref="J63" r:id="rId55" xr:uid="{7D1183C5-C823-4D3C-8455-904F555151F5}"/>
    <hyperlink ref="J64" r:id="rId56" xr:uid="{245CFF28-2E6A-4851-B08E-4058399982CB}"/>
    <hyperlink ref="J65" r:id="rId57" xr:uid="{CC75F4A5-3428-4473-BB91-11725B091750}"/>
    <hyperlink ref="J66" r:id="rId58" xr:uid="{0F44338A-49F3-46C7-AF6A-3189BF98E0C5}"/>
    <hyperlink ref="J67" r:id="rId59" xr:uid="{42457DD5-01D5-4BC2-AFF8-4FAFBC5BD0B2}"/>
    <hyperlink ref="J68" r:id="rId60" xr:uid="{AD5D791E-B3D5-4274-9B87-B8666EE1EA4B}"/>
    <hyperlink ref="J69" r:id="rId61" xr:uid="{8AE439DC-9AA1-449E-94CB-107345488CBA}"/>
    <hyperlink ref="J70" r:id="rId62" xr:uid="{529EEE66-5ADA-47F4-BB11-3A6F04631D68}"/>
    <hyperlink ref="J71" r:id="rId63" xr:uid="{26FD9CD7-C5CC-466A-9A73-F0EB07800441}"/>
    <hyperlink ref="J72" r:id="rId64" xr:uid="{53006A7F-D1D0-4E95-B42A-3903032BF082}"/>
    <hyperlink ref="J73" r:id="rId65" xr:uid="{A117BB6D-BE29-4D0F-9BA2-BAF8355B0E77}"/>
    <hyperlink ref="J74" r:id="rId66" xr:uid="{74DA47C4-0EDE-46C1-BBE3-8148B880001E}"/>
    <hyperlink ref="J75" r:id="rId67" xr:uid="{C7E54CF6-957C-4A0B-9154-0039A14F067C}"/>
    <hyperlink ref="J76" r:id="rId68" xr:uid="{4599411A-BA40-4457-BC8D-BD44DB0973F0}"/>
    <hyperlink ref="J78" r:id="rId69" xr:uid="{82A1F384-9E70-4ECC-AF64-89A16FB2274F}"/>
    <hyperlink ref="J79" r:id="rId70" xr:uid="{4CE68F29-A317-418C-BAD4-5CC1AB8CC382}"/>
    <hyperlink ref="J80" r:id="rId71" xr:uid="{F8F77BED-8EFF-4260-A108-5B330A873074}"/>
    <hyperlink ref="J81" r:id="rId72" xr:uid="{48B688A2-6C47-46BF-A604-26EE862773AF}"/>
    <hyperlink ref="J82" r:id="rId73" xr:uid="{CDDD0CD7-A12C-47E5-BB57-84C07E3962CB}"/>
    <hyperlink ref="J84" r:id="rId74" xr:uid="{644A96CB-49AD-4167-BBAA-21A676639A1C}"/>
    <hyperlink ref="J85" r:id="rId75" xr:uid="{B253B48B-1644-420C-A011-12D93ABF1E58}"/>
    <hyperlink ref="J87" r:id="rId76" xr:uid="{5BF543B2-D49C-4D8F-BF42-B6C18F3ECCA6}"/>
    <hyperlink ref="J88" r:id="rId77" xr:uid="{EEF01D90-30C1-4AFF-B7C7-02F7E60E90CA}"/>
    <hyperlink ref="J89" r:id="rId78" xr:uid="{9D7AE3B6-D706-4BFD-8E7F-FF3183771145}"/>
    <hyperlink ref="J90" r:id="rId79" xr:uid="{DE228243-D8F1-45A4-B9B4-3A1881500FD4}"/>
    <hyperlink ref="J91" r:id="rId80" xr:uid="{3E2A9D29-4D7F-42DB-AA76-23B8403C357B}"/>
    <hyperlink ref="J92" r:id="rId81" xr:uid="{525079E7-FA57-4FF2-89B2-B0CFF7DD1C3F}"/>
    <hyperlink ref="J93" r:id="rId82" xr:uid="{AFBA7460-5172-433D-BF8D-66BFA6855A8D}"/>
    <hyperlink ref="J94" r:id="rId83" xr:uid="{566099F6-D629-4982-90AB-27F1FC900343}"/>
    <hyperlink ref="J95" r:id="rId84" xr:uid="{876B13CF-64A3-46A3-BC28-01E6515DB163}"/>
    <hyperlink ref="J96" r:id="rId85" xr:uid="{3C067FB7-FF0A-4760-9603-8D01C5AB78B4}"/>
    <hyperlink ref="J97" r:id="rId86" xr:uid="{8FCC1BCD-A32D-436B-B50A-F464FDEBEC3F}"/>
    <hyperlink ref="J98" r:id="rId87" xr:uid="{741C1947-F75C-462E-998F-86868B0E06D9}"/>
    <hyperlink ref="J99" r:id="rId88" xr:uid="{0DFB730C-03D0-4172-9427-E7AB11CB69D7}"/>
    <hyperlink ref="J100" r:id="rId89" xr:uid="{EB6C7A66-1486-42EB-9E46-BC96FF72D851}"/>
    <hyperlink ref="J101" r:id="rId90" xr:uid="{C43A50DB-6C6A-4F59-B76A-6EABC36F95CA}"/>
    <hyperlink ref="J102" r:id="rId91" xr:uid="{379F6083-2F54-4FCF-A457-FA335E725C9E}"/>
    <hyperlink ref="J103" r:id="rId92" xr:uid="{8437DE8C-B3EC-417B-AB27-3D680AF7367C}"/>
    <hyperlink ref="J104" r:id="rId93" xr:uid="{D002FF74-83A2-4588-851C-BA621156A085}"/>
    <hyperlink ref="J105" r:id="rId94" xr:uid="{1BC5327D-80ED-46CD-895E-2A03DF75C5FD}"/>
    <hyperlink ref="J106" r:id="rId95" xr:uid="{6B9F4424-AA26-4F76-978D-3A948F4C48C1}"/>
    <hyperlink ref="J107" r:id="rId96" xr:uid="{74769992-612E-47DD-8890-97D5C158554E}"/>
    <hyperlink ref="J108" r:id="rId97" xr:uid="{65758FE6-4E75-4EF2-8698-AAB45AFB6360}"/>
    <hyperlink ref="J109" r:id="rId98" xr:uid="{5438D2DC-6580-4442-89BF-6F3A3CF5F899}"/>
    <hyperlink ref="J110" r:id="rId99" xr:uid="{090D8B03-01A3-4185-B033-D7B57A008151}"/>
    <hyperlink ref="J111" r:id="rId100" xr:uid="{9B693F9D-AB62-4D09-AE10-154A1D23CF9E}"/>
    <hyperlink ref="J112" r:id="rId101" xr:uid="{9533C630-9E7E-4826-979D-C5A61BFF6E3F}"/>
    <hyperlink ref="J113" r:id="rId102" xr:uid="{44A864C6-E565-4B83-8D98-0289538A7749}"/>
    <hyperlink ref="J115" r:id="rId103" xr:uid="{68AE694C-EA17-4EAD-A459-96AF9C1041D5}"/>
    <hyperlink ref="J116" r:id="rId104" xr:uid="{8C4FDA02-6A9F-48DA-B1EF-721F8FB71440}"/>
    <hyperlink ref="J117" r:id="rId105" xr:uid="{64076DEA-69FE-4647-9354-14069A201665}"/>
    <hyperlink ref="J118" r:id="rId106" xr:uid="{B984430E-C17E-4001-AFF7-2E3579AC86D1}"/>
    <hyperlink ref="J119" r:id="rId107" xr:uid="{DCF61249-DE83-46F8-A098-00F1102F581E}"/>
    <hyperlink ref="J120" r:id="rId108" xr:uid="{14E1886B-985F-41EA-98EB-5115FC760EB0}"/>
    <hyperlink ref="J121" r:id="rId109" xr:uid="{FE94B472-A01B-40FC-8E6F-EA1A1971CCDC}"/>
    <hyperlink ref="J122" r:id="rId110" xr:uid="{BBDC2225-BF21-4AAD-B23C-2107DAC406D0}"/>
    <hyperlink ref="J124" r:id="rId111" xr:uid="{7C2E2D25-9696-4E01-8DD7-648688B31094}"/>
    <hyperlink ref="J125" r:id="rId112" xr:uid="{37FC3A8B-D0AC-4F65-B387-8FE73DDE541A}"/>
    <hyperlink ref="J127" r:id="rId113" xr:uid="{91A96F68-A592-432C-80AD-B5A0963566BF}"/>
    <hyperlink ref="J128" r:id="rId114" xr:uid="{AD12AD75-7563-46C1-B961-FAA1B848D178}"/>
    <hyperlink ref="J129" r:id="rId115" xr:uid="{DFDCE395-1286-4731-83CD-1CE98B0090C5}"/>
    <hyperlink ref="J131" r:id="rId116" xr:uid="{2AB17356-A1B2-4DC5-94AD-89E0DC31B484}"/>
    <hyperlink ref="J132" r:id="rId117" xr:uid="{157F5E51-50A2-43D5-A739-96349F437F49}"/>
    <hyperlink ref="J133" r:id="rId118" xr:uid="{9E2046D1-D972-401B-B00C-D6BC71C9EC59}"/>
    <hyperlink ref="J134" r:id="rId119" xr:uid="{DA2BD312-48BE-4E3B-90B9-AC4613491C9B}"/>
    <hyperlink ref="J135" r:id="rId120" xr:uid="{C02EE6FC-89AF-45D4-82A5-0800B0E2DADD}"/>
    <hyperlink ref="J136" r:id="rId121" xr:uid="{89503DC7-F900-40BE-8587-489A8D2D59C5}"/>
    <hyperlink ref="J137" r:id="rId122" xr:uid="{4493F2CF-2C07-48C1-A463-727324B1E305}"/>
    <hyperlink ref="J138" r:id="rId123" xr:uid="{2E2497AC-7B14-4881-8E27-8B19DE83E26C}"/>
    <hyperlink ref="J139" r:id="rId124" xr:uid="{2B21127C-F25C-478A-8EDC-1564C277D248}"/>
    <hyperlink ref="J140" r:id="rId125" xr:uid="{07CEA125-E0DD-4240-B183-34C9D3342C40}"/>
    <hyperlink ref="J141" r:id="rId126" xr:uid="{415D60DE-C81F-4B5E-BE2F-1C2FDF9E669C}"/>
    <hyperlink ref="J142" r:id="rId127" xr:uid="{A14EB030-6BAD-4306-B355-F5F17C964E92}"/>
    <hyperlink ref="J143" r:id="rId128" xr:uid="{20052158-C2D7-473E-8D2C-D711DCC1A404}"/>
    <hyperlink ref="J144" r:id="rId129" xr:uid="{300E0C0D-BFA5-492E-9060-263004624F2B}"/>
    <hyperlink ref="J145" r:id="rId130" xr:uid="{D52B5CCF-35DD-4640-89BA-564B10BAC50A}"/>
    <hyperlink ref="J146" r:id="rId131" xr:uid="{5085492B-AFB8-44C5-AE0B-B0C50E337657}"/>
    <hyperlink ref="J147" r:id="rId132" xr:uid="{AE714B22-6511-473D-83A2-81349E937350}"/>
    <hyperlink ref="J148" r:id="rId133" xr:uid="{68D0B065-61CB-4710-8988-A1515E2E677B}"/>
    <hyperlink ref="J149" r:id="rId134" xr:uid="{77290061-54DC-41B0-A7C9-8991259D643D}"/>
    <hyperlink ref="J150" r:id="rId135" xr:uid="{F350A39C-1553-46B4-9450-55B873988A10}"/>
    <hyperlink ref="J151" r:id="rId136" xr:uid="{F0111B12-5C51-4A07-8402-777273F0365B}"/>
    <hyperlink ref="J152" r:id="rId137" xr:uid="{E048AE49-5848-4FC8-ADCB-3C0E6F59BB74}"/>
    <hyperlink ref="J153" r:id="rId138" xr:uid="{4DA57901-F13B-4E01-9372-D59B17E1B169}"/>
    <hyperlink ref="J154" r:id="rId139" xr:uid="{FD3D7CFC-4F4B-4AC5-8304-F61C39967F8D}"/>
    <hyperlink ref="J155" r:id="rId140" xr:uid="{47C08887-6D28-4A9A-80F0-AA790B0719D3}"/>
    <hyperlink ref="J156" r:id="rId141" xr:uid="{D52E7C8E-89E0-4991-BF65-B947A82BC71D}"/>
    <hyperlink ref="J157" r:id="rId142" xr:uid="{A2E89BE4-637B-4781-ABCB-935A87EEF92F}"/>
    <hyperlink ref="J158" r:id="rId143" xr:uid="{97B28D1C-B847-427C-A773-6C39BED502BD}"/>
    <hyperlink ref="J159" r:id="rId144" xr:uid="{36E59888-5608-40A6-9229-5A33DF3E4E49}"/>
    <hyperlink ref="J160" r:id="rId145" xr:uid="{742F5560-733F-4F4A-881B-1C7188876E76}"/>
    <hyperlink ref="J161" r:id="rId146" xr:uid="{BB4C266C-3351-4008-8622-EBD379503563}"/>
    <hyperlink ref="J162" r:id="rId147" xr:uid="{2B4CA07C-26DA-45E0-952E-73821FB39325}"/>
    <hyperlink ref="J163" r:id="rId148" xr:uid="{7D680466-BB90-4A4C-AA27-52B672F7B9B9}"/>
    <hyperlink ref="J164" r:id="rId149" xr:uid="{029581BC-B915-4C11-B26A-9507F3112DB6}"/>
    <hyperlink ref="J166" r:id="rId150" xr:uid="{77A01ADA-9DEF-49AB-A790-B95B171C55F7}"/>
    <hyperlink ref="J167" r:id="rId151" xr:uid="{428DDFCB-B723-4D23-B28E-682A197D9F9B}"/>
    <hyperlink ref="J168" r:id="rId152" xr:uid="{785223D0-1689-4BA6-B6DD-E7928463F772}"/>
    <hyperlink ref="J169" r:id="rId153" xr:uid="{B2DFB212-D58C-435C-8446-50B61D90E5EF}"/>
    <hyperlink ref="J170" r:id="rId154" xr:uid="{B41E27A8-8DC3-4190-9F3B-89CF133ABEFB}"/>
    <hyperlink ref="J171" r:id="rId155" xr:uid="{C3B9E716-E00C-4DB3-B920-6B513BB31BD5}"/>
    <hyperlink ref="J172" r:id="rId156" xr:uid="{03D162B4-D7C7-40CA-9852-ECB7336C38E2}"/>
    <hyperlink ref="J173" r:id="rId157" xr:uid="{E86795DF-AB96-49A0-9812-8C5A8DF53C69}"/>
    <hyperlink ref="J174" r:id="rId158" xr:uid="{DEDB4AC2-D36D-4A88-A0D4-802FB5290BDF}"/>
    <hyperlink ref="J175" r:id="rId159" xr:uid="{C3C8C45A-0AEC-45E4-AEA6-146B919B9E0D}"/>
    <hyperlink ref="J176" r:id="rId160" xr:uid="{B7DE4437-4652-4165-94ED-4712CE19CA42}"/>
    <hyperlink ref="J177" r:id="rId161" xr:uid="{468D48CE-63DC-43AF-8FC1-4431FC36AE56}"/>
    <hyperlink ref="J178" r:id="rId162" xr:uid="{5A1A237A-0511-451E-98F3-BAC2ED228722}"/>
    <hyperlink ref="K178" r:id="rId163" xr:uid="{43405F3C-9BF8-49EE-AD36-40037CF0FAE7}"/>
    <hyperlink ref="J179" r:id="rId164" xr:uid="{8340DA56-CD89-42ED-B33D-A1CDF90194BA}"/>
    <hyperlink ref="J180" r:id="rId165" xr:uid="{9FD06D5D-54F3-4E78-B8FC-FB8652D72C88}"/>
    <hyperlink ref="J181" r:id="rId166" xr:uid="{98AF511C-418A-4555-AAD2-11835B09AE92}"/>
    <hyperlink ref="J182" r:id="rId167" xr:uid="{9AE8ADC5-4BFA-420B-8BD6-20D8D2D8E5A1}"/>
    <hyperlink ref="J183" r:id="rId168" xr:uid="{A52F2118-004A-4C0A-9C7D-3E92F7A3E603}"/>
    <hyperlink ref="J184" r:id="rId169" xr:uid="{743A7490-203A-4D6C-B638-FE8C51BA72CF}"/>
    <hyperlink ref="J185" r:id="rId170" xr:uid="{B50A8905-5C32-42BC-A17F-82C8CA059BDE}"/>
    <hyperlink ref="J186" r:id="rId171" xr:uid="{8F7C18DF-F036-4965-9A23-D7544D3C5B79}"/>
    <hyperlink ref="K186" r:id="rId172" xr:uid="{C29C5A92-3F31-47FF-9CB8-DDA43F6D2F10}"/>
    <hyperlink ref="J187" r:id="rId173" xr:uid="{5029BFDD-A7F8-4B37-8794-AD808805834D}"/>
    <hyperlink ref="J188" r:id="rId174" xr:uid="{8EA5647F-FAB2-488B-B545-00DD07A79182}"/>
    <hyperlink ref="J189" r:id="rId175" xr:uid="{A00A0484-3D59-44C9-9858-94AC70710F77}"/>
    <hyperlink ref="J190" r:id="rId176" xr:uid="{734AB8EB-AA17-4329-92C4-8D0EF25AFB46}"/>
    <hyperlink ref="J191" r:id="rId177" xr:uid="{ED545D24-B5F8-44D5-BF65-2E914074EB0F}"/>
    <hyperlink ref="J192" r:id="rId178" xr:uid="{E2D66314-68D3-4C75-830C-9277A1D34363}"/>
    <hyperlink ref="J193" r:id="rId179" xr:uid="{535B793E-2034-42DE-951F-2DF9C1649520}"/>
    <hyperlink ref="J194" r:id="rId180" xr:uid="{4BDF6230-1E91-4708-9B87-3E430B2AC869}"/>
    <hyperlink ref="J195" r:id="rId181" xr:uid="{C3F044FA-03DC-44A3-A6A9-E3F786FA0200}"/>
    <hyperlink ref="J196" r:id="rId182" xr:uid="{305317D6-1A65-4120-B436-6B63DA224AD6}"/>
    <hyperlink ref="J197" r:id="rId183" xr:uid="{E772FA98-C86C-476C-B4AF-550373B02060}"/>
    <hyperlink ref="J199" r:id="rId184" xr:uid="{D11D3601-8169-4AD5-88DA-5E02B5413B11}"/>
    <hyperlink ref="J200" r:id="rId185" xr:uid="{7786A62E-6E51-409E-A89A-FA0249AC0377}"/>
    <hyperlink ref="J201" r:id="rId186" xr:uid="{D325E686-8BEF-4C0E-A6BA-2969B27D42EB}"/>
    <hyperlink ref="J202" r:id="rId187" xr:uid="{A811ACDA-3EC0-4A88-B5D4-17E868231215}"/>
    <hyperlink ref="J203" r:id="rId188" xr:uid="{9BF36683-5F54-4159-8507-E00919D75DF8}"/>
    <hyperlink ref="J204" r:id="rId189" xr:uid="{A00C6E4E-FF3F-448F-BF2C-EE5AE1007F75}"/>
    <hyperlink ref="J205" r:id="rId190" xr:uid="{CC772187-A40B-4249-9256-A7FA58C0419A}"/>
    <hyperlink ref="J206" r:id="rId191" xr:uid="{B501660A-50E7-4F0D-A74F-70A72B287378}"/>
    <hyperlink ref="J207" r:id="rId192" xr:uid="{D86CA331-6E6A-485E-B82F-34E9841764D8}"/>
    <hyperlink ref="J208" r:id="rId193" xr:uid="{0B69BF52-A084-4712-B357-B3EED53668DE}"/>
    <hyperlink ref="J209" r:id="rId194" xr:uid="{7DFEF399-7C8D-4B81-86E6-7A48C49F885D}"/>
    <hyperlink ref="J210" r:id="rId195" xr:uid="{7C50E5B8-2F29-4BC4-9D81-92059EBAAD6E}"/>
    <hyperlink ref="J211" r:id="rId196" xr:uid="{170A15E0-933E-4D40-B4DE-2D44039C2500}"/>
    <hyperlink ref="J212" r:id="rId197" xr:uid="{1D19A1EF-CFC4-408B-ABFA-1667CF52B579}"/>
    <hyperlink ref="J213" r:id="rId198" xr:uid="{0BAF6DE2-47B6-4461-B83E-CD6D21AAC6C5}"/>
    <hyperlink ref="J214" r:id="rId199" xr:uid="{FD7027D4-60A6-49EC-990C-53695C0738A9}"/>
    <hyperlink ref="J215" r:id="rId200" xr:uid="{ADF7A83D-BD25-4FDD-A2C4-92579D6DB4BB}"/>
    <hyperlink ref="J216" r:id="rId201" xr:uid="{F86D5705-4E25-463C-9953-C21A87AE88DB}"/>
    <hyperlink ref="J217" r:id="rId202" xr:uid="{6C07153F-6F0B-47DB-90F7-FB66CA8E383F}"/>
    <hyperlink ref="J218" r:id="rId203" xr:uid="{8A1D1C31-25BA-42BC-9D6D-4E0EDF4B4EC2}"/>
    <hyperlink ref="J219" r:id="rId204" xr:uid="{1AA45FFD-8869-48CC-90E0-2D9C68CF76D9}"/>
    <hyperlink ref="J220" r:id="rId205" xr:uid="{3C02283A-ADC8-448B-9312-89EDBF2C392C}"/>
    <hyperlink ref="J221" r:id="rId206" xr:uid="{04F681E8-4BD1-49A6-8F69-EFE530DBBEFC}"/>
    <hyperlink ref="J222" r:id="rId207" xr:uid="{57FE6FB5-7ADF-4C69-84CC-39C182EFB436}"/>
    <hyperlink ref="J223" r:id="rId208" xr:uid="{5C449B98-0BCC-4BAA-B274-547D36C0344F}"/>
    <hyperlink ref="J224" r:id="rId209" xr:uid="{250AA351-CA38-46E0-B7B6-B18C7E47AC4C}"/>
    <hyperlink ref="J225" r:id="rId210" xr:uid="{62679411-87FF-4A6B-BD7D-6E7FBBB7301E}"/>
    <hyperlink ref="J226" r:id="rId211" xr:uid="{9A35FE8E-B788-4553-AEE2-7B1F973C3378}"/>
    <hyperlink ref="J227" r:id="rId212" xr:uid="{E1E26F4A-D541-4443-B84D-9490032DE519}"/>
    <hyperlink ref="J228" r:id="rId213" xr:uid="{52FFDFD8-E378-4C26-883E-EBD64B4355BF}"/>
    <hyperlink ref="J229" r:id="rId214" xr:uid="{F00EE754-8C06-4AA3-B586-8140280B71A6}"/>
    <hyperlink ref="J230" r:id="rId215" xr:uid="{AFCC5933-B892-4BE0-887B-A36C445F1A33}"/>
    <hyperlink ref="J231" r:id="rId216" xr:uid="{86C737B1-E340-4FBC-8E69-443418C08D7A}"/>
    <hyperlink ref="J232" r:id="rId217" xr:uid="{C4882E4B-5AF8-448C-918C-896114DD6C14}"/>
    <hyperlink ref="J233" r:id="rId218" xr:uid="{4048422C-4977-4CB9-BC34-AFE30E20A868}"/>
    <hyperlink ref="J235" r:id="rId219" xr:uid="{B25EFBA3-1221-4F62-9B71-12B5D565AE41}"/>
    <hyperlink ref="J236" r:id="rId220" xr:uid="{D5419F4C-70BB-407C-9B04-1BC3C7A86741}"/>
    <hyperlink ref="J237" r:id="rId221" xr:uid="{435B3960-AD1F-4123-8820-A0A8D8E375F9}"/>
    <hyperlink ref="J238" r:id="rId222" xr:uid="{D842A066-4978-4777-9349-790649C5F6D1}"/>
    <hyperlink ref="J239" r:id="rId223" xr:uid="{3E474317-D879-4270-8B03-D4994BE2F439}"/>
    <hyperlink ref="J240" r:id="rId224" xr:uid="{1BB3C62C-F1A2-41FF-BD56-5CBA531B8B6D}"/>
    <hyperlink ref="J241" r:id="rId225" xr:uid="{69BF2C0F-5CC6-4A5C-8829-2E7B80AFC417}"/>
    <hyperlink ref="J242" r:id="rId226" xr:uid="{2FE2EEE3-33EB-41AF-99BB-D0D0F36969FF}"/>
    <hyperlink ref="J243" r:id="rId227" xr:uid="{249A12F0-6FDE-4635-BBA3-1D559F0AC520}"/>
    <hyperlink ref="J244" r:id="rId228" xr:uid="{4BDE602A-890A-4ED0-8120-64752C7F6206}"/>
    <hyperlink ref="J245" r:id="rId229" xr:uid="{60E7031F-F5DB-4256-B81D-9E2A282C98D6}"/>
    <hyperlink ref="J246" r:id="rId230" xr:uid="{C3A2E604-8298-4BC2-ADB1-928CF2625804}"/>
    <hyperlink ref="J247" r:id="rId231" xr:uid="{E91DFB76-9B15-495F-81DD-E7527BA17433}"/>
    <hyperlink ref="J248" r:id="rId232" xr:uid="{1451F76E-9583-479F-BEA1-B08163701A90}"/>
    <hyperlink ref="J249" r:id="rId233" xr:uid="{70EC1B25-D7EB-4C79-BC5F-C528FB0EE5E5}"/>
    <hyperlink ref="J250" r:id="rId234" xr:uid="{04E5FF96-A063-41F2-AA57-912E04147EAD}"/>
    <hyperlink ref="J251" r:id="rId235" xr:uid="{6CC4047E-6A41-4697-8B3A-7D1C99454277}"/>
    <hyperlink ref="J252" r:id="rId236" xr:uid="{EDCC7D7F-9CE0-406F-A277-097C7229E82A}"/>
    <hyperlink ref="J253" r:id="rId237" xr:uid="{EE0B8C60-6FEE-42DA-8708-CFC41881C6D0}"/>
    <hyperlink ref="J254" r:id="rId238" xr:uid="{75CFB64A-6EF8-4F9B-9739-6F0090B540D3}"/>
    <hyperlink ref="J255" r:id="rId239" xr:uid="{1ED6DC86-5440-4466-A601-1ED644B82063}"/>
    <hyperlink ref="J256" r:id="rId240" xr:uid="{5D696B0F-B291-4E7F-BBAD-3C55EBB62E79}"/>
    <hyperlink ref="J257" r:id="rId241" xr:uid="{45C8C9D3-3FC9-4560-B298-3E40011C2903}"/>
    <hyperlink ref="J258" r:id="rId242" xr:uid="{FC4F5090-A0FC-4196-8193-353A1A819A16}"/>
    <hyperlink ref="J259" r:id="rId243" xr:uid="{9F09C2D1-5E93-4C21-9884-CB8BFC59AA2F}"/>
    <hyperlink ref="J260" r:id="rId244" xr:uid="{6839FE7F-9DAD-49BC-A4A3-08A85E051809}"/>
    <hyperlink ref="J261" r:id="rId245" xr:uid="{25F9E9C7-51A7-431E-8FE5-8D3B4A187C04}"/>
    <hyperlink ref="J262" r:id="rId246" xr:uid="{BA831371-6A19-4E09-8B47-536888A3E0FD}"/>
    <hyperlink ref="J263" r:id="rId247" xr:uid="{984B4BA0-EF9D-4A32-A680-147E74D3BBD4}"/>
    <hyperlink ref="J264" r:id="rId248" xr:uid="{E0C03FFB-4A06-4452-9C5D-E61F9D21D043}"/>
    <hyperlink ref="J265" r:id="rId249" xr:uid="{97D7EDD2-93FB-41BD-A458-6CBE0A104669}"/>
    <hyperlink ref="J266" r:id="rId250" xr:uid="{5145F60C-F6C8-467D-9FBC-729B694EB18E}"/>
    <hyperlink ref="J267" r:id="rId251" xr:uid="{09F9F8D4-1382-42B4-A0DC-DF8815906E69}"/>
    <hyperlink ref="J268" r:id="rId252" xr:uid="{C9B52588-2EFA-4E6B-BC8A-6710CA3B2048}"/>
    <hyperlink ref="J269" r:id="rId253" xr:uid="{CD258EEB-1415-498B-A85C-0426DDD2A63A}"/>
    <hyperlink ref="J270" r:id="rId254" xr:uid="{BFE940FC-3C74-4237-BA72-3AA820683E53}"/>
    <hyperlink ref="J271" r:id="rId255" xr:uid="{B93B98BB-D3A7-4A1F-8656-06FCD041905A}"/>
    <hyperlink ref="J272" r:id="rId256" xr:uid="{B6CBC4B9-F71B-4F4A-AB31-BCC70EE005B8}"/>
    <hyperlink ref="J273" r:id="rId257" xr:uid="{C60392EF-569F-4159-896D-7079B383DD9E}"/>
    <hyperlink ref="J274" r:id="rId258" xr:uid="{021F81EA-15E3-4D2F-B3CF-3F74E8895F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2021-01-18T14:24:46Z</dcterms:created>
  <dcterms:modified xsi:type="dcterms:W3CDTF">2021-01-18T14:24:48Z</dcterms:modified>
</cp:coreProperties>
</file>