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entsogeu.sharepoint.com/sites/ExternalCollaboration/WG Scenario Building/2024 Scenarios/Released Packages/2023-10-05 Final Input Parameters/20231030 - ENTSO-E SDC &amp; ENTSOG Board Approval/"/>
    </mc:Choice>
  </mc:AlternateContent>
  <xr:revisionPtr revIDLastSave="1563" documentId="8_{0B78CA92-8146-45B5-B09A-1CD31DA4BFE8}" xr6:coauthVersionLast="47" xr6:coauthVersionMax="47" xr10:uidLastSave="{AA2053CB-1D7D-4BC1-B48D-5A4EEF13645F}"/>
  <bookViews>
    <workbookView xWindow="38280" yWindow="-120" windowWidth="38640" windowHeight="21120" tabRatio="836" firstSheet="2" activeTab="21" xr2:uid="{BEE927C5-E20C-4E01-9E83-8A434C0A88B0}"/>
  </bookViews>
  <sheets>
    <sheet name="Contents" sheetId="1" r:id="rId1"/>
    <sheet name="_TYNDP2024 Scenarios" sheetId="3" r:id="rId2"/>
    <sheet name="1. " sheetId="2" r:id="rId3"/>
    <sheet name="1.1." sheetId="6" r:id="rId4"/>
    <sheet name="1.2." sheetId="7" r:id="rId5"/>
    <sheet name="1.3." sheetId="9" r:id="rId6"/>
    <sheet name="1.4." sheetId="10" r:id="rId7"/>
    <sheet name="1.5." sheetId="11" r:id="rId8"/>
    <sheet name="1.6." sheetId="12" r:id="rId9"/>
    <sheet name="2." sheetId="13" r:id="rId10"/>
    <sheet name="2.1." sheetId="14" r:id="rId11"/>
    <sheet name="2.2." sheetId="15" r:id="rId12"/>
    <sheet name="3." sheetId="27" r:id="rId13"/>
    <sheet name="3.1." sheetId="28" r:id="rId14"/>
    <sheet name="3.2." sheetId="29" r:id="rId15"/>
    <sheet name="3.3" sheetId="30" r:id="rId16"/>
    <sheet name="3.4." sheetId="31" r:id="rId17"/>
    <sheet name="3.5." sheetId="32" r:id="rId18"/>
    <sheet name="3.6." sheetId="33" r:id="rId19"/>
    <sheet name="3.7." sheetId="34" r:id="rId20"/>
    <sheet name="4." sheetId="24" r:id="rId21"/>
    <sheet name="4.1." sheetId="25" r:id="rId22"/>
    <sheet name="4.2." sheetId="26" r:id="rId23"/>
    <sheet name="4.3." sheetId="35" r:id="rId24"/>
  </sheets>
  <externalReferences>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_" localSheetId="20">#REF!</definedName>
    <definedName name="_" localSheetId="21">#REF!</definedName>
    <definedName name="_">#REF!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4" hidden="1">'1.2.'!$B$3:$M$59</definedName>
    <definedName name="a" localSheetId="20">#REF!</definedName>
    <definedName name="a" localSheetId="21">#REF!</definedName>
    <definedName name="a">#REF!</definedName>
    <definedName name="aa"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ll_TP" localSheetId="20">#REF!,#REF!,#REF!</definedName>
    <definedName name="All_TP" localSheetId="21">#REF!,#REF!,#REF!</definedName>
    <definedName name="All_TP">#REF!,#REF!,#REF!</definedName>
    <definedName name="All_US" localSheetId="20">#REF!,#REF!,#REF!</definedName>
    <definedName name="All_US" localSheetId="21">#REF!,#REF!,#REF!</definedName>
    <definedName name="All_US">#REF!,#REF!,#REF!</definedName>
    <definedName name="asdf" localSheetId="20">#REF!</definedName>
    <definedName name="asdf" localSheetId="21">#REF!</definedName>
    <definedName name="asdf">#REF!</definedName>
    <definedName name="bb"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iomass_Rate">'[1]Conversion Factors'!#REF!</definedName>
    <definedName name="body0fa" localSheetId="20">#REF!</definedName>
    <definedName name="body0fa" localSheetId="21">#REF!</definedName>
    <definedName name="body0fa">#REF!</definedName>
    <definedName name="body1ea" localSheetId="20">#REF!</definedName>
    <definedName name="body1ea" localSheetId="21">#REF!</definedName>
    <definedName name="body1ea">#REF!</definedName>
    <definedName name="body1eb" localSheetId="20">#REF!</definedName>
    <definedName name="body1eb" localSheetId="21">#REF!</definedName>
    <definedName name="body1eb">#REF!</definedName>
    <definedName name="body1fa" localSheetId="20">#REF!</definedName>
    <definedName name="body1fa" localSheetId="21">#REF!</definedName>
    <definedName name="body1fa">#REF!</definedName>
    <definedName name="body1fb" localSheetId="20">#REF!</definedName>
    <definedName name="body1fb" localSheetId="21">#REF!</definedName>
    <definedName name="body1fb">#REF!</definedName>
    <definedName name="body1ga" localSheetId="20">#REF!</definedName>
    <definedName name="body1ga" localSheetId="21">#REF!</definedName>
    <definedName name="body1ga">#REF!</definedName>
    <definedName name="body1gb" localSheetId="20">#REF!</definedName>
    <definedName name="body1gb" localSheetId="21">#REF!</definedName>
    <definedName name="body1gb">#REF!</definedName>
    <definedName name="body2ea" localSheetId="20">#REF!</definedName>
    <definedName name="body2ea" localSheetId="21">#REF!</definedName>
    <definedName name="body2ea">#REF!</definedName>
    <definedName name="body2eb" localSheetId="20">#REF!</definedName>
    <definedName name="body2eb" localSheetId="21">#REF!</definedName>
    <definedName name="body2eb">#REF!</definedName>
    <definedName name="body2f" localSheetId="20">#REF!</definedName>
    <definedName name="body2f" localSheetId="21">#REF!</definedName>
    <definedName name="body2f">#REF!</definedName>
    <definedName name="body2fa" localSheetId="20">#REF!</definedName>
    <definedName name="body2fa" localSheetId="21">#REF!</definedName>
    <definedName name="body2fa">#REF!</definedName>
    <definedName name="body2fb" localSheetId="20">#REF!</definedName>
    <definedName name="body2fb" localSheetId="21">#REF!</definedName>
    <definedName name="body2fb">#REF!</definedName>
    <definedName name="body2ga" localSheetId="20">#REF!</definedName>
    <definedName name="body2ga" localSheetId="21">#REF!</definedName>
    <definedName name="body2ga">#REF!</definedName>
    <definedName name="body2gb" localSheetId="20">#REF!</definedName>
    <definedName name="body2gb" localSheetId="21">#REF!</definedName>
    <definedName name="body2gb">#REF!</definedName>
    <definedName name="body3ea" localSheetId="20">#REF!</definedName>
    <definedName name="body3ea" localSheetId="21">#REF!</definedName>
    <definedName name="body3ea">#REF!</definedName>
    <definedName name="body3eb" localSheetId="20">#REF!</definedName>
    <definedName name="body3eb" localSheetId="21">#REF!</definedName>
    <definedName name="body3eb">#REF!</definedName>
    <definedName name="body3fa" localSheetId="20">#REF!</definedName>
    <definedName name="body3fa" localSheetId="21">#REF!</definedName>
    <definedName name="body3fa">#REF!</definedName>
    <definedName name="body3fb" localSheetId="20">#REF!</definedName>
    <definedName name="body3fb" localSheetId="21">#REF!</definedName>
    <definedName name="body3fb">#REF!</definedName>
    <definedName name="body3ga" localSheetId="20">#REF!</definedName>
    <definedName name="body3ga" localSheetId="21">#REF!</definedName>
    <definedName name="body3ga">#REF!</definedName>
    <definedName name="body3gb" localSheetId="20">#REF!</definedName>
    <definedName name="body3gb" localSheetId="21">#REF!</definedName>
    <definedName name="body3gb">#REF!</definedName>
    <definedName name="body4ea" localSheetId="20">#REF!</definedName>
    <definedName name="body4ea" localSheetId="21">#REF!</definedName>
    <definedName name="body4ea">#REF!</definedName>
    <definedName name="body4eb" localSheetId="20">#REF!</definedName>
    <definedName name="body4eb" localSheetId="21">#REF!</definedName>
    <definedName name="body4eb">#REF!</definedName>
    <definedName name="body4f" localSheetId="20">#REF!</definedName>
    <definedName name="body4f" localSheetId="21">#REF!</definedName>
    <definedName name="body4f">#REF!</definedName>
    <definedName name="body4fa" localSheetId="20">#REF!</definedName>
    <definedName name="body4fa" localSheetId="21">#REF!</definedName>
    <definedName name="body4fa">#REF!</definedName>
    <definedName name="body4fb" localSheetId="20">#REF!</definedName>
    <definedName name="body4fb" localSheetId="21">#REF!</definedName>
    <definedName name="body4fb">#REF!</definedName>
    <definedName name="body4ga" localSheetId="20">#REF!</definedName>
    <definedName name="body4ga" localSheetId="21">#REF!</definedName>
    <definedName name="body4ga">#REF!</definedName>
    <definedName name="body4gb" localSheetId="20">#REF!</definedName>
    <definedName name="body4gb" localSheetId="21">#REF!</definedName>
    <definedName name="body4gb">#REF!</definedName>
    <definedName name="Capacity_factor_Solar">'[1]Conversion Factors'!#REF!</definedName>
    <definedName name="Capacity_factor_Wind">'[1]Conversion Factors'!#REF!</definedName>
    <definedName name="CAPEX">'[2]Green LCOH'!$B$18:$AG$21</definedName>
    <definedName name="coal_cal">[3]mapping!$C$14:$C$15</definedName>
    <definedName name="conversion_col">[4]conversions!$B$26:$B$31</definedName>
    <definedName name="conversion_line">[4]conversions!$E$26:$K$26</definedName>
    <definedName name="conversion_table">[4]conversions!$E$26:$K$31</definedName>
    <definedName name="Country_Code">LEFT([5]MarketNodeSummary!$C$5,2)</definedName>
    <definedName name="countrye" localSheetId="20">#REF!</definedName>
    <definedName name="countrye" localSheetId="21">#REF!</definedName>
    <definedName name="countrye">#REF!</definedName>
    <definedName name="countryf" localSheetId="20">#REF!</definedName>
    <definedName name="countryf" localSheetId="21">#REF!</definedName>
    <definedName name="countryf">#REF!</definedName>
    <definedName name="countryg" localSheetId="20">#REF!</definedName>
    <definedName name="countryg" localSheetId="21">#REF!</definedName>
    <definedName name="countryg">#REF!</definedName>
    <definedName name="CRF_CountryName">[6]Sheet1!$C$4</definedName>
    <definedName name="currency">[4]mapping!$C$4:$C$8</definedName>
    <definedName name="currency_line">[4]conversions!$E$12:$I$12</definedName>
    <definedName name="currency_table">[4]conversions!$E$12:$I$13</definedName>
    <definedName name="data_pipelines">[7]All_pipelines!$F$4:$Q$429</definedName>
    <definedName name="_xlnm.Database">#REF!</definedName>
    <definedName name="Eff_P2CH4" localSheetId="20">'[1]Conversion Factors'!#REF!</definedName>
    <definedName name="Eff_P2CH4" localSheetId="21">'[1]Conversion Factors'!#REF!</definedName>
    <definedName name="Eff_P2CH4">'[1]Conversion Factors'!#REF!</definedName>
    <definedName name="Eff_P2CH4_2040">'[8]Conversion Factors'!$D$8</definedName>
    <definedName name="Eff_P2H2">'[1]Conversion Factors'!#REF!</definedName>
    <definedName name="Eff_P2L">'[1]Conversion Factors'!#REF!</definedName>
    <definedName name="Efficiency">'[2]Green LCOH'!$B$24:$AG$27</definedName>
    <definedName name="Gas_Emission_Rate" localSheetId="20">'[1]Conversion Factors'!#REF!</definedName>
    <definedName name="Gas_Emission_Rate" localSheetId="21">'[1]Conversion Factors'!#REF!</definedName>
    <definedName name="Gas_Emission_Rate">'[1]Conversion Factors'!#REF!</definedName>
    <definedName name="Green_Gas_Emissions_Rate" localSheetId="20">'[1]Conversion Factors'!#REF!</definedName>
    <definedName name="Green_Gas_Emissions_Rate" localSheetId="21">'[1]Conversion Factors'!#REF!</definedName>
    <definedName name="Green_Gas_Emissions_Rate">'[1]Conversion Factors'!#REF!</definedName>
    <definedName name="Hydro_Emissions" localSheetId="20">'[1]Conversion Factors'!#REF!</definedName>
    <definedName name="Hydro_Emissions" localSheetId="21">'[1]Conversion Factors'!#REF!</definedName>
    <definedName name="Hydro_Emissions">'[1]Conversion Factors'!#REF!</definedName>
    <definedName name="kToe_to_TWh" localSheetId="20">'[1]Conversion Factors'!#REF!</definedName>
    <definedName name="kToe_to_TWh" localSheetId="21">'[1]Conversion Factors'!#REF!</definedName>
    <definedName name="kToe_to_TWh">'[1]Conversion Factors'!#REF!</definedName>
    <definedName name="List_Countries">[9]Admin!$D$9:$D$40</definedName>
    <definedName name="List_CountriesISO">[9]Admin!$E$9:$E$40</definedName>
    <definedName name="mappipe">[7]All_pipelines!$F$5:$G$429</definedName>
    <definedName name="Nuclear_Emissions_Rate" localSheetId="20">'[1]Conversion Factors'!#REF!</definedName>
    <definedName name="Nuclear_Emissions_Rate" localSheetId="21">'[1]Conversion Factors'!#REF!</definedName>
    <definedName name="Nuclear_Emissions_Rate">'[1]Conversion Factors'!#REF!</definedName>
    <definedName name="Oil_Emission_Rate" localSheetId="20">'[1]Conversion Factors'!#REF!</definedName>
    <definedName name="Oil_Emission_Rate" localSheetId="21">'[1]Conversion Factors'!#REF!</definedName>
    <definedName name="Oil_Emission_Rate">'[1]Conversion Factors'!#REF!</definedName>
    <definedName name="OtherRes_Emissions_Rate" localSheetId="20">'[1]Conversion Factors'!#REF!</definedName>
    <definedName name="OtherRes_Emissions_Rate" localSheetId="21">'[1]Conversion Factors'!#REF!</definedName>
    <definedName name="OtherRes_Emissions_Rate">'[1]Conversion Factors'!#REF!</definedName>
    <definedName name="P2G_Conversion_Rate" localSheetId="20">'[1]Conversion Factors'!#REF!</definedName>
    <definedName name="P2G_Conversion_Rate" localSheetId="21">'[1]Conversion Factors'!#REF!</definedName>
    <definedName name="P2G_Conversion_Rate">'[1]Conversion Factors'!#REF!</definedName>
    <definedName name="RetBE" localSheetId="20">[10]Macro1!#REF!</definedName>
    <definedName name="RetBE" localSheetId="21">[10]Macro1!#REF!</definedName>
    <definedName name="RetBE">[10]Macro1!#REF!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cen">[3]mapping!$H$6:$H$9</definedName>
    <definedName name="Solar_Emissions_Rate" localSheetId="20">'[1]Conversion Factors'!#REF!</definedName>
    <definedName name="Solar_Emissions_Rate" localSheetId="21">'[1]Conversion Factors'!#REF!</definedName>
    <definedName name="Solar_Emissions_Rate">'[1]Conversion Factors'!#REF!</definedName>
    <definedName name="Solar_for_P2G" localSheetId="20">#REF!</definedName>
    <definedName name="Solar_for_P2G" localSheetId="21">#REF!</definedName>
    <definedName name="Solar_for_P2G">#REF!</definedName>
    <definedName name="Solid_Emission_Rate" localSheetId="20">'[1]Conversion Factors'!#REF!</definedName>
    <definedName name="Solid_Emission_Rate" localSheetId="21">'[1]Conversion Factors'!#REF!</definedName>
    <definedName name="Solid_Emission_Rate">'[1]Conversion Factors'!#REF!</definedName>
    <definedName name="thermal_unit">[4]mapping!$D$4:$D$9</definedName>
    <definedName name="TP.Electricity_and_RES" localSheetId="20">#REF!</definedName>
    <definedName name="TP.Electricity_and_RES" localSheetId="21">#REF!</definedName>
    <definedName name="TP.Electricity_and_RES">#REF!</definedName>
    <definedName name="TP.Petroleum" localSheetId="20">#REF!</definedName>
    <definedName name="TP.Petroleum" localSheetId="21">#REF!</definedName>
    <definedName name="TP.Petroleum">#REF!</definedName>
    <definedName name="TP.Solids_and_Gases" localSheetId="20">#REF!</definedName>
    <definedName name="TP.Solids_and_Gases" localSheetId="21">#REF!</definedName>
    <definedName name="TP.Solids_and_Gases">#REF!</definedName>
    <definedName name="US.Electricity_and_RES" localSheetId="20">#REF!</definedName>
    <definedName name="US.Electricity_and_RES" localSheetId="21">#REF!</definedName>
    <definedName name="US.Electricity_and_RES">#REF!</definedName>
    <definedName name="US.Petroleum" localSheetId="20">#REF!</definedName>
    <definedName name="US.Petroleum" localSheetId="21">#REF!</definedName>
    <definedName name="US.Petroleum">#REF!</definedName>
    <definedName name="US.Solids_and_Gases" localSheetId="20">#REF!</definedName>
    <definedName name="US.Solids_and_Gases" localSheetId="21">#REF!</definedName>
    <definedName name="US.Solids_and_Gases">#REF!</definedName>
    <definedName name="v" localSheetId="20">#REF!</definedName>
    <definedName name="v" localSheetId="21">#REF!</definedName>
    <definedName name="v">#REF!</definedName>
    <definedName name="WEO">[3]mapping!$E$14:$E$17</definedName>
    <definedName name="Wind_Emissions_Rate" localSheetId="20">'[1]Conversion Factors'!#REF!</definedName>
    <definedName name="Wind_Emissions_Rate" localSheetId="21">'[1]Conversion Factors'!#REF!</definedName>
    <definedName name="Wind_Emissions_Rate">'[1]Conversion Factors'!#REF!</definedName>
    <definedName name="Wind_for_P2G" localSheetId="20">#REF!</definedName>
    <definedName name="Wind_for_P2G" localSheetId="21">#REF!</definedName>
    <definedName name="Wind_for_P2G">#REF!</definedName>
    <definedName name="wrn.Electricity._.Questionnaire."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year">[3]mapping!$J$6:$J$9</definedName>
    <definedName name="yeare" localSheetId="20">#REF!</definedName>
    <definedName name="yeare" localSheetId="21">#REF!</definedName>
    <definedName name="yeare">#REF!</definedName>
    <definedName name="yearf" localSheetId="20">#REF!</definedName>
    <definedName name="yearf" localSheetId="21">#REF!</definedName>
    <definedName name="yearf">#REF!</definedName>
    <definedName name="yearg" localSheetId="20">#REF!</definedName>
    <definedName name="yearg" localSheetId="21">#REF!</definedName>
    <definedName name="year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36" i="35" l="1"/>
  <c r="AE36" i="35"/>
  <c r="AF34" i="35"/>
  <c r="AE34" i="35"/>
  <c r="AF33" i="35"/>
  <c r="AE33" i="35"/>
  <c r="AE32" i="35"/>
  <c r="AF32" i="35"/>
  <c r="O31" i="29" l="1"/>
  <c r="N31" i="29"/>
  <c r="E61" i="25"/>
  <c r="C18" i="30"/>
  <c r="C11" i="30"/>
  <c r="E29" i="28"/>
  <c r="F29" i="28"/>
  <c r="D29" i="28"/>
  <c r="C9" i="30"/>
  <c r="E26" i="28"/>
  <c r="F26" i="28"/>
  <c r="D26" i="28"/>
  <c r="O27" i="29"/>
  <c r="L56" i="35"/>
  <c r="E59" i="25"/>
  <c r="I10" i="10"/>
  <c r="H10" i="10"/>
  <c r="D61" i="25"/>
  <c r="D15" i="35"/>
  <c r="D33" i="35"/>
  <c r="D42" i="35" s="1"/>
  <c r="D62" i="25" l="1"/>
  <c r="D60" i="25"/>
  <c r="E60" i="25"/>
  <c r="C60" i="25"/>
  <c r="D59" i="25"/>
  <c r="C59" i="25"/>
  <c r="D58" i="25"/>
  <c r="E58" i="25"/>
  <c r="C58" i="25"/>
  <c r="E57" i="25"/>
  <c r="E62" i="25" s="1"/>
  <c r="D57" i="25"/>
  <c r="C57" i="25"/>
  <c r="C62" i="25" s="1"/>
  <c r="K82" i="14"/>
  <c r="O82" i="14" s="1"/>
  <c r="J82" i="14"/>
  <c r="N82" i="14" s="1"/>
  <c r="O76" i="14"/>
  <c r="N76" i="14"/>
  <c r="K76" i="14"/>
  <c r="J76" i="14"/>
  <c r="O70" i="14"/>
  <c r="O72" i="14" s="1"/>
  <c r="N70" i="14"/>
  <c r="N72" i="14" s="1"/>
  <c r="K70" i="14"/>
  <c r="J70" i="14"/>
  <c r="K57" i="14"/>
  <c r="O57" i="14" s="1"/>
  <c r="J57" i="14"/>
  <c r="N57" i="14" s="1"/>
  <c r="J85" i="14"/>
  <c r="K85" i="14"/>
  <c r="K84" i="14"/>
  <c r="J84" i="14"/>
  <c r="K79" i="14"/>
  <c r="J79" i="14"/>
  <c r="O79" i="14"/>
  <c r="N79" i="14"/>
  <c r="O78" i="14"/>
  <c r="N78" i="14"/>
  <c r="K78" i="14"/>
  <c r="J78" i="14"/>
  <c r="K73" i="14"/>
  <c r="J73" i="14"/>
  <c r="O73" i="14"/>
  <c r="N73" i="14"/>
  <c r="K72" i="14"/>
  <c r="J72" i="14"/>
  <c r="O160" i="14"/>
  <c r="N160" i="14"/>
  <c r="M160" i="14"/>
  <c r="O159" i="14"/>
  <c r="N159" i="14"/>
  <c r="M159" i="14"/>
  <c r="O153" i="14"/>
  <c r="N153" i="14"/>
  <c r="M153" i="14"/>
  <c r="O152" i="14"/>
  <c r="N152" i="14"/>
  <c r="M152" i="14"/>
  <c r="O146" i="14"/>
  <c r="N146" i="14"/>
  <c r="M146" i="14"/>
  <c r="O145" i="14"/>
  <c r="N145" i="14"/>
  <c r="M145" i="14"/>
  <c r="O140" i="14"/>
  <c r="N140" i="14"/>
  <c r="M140" i="14"/>
  <c r="O139" i="14"/>
  <c r="N139" i="14"/>
  <c r="M139" i="14"/>
  <c r="O133" i="14"/>
  <c r="N133" i="14"/>
  <c r="M133" i="14"/>
  <c r="O132" i="14"/>
  <c r="N132" i="14"/>
  <c r="M132" i="14"/>
  <c r="O127" i="14"/>
  <c r="N127" i="14"/>
  <c r="M127" i="14"/>
  <c r="O126" i="14"/>
  <c r="N126" i="14"/>
  <c r="M126" i="14"/>
  <c r="O121" i="14"/>
  <c r="N121" i="14"/>
  <c r="M121" i="14"/>
  <c r="O120" i="14"/>
  <c r="N120" i="14"/>
  <c r="M120" i="14"/>
  <c r="O115" i="14"/>
  <c r="N115" i="14"/>
  <c r="M115" i="14"/>
  <c r="O114" i="14"/>
  <c r="N114" i="14"/>
  <c r="M114" i="14"/>
  <c r="O109" i="14"/>
  <c r="N109" i="14"/>
  <c r="M109" i="14"/>
  <c r="O108" i="14"/>
  <c r="N108" i="14"/>
  <c r="M108" i="14"/>
  <c r="O103" i="14"/>
  <c r="N103" i="14"/>
  <c r="M103" i="14"/>
  <c r="O102" i="14"/>
  <c r="N102" i="14"/>
  <c r="M102" i="14"/>
  <c r="O97" i="14"/>
  <c r="N97" i="14"/>
  <c r="M97" i="14"/>
  <c r="O96" i="14"/>
  <c r="N96" i="14"/>
  <c r="M96" i="14"/>
  <c r="O91" i="14"/>
  <c r="N91" i="14"/>
  <c r="M91" i="14"/>
  <c r="O90" i="14"/>
  <c r="N90" i="14"/>
  <c r="M90" i="14"/>
  <c r="M85" i="14"/>
  <c r="M84" i="14"/>
  <c r="M79" i="14"/>
  <c r="M78" i="14"/>
  <c r="M73" i="14"/>
  <c r="M72" i="14"/>
  <c r="M60" i="14"/>
  <c r="M59" i="14"/>
  <c r="O53" i="14"/>
  <c r="N53" i="14"/>
  <c r="M53" i="14"/>
  <c r="O52" i="14"/>
  <c r="N52" i="14"/>
  <c r="M52" i="14"/>
  <c r="O46" i="14"/>
  <c r="N46" i="14"/>
  <c r="M46" i="14"/>
  <c r="O45" i="14"/>
  <c r="N45" i="14"/>
  <c r="M45" i="14"/>
  <c r="O32" i="14"/>
  <c r="N32" i="14"/>
  <c r="M32" i="14"/>
  <c r="O31" i="14"/>
  <c r="N31" i="14"/>
  <c r="M31" i="14"/>
  <c r="O19" i="14"/>
  <c r="N19" i="14"/>
  <c r="M19" i="14"/>
  <c r="O18" i="14"/>
  <c r="N18" i="14"/>
  <c r="M18" i="14"/>
  <c r="K160" i="14"/>
  <c r="J160" i="14"/>
  <c r="I160" i="14"/>
  <c r="K159" i="14"/>
  <c r="J159" i="14"/>
  <c r="I159" i="14"/>
  <c r="K153" i="14"/>
  <c r="J153" i="14"/>
  <c r="I153" i="14"/>
  <c r="K152" i="14"/>
  <c r="J152" i="14"/>
  <c r="I152" i="14"/>
  <c r="K146" i="14"/>
  <c r="J146" i="14"/>
  <c r="I146" i="14"/>
  <c r="K145" i="14"/>
  <c r="J145" i="14"/>
  <c r="I145" i="14"/>
  <c r="K140" i="14"/>
  <c r="J140" i="14"/>
  <c r="I140" i="14"/>
  <c r="K139" i="14"/>
  <c r="J139" i="14"/>
  <c r="I139" i="14"/>
  <c r="K133" i="14"/>
  <c r="J133" i="14"/>
  <c r="I133" i="14"/>
  <c r="K132" i="14"/>
  <c r="J132" i="14"/>
  <c r="I132" i="14"/>
  <c r="K127" i="14"/>
  <c r="J127" i="14"/>
  <c r="I127" i="14"/>
  <c r="K126" i="14"/>
  <c r="J126" i="14"/>
  <c r="I126" i="14"/>
  <c r="K121" i="14"/>
  <c r="J121" i="14"/>
  <c r="I121" i="14"/>
  <c r="K120" i="14"/>
  <c r="J120" i="14"/>
  <c r="I120" i="14"/>
  <c r="K115" i="14"/>
  <c r="J115" i="14"/>
  <c r="I115" i="14"/>
  <c r="K114" i="14"/>
  <c r="J114" i="14"/>
  <c r="I114" i="14"/>
  <c r="K109" i="14"/>
  <c r="J109" i="14"/>
  <c r="I109" i="14"/>
  <c r="K108" i="14"/>
  <c r="J108" i="14"/>
  <c r="I108" i="14"/>
  <c r="K103" i="14"/>
  <c r="J103" i="14"/>
  <c r="I103" i="14"/>
  <c r="K102" i="14"/>
  <c r="J102" i="14"/>
  <c r="I102" i="14"/>
  <c r="K97" i="14"/>
  <c r="J97" i="14"/>
  <c r="I97" i="14"/>
  <c r="K96" i="14"/>
  <c r="J96" i="14"/>
  <c r="I96" i="14"/>
  <c r="K91" i="14"/>
  <c r="J91" i="14"/>
  <c r="I91" i="14"/>
  <c r="K90" i="14"/>
  <c r="J90" i="14"/>
  <c r="I90" i="14"/>
  <c r="I85" i="14"/>
  <c r="I84" i="14"/>
  <c r="I79" i="14"/>
  <c r="I78" i="14"/>
  <c r="I73" i="14"/>
  <c r="I72" i="14"/>
  <c r="I60" i="14"/>
  <c r="I59" i="14"/>
  <c r="K53" i="14"/>
  <c r="J53" i="14"/>
  <c r="I53" i="14"/>
  <c r="K52" i="14"/>
  <c r="J52" i="14"/>
  <c r="I52" i="14"/>
  <c r="K46" i="14"/>
  <c r="J46" i="14"/>
  <c r="I46" i="14"/>
  <c r="K45" i="14"/>
  <c r="J45" i="14"/>
  <c r="I45" i="14"/>
  <c r="K32" i="14"/>
  <c r="J32" i="14"/>
  <c r="I32" i="14"/>
  <c r="K31" i="14"/>
  <c r="J31" i="14"/>
  <c r="I31" i="14"/>
  <c r="K19" i="14"/>
  <c r="J19" i="14"/>
  <c r="I19" i="14"/>
  <c r="K18" i="14"/>
  <c r="J18" i="14"/>
  <c r="I18" i="14"/>
  <c r="I7" i="14"/>
  <c r="M7" i="14"/>
  <c r="M6" i="14"/>
  <c r="I6" i="14"/>
  <c r="K62" i="11"/>
  <c r="J62" i="11"/>
  <c r="I62" i="11"/>
  <c r="H62" i="11"/>
  <c r="G62" i="11"/>
  <c r="F62" i="11"/>
  <c r="E62" i="11"/>
  <c r="D62" i="11"/>
  <c r="K62" i="12"/>
  <c r="J62" i="12"/>
  <c r="I62" i="12"/>
  <c r="H62" i="12"/>
  <c r="G62" i="12"/>
  <c r="F62" i="12"/>
  <c r="E62" i="12"/>
  <c r="D62" i="12"/>
  <c r="E60" i="12"/>
  <c r="F60" i="12"/>
  <c r="J61" i="10"/>
  <c r="I61" i="10"/>
  <c r="H61" i="10"/>
  <c r="G61" i="10"/>
  <c r="F61" i="10"/>
  <c r="E61" i="10"/>
  <c r="D61" i="10"/>
  <c r="C61" i="10"/>
  <c r="J59" i="10"/>
  <c r="I59" i="10"/>
  <c r="H59" i="10"/>
  <c r="G59" i="10"/>
  <c r="F59" i="10"/>
  <c r="E59" i="10"/>
  <c r="D59" i="10"/>
  <c r="O72" i="9"/>
  <c r="N72" i="9"/>
  <c r="M72" i="9"/>
  <c r="L72" i="9"/>
  <c r="K72" i="9"/>
  <c r="J72" i="9"/>
  <c r="I72" i="9"/>
  <c r="H72" i="9"/>
  <c r="G72" i="9"/>
  <c r="F72" i="9"/>
  <c r="E72" i="9"/>
  <c r="D72" i="9"/>
  <c r="C72" i="9"/>
  <c r="M70" i="9"/>
  <c r="L70" i="9"/>
  <c r="D70" i="9"/>
  <c r="O70" i="9"/>
  <c r="N70" i="9"/>
  <c r="J70" i="9"/>
  <c r="I70" i="9"/>
  <c r="H70" i="9"/>
  <c r="E70" i="9"/>
  <c r="J61" i="7"/>
  <c r="I61" i="7"/>
  <c r="H61" i="7"/>
  <c r="G61" i="7"/>
  <c r="F61" i="7"/>
  <c r="E61" i="7"/>
  <c r="D61" i="7"/>
  <c r="C61" i="7"/>
  <c r="N59" i="6"/>
  <c r="M59" i="6"/>
  <c r="L59" i="6"/>
  <c r="I61" i="6"/>
  <c r="H61" i="6"/>
  <c r="G61" i="6"/>
  <c r="F61" i="6"/>
  <c r="J61" i="6"/>
  <c r="D61" i="6"/>
  <c r="C61" i="6"/>
  <c r="E61" i="6"/>
  <c r="D55" i="35"/>
  <c r="D57" i="35"/>
  <c r="O7" i="14"/>
  <c r="O6" i="14"/>
  <c r="P16" i="33"/>
  <c r="V10" i="33" s="1"/>
  <c r="V12" i="33" s="1"/>
  <c r="V16" i="33" s="1"/>
  <c r="V14" i="34"/>
  <c r="V12" i="34"/>
  <c r="V16" i="34" s="1"/>
  <c r="U12" i="34"/>
  <c r="U14" i="34"/>
  <c r="D23" i="29"/>
  <c r="C22" i="29"/>
  <c r="D19" i="29"/>
  <c r="D24" i="29" s="1"/>
  <c r="C19" i="29"/>
  <c r="C23" i="29" s="1"/>
  <c r="O18" i="34"/>
  <c r="U10" i="34" s="1"/>
  <c r="O13" i="34"/>
  <c r="T11" i="34" s="1"/>
  <c r="T12" i="34" s="1"/>
  <c r="U11" i="34"/>
  <c r="T10" i="34"/>
  <c r="V9" i="34"/>
  <c r="V10" i="34" s="1"/>
  <c r="U9" i="34"/>
  <c r="T9" i="34"/>
  <c r="V8" i="34"/>
  <c r="V11" i="34" s="1"/>
  <c r="U8" i="34"/>
  <c r="T8" i="34"/>
  <c r="T14" i="34" s="1"/>
  <c r="E60" i="33"/>
  <c r="E59" i="33"/>
  <c r="E58" i="33"/>
  <c r="E57" i="33"/>
  <c r="E56" i="33"/>
  <c r="E55" i="33"/>
  <c r="G54" i="33" a="1"/>
  <c r="G54" i="33" s="1"/>
  <c r="E54" i="33"/>
  <c r="G59" i="33" s="1"/>
  <c r="E53" i="33"/>
  <c r="J43" i="33"/>
  <c r="I43" i="33"/>
  <c r="H43" i="33"/>
  <c r="G43" i="33"/>
  <c r="F43" i="33"/>
  <c r="E43" i="33"/>
  <c r="D43" i="33"/>
  <c r="C43" i="33"/>
  <c r="F42" i="33"/>
  <c r="E42" i="33"/>
  <c r="D42" i="33"/>
  <c r="C42" i="33"/>
  <c r="F37" i="33"/>
  <c r="E37" i="33"/>
  <c r="D37" i="33"/>
  <c r="C37" i="33"/>
  <c r="F35" i="33"/>
  <c r="E35" i="33"/>
  <c r="D35" i="33"/>
  <c r="C35" i="33"/>
  <c r="P34" i="33"/>
  <c r="F34" i="33"/>
  <c r="E34" i="33"/>
  <c r="D34" i="33"/>
  <c r="C34" i="33"/>
  <c r="V29" i="33"/>
  <c r="U29" i="33"/>
  <c r="T29" i="33"/>
  <c r="Q28" i="33"/>
  <c r="V18" i="33" s="1"/>
  <c r="V19" i="33" s="1"/>
  <c r="V26" i="33"/>
  <c r="U26" i="33"/>
  <c r="T26" i="33"/>
  <c r="J18" i="33"/>
  <c r="I18" i="33"/>
  <c r="H18" i="33"/>
  <c r="G18" i="33"/>
  <c r="J16" i="33"/>
  <c r="J37" i="33" s="1"/>
  <c r="J35" i="33" s="1"/>
  <c r="J34" i="33" s="1"/>
  <c r="I16" i="33"/>
  <c r="I37" i="33" s="1"/>
  <c r="I35" i="33" s="1"/>
  <c r="I34" i="33" s="1"/>
  <c r="H16" i="33"/>
  <c r="H37" i="33" s="1"/>
  <c r="H35" i="33" s="1"/>
  <c r="H34" i="33" s="1"/>
  <c r="G16" i="33"/>
  <c r="G37" i="33" s="1"/>
  <c r="G35" i="33" s="1"/>
  <c r="G34" i="33" s="1"/>
  <c r="V14" i="33"/>
  <c r="U14" i="33"/>
  <c r="T14" i="33"/>
  <c r="V11" i="33"/>
  <c r="U11" i="33"/>
  <c r="T11" i="33"/>
  <c r="V9" i="33"/>
  <c r="U9" i="33"/>
  <c r="T9" i="33"/>
  <c r="P9" i="33"/>
  <c r="T18" i="33" s="1"/>
  <c r="T19" i="33" s="1"/>
  <c r="P8" i="33"/>
  <c r="D25" i="32"/>
  <c r="E21" i="32"/>
  <c r="E25" i="32" s="1"/>
  <c r="D21" i="32"/>
  <c r="C21" i="32"/>
  <c r="C25" i="32" s="1"/>
  <c r="D15" i="32"/>
  <c r="C15" i="32"/>
  <c r="D14" i="32"/>
  <c r="C14" i="32"/>
  <c r="H13" i="32"/>
  <c r="H12" i="32"/>
  <c r="L11" i="32"/>
  <c r="K11" i="32"/>
  <c r="J11" i="32"/>
  <c r="H11" i="32"/>
  <c r="D11" i="32"/>
  <c r="C11" i="32"/>
  <c r="H10" i="32"/>
  <c r="I5" i="32"/>
  <c r="I4" i="32"/>
  <c r="L99" i="31"/>
  <c r="K99" i="31"/>
  <c r="I99" i="31"/>
  <c r="H99" i="31"/>
  <c r="F99" i="31"/>
  <c r="E99" i="31"/>
  <c r="L98" i="31"/>
  <c r="K98" i="31"/>
  <c r="I98" i="31"/>
  <c r="H98" i="31"/>
  <c r="F98" i="31"/>
  <c r="E98" i="31"/>
  <c r="L97" i="31"/>
  <c r="K97" i="31"/>
  <c r="I97" i="31"/>
  <c r="H97" i="31"/>
  <c r="F97" i="31"/>
  <c r="E97" i="31"/>
  <c r="L96" i="31"/>
  <c r="K96" i="31"/>
  <c r="I96" i="31"/>
  <c r="H96" i="31"/>
  <c r="F96" i="31"/>
  <c r="E96" i="31"/>
  <c r="L95" i="31"/>
  <c r="I95" i="31"/>
  <c r="B51" i="31"/>
  <c r="H31" i="31"/>
  <c r="J30" i="31"/>
  <c r="I30" i="31"/>
  <c r="H30" i="31"/>
  <c r="M28" i="31"/>
  <c r="L28" i="31"/>
  <c r="K28" i="31"/>
  <c r="J28" i="31"/>
  <c r="I28" i="31"/>
  <c r="H28" i="31"/>
  <c r="G28" i="31"/>
  <c r="F28" i="31"/>
  <c r="E28" i="31"/>
  <c r="M27" i="31"/>
  <c r="L27" i="31"/>
  <c r="K27" i="31"/>
  <c r="J27" i="31"/>
  <c r="J31" i="31" s="1"/>
  <c r="F15" i="28" s="1"/>
  <c r="I27" i="31"/>
  <c r="I31" i="31" s="1"/>
  <c r="E15" i="28" s="1"/>
  <c r="H27" i="31"/>
  <c r="G27" i="31"/>
  <c r="F27" i="31"/>
  <c r="E27" i="31"/>
  <c r="M26" i="31"/>
  <c r="L26" i="31"/>
  <c r="K26" i="31"/>
  <c r="J26" i="31"/>
  <c r="I26" i="31"/>
  <c r="H26" i="31"/>
  <c r="G26" i="31"/>
  <c r="F26" i="31"/>
  <c r="E26" i="31"/>
  <c r="E25" i="31"/>
  <c r="M24" i="31"/>
  <c r="K24" i="31"/>
  <c r="J24" i="31"/>
  <c r="H24" i="31"/>
  <c r="G24" i="31"/>
  <c r="E24" i="31"/>
  <c r="D24" i="31"/>
  <c r="C24" i="31"/>
  <c r="M23" i="31"/>
  <c r="K23" i="31"/>
  <c r="J23" i="31"/>
  <c r="H23" i="31"/>
  <c r="G23" i="31"/>
  <c r="E23" i="31"/>
  <c r="D23" i="31"/>
  <c r="C23" i="31"/>
  <c r="M22" i="31"/>
  <c r="K22" i="31"/>
  <c r="J22" i="31"/>
  <c r="H22" i="31"/>
  <c r="G22" i="31"/>
  <c r="E22" i="31"/>
  <c r="D22" i="31"/>
  <c r="C22" i="31"/>
  <c r="M21" i="31"/>
  <c r="K21" i="31"/>
  <c r="J21" i="31"/>
  <c r="H21" i="31"/>
  <c r="G21" i="31"/>
  <c r="E21" i="31"/>
  <c r="D21" i="31"/>
  <c r="C21" i="31"/>
  <c r="J20" i="31"/>
  <c r="H20" i="31"/>
  <c r="M19" i="31"/>
  <c r="L19" i="31"/>
  <c r="K19" i="31"/>
  <c r="J19" i="31"/>
  <c r="I19" i="31"/>
  <c r="H19" i="31"/>
  <c r="G19" i="31"/>
  <c r="F19" i="31"/>
  <c r="E19" i="31"/>
  <c r="N9" i="31"/>
  <c r="D11" i="30"/>
  <c r="D18" i="30" s="1"/>
  <c r="D19" i="30" s="1"/>
  <c r="E19" i="28" s="1"/>
  <c r="E10" i="30"/>
  <c r="E17" i="30" s="1"/>
  <c r="D10" i="30"/>
  <c r="D17" i="30" s="1"/>
  <c r="C10" i="30"/>
  <c r="C17" i="30" s="1"/>
  <c r="E9" i="30"/>
  <c r="E11" i="30" s="1"/>
  <c r="D9" i="30"/>
  <c r="D16" i="30" s="1"/>
  <c r="C16" i="30"/>
  <c r="N19" i="29"/>
  <c r="I19" i="29"/>
  <c r="F17" i="28"/>
  <c r="D17" i="28"/>
  <c r="E17" i="28" s="1"/>
  <c r="F16" i="28"/>
  <c r="E16" i="28"/>
  <c r="D16" i="28"/>
  <c r="D15" i="28"/>
  <c r="F13" i="28"/>
  <c r="E13" i="28"/>
  <c r="D13" i="28"/>
  <c r="F12" i="28"/>
  <c r="E12" i="28"/>
  <c r="D12" i="28"/>
  <c r="F11" i="28"/>
  <c r="D11" i="28"/>
  <c r="E11" i="28" s="1"/>
  <c r="F10" i="28"/>
  <c r="D10" i="28"/>
  <c r="E10" i="28" s="1"/>
  <c r="N27" i="29" s="1"/>
  <c r="F9" i="28"/>
  <c r="D9" i="28"/>
  <c r="E9" i="28" s="1"/>
  <c r="F4" i="28"/>
  <c r="E4" i="28"/>
  <c r="D4" i="28"/>
  <c r="D16" i="26"/>
  <c r="E16" i="26"/>
  <c r="C16" i="26"/>
  <c r="N85" i="14" l="1"/>
  <c r="N84" i="14"/>
  <c r="O85" i="14"/>
  <c r="O84" i="14"/>
  <c r="J60" i="14"/>
  <c r="O60" i="14"/>
  <c r="O59" i="14"/>
  <c r="J59" i="14"/>
  <c r="K59" i="14"/>
  <c r="K60" i="14"/>
  <c r="C70" i="9"/>
  <c r="F70" i="9"/>
  <c r="K70" i="9"/>
  <c r="G70" i="9"/>
  <c r="C59" i="6"/>
  <c r="D59" i="6"/>
  <c r="I59" i="6"/>
  <c r="J59" i="6"/>
  <c r="E59" i="6"/>
  <c r="F59" i="6"/>
  <c r="G59" i="6"/>
  <c r="I22" i="29"/>
  <c r="I23" i="29"/>
  <c r="O19" i="29"/>
  <c r="O24" i="29" s="1"/>
  <c r="I24" i="29"/>
  <c r="D22" i="29"/>
  <c r="U10" i="33"/>
  <c r="U12" i="33" s="1"/>
  <c r="U16" i="33" s="1"/>
  <c r="T10" i="33"/>
  <c r="T12" i="33" s="1"/>
  <c r="T16" i="33" s="1"/>
  <c r="T21" i="33" s="1"/>
  <c r="U16" i="34"/>
  <c r="U20" i="34" s="1"/>
  <c r="D6" i="32" s="1"/>
  <c r="K13" i="32" s="1"/>
  <c r="U31" i="33"/>
  <c r="U32" i="33" s="1"/>
  <c r="C24" i="29"/>
  <c r="V31" i="33"/>
  <c r="V32" i="33" s="1"/>
  <c r="N23" i="29"/>
  <c r="N24" i="29"/>
  <c r="V21" i="33"/>
  <c r="T16" i="34"/>
  <c r="T20" i="34" s="1"/>
  <c r="C6" i="32" s="1"/>
  <c r="J13" i="32" s="1"/>
  <c r="E18" i="30"/>
  <c r="E19" i="30" s="1"/>
  <c r="F19" i="28" s="1"/>
  <c r="E12" i="30"/>
  <c r="V34" i="33"/>
  <c r="E5" i="32" s="1"/>
  <c r="N22" i="29"/>
  <c r="D12" i="30"/>
  <c r="E16" i="30"/>
  <c r="V20" i="34"/>
  <c r="E6" i="32" s="1"/>
  <c r="L13" i="32" s="1"/>
  <c r="T31" i="33"/>
  <c r="T32" i="33" s="1"/>
  <c r="U18" i="33"/>
  <c r="U19" i="33" s="1"/>
  <c r="H19" i="29"/>
  <c r="E24" i="26"/>
  <c r="D24" i="26"/>
  <c r="C24" i="26"/>
  <c r="N60" i="14" l="1"/>
  <c r="N59" i="14"/>
  <c r="H59" i="6"/>
  <c r="H24" i="29"/>
  <c r="H23" i="29"/>
  <c r="H22" i="29"/>
  <c r="T34" i="33"/>
  <c r="C5" i="32" s="1"/>
  <c r="J12" i="32" s="1"/>
  <c r="O23" i="29"/>
  <c r="F21" i="28" s="1"/>
  <c r="O22" i="29"/>
  <c r="C12" i="30"/>
  <c r="C19" i="30"/>
  <c r="D19" i="28" s="1"/>
  <c r="U21" i="33"/>
  <c r="U34" i="33" s="1"/>
  <c r="D5" i="32" s="1"/>
  <c r="E22" i="32"/>
  <c r="E26" i="32" s="1"/>
  <c r="F14" i="28" s="1"/>
  <c r="I27" i="29" s="1"/>
  <c r="F22" i="28" s="1"/>
  <c r="L12" i="32"/>
  <c r="C22" i="32" l="1"/>
  <c r="C26" i="32" s="1"/>
  <c r="D22" i="32"/>
  <c r="D26" i="32" s="1"/>
  <c r="D14" i="28" s="1"/>
  <c r="C27" i="29" s="1"/>
  <c r="K12" i="32"/>
  <c r="E14" i="28" l="1"/>
  <c r="D20" i="28"/>
  <c r="E21" i="28" l="1"/>
  <c r="D27" i="29"/>
  <c r="E20" i="28" s="1"/>
  <c r="H27" i="29"/>
  <c r="E22" i="28" s="1"/>
  <c r="G147" i="14" l="1"/>
  <c r="G145" i="14" s="1"/>
  <c r="F147" i="14"/>
  <c r="F145" i="14" s="1"/>
  <c r="E147" i="14"/>
  <c r="E145" i="14" s="1"/>
  <c r="G146" i="14"/>
  <c r="F146" i="14"/>
  <c r="E146" i="14"/>
  <c r="G133" i="14"/>
  <c r="F133" i="14"/>
  <c r="E133" i="14"/>
  <c r="G132" i="14"/>
  <c r="F132" i="14"/>
  <c r="E132" i="14"/>
  <c r="G117" i="14"/>
  <c r="F117" i="14"/>
  <c r="E117" i="14"/>
  <c r="G116" i="14"/>
  <c r="F116" i="14"/>
  <c r="E116" i="14"/>
  <c r="G115" i="14"/>
  <c r="F115" i="14"/>
  <c r="E115" i="14"/>
  <c r="G114" i="14"/>
  <c r="F114" i="14"/>
  <c r="E114" i="14"/>
  <c r="G111" i="14"/>
  <c r="F111" i="14"/>
  <c r="E111" i="14"/>
  <c r="G110" i="14"/>
  <c r="F110" i="14"/>
  <c r="E110" i="14"/>
  <c r="G109" i="14"/>
  <c r="F109" i="14"/>
  <c r="E109" i="14"/>
  <c r="G108" i="14"/>
  <c r="F108" i="14"/>
  <c r="E108" i="14"/>
  <c r="G105" i="14"/>
  <c r="F105" i="14"/>
  <c r="E105" i="14"/>
  <c r="G104" i="14"/>
  <c r="F104" i="14"/>
  <c r="E104" i="14"/>
  <c r="G103" i="14"/>
  <c r="F103" i="14"/>
  <c r="E103" i="14"/>
  <c r="G102" i="14"/>
  <c r="F102" i="14"/>
  <c r="E102" i="14"/>
  <c r="G99" i="14"/>
  <c r="F99" i="14"/>
  <c r="E99" i="14"/>
  <c r="G98" i="14"/>
  <c r="F98" i="14"/>
  <c r="E98" i="14"/>
  <c r="G97" i="14"/>
  <c r="F97" i="14"/>
  <c r="E97" i="14"/>
  <c r="G96" i="14"/>
  <c r="F96" i="14"/>
  <c r="E96" i="14"/>
  <c r="N7" i="14"/>
  <c r="K7" i="14"/>
  <c r="J7" i="14"/>
  <c r="N6" i="14"/>
  <c r="K6" i="14"/>
  <c r="J6" i="14"/>
  <c r="D60" i="12" l="1"/>
  <c r="K60" i="12" l="1"/>
  <c r="D60" i="11"/>
  <c r="E60" i="11"/>
  <c r="F60" i="11"/>
  <c r="I60" i="12"/>
  <c r="J60" i="12"/>
  <c r="G60" i="12"/>
  <c r="H60" i="12"/>
  <c r="I60" i="11"/>
  <c r="J60" i="11"/>
  <c r="K60" i="11"/>
  <c r="G60" i="11"/>
  <c r="H60" i="11"/>
  <c r="C59" i="10" l="1"/>
  <c r="G59" i="7"/>
  <c r="F59" i="7"/>
  <c r="J59" i="7"/>
  <c r="E59" i="7"/>
  <c r="D59" i="7"/>
  <c r="C59" i="7"/>
  <c r="H59" i="7" l="1"/>
  <c r="I59"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<sst xmlns="http://schemas.openxmlformats.org/spreadsheetml/2006/main" count="2371" uniqueCount="810">
  <si>
    <t xml:space="preserve">SUPPLY INPUTS </t>
  </si>
  <si>
    <t>_</t>
  </si>
  <si>
    <t>TYNDP 2024 Scenarios</t>
  </si>
  <si>
    <t>Update</t>
  </si>
  <si>
    <t>Details</t>
  </si>
  <si>
    <t>Trajectories Methodology</t>
  </si>
  <si>
    <t>1.1. Solar Trajectories</t>
  </si>
  <si>
    <t>YES</t>
  </si>
  <si>
    <t>Trajectories updated  - specific stakeholder comments are applied after cross checking with TSOs - NECP updates on the trajectories are captured (where relevant), - cross check with the TSOs for increased differentiation among LOW/HIGH trajectories and increase HIGH trajectories further to be closer to the SolarPower Europe Medium Trajectories.</t>
  </si>
  <si>
    <t>1.2. Wind Onshore Trajectories</t>
  </si>
  <si>
    <t>Trajectories updated - specific stakeholder comments are applied after cross checking with TSOs - NECP updates on the trajectories are captured (where relevant), - cross check with the TSOs for increased differentiation among LOW/HIGH trajectories.</t>
  </si>
  <si>
    <t>1.3. Wind Offshore Trajectories</t>
  </si>
  <si>
    <t>Trajectories updated - LOW/BEST is aligned with non-binding MSs agreements. - specific stakeholder comments are applied after cross checking with TSOs.</t>
  </si>
  <si>
    <t>1.4. Nuclear Ex-ante capacities</t>
  </si>
  <si>
    <t>Trajectories updated - specific stakeholder comments are applied after cross checking with TSOs including CH to align with Swiss National Scenario Framework for the grid planning</t>
  </si>
  <si>
    <t>1.5. Prosumer Battery Trajectories</t>
  </si>
  <si>
    <t>Tajectories updated - Rooftop/Utility share confirmed with TSOs. If TSO trajectory provided, used as trajectory. If not, Low= BE and High scalated proportional to PV trajectory. If no data provided, values calculated with european mean and High scalated proportional to PV. Duration 2.5 hours.</t>
  </si>
  <si>
    <t>1.6. Utility Battery Trajectories</t>
  </si>
  <si>
    <t>Tajectories updated - Rooftop/Utility share confirmed with TSOs. If TSO trajectory provided, used as trajectory. If not, Low= BE and High scalated proportional to PV trajectory. If no data provided, values calculated with european mean and High scalated proportional to PV. Duration 4 hours.</t>
  </si>
  <si>
    <t>Costs References &amp; Methodology</t>
  </si>
  <si>
    <t>2.1. Technology Costs</t>
  </si>
  <si>
    <t>The error on the GA 2050 cost is fixed, battery costs are updated based on the stakeholder feedback, H2 CCGT cost is removed as it will not be used in the modelling. To capture the trend of baseline cost better, 1% of cost differentiation introduced in 2030. If the differentiation between i) 2030 to 2040 is less than 15% and ii) 2030 to 2050 is less than 20%, the differentiotion is adjusted accordingly i) -1+(2030/2040)-0.005 and ii) -1+(2030/2050)-0.01</t>
  </si>
  <si>
    <t>2.2. Offshore Costs detailed calculation</t>
  </si>
  <si>
    <t>NO</t>
  </si>
  <si>
    <t>Commodity and CO2 prices</t>
  </si>
  <si>
    <t>3.1 Price matrix</t>
  </si>
  <si>
    <t>Gas price for DE/GA updated with the new blend</t>
  </si>
  <si>
    <t>3.2. Gas blends calculation</t>
  </si>
  <si>
    <t>Shares updated for GE and DA</t>
  </si>
  <si>
    <t>3.3. Import Costs of Amonia and Hydrogen</t>
  </si>
  <si>
    <t>3.4. Commodity and CO2 price resource details</t>
  </si>
  <si>
    <t>3.5. Biomethane Cost Overview</t>
  </si>
  <si>
    <t xml:space="preserve">3.6. Biogas + upgrade </t>
  </si>
  <si>
    <t>3.7. Thermal gasification</t>
  </si>
  <si>
    <t>Extra EU  Import Potentials</t>
  </si>
  <si>
    <t>4.1. Import Potentials for Hydrogen</t>
  </si>
  <si>
    <t xml:space="preserve">4.2. Import Potentials for Methane </t>
  </si>
  <si>
    <t>4.3. Import prices for hydrogen</t>
  </si>
  <si>
    <r>
      <t xml:space="preserve">TYNDP 2024 scenario cycle will include six scenarios. Depending on how there are developed, these scenarios are labelled either </t>
    </r>
    <r>
      <rPr>
        <b/>
        <sz val="11"/>
        <color rgb="FF000000"/>
        <rFont val="Calibri"/>
        <family val="2"/>
        <scheme val="minor"/>
      </rPr>
      <t>National Trends+</t>
    </r>
    <r>
      <rPr>
        <sz val="11"/>
        <color rgb="FF000000"/>
        <rFont val="Calibri"/>
        <family val="2"/>
        <scheme val="minor"/>
      </rPr>
      <t xml:space="preserve"> (‘NT+') scenarios or </t>
    </r>
    <r>
      <rPr>
        <b/>
        <sz val="11"/>
        <color rgb="FF000000"/>
        <rFont val="Calibri"/>
        <family val="2"/>
        <scheme val="minor"/>
      </rPr>
      <t>Deviation Scenarios</t>
    </r>
    <r>
      <rPr>
        <sz val="11"/>
        <color rgb="FF000000"/>
        <rFont val="Calibri"/>
        <family val="2"/>
        <scheme val="minor"/>
      </rPr>
      <t xml:space="preserve"> (Distributed Energy ‘DE’ and Global Ambition ‘GA’).  </t>
    </r>
  </si>
  <si>
    <t>NT+ Scenarios</t>
  </si>
  <si>
    <t>The Deviation Scenarios (DE &amp; GA)</t>
  </si>
  <si>
    <t xml:space="preserve">-  	The NT+ scenario developed based on the TSOs data in accordance with the anticipated NECPs (as TSOs best estimate), whose draft versions are to be published in summer 2023. 
-  	These scenarios will be created for the 2030 and 2040 time horizons, because datasets for the 2050 time horizons are not available in all countries.
</t>
  </si>
  <si>
    <t xml:space="preserve">-  	These scenarios are deviations from the NT+ 2030 scenario according to their respective storylines. Therefore, they require a Storyline Update Process. 
-  	These scenarios will be created for the 2040 and 2050 time horizons (2030 NT+ is the starting point). In addition, the 2035-time horizon will be reported as a snapshot. </t>
  </si>
  <si>
    <t>1. Trajectories Methodology</t>
  </si>
  <si>
    <t>*For offshore trajectories, LOW and Best Estimate figures will be same according to the non-binding agreements of MS, and the HIGH figures is taken from the submitted TSOs HIGH figures (if this is higher than MS agreements</t>
  </si>
  <si>
    <t xml:space="preserve">** Ireland (IE00) and Northern Ireland (UK01) solar, wind and battery figures will be updated as there are some errors discovered in the data </t>
  </si>
  <si>
    <t>[1] PAC_C2.7_Energy_supply_-_Mobilising_solar_energy.pdf (pac-scenarios.eu)</t>
  </si>
  <si>
    <t>[2] 100% Renewable Europe study - SolarPower Europe</t>
  </si>
  <si>
    <t>[3] resource.html (europa.eu)</t>
  </si>
  <si>
    <t>[4] Joint Research Centre Data Catalogue - ENSPRESO - an open data, EU-28 wide, transparent a... - European Commission (europa.eu)</t>
  </si>
  <si>
    <t>[5] Our energy, our future | WindEurope</t>
  </si>
  <si>
    <t>[6] Study on the offshore grid potential in the Mediterranean region - Publications Office of the EU (europa.eu)</t>
  </si>
  <si>
    <t>1.1. Solar PV Trajectories</t>
  </si>
  <si>
    <t>MW</t>
  </si>
  <si>
    <t>LOW</t>
  </si>
  <si>
    <t>Best Estimate</t>
  </si>
  <si>
    <t>HIGH</t>
  </si>
  <si>
    <t>(Share RT)/ (Solar PV RT+Utility)</t>
  </si>
  <si>
    <t>Country</t>
  </si>
  <si>
    <t>AL00</t>
  </si>
  <si>
    <t>AT00</t>
  </si>
  <si>
    <t>BA00</t>
  </si>
  <si>
    <t>BE00</t>
  </si>
  <si>
    <t>BG00</t>
  </si>
  <si>
    <t>CH00</t>
  </si>
  <si>
    <t>CY00</t>
  </si>
  <si>
    <t>CZ00</t>
  </si>
  <si>
    <t>DE00</t>
  </si>
  <si>
    <t>DEKF</t>
  </si>
  <si>
    <t>DKE1</t>
  </si>
  <si>
    <t>DKKF</t>
  </si>
  <si>
    <t>DKW1</t>
  </si>
  <si>
    <t>EE00</t>
  </si>
  <si>
    <t>ES00</t>
  </si>
  <si>
    <t>*The aggregation covers all PEMMDB countries (EU27 + AL, BA, CH, ME, MK, NO, RS, UK)</t>
  </si>
  <si>
    <t>FI00</t>
  </si>
  <si>
    <t>FR00</t>
  </si>
  <si>
    <t>GR00</t>
  </si>
  <si>
    <t>GR03</t>
  </si>
  <si>
    <t>HR00</t>
  </si>
  <si>
    <t>HU00</t>
  </si>
  <si>
    <t>IE00</t>
  </si>
  <si>
    <t xml:space="preserve">           7,987 </t>
  </si>
  <si>
    <t xml:space="preserve">          13,162 </t>
  </si>
  <si>
    <t> 21,298</t>
  </si>
  <si>
    <t>ITCA</t>
  </si>
  <si>
    <t>ITCN</t>
  </si>
  <si>
    <t>ITCS</t>
  </si>
  <si>
    <t>ITN1</t>
  </si>
  <si>
    <t>ITS1</t>
  </si>
  <si>
    <t>ITSA</t>
  </si>
  <si>
    <t>ITSI</t>
  </si>
  <si>
    <t>LT00</t>
  </si>
  <si>
    <t>LUB1</t>
  </si>
  <si>
    <t>LUF1</t>
  </si>
  <si>
    <t>LUG1</t>
  </si>
  <si>
    <t>LUV1</t>
  </si>
  <si>
    <t>LV00</t>
  </si>
  <si>
    <t>ME00</t>
  </si>
  <si>
    <t>MK00</t>
  </si>
  <si>
    <t>MT00</t>
  </si>
  <si>
    <t>NL00</t>
  </si>
  <si>
    <t>NOM1</t>
  </si>
  <si>
    <t>NON1</t>
  </si>
  <si>
    <t>NOS0</t>
  </si>
  <si>
    <t>PL00</t>
  </si>
  <si>
    <t>PT00</t>
  </si>
  <si>
    <t>RO00</t>
  </si>
  <si>
    <t>RS00</t>
  </si>
  <si>
    <t>SE01</t>
  </si>
  <si>
    <t>SE02</t>
  </si>
  <si>
    <t>SE03</t>
  </si>
  <si>
    <t>SE04</t>
  </si>
  <si>
    <t>SI00</t>
  </si>
  <si>
    <t>SK00</t>
  </si>
  <si>
    <t>UK00</t>
  </si>
  <si>
    <t>UKNI</t>
  </si>
  <si>
    <t>TOTAL</t>
  </si>
  <si>
    <t>EU-TOTAL</t>
  </si>
  <si>
    <t>BEST ESTIMATE (BE)</t>
  </si>
  <si>
    <t xml:space="preserve">           7,000 </t>
  </si>
  <si>
    <t xml:space="preserve">            7,000 </t>
  </si>
  <si>
    <t xml:space="preserve">           8,975 </t>
  </si>
  <si>
    <t xml:space="preserve">             9,708 </t>
  </si>
  <si>
    <t xml:space="preserve">           11,308 </t>
  </si>
  <si>
    <t xml:space="preserve">            2,550 </t>
  </si>
  <si>
    <t xml:space="preserve">           2,466 </t>
  </si>
  <si>
    <t xml:space="preserve">             3,413 </t>
  </si>
  <si>
    <t xml:space="preserve">             3,813 </t>
  </si>
  <si>
    <t>BEST ESTIMATE</t>
  </si>
  <si>
    <t>BEOF</t>
  </si>
  <si>
    <t>DKBH</t>
  </si>
  <si>
    <t>DKNS</t>
  </si>
  <si>
    <t>EEOF</t>
  </si>
  <si>
    <t>LOW=BEST ESTIMATE acc to the MS agreements. The details are as in the PEMMDB with less granular node in DE/GA</t>
  </si>
  <si>
    <t>HIGH is coming from TSO high trajectory (if higher than ONDP figures)</t>
  </si>
  <si>
    <t>ITA00</t>
  </si>
  <si>
    <t>LTOF</t>
  </si>
  <si>
    <t>NLOR001</t>
  </si>
  <si>
    <t>NL60</t>
  </si>
  <si>
    <t>NLOH001</t>
  </si>
  <si>
    <t>NL6H</t>
  </si>
  <si>
    <t>NLA0</t>
  </si>
  <si>
    <t>NLBH</t>
  </si>
  <si>
    <t>NLLL</t>
  </si>
  <si>
    <t>Distributed Energy</t>
  </si>
  <si>
    <t>National Trends+</t>
  </si>
  <si>
    <t>Global Ambition</t>
  </si>
  <si>
    <t>MWh</t>
  </si>
  <si>
    <t>Year</t>
  </si>
  <si>
    <t>Region</t>
  </si>
  <si>
    <t>South</t>
  </si>
  <si>
    <t>Central</t>
  </si>
  <si>
    <t>North</t>
  </si>
  <si>
    <t>Nordic-Baltic</t>
  </si>
  <si>
    <t>Prosumer Battery/Rooftop Solar</t>
  </si>
  <si>
    <t>Europe Mean</t>
  </si>
  <si>
    <t>ITA0</t>
  </si>
  <si>
    <t>Means</t>
  </si>
  <si>
    <t>Utility Battery / Utility PV</t>
  </si>
  <si>
    <t>Sources</t>
  </si>
  <si>
    <t>Name</t>
  </si>
  <si>
    <t>Author</t>
  </si>
  <si>
    <t>Link</t>
  </si>
  <si>
    <t>Technology data, Generation of Electricity and Distrift Heating</t>
  </si>
  <si>
    <t>Danish Energy  Agency, Energinet</t>
  </si>
  <si>
    <t>https://ens.dk/en/our-services/projections-and-models/technology-data/technology-data-generation-electricity-and</t>
  </si>
  <si>
    <t xml:space="preserve">Annual Technology Baseline </t>
  </si>
  <si>
    <t>National Renewable Energy Laboratory</t>
  </si>
  <si>
    <t>https://atb.nrel.gov/electricity/2022/technologies</t>
  </si>
  <si>
    <t>Technology data, Energy Transport</t>
  </si>
  <si>
    <t xml:space="preserve">https://ens.dk/en/our-services/projections-and-models/technology-data/technology-catalogue-transport-energy </t>
  </si>
  <si>
    <t>SCREENING OF POSSIBLE HUB CONCEPTS TO INTEGRATE OFFSHORE WIND CAPACITY IN THE NORTH SEA</t>
  </si>
  <si>
    <t>Danish Energy Agency, DNV</t>
  </si>
  <si>
    <t xml:space="preserve">https://ens.dk/sites/ens.dk/files/Vindenergi/final_report_-_screening_of_possible_hub_concepts_to_integrate_offshore_wind_capacity_in_the_north_sea.pdf </t>
  </si>
  <si>
    <t>Cost and performance data for offshore hydrogen production</t>
  </si>
  <si>
    <t xml:space="preserve">https://ens.dk/sites/ens.dk/files/Energioer/cost_performance_data_offshore_hydrogen_production.pdf </t>
  </si>
  <si>
    <t>Netzentwicklungsplan Strom 2035, Version 2021</t>
  </si>
  <si>
    <t>50Hertz, Amprion, TenneT, TransnetBW</t>
  </si>
  <si>
    <t>https://www.netzentwicklungsplan.de/sites/default/files/paragraphs-files/NEP_2035_V2021_2_Entwurf_Teil1.pdf</t>
  </si>
  <si>
    <t>Technology data, Renewable fuels</t>
  </si>
  <si>
    <t xml:space="preserve">https://ens.dk/en/our-services/projections-and-models/technology-data/technology-data-renewable-fuels </t>
  </si>
  <si>
    <t>European Hydrogen Backbone April 2022</t>
  </si>
  <si>
    <t>Guidehouse + TSOs</t>
  </si>
  <si>
    <t xml:space="preserve">https://ehb.eu/files/downloads/ehb-report-220428-17h00-interactive-1.pdf </t>
  </si>
  <si>
    <t>Analysing future demand, supply and transport of hydrogen</t>
  </si>
  <si>
    <t>https://ehb.eu/files/downloads/EHB-Analysing-the-future-demand-supply-and-transport-of-hydrogen-June-2021-v3.pdf</t>
  </si>
  <si>
    <t>Costs are differentiated among scenarios based on the storylines:</t>
  </si>
  <si>
    <t>Wind offshore costs consist of following components and different investment according to the technology (please check offshore modeling methodology)</t>
  </si>
  <si>
    <t>2.1. Technology Costs for TYNDP 2024</t>
  </si>
  <si>
    <t>TYNDP 2024</t>
  </si>
  <si>
    <t>DE</t>
  </si>
  <si>
    <t>Distributed Energy (TYNDP 2024)</t>
  </si>
  <si>
    <t>GA</t>
  </si>
  <si>
    <t>Global Ambition (TYNDP 2024)</t>
  </si>
  <si>
    <t>No</t>
  </si>
  <si>
    <t>Source</t>
  </si>
  <si>
    <t>Rooftop PV (only residential)</t>
  </si>
  <si>
    <t>CAPEX</t>
  </si>
  <si>
    <t>€/MW</t>
  </si>
  <si>
    <t>▼</t>
  </si>
  <si>
    <t>▲</t>
  </si>
  <si>
    <t>OPEX</t>
  </si>
  <si>
    <t>€/MW/a</t>
  </si>
  <si>
    <t xml:space="preserve">Nominal investment </t>
  </si>
  <si>
    <t>grid connection</t>
  </si>
  <si>
    <t>inverter</t>
  </si>
  <si>
    <t>pv modules</t>
  </si>
  <si>
    <t>installation</t>
  </si>
  <si>
    <t>other, i.e. residual balance of plant</t>
  </si>
  <si>
    <t>Fixed O&amp;M</t>
  </si>
  <si>
    <t>Lifetime assumptions</t>
  </si>
  <si>
    <t>year</t>
  </si>
  <si>
    <t>Utility-scale PV</t>
  </si>
  <si>
    <t>soft costs</t>
  </si>
  <si>
    <t>Utility-scale PV ground mounted, single axis tracking</t>
  </si>
  <si>
    <t>tracker related costs</t>
  </si>
  <si>
    <t>Utility-Scale Battery Storage - 4Hr</t>
  </si>
  <si>
    <t>Nominal Investment</t>
  </si>
  <si>
    <t>years</t>
  </si>
  <si>
    <t>Residential Battery Storage - 5 kW - 12.5 kWh</t>
  </si>
  <si>
    <t>Onshore</t>
  </si>
  <si>
    <t>Equipment</t>
  </si>
  <si>
    <t>Installation/Development</t>
  </si>
  <si>
    <t>Related to grid connection</t>
  </si>
  <si>
    <t>related to rent of land</t>
  </si>
  <si>
    <t>related to decommisioning of existing turbines</t>
  </si>
  <si>
    <t>relatred to other costs</t>
  </si>
  <si>
    <t>AC Radial Wind Offshore Fixed</t>
  </si>
  <si>
    <t>1,4,6</t>
  </si>
  <si>
    <t>DC Radial Wind Offshore Fixed</t>
  </si>
  <si>
    <t>1,5,7</t>
  </si>
  <si>
    <t>Hub connected Wind Offshore Fixed</t>
  </si>
  <si>
    <t>Hub connected Wind Offshore H2 Fixed</t>
  </si>
  <si>
    <t>AC Radial Wind Offshore Floating*</t>
  </si>
  <si>
    <t>DC Radial Wind Offshore Floating*</t>
  </si>
  <si>
    <t>Hub connected Wind Offshore Floating*</t>
  </si>
  <si>
    <t>Hub connected Wind Offshore H2 Floating*</t>
  </si>
  <si>
    <t>HVDC Cables</t>
  </si>
  <si>
    <t>€/MW/km</t>
  </si>
  <si>
    <t>●</t>
  </si>
  <si>
    <t>€/MW/km/a</t>
  </si>
  <si>
    <t>Onshore HVDC Station</t>
  </si>
  <si>
    <t>4,5,7</t>
  </si>
  <si>
    <t>Electrolysis Offshore</t>
  </si>
  <si>
    <t>a</t>
  </si>
  <si>
    <t>H2-Pipeline</t>
  </si>
  <si>
    <t>Electrolysis Onshore**</t>
  </si>
  <si>
    <t>Gas turbine, open cycle - back pressure - natural gas - medium</t>
  </si>
  <si>
    <t>Gas turbine, combined cycle - extraction - natural gas - large</t>
  </si>
  <si>
    <t>Notes</t>
  </si>
  <si>
    <t>Technology</t>
  </si>
  <si>
    <t>Comment</t>
  </si>
  <si>
    <t>*</t>
  </si>
  <si>
    <t>11,12,13,14</t>
  </si>
  <si>
    <t>Currently all of Europes existing offshore wind is "bottom fixed"(= fixed offshore wind sits on the seabed). Beyond 60 metres sea depth floating offshore (= floating wind is tethered to the seabed) can be a cost-competitive form of installation. Based on exchanges with experts like wind europe and our own assumptions the working group scenario building assumes that the costs for floating will be higher (CAPEX 2030 - 1,61; 2040 - 1,21; 2050 - 1,16 / OPEX 2030 - 1,5; 2040 - 1,2; 2050 - 1,1) based on material costs (anchors, cables, moorings) that rise with sea depth and distance from the shore</t>
  </si>
  <si>
    <t>**</t>
  </si>
  <si>
    <t>Costs are based on the average between AEC and PEM technology</t>
  </si>
  <si>
    <t>AC radial wind</t>
  </si>
  <si>
    <t>Radial DC wind</t>
  </si>
  <si>
    <t>Hub connected wind</t>
  </si>
  <si>
    <t>Hub connected H2 wind</t>
  </si>
  <si>
    <t>HVDC cables</t>
  </si>
  <si>
    <t>H2 Pipeline</t>
  </si>
  <si>
    <t>Electrolysis offshore</t>
  </si>
  <si>
    <t>CAPEX [M€/MW]</t>
  </si>
  <si>
    <t>OPEX [M€/MW/year]</t>
  </si>
  <si>
    <t>CAPEX [M€/MW/km]</t>
  </si>
  <si>
    <t>OPEX [M€/MW/km/year]</t>
  </si>
  <si>
    <t>Offshore wind</t>
  </si>
  <si>
    <t>Turbine</t>
  </si>
  <si>
    <t>[1]</t>
  </si>
  <si>
    <t>Foundation</t>
  </si>
  <si>
    <t>Installation &amp; PM</t>
  </si>
  <si>
    <t>Array cables</t>
  </si>
  <si>
    <t>hub</t>
  </si>
  <si>
    <t>Hub  onshore converter</t>
  </si>
  <si>
    <t>Platform expansion for electrolysis</t>
  </si>
  <si>
    <t>Background calculation sheet</t>
  </si>
  <si>
    <t>hub h2</t>
  </si>
  <si>
    <t>hub -platform+eletrolyserincl platform</t>
  </si>
  <si>
    <t>Electrolysis</t>
  </si>
  <si>
    <t>System</t>
  </si>
  <si>
    <t>[7]</t>
  </si>
  <si>
    <t>Water treatment</t>
  </si>
  <si>
    <t>[5]</t>
  </si>
  <si>
    <t>Offshore/onshore electrical substation</t>
  </si>
  <si>
    <t>Platform</t>
  </si>
  <si>
    <t>[4]</t>
  </si>
  <si>
    <t>Initial compression</t>
  </si>
  <si>
    <t>background calculation</t>
  </si>
  <si>
    <t>Pipeline infrastructure</t>
  </si>
  <si>
    <t>Array pipes</t>
  </si>
  <si>
    <t>Transport pipe</t>
  </si>
  <si>
    <t>[8]</t>
  </si>
  <si>
    <t>Running compression</t>
  </si>
  <si>
    <t>background calc</t>
  </si>
  <si>
    <t>El infra</t>
  </si>
  <si>
    <t>cables</t>
  </si>
  <si>
    <t>[4] [6] avg</t>
  </si>
  <si>
    <t>Offshore constructions / platforms incl converter</t>
  </si>
  <si>
    <t>Onshore construction</t>
  </si>
  <si>
    <t>WTG Variable O&amp;M [€/MWh]</t>
  </si>
  <si>
    <t>WTG Fixed O&amp;M [€/MW/y]</t>
  </si>
  <si>
    <t>HVCD cable O&amp;M [€/y]</t>
  </si>
  <si>
    <t>HVCD converter O&amp;M [€/y]</t>
  </si>
  <si>
    <t>Electrolyser o&amp;M [€/y]</t>
  </si>
  <si>
    <t>water treatment O&amp;M [€/y]</t>
  </si>
  <si>
    <t>Compressor opex [M€/MW/y]</t>
  </si>
  <si>
    <t>Booster compressor opex [M€/MW/km/y]</t>
  </si>
  <si>
    <t>Assumptions</t>
  </si>
  <si>
    <t>FLH assumption [flh]</t>
  </si>
  <si>
    <t>cable distance [km]</t>
  </si>
  <si>
    <t>HVDC cable O&amp;M [%capex/y]</t>
  </si>
  <si>
    <t>HVDC converter O&amp;M [%capex/y]</t>
  </si>
  <si>
    <t>Electrolyser O&amp;M [%capex/y]</t>
  </si>
  <si>
    <t>water treatment O&amp;M [%capex/y]</t>
  </si>
  <si>
    <t>platform opex [%capex/y]</t>
  </si>
  <si>
    <t>Specific investment</t>
  </si>
  <si>
    <t>525kV HVDC cable connection [M€/MW/km]</t>
  </si>
  <si>
    <t>[6] (NSWPH interpretation)</t>
  </si>
  <si>
    <t>Offshore HVDC hub module [M€/MW]</t>
  </si>
  <si>
    <t>Onshore HVDC hub module [M€/MW]</t>
  </si>
  <si>
    <t>Offshore Medium H2 new pipeline [M€/MW/km]</t>
  </si>
  <si>
    <t>[8] assuming 7 GW capacity of a 36" pipeline at 70 bar</t>
  </si>
  <si>
    <t>3. Commodity and CO2 prices</t>
  </si>
  <si>
    <t>3.1 Commodity and CO2 prices</t>
  </si>
  <si>
    <t>Same for all scenarios</t>
  </si>
  <si>
    <t>As all scenarios aim for EU targets</t>
  </si>
  <si>
    <t>Fuel</t>
  </si>
  <si>
    <t>Unit</t>
  </si>
  <si>
    <t xml:space="preserve">Source </t>
  </si>
  <si>
    <t>Further Info</t>
  </si>
  <si>
    <t>Nuclear</t>
  </si>
  <si>
    <t>€/GJ</t>
  </si>
  <si>
    <t>EIA (2022) - https://www.eia.gov/electricity/annual/html/epa_08_04.html</t>
  </si>
  <si>
    <t>Includes fuel cost only</t>
  </si>
  <si>
    <t>Lignite G1 (BG - MK - CZ)</t>
  </si>
  <si>
    <t>Booze&amp;co same as 2022</t>
  </si>
  <si>
    <t>https://www.dei.gr/media/qbmj0twz/understanding-lignite-generation-costs-in-europe.pdf</t>
  </si>
  <si>
    <t>Lignite G2 (SK - DE - RS - PL - ME - UKNI - BA - IE)</t>
  </si>
  <si>
    <t>Lignite G3 (SL - RO - HU)</t>
  </si>
  <si>
    <t>Lignite G4 (GR - TR)</t>
  </si>
  <si>
    <t>Hard coal</t>
  </si>
  <si>
    <t>IEA 2022 (APS)</t>
  </si>
  <si>
    <t>Natural Gas</t>
  </si>
  <si>
    <t>Crude oil</t>
  </si>
  <si>
    <t>CO2 price</t>
  </si>
  <si>
    <t>€/ton</t>
  </si>
  <si>
    <t>Hydrogen (blue )</t>
  </si>
  <si>
    <t>IEA 2022 (APS) - SMR with CCUS (90% capture)</t>
  </si>
  <si>
    <t>Biomethane</t>
  </si>
  <si>
    <t>€/Gj</t>
  </si>
  <si>
    <t>Danish Technology cataloque</t>
  </si>
  <si>
    <t>Synthetic Methane</t>
  </si>
  <si>
    <t>IEA 2022 (APS) - renewable electricity, 70%, 55% and 50% of biogenic CO2.</t>
  </si>
  <si>
    <t>Light oil</t>
  </si>
  <si>
    <t>Moddeled from crude oil price (+28%)</t>
  </si>
  <si>
    <t>WEO STEPS forecast trend applying a 28% increase of price wrt to crude oil</t>
  </si>
  <si>
    <t>Heavy oil</t>
  </si>
  <si>
    <t>Moddeled from crude oil price (+5%)</t>
  </si>
  <si>
    <t>WEO STEPS forecast trend applying a 5% increase of price wrt to crude oil</t>
  </si>
  <si>
    <t>Oil shale</t>
  </si>
  <si>
    <t>Value from last cycle - no updates from TSOs available</t>
  </si>
  <si>
    <t>Imported ammonia</t>
  </si>
  <si>
    <t>EWI tool calculation (100% reconverted)</t>
  </si>
  <si>
    <t>Gas (blend of biomethane, synthetic gas and NG) NT</t>
  </si>
  <si>
    <t>See tab 3.2</t>
  </si>
  <si>
    <t>Gas (blend of biomethane, synthetic gas and NG) DE</t>
  </si>
  <si>
    <t>Gas (blend of biomethane, synthetic gas and NG) GA</t>
  </si>
  <si>
    <t>Interpolation</t>
  </si>
  <si>
    <t>Interpolation is used for years where no data is available</t>
  </si>
  <si>
    <t>This blend will be updated when the data collection (NT)  and ETM &amp; ST (DE &amp; GA) is finalised</t>
  </si>
  <si>
    <t>3.2 Gas blends calculation</t>
  </si>
  <si>
    <t>NT+ demand</t>
  </si>
  <si>
    <t>Global ambition</t>
  </si>
  <si>
    <t>Demand from NT+</t>
  </si>
  <si>
    <t>Supply (in TWh)</t>
  </si>
  <si>
    <t>Energy carriers</t>
  </si>
  <si>
    <t>Import (EU)</t>
  </si>
  <si>
    <t xml:space="preserve">Residual value </t>
  </si>
  <si>
    <t>E-Methane</t>
  </si>
  <si>
    <t>Shall be defined here</t>
  </si>
  <si>
    <t>Other fossil gas</t>
  </si>
  <si>
    <t xml:space="preserve">Shall be defined here </t>
  </si>
  <si>
    <t>Domestic production (EU)</t>
  </si>
  <si>
    <t>Production potential from data collection</t>
  </si>
  <si>
    <t>Natural gas</t>
  </si>
  <si>
    <t>Aggregation of country specified potentials</t>
  </si>
  <si>
    <t>Methane (LNG)</t>
  </si>
  <si>
    <t>P2Methane</t>
  </si>
  <si>
    <t>NT+ data as starting point + 15% in 2040 and + 20% in 2050</t>
  </si>
  <si>
    <t>Gas blend calculation NT+</t>
  </si>
  <si>
    <t>Gas blend calculation GA</t>
  </si>
  <si>
    <t>Gas blend calculation DE</t>
  </si>
  <si>
    <t>Total</t>
  </si>
  <si>
    <t>Methane</t>
  </si>
  <si>
    <t>E-methane</t>
  </si>
  <si>
    <t>Share</t>
  </si>
  <si>
    <t>Blended price</t>
  </si>
  <si>
    <t>Price (€/GJ)</t>
  </si>
  <si>
    <t>NT+</t>
  </si>
  <si>
    <t>3.2. Import Costs of Amonia and Hydrogen</t>
  </si>
  <si>
    <t>Output from EWI tool: https://www.ewi.uni-koeln.de/en/tools/schaetzung-der-langfristigen-globalen-versorgungskosten-fuer-kohlenstoffarmen-wasserstoff/</t>
  </si>
  <si>
    <t>Reconversion</t>
  </si>
  <si>
    <t>Amonia import - direct use</t>
  </si>
  <si>
    <t>Amonia  reconversion</t>
  </si>
  <si>
    <t>Assumptions in the EWI sheet:</t>
  </si>
  <si>
    <t>Import costs</t>
  </si>
  <si>
    <r>
      <t>•</t>
    </r>
    <r>
      <rPr>
        <sz val="20"/>
        <color rgb="FF17253F"/>
        <rFont val="Lato"/>
        <family val="2"/>
      </rPr>
      <t>4 mio. t (134 TWh) green amonia import (REPower EU) (5 mio. T in 2040 and 6 mio. t. In 2050)</t>
    </r>
  </si>
  <si>
    <t>1 MWh = 3,6 GJ</t>
  </si>
  <si>
    <t>Kode</t>
  </si>
  <si>
    <t>($/MWh)</t>
  </si>
  <si>
    <r>
      <t>•</t>
    </r>
    <r>
      <rPr>
        <sz val="20"/>
        <color rgb="FF17253F"/>
        <rFont val="Lato"/>
        <family val="2"/>
      </rPr>
      <t>Maximum 22,4 TWh (2030), from the 6 cheapest countries</t>
    </r>
  </si>
  <si>
    <t>Amonia import to Germany</t>
  </si>
  <si>
    <t>Qatar</t>
  </si>
  <si>
    <t>QA</t>
  </si>
  <si>
    <r>
      <t>•</t>
    </r>
    <r>
      <rPr>
        <sz val="20"/>
        <color rgb="FF17253F"/>
        <rFont val="Lato"/>
        <family val="2"/>
      </rPr>
      <t>Countries within pipeline distance to EU is deselected. (they are considdered to export pure H2 to EU instead)</t>
    </r>
  </si>
  <si>
    <t>Direct use (0%)</t>
  </si>
  <si>
    <t>$/MWh</t>
  </si>
  <si>
    <t>Oman</t>
  </si>
  <si>
    <t>OM</t>
  </si>
  <si>
    <r>
      <t>•</t>
    </r>
    <r>
      <rPr>
        <sz val="20"/>
        <color rgb="FF17253F"/>
        <rFont val="Lato"/>
        <family val="2"/>
      </rPr>
      <t>100% is considdered to be reconverted to H2</t>
    </r>
  </si>
  <si>
    <t>with reconversion (100%)</t>
  </si>
  <si>
    <t>United Arab Emirates</t>
  </si>
  <si>
    <t>AE</t>
  </si>
  <si>
    <r>
      <t>•</t>
    </r>
    <r>
      <rPr>
        <sz val="20"/>
        <color rgb="FF17253F"/>
        <rFont val="Lato"/>
        <family val="2"/>
      </rPr>
      <t xml:space="preserve">Germany is selected as import country </t>
    </r>
  </si>
  <si>
    <t>Price share</t>
  </si>
  <si>
    <t>Saudi Arabia</t>
  </si>
  <si>
    <t>SA</t>
  </si>
  <si>
    <t>$/GJ</t>
  </si>
  <si>
    <t>United States</t>
  </si>
  <si>
    <t>US</t>
  </si>
  <si>
    <t>Israel</t>
  </si>
  <si>
    <t>IL</t>
  </si>
  <si>
    <t>€/MWh</t>
  </si>
  <si>
    <t>3.4 Commodity and CO2 price resource details</t>
  </si>
  <si>
    <t>IEA WEO 2022</t>
  </si>
  <si>
    <t xml:space="preserve">1 MWh </t>
  </si>
  <si>
    <t>=</t>
  </si>
  <si>
    <t>3,6 GJ</t>
  </si>
  <si>
    <t>USD 2021</t>
  </si>
  <si>
    <t>1 USD =</t>
  </si>
  <si>
    <t>Euro</t>
  </si>
  <si>
    <t>IEA Net Zero</t>
  </si>
  <si>
    <t>Announced pledges</t>
  </si>
  <si>
    <t>Stated Policies</t>
  </si>
  <si>
    <t>CO2</t>
  </si>
  <si>
    <t>USD/tonne</t>
  </si>
  <si>
    <t>Unit conversion</t>
  </si>
  <si>
    <t>IEA Crude oil</t>
  </si>
  <si>
    <t>USD/barrel</t>
  </si>
  <si>
    <t>1 boe =</t>
  </si>
  <si>
    <t>GJ</t>
  </si>
  <si>
    <t>USD/MMBtu</t>
  </si>
  <si>
    <t xml:space="preserve">1 MMBtu = </t>
  </si>
  <si>
    <t>Steam coal</t>
  </si>
  <si>
    <t xml:space="preserve">1 tonne = </t>
  </si>
  <si>
    <t>USD/MWh</t>
  </si>
  <si>
    <r>
      <t xml:space="preserve">including fuel, variable and </t>
    </r>
    <r>
      <rPr>
        <b/>
        <sz val="11"/>
        <color rgb="FF000000"/>
        <rFont val="Calibri"/>
        <family val="2"/>
      </rPr>
      <t>fixed</t>
    </r>
    <r>
      <rPr>
        <sz val="11"/>
        <color rgb="FF000000"/>
        <rFont val="Calibri"/>
        <family val="2"/>
      </rPr>
      <t xml:space="preserve"> O&amp;M and CO2</t>
    </r>
  </si>
  <si>
    <t>1 MWh =</t>
  </si>
  <si>
    <t>Hydrogen production cost, SMR with CCUS</t>
  </si>
  <si>
    <t>USD/GJ</t>
  </si>
  <si>
    <t>1 GJ =</t>
  </si>
  <si>
    <t>Syntetic methane production cost, renewable electricity, DAC CO2</t>
  </si>
  <si>
    <t>Syntetic methane production cost, renewable electricity, biogenic CO2</t>
  </si>
  <si>
    <t>€(2021)/tonne</t>
  </si>
  <si>
    <t>€(2021)/GJ</t>
  </si>
  <si>
    <t>Light oil (crude+28%)</t>
  </si>
  <si>
    <t>Heavy oil (crude+5%)</t>
  </si>
  <si>
    <t>DAC share</t>
  </si>
  <si>
    <t>Bio Share</t>
  </si>
  <si>
    <t>Price</t>
  </si>
  <si>
    <t>https://www.eia.gov/electricity/annual/html/epa_08_04.html</t>
  </si>
  <si>
    <t>Fuel $/MWh</t>
  </si>
  <si>
    <t>Fossil Steam</t>
  </si>
  <si>
    <t>Hydro-electric</t>
  </si>
  <si>
    <t>Gas Turbine and Small Scale</t>
  </si>
  <si>
    <t>--</t>
  </si>
  <si>
    <t>€</t>
  </si>
  <si>
    <t>Delayed Recovery</t>
  </si>
  <si>
    <t>Sustainable development</t>
  </si>
  <si>
    <t>NCV</t>
  </si>
  <si>
    <t>3.5 Biomethane Cost Overview</t>
  </si>
  <si>
    <t>Overview biomethane costs (€/MWh) including feedstock</t>
  </si>
  <si>
    <t>Biomethane costs used in the TYNDP 2022 (€/MWh)</t>
  </si>
  <si>
    <t>Anaerobic digestion - 2050</t>
  </si>
  <si>
    <t>biomethane - Anaerobic digestion including upgrade and injection</t>
  </si>
  <si>
    <t>Thermal gasification - 2050</t>
  </si>
  <si>
    <t>SNG - Thermal gasification</t>
  </si>
  <si>
    <t>Guidehouse A gas for climate report</t>
  </si>
  <si>
    <t>Anaerobic digestion total (TWh)</t>
  </si>
  <si>
    <t>Thermal gasification total (TWh)</t>
  </si>
  <si>
    <t>Shares based on potentials from "Guidehouse"</t>
  </si>
  <si>
    <t>Share anaerob digestion</t>
  </si>
  <si>
    <t>Source: Technology data - Renewable fuels. Danish Energy Agency</t>
  </si>
  <si>
    <t>Share thermal gasification</t>
  </si>
  <si>
    <t>Source: "Biomethane production potentials in the EU" by Guidehouse, july 2022</t>
  </si>
  <si>
    <t>Biomethane costs (€/MWh)</t>
  </si>
  <si>
    <t xml:space="preserve">*Before 2030 100% anaerobic costs is used </t>
  </si>
  <si>
    <t>Biomethane costs (€/GJ)</t>
  </si>
  <si>
    <t>Source: https://ens.dk/en/our-services/projections-and-models/technology-data/technology-data-renewable-fuels</t>
  </si>
  <si>
    <t>3.6 Biogas + upgrade</t>
  </si>
  <si>
    <t>Data sheet for renewable fuels</t>
  </si>
  <si>
    <t>Biomethane costs calculations for TYNDP 2024</t>
  </si>
  <si>
    <t>Biogas plant, basic configuration</t>
  </si>
  <si>
    <t>Basic plant configuration</t>
  </si>
  <si>
    <t>Biomethane costs calculation (no upgrade)</t>
  </si>
  <si>
    <t>Uncertainty (2020)</t>
  </si>
  <si>
    <t>Uncertainty (2050)</t>
  </si>
  <si>
    <t>Note</t>
  </si>
  <si>
    <t>Ref</t>
  </si>
  <si>
    <t>Plant size</t>
  </si>
  <si>
    <t>MW output</t>
  </si>
  <si>
    <t>Energy/technical data</t>
  </si>
  <si>
    <t>Lower</t>
  </si>
  <si>
    <t>Upper</t>
  </si>
  <si>
    <t>Input raw material</t>
  </si>
  <si>
    <t>tons/year</t>
  </si>
  <si>
    <t>Total investment (mio €)</t>
  </si>
  <si>
    <t>Typical capacity (tons/year input)</t>
  </si>
  <si>
    <t>Outages</t>
  </si>
  <si>
    <t>Days/year</t>
  </si>
  <si>
    <t>CAPEX mio. €/YEAR</t>
  </si>
  <si>
    <t>Typical total plant size (MW output)</t>
  </si>
  <si>
    <t>A</t>
  </si>
  <si>
    <t>Lifetime</t>
  </si>
  <si>
    <t>Years</t>
  </si>
  <si>
    <t>OPEX mio. €/YEAR</t>
  </si>
  <si>
    <t>Total costs mio. €/year</t>
  </si>
  <si>
    <t>- Inputs</t>
  </si>
  <si>
    <t>Cost of capital</t>
  </si>
  <si>
    <t>Biomass (tons/year)</t>
  </si>
  <si>
    <t>A B</t>
  </si>
  <si>
    <t>5/8/9</t>
  </si>
  <si>
    <t>WACC</t>
  </si>
  <si>
    <t>%</t>
  </si>
  <si>
    <t>Gasproduktion MWh/year</t>
  </si>
  <si>
    <t>Aux. electricity (% of output energy)</t>
  </si>
  <si>
    <t>Time</t>
  </si>
  <si>
    <t>Aux. electricity (kWh/ton input)</t>
  </si>
  <si>
    <t>Anual factor</t>
  </si>
  <si>
    <t>€ /year/MWh gas produced</t>
  </si>
  <si>
    <t>Aux. process heat (% of output energy)</t>
  </si>
  <si>
    <t>Aux. process heat (kWh/ton input))</t>
  </si>
  <si>
    <t>Biomass Input costs</t>
  </si>
  <si>
    <t>Feedstock costs (mio. €/year)</t>
  </si>
  <si>
    <t>Type</t>
  </si>
  <si>
    <t>Input share</t>
  </si>
  <si>
    <t>Price incl. transport (€/ton)</t>
  </si>
  <si>
    <t>Feedstock cost €/MWh produced</t>
  </si>
  <si>
    <t>- Outputs</t>
  </si>
  <si>
    <t>Manure (pig and cattle)</t>
  </si>
  <si>
    <t>Biogas (%)</t>
  </si>
  <si>
    <t>F</t>
  </si>
  <si>
    <t>Deep bed material</t>
  </si>
  <si>
    <t>Including feed stock costs</t>
  </si>
  <si>
    <t>Biogas (GJ/ton input)</t>
  </si>
  <si>
    <t>G</t>
  </si>
  <si>
    <t>9</t>
  </si>
  <si>
    <t>Manure, stable</t>
  </si>
  <si>
    <t>Biogas production, (MJ/S heating value)</t>
  </si>
  <si>
    <t>J</t>
  </si>
  <si>
    <t>Straw</t>
  </si>
  <si>
    <t>Upgrade and injektion  costs</t>
  </si>
  <si>
    <t>Industrial organic waste</t>
  </si>
  <si>
    <t>Plant investment (€/MJ/s input)</t>
  </si>
  <si>
    <t>Forced outage (%)</t>
  </si>
  <si>
    <t>Household waste</t>
  </si>
  <si>
    <t>Grid Injektion (€/MJ/s input)</t>
  </si>
  <si>
    <t>Planned outage (days per year)</t>
  </si>
  <si>
    <t>Energy crops</t>
  </si>
  <si>
    <t>Total CAPEX (plant size 5,92 MJ output/s)</t>
  </si>
  <si>
    <t>Technical lifetime (years)</t>
  </si>
  <si>
    <t>Other</t>
  </si>
  <si>
    <t>Construction time (years)</t>
  </si>
  <si>
    <t>Average cost of material (€/ton)</t>
  </si>
  <si>
    <t>Opex (€/MJ/s year)</t>
  </si>
  <si>
    <t xml:space="preserve">Total OPEX plant size </t>
  </si>
  <si>
    <t xml:space="preserve">Financial data                                 </t>
  </si>
  <si>
    <t>Technical data biogas upgrade</t>
  </si>
  <si>
    <t>Specific investment (mio €/MW output)</t>
  </si>
  <si>
    <t>A H C</t>
  </si>
  <si>
    <t xml:space="preserve"> 8/5</t>
  </si>
  <si>
    <t>Typical plant size</t>
  </si>
  <si>
    <t>MJ output/s</t>
  </si>
  <si>
    <t>Yearly costs €/year/plant</t>
  </si>
  <si>
    <t xml:space="preserve"> - of which equipment</t>
  </si>
  <si>
    <t>-</t>
  </si>
  <si>
    <t>Typical total size</t>
  </si>
  <si>
    <t>Nm3/h</t>
  </si>
  <si>
    <t>€/MWh produced</t>
  </si>
  <si>
    <t xml:space="preserve"> - of which installation</t>
  </si>
  <si>
    <t xml:space="preserve">Capacity </t>
  </si>
  <si>
    <t>Total O&amp;M (€/MW/year)</t>
  </si>
  <si>
    <t>Yearly capacity (11 kWh/NM3)</t>
  </si>
  <si>
    <t>Total costs for biogas including upgrade and injektion €/MWh)</t>
  </si>
  <si>
    <t xml:space="preserve">  Total O&amp;M (€/(ton input/year))</t>
  </si>
  <si>
    <t>A D I</t>
  </si>
  <si>
    <t>8/5</t>
  </si>
  <si>
    <t>Output</t>
  </si>
  <si>
    <t>bar</t>
  </si>
  <si>
    <t>- of which O&amp;M, excl el. and heat (€/(ton input/year))</t>
  </si>
  <si>
    <t>Lower calorific value</t>
  </si>
  <si>
    <t>MJ/Nm3</t>
  </si>
  <si>
    <t>- of which electricity (€/(ton input/year))</t>
  </si>
  <si>
    <t>K</t>
  </si>
  <si>
    <t>Methane content in raw biogas</t>
  </si>
  <si>
    <t>- of which heat (€/(ton input/year))</t>
  </si>
  <si>
    <t>Technology Specific data</t>
  </si>
  <si>
    <t>Methane emission (Nm3 CH4/ton input/year)</t>
  </si>
  <si>
    <t>12</t>
  </si>
  <si>
    <t>Feed stock input</t>
  </si>
  <si>
    <t>MWh produced</t>
  </si>
  <si>
    <t>Biomass</t>
  </si>
  <si>
    <t>Share, 2015</t>
  </si>
  <si>
    <t>Share, 2020</t>
  </si>
  <si>
    <t>Price per ton (€), incl transport</t>
  </si>
  <si>
    <t>"Udvikling og effektivisering af biogasproduktionen I Danmark – Delrapport 1 og 2”, Danish Energy Agency Biogas Taskforce 2015.</t>
  </si>
  <si>
    <t>”Anvendelse af biogas til el- og varmeproduktion, analyser for Biogas Taskforce”, Ea Energianalyse, 2014</t>
  </si>
  <si>
    <t>"Biomasse til biogasanlæg i Danmark - på kort og langt sigt", Agrotech, November 2013</t>
  </si>
  <si>
    <t>”Miljøeffekter af metanlækage på biogasanlæg”, Agrotek, 2015</t>
  </si>
  <si>
    <t>3.6. Thermal gasification</t>
  </si>
  <si>
    <t>Gasifier, biomass, bio-SNG, medium - large scale</t>
  </si>
  <si>
    <t>Thermal gasification costs calculations for TYNDP 2024</t>
  </si>
  <si>
    <t>Basic plant configurations</t>
  </si>
  <si>
    <r>
      <t>Typical fuel input capacity, one unit (MW</t>
    </r>
    <r>
      <rPr>
        <vertAlign val="subscript"/>
        <sz val="9"/>
        <rFont val="Arial"/>
        <family val="2"/>
      </rPr>
      <t>th</t>
    </r>
    <r>
      <rPr>
        <sz val="9"/>
        <rFont val="Arial"/>
        <family val="2"/>
      </rPr>
      <t>)</t>
    </r>
  </si>
  <si>
    <t>12;13</t>
  </si>
  <si>
    <t>Size (input)</t>
  </si>
  <si>
    <t>154-400</t>
  </si>
  <si>
    <t>MWth</t>
  </si>
  <si>
    <t>Output (SNG)</t>
  </si>
  <si>
    <t>60-70</t>
  </si>
  <si>
    <t>Plant size MWhth</t>
  </si>
  <si>
    <t>- Input</t>
  </si>
  <si>
    <t>B</t>
  </si>
  <si>
    <t>Heat</t>
  </si>
  <si>
    <t>Biomass (% of input capacity)</t>
  </si>
  <si>
    <t>Outeges unplanned</t>
  </si>
  <si>
    <t>Electricity (% of input capacity)</t>
  </si>
  <si>
    <t>Planned</t>
  </si>
  <si>
    <t>week/year</t>
  </si>
  <si>
    <t>Total yearly costs (Mio €/year)</t>
  </si>
  <si>
    <t>- Output</t>
  </si>
  <si>
    <t>Running hours</t>
  </si>
  <si>
    <t>h/year</t>
  </si>
  <si>
    <t>Bio SNG (% of fuel input)</t>
  </si>
  <si>
    <t>21;19;13/17/19;</t>
  </si>
  <si>
    <t>Yearly produktion of SNG (MWh)</t>
  </si>
  <si>
    <t>Heat (% of input)</t>
  </si>
  <si>
    <t>H</t>
  </si>
  <si>
    <t>Discount rate</t>
  </si>
  <si>
    <t>Produktion cost €/MWh gas produced</t>
  </si>
  <si>
    <t>Unplanned outage (%)</t>
  </si>
  <si>
    <t>Planned outage (weeks per year)</t>
  </si>
  <si>
    <t>Feedstock cost (from biomethane tool) €/MWh</t>
  </si>
  <si>
    <t>Total cost of SNG inclusive feedstock</t>
  </si>
  <si>
    <r>
      <t>Specific investment (M€/MW</t>
    </r>
    <r>
      <rPr>
        <vertAlign val="subscript"/>
        <sz val="9"/>
        <rFont val="Arial"/>
        <family val="2"/>
      </rPr>
      <t>th</t>
    </r>
    <r>
      <rPr>
        <sz val="9"/>
        <rFont val="Arial"/>
        <family val="2"/>
      </rPr>
      <t>)</t>
    </r>
  </si>
  <si>
    <t>E</t>
  </si>
  <si>
    <t>12+21;12+19+13;15/17</t>
  </si>
  <si>
    <t>Fixed O&amp;M (€/MWth/year)</t>
  </si>
  <si>
    <t>12/21;12/21+13/17/19</t>
  </si>
  <si>
    <r>
      <t>Variable O&amp;M (€/MWh</t>
    </r>
    <r>
      <rPr>
        <vertAlign val="subscript"/>
        <sz val="9"/>
        <rFont val="Arial"/>
        <family val="2"/>
      </rPr>
      <t>th</t>
    </r>
    <r>
      <rPr>
        <sz val="9"/>
        <rFont val="Arial"/>
        <family val="2"/>
      </rPr>
      <t>)</t>
    </r>
  </si>
  <si>
    <t>Technology specific data</t>
  </si>
  <si>
    <t>Warm start-up time (hours)</t>
  </si>
  <si>
    <t>C</t>
  </si>
  <si>
    <t>Cold start-up time (hours)</t>
  </si>
  <si>
    <t>Environment</t>
  </si>
  <si>
    <r>
      <t>NO</t>
    </r>
    <r>
      <rPr>
        <vertAlign val="subscript"/>
        <sz val="9"/>
        <rFont val="Arial"/>
        <family val="2"/>
      </rPr>
      <t>X</t>
    </r>
    <r>
      <rPr>
        <sz val="9"/>
        <rFont val="Arial"/>
        <family val="2"/>
      </rPr>
      <t xml:space="preserve"> (g per GJ fuel) </t>
    </r>
  </si>
  <si>
    <t>D</t>
  </si>
  <si>
    <t>23, 29</t>
  </si>
  <si>
    <r>
      <t>CH</t>
    </r>
    <r>
      <rPr>
        <vertAlign val="subscript"/>
        <sz val="9"/>
        <rFont val="Arial"/>
        <family val="2"/>
      </rPr>
      <t>4</t>
    </r>
    <r>
      <rPr>
        <sz val="9"/>
        <rFont val="Arial"/>
        <family val="2"/>
      </rPr>
      <t xml:space="preserve"> (g per GJ fuel)</t>
    </r>
  </si>
  <si>
    <r>
      <t>N</t>
    </r>
    <r>
      <rPr>
        <vertAlign val="subscript"/>
        <sz val="9"/>
        <rFont val="Arial"/>
        <family val="2"/>
      </rPr>
      <t>2</t>
    </r>
    <r>
      <rPr>
        <sz val="9"/>
        <rFont val="Arial"/>
        <family val="2"/>
      </rPr>
      <t>O (g per GJ fuel)</t>
    </r>
  </si>
  <si>
    <t>References:</t>
  </si>
  <si>
    <t>Commissioning of the GoBiGas 20 MW biomethane plant. Thuman 2015</t>
  </si>
  <si>
    <t>Forgasning – Fase 2. Økonomi, videnindhentning og samarbejde. DGC Februar 2012.</t>
  </si>
  <si>
    <t>Gassner &amp; Marechal, 2012</t>
  </si>
  <si>
    <t>Bio2G - A full scale reference plant in Sweden for production of bio-SNG, E.ON (Möller) 2013.</t>
  </si>
  <si>
    <t>Tunå &amp; Hulteberg, 2014.</t>
  </si>
  <si>
    <t>Force, Technology data for advanced bioenergy fuels, 2013</t>
  </si>
  <si>
    <t>Notes:</t>
  </si>
  <si>
    <t>With flue gas condensation</t>
  </si>
  <si>
    <t>Generally the plants' electricity generation is assumed to balance the consumption</t>
  </si>
  <si>
    <t>Assumed to be in the same magnitude as a coal fired power plant</t>
  </si>
  <si>
    <t>2015 data for NOX and N2O origin from [23]. Other values are assumed to be in the same magnitude as a biomass fired PF power plant (pellets)</t>
  </si>
  <si>
    <t>For 2015, values reflect the 20 MWgas Swedish GoBiGas Phase 1 demonstration project. A proportionality factor of 0.7 is assumed to apply when going from 2015 to 2020 based on the anticipated upscaling from 20 MWgas to 100 MWgas [21]. For 2030, the figure is an average of a value from theoretical studies [17] multiplied by 1.4 and a value from feasibility studies [19] multiplied by 1.15. From 2030 to 2050 simply a reduction of 10% has been assumed to reflect a learning curve.</t>
  </si>
  <si>
    <t>Assumed that the total O&amp;M costs splits in 1/3 variable, 2/3 fixed costs, 8000 h/year</t>
  </si>
  <si>
    <t>Efficiencies are expected to improve gradually from presently demonstrated level, to values corresponding to various studies for large plants in 2030, and gradual increase to 2050. It is assumed that a total efficiency of 90% can be obtained.</t>
  </si>
  <si>
    <t>Heat at normal district heating temprature set 80/50 deg. Additional low temperature heat for heat pumps is possible. For uncertainty values, a higher heat output can be expected at low gas output and vice versa.</t>
  </si>
  <si>
    <t>Source: TYNDP 2022 PCI projects</t>
  </si>
  <si>
    <t>TYNDP PCI project for 2022</t>
  </si>
  <si>
    <t>Exporter</t>
  </si>
  <si>
    <t>Importer</t>
  </si>
  <si>
    <t>Algeria</t>
  </si>
  <si>
    <t>Italy</t>
  </si>
  <si>
    <t>Spain</t>
  </si>
  <si>
    <t>North africa total</t>
  </si>
  <si>
    <t>Norway</t>
  </si>
  <si>
    <t>Belgium</t>
  </si>
  <si>
    <t xml:space="preserve">Norway </t>
  </si>
  <si>
    <t>Germany</t>
  </si>
  <si>
    <t>Norway total</t>
  </si>
  <si>
    <t xml:space="preserve">Ukraine </t>
  </si>
  <si>
    <t>Hungary</t>
  </si>
  <si>
    <t>Romania</t>
  </si>
  <si>
    <t>Slovakia</t>
  </si>
  <si>
    <t>Ukraine total</t>
  </si>
  <si>
    <t>Ship</t>
  </si>
  <si>
    <t>European Hydrogen Backbone: https://ehb.eu/files/downloads/1653999355_EHB-Supply-corridors-presentation-Full-compressed-1.pdf</t>
  </si>
  <si>
    <t>EHB (TWh/year)</t>
  </si>
  <si>
    <t xml:space="preserve">Import potential </t>
  </si>
  <si>
    <t>North Africa</t>
  </si>
  <si>
    <t>Ukraine</t>
  </si>
  <si>
    <t xml:space="preserve">Total </t>
  </si>
  <si>
    <t>IEA Global Hydrogen Review: https://www.iea.org/reports/global-hydrogen-review-2022</t>
  </si>
  <si>
    <t>IEA (TWh/year)</t>
  </si>
  <si>
    <t>Import potentials</t>
  </si>
  <si>
    <t>Shipping</t>
  </si>
  <si>
    <t>No data</t>
  </si>
  <si>
    <t>IRENA: https://iea.blob.core.windows.net/assets/c5bc75b1-9e4d-460d-9056-6e8e626a11c4/GlobalHydrogenReview2022.pdf</t>
  </si>
  <si>
    <t>IRENA (TWh/year)</t>
  </si>
  <si>
    <t xml:space="preserve">Import </t>
  </si>
  <si>
    <t xml:space="preserve">Ship </t>
  </si>
  <si>
    <t>H2 from North Africa</t>
  </si>
  <si>
    <t>NH3 from North Africa</t>
  </si>
  <si>
    <t xml:space="preserve">Morocco H2 strategy: https://www.mem.gov.ma/Lists/Lst_rapports/Attachments/36/Feuille%20de%20route%20de%20hydrog%C3%A8ne%20vert.pdf </t>
  </si>
  <si>
    <t>Morocco H2 strategy (TWh/year)</t>
  </si>
  <si>
    <t>From Morooco to Spain</t>
  </si>
  <si>
    <t>New data after consultation - UK is included</t>
  </si>
  <si>
    <t>UK</t>
  </si>
  <si>
    <t>Green</t>
  </si>
  <si>
    <t>Blue</t>
  </si>
  <si>
    <t>Grid</t>
  </si>
  <si>
    <t>Demand</t>
  </si>
  <si>
    <t>Export</t>
  </si>
  <si>
    <t>Import potentials (approved numbers) TWh/year</t>
  </si>
  <si>
    <t xml:space="preserve">Region </t>
  </si>
  <si>
    <t>By Ship</t>
  </si>
  <si>
    <t>Only 2040 import by ship is interpolated, to give a more natural shape of the import potential.</t>
  </si>
  <si>
    <t>Methane MAX import potentials (TWh/year)</t>
  </si>
  <si>
    <t>Azerbaijan</t>
  </si>
  <si>
    <t>Libya</t>
  </si>
  <si>
    <t>Turkey</t>
  </si>
  <si>
    <t>Turkmenistan</t>
  </si>
  <si>
    <t>Russia (via Ukraine and Turkey)</t>
  </si>
  <si>
    <t>(Current flows 26/6 2023)</t>
  </si>
  <si>
    <t>Cyprus / Israel</t>
  </si>
  <si>
    <t>LNG MAX import potentials (TWh/year)</t>
  </si>
  <si>
    <t>LNG Middle East</t>
  </si>
  <si>
    <t>LNG North Africa</t>
  </si>
  <si>
    <t>LNG North America</t>
  </si>
  <si>
    <t>LNG Other</t>
  </si>
  <si>
    <t>4.3. Import Prices for Hydrogen and Ammonia</t>
  </si>
  <si>
    <t xml:space="preserve">price Source: https://ehb.eu/files/downloads/EHB-Supply-corridor-presentation-Full-version.pdf </t>
  </si>
  <si>
    <t>H2 by pipeline base prices</t>
  </si>
  <si>
    <t>Price used in the model including modification</t>
  </si>
  <si>
    <t>YEAR</t>
  </si>
  <si>
    <t>Base price from source [€/MWh]</t>
  </si>
  <si>
    <t>National trends</t>
  </si>
  <si>
    <t>CORRIDOR</t>
  </si>
  <si>
    <t>OFFER PRICE [€/MWh]</t>
  </si>
  <si>
    <t>MAX ENERGY YEAR [GWh]</t>
  </si>
  <si>
    <t>DZ</t>
  </si>
  <si>
    <t>ES</t>
  </si>
  <si>
    <t>DZ-ES-LOW</t>
  </si>
  <si>
    <t>Pure Hydrogen</t>
  </si>
  <si>
    <t>MA</t>
  </si>
  <si>
    <t>DZ-ES-HIGH</t>
  </si>
  <si>
    <t>IT</t>
  </si>
  <si>
    <t>MA-ES-LOW</t>
  </si>
  <si>
    <t>MA-ES-HIGH</t>
  </si>
  <si>
    <t>UA</t>
  </si>
  <si>
    <t>RO</t>
  </si>
  <si>
    <t>DZ-IT-LOW</t>
  </si>
  <si>
    <t>Fixed quantity</t>
  </si>
  <si>
    <t>HU</t>
  </si>
  <si>
    <t>DZ-IT-HIGH</t>
  </si>
  <si>
    <t>SK</t>
  </si>
  <si>
    <t>NO-DE-LOW</t>
  </si>
  <si>
    <t>NO-DE-HIGH</t>
  </si>
  <si>
    <t>NO-BE-LOW</t>
  </si>
  <si>
    <t>NO-BE-HIGH</t>
  </si>
  <si>
    <t>UA-RO-LOW</t>
  </si>
  <si>
    <t>UA-RO-HIGH</t>
  </si>
  <si>
    <t>BE</t>
  </si>
  <si>
    <t>UA-HU-LOW</t>
  </si>
  <si>
    <t>UA-HU-HIGH</t>
  </si>
  <si>
    <t>UA-SK-LOW</t>
  </si>
  <si>
    <t>UA-SK-HIGH</t>
  </si>
  <si>
    <t>Shipped import-BE-LOW</t>
  </si>
  <si>
    <t>Liquified H2 carrier (e.g. Ammonia)</t>
  </si>
  <si>
    <t>Shipped import-BE-HIGH</t>
  </si>
  <si>
    <t>Shipped import-FR-LOW</t>
  </si>
  <si>
    <t>Shipped import-FR-HIGH</t>
  </si>
  <si>
    <t>Shipped import-DE-LOW</t>
  </si>
  <si>
    <t>Shipped import-DE-HIGH</t>
  </si>
  <si>
    <t>Low price band</t>
  </si>
  <si>
    <t>Shipped import-NL-LOW</t>
  </si>
  <si>
    <t>Shipped import-NL-HIGH</t>
  </si>
  <si>
    <t>Marocco</t>
  </si>
  <si>
    <t>Ammonia</t>
  </si>
  <si>
    <t>High price band</t>
  </si>
  <si>
    <t>H2 import prices (€/MWh)</t>
  </si>
  <si>
    <t xml:space="preserve"> ----------------------------------- 2040 -----------------------------------</t>
  </si>
  <si>
    <t>Scenario</t>
  </si>
  <si>
    <t>Ammonia by ship - based on prices from sheet 3.3</t>
  </si>
  <si>
    <t>Import source</t>
  </si>
  <si>
    <t>Low band</t>
  </si>
  <si>
    <t>High band</t>
  </si>
  <si>
    <t xml:space="preserve"> ----------------------------------- 2050 -----------------------------------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</si>
</sst>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8" formatCode="#,##0.00\ &quot;€&quot;;[Red]\-#,##0.00\ &quot;€&quot;"/>
    <numFmt numFmtId="43" formatCode="_-* #,##0.00_-;\-* #,##0.00_-;_-* &quot;-&quot;??_-;_-@_-"/>
    <numFmt numFmtId="164" formatCode="_-* #,##0_-;\-* #,##0_-;_-* &quot;-&quot;??_-;_-@_-"/>
    <numFmt numFmtId="165" formatCode="0.0%"/>
    <numFmt numFmtId="166" formatCode="0.000"/>
    <numFmt numFmtId="167" formatCode="0.0"/>
    <numFmt numFmtId="168" formatCode="_-* #,##0.00\ _€_-;\-* #,##0.00\ _€_-;_-* &quot;-&quot;??\ _€_-;_-@_-"/>
    <numFmt numFmtId="169" formatCode="_(* #,##0_);_(* \(#,##0\);_(* &quot;-&quot;??_);_(@_)"/>
    <numFmt numFmtId="170" formatCode="#,##0_ ;\-#,##0\ "/>
    <numFmt numFmtId="171" formatCode="_ * #,##0.0_ ;_ * \-#,##0.0_ ;_ * &quot;-&quot;??_ ;_ @_ "/>
    <numFmt numFmtId="172" formatCode="_ * #,##0_ ;_ * \-#,##0_ ;_ * &quot;-&quot;??_ ;_ @_ "/>
    <numFmt numFmtId="173" formatCode="_-* #,##0.0\ _€_-;\-* #,##0.0\ _€_-;_-* &quot;-&quot;?\ _€_-;_-@_-"/>
    <numFmt numFmtId="174" formatCode="_-* #,##0.0_-;\-* #,##0.0_-;_-* &quot;-&quot;?_-;_-@_-"/>
  </numFmts>
  <fonts count="7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4"/>
      <color rgb="FF000000"/>
      <name val="Times New Roman"/>
      <family val="1"/>
    </font>
    <font>
      <u/>
      <sz val="11"/>
      <color theme="10"/>
      <name val="Calibri"/>
      <family val="2"/>
      <scheme val="minor"/>
    </font>
    <font>
      <sz val="10"/>
      <color theme="1"/>
      <name val="Calibri"/>
      <family val="2"/>
      <scheme val="minor"/>
    </font>
    <font>
      <b/>
      <sz val="10"/>
      <color theme="1"/>
      <name val="Calibri"/>
      <family val="2"/>
      <scheme val="minor"/>
    </font>
    <font>
      <b/>
      <sz val="11"/>
      <name val="Calibri"/>
      <family val="2"/>
      <scheme val="minor"/>
    </font>
    <font>
      <sz val="11"/>
      <name val="Calibri"/>
      <family val="2"/>
    </font>
    <font>
      <sz val="11"/>
      <color theme="1"/>
      <name val="Calibri"/>
      <family val="2"/>
    </font>
    <font>
      <sz val="11"/>
      <color rgb="FF000000"/>
      <name val="Calibri"/>
      <family val="2"/>
      <scheme val="minor"/>
    </font>
    <font>
      <b/>
      <sz val="11"/>
      <color rgb="FF000000"/>
      <name val="Calibri"/>
      <family val="2"/>
      <scheme val="minor"/>
    </font>
    <font>
      <sz val="11"/>
      <name val="Calibri"/>
      <family val="2"/>
      <scheme val="minor"/>
    </font>
    <font>
      <b/>
      <u/>
      <sz val="11"/>
      <color theme="1"/>
      <name val="Calibri"/>
      <family val="2"/>
      <scheme val="minor"/>
    </font>
    <font>
      <b/>
      <i/>
      <sz val="10"/>
      <color theme="1"/>
      <name val="Calibri Lighq"/>
    </font>
    <font>
      <i/>
      <sz val="10"/>
      <color theme="1"/>
      <name val="Calibri Lighq"/>
    </font>
    <font>
      <sz val="11"/>
      <color rgb="FF00B050"/>
      <name val="Calibri"/>
      <family val="2"/>
      <scheme val="minor"/>
    </font>
    <font>
      <b/>
      <i/>
      <sz val="10"/>
      <color theme="1"/>
      <name val="Calibri Light"/>
      <family val="2"/>
      <scheme val="major"/>
    </font>
    <font>
      <i/>
      <sz val="10"/>
      <color theme="1"/>
      <name val="Calibri Light"/>
      <family val="2"/>
      <scheme val="major"/>
    </font>
    <font>
      <i/>
      <sz val="11"/>
      <color theme="1"/>
      <name val="Calibri"/>
      <family val="2"/>
      <scheme val="minor"/>
    </font>
    <font>
      <b/>
      <i/>
      <sz val="11"/>
      <color theme="1"/>
      <name val="Calibri Light"/>
      <family val="2"/>
      <scheme val="major"/>
    </font>
    <font>
      <b/>
      <i/>
      <sz val="11"/>
      <color theme="1"/>
      <name val="Calibri"/>
      <family val="2"/>
      <scheme val="minor"/>
    </font>
    <font>
      <i/>
      <sz val="11"/>
      <color theme="1"/>
      <name val="Calibri Light"/>
      <family val="2"/>
      <scheme val="major"/>
    </font>
    <font>
      <b/>
      <i/>
      <sz val="10"/>
      <color theme="1"/>
      <name val="Calibri"/>
      <family val="2"/>
      <scheme val="minor"/>
    </font>
    <font>
      <i/>
      <sz val="10"/>
      <color theme="1"/>
      <name val="Calibri"/>
      <family val="2"/>
      <scheme val="minor"/>
    </font>
    <font>
      <b/>
      <i/>
      <sz val="18"/>
      <color theme="1"/>
      <name val="Calibri"/>
      <family val="2"/>
      <scheme val="minor"/>
    </font>
    <font>
      <b/>
      <i/>
      <sz val="22"/>
      <color theme="1"/>
      <name val="Calibri"/>
      <family val="2"/>
      <scheme val="minor"/>
    </font>
    <font>
      <sz val="8"/>
      <color theme="1"/>
      <name val="Calibri"/>
      <family val="2"/>
      <scheme val="minor"/>
    </font>
    <font>
      <sz val="11"/>
      <color theme="1"/>
      <name val="Arial"/>
      <family val="2"/>
    </font>
    <font>
      <sz val="9"/>
      <color theme="1"/>
      <name val="Calibri"/>
      <family val="2"/>
      <scheme val="minor"/>
    </font>
    <font>
      <sz val="9"/>
      <color rgb="FF000000"/>
      <name val="Calibri"/>
      <family val="2"/>
      <scheme val="minor"/>
    </font>
    <font>
      <b/>
      <sz val="9"/>
      <color theme="1"/>
      <name val="Calibri"/>
      <family val="2"/>
      <scheme val="minor"/>
    </font>
    <font>
      <sz val="16"/>
      <name val="Calibri"/>
      <family val="2"/>
      <scheme val="minor"/>
    </font>
    <font>
      <b/>
      <i/>
      <sz val="9"/>
      <color theme="1"/>
      <name val="Calibri"/>
      <family val="2"/>
      <scheme val="minor"/>
    </font>
    <font>
      <sz val="11"/>
      <color indexed="8"/>
      <name val="Calibri"/>
      <family val="2"/>
    </font>
    <font>
      <b/>
      <sz val="11"/>
      <color theme="0"/>
      <name val="Calibri"/>
      <family val="2"/>
    </font>
    <font>
      <b/>
      <sz val="8"/>
      <name val="Arial"/>
      <family val="2"/>
    </font>
    <font>
      <sz val="11"/>
      <color theme="0"/>
      <name val="Calibri"/>
      <family val="2"/>
    </font>
    <font>
      <b/>
      <sz val="11"/>
      <color rgb="FF000000"/>
      <name val="Calibri"/>
      <family val="2"/>
    </font>
    <font>
      <sz val="11"/>
      <color rgb="FFFFFFFF"/>
      <name val="Calibri"/>
      <family val="2"/>
    </font>
    <font>
      <sz val="11"/>
      <color rgb="FF000000"/>
      <name val="Calibri"/>
      <family val="2"/>
    </font>
    <font>
      <sz val="11"/>
      <color rgb="FF595959"/>
      <name val="Calibri"/>
      <family val="2"/>
    </font>
    <font>
      <b/>
      <sz val="11"/>
      <color rgb="FFFFFFFF"/>
      <name val="Calibri"/>
      <family val="2"/>
      <scheme val="minor"/>
    </font>
    <font>
      <sz val="11"/>
      <color rgb="FFFFFFFF"/>
      <name val="Calibri"/>
      <family val="2"/>
      <scheme val="minor"/>
    </font>
    <font>
      <b/>
      <sz val="10"/>
      <color rgb="FF333333"/>
      <name val="Arial"/>
      <family val="2"/>
    </font>
    <font>
      <sz val="10"/>
      <color rgb="FF333333"/>
      <name val="Arial"/>
      <family val="2"/>
    </font>
    <font>
      <sz val="8"/>
      <name val="Arial"/>
      <family val="2"/>
    </font>
    <font>
      <sz val="8"/>
      <color rgb="FF4A6A00"/>
      <name val="Arial"/>
      <family val="2"/>
    </font>
    <font>
      <b/>
      <sz val="8"/>
      <color rgb="FFFFFFFF"/>
      <name val="Arial"/>
      <family val="2"/>
    </font>
    <font>
      <sz val="8"/>
      <color rgb="FF648C1A"/>
      <name val="Arial"/>
      <family val="2"/>
    </font>
    <font>
      <b/>
      <sz val="10"/>
      <name val="Arial"/>
      <family val="2"/>
    </font>
    <font>
      <b/>
      <sz val="9"/>
      <color theme="1"/>
      <name val="Calibri"/>
      <family val="2"/>
    </font>
    <font>
      <sz val="9"/>
      <name val="Arial"/>
      <family val="2"/>
    </font>
    <font>
      <b/>
      <i/>
      <sz val="9"/>
      <name val="Arial"/>
      <family val="2"/>
    </font>
    <font>
      <sz val="10"/>
      <name val="Arial"/>
      <family val="2"/>
    </font>
    <font>
      <b/>
      <sz val="9"/>
      <name val="Arial"/>
      <family val="2"/>
    </font>
    <font>
      <vertAlign val="subscript"/>
      <sz val="9"/>
      <name val="Arial"/>
      <family val="2"/>
    </font>
    <font>
      <b/>
      <i/>
      <sz val="18"/>
      <name val="Calibri"/>
      <family val="2"/>
      <scheme val="minor"/>
    </font>
    <font>
      <sz val="11"/>
      <color rgb="FFC00000"/>
      <name val="Calibri"/>
      <family val="2"/>
      <scheme val="minor"/>
    </font>
    <font>
      <b/>
      <i/>
      <sz val="18"/>
      <color rgb="FF000000"/>
      <name val="Calibri"/>
      <family val="2"/>
      <scheme val="minor"/>
    </font>
    <font>
      <sz val="20"/>
      <color rgb="FF17253F"/>
      <name val="Lato"/>
      <family val="2"/>
    </font>
    <font>
      <sz val="20"/>
      <color rgb="FF134094"/>
      <name val="Arial"/>
      <family val="2"/>
    </font>
    <font>
      <b/>
      <sz val="8"/>
      <color theme="1"/>
      <name val="Calibri"/>
      <family val="2"/>
      <scheme val="minor"/>
    </font>
    <font>
      <b/>
      <sz val="11"/>
      <color theme="1"/>
      <name val="Calibri"/>
      <family val="2"/>
    </font>
    <font>
      <b/>
      <sz val="11"/>
      <color rgb="FFFFFFFF"/>
      <name val="Calibri"/>
      <family val="2"/>
    </font>
    <font>
      <sz val="9"/>
      <color rgb="FF000000"/>
      <name val="Calibri"/>
      <family val="2"/>
    </font>
    <font>
      <u/>
      <sz val="11"/>
      <color rgb="FF0563C1"/>
      <name val="Calibri"/>
      <family val="2"/>
    </font>
    <font>
      <b/>
      <sz val="12"/>
      <color rgb="FFFFFFFF"/>
      <name val="Calibri"/>
      <family val="2"/>
    </font>
  </fonts>
  <fills count="59">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E6E1E9"/>
        <bgColor indexed="64"/>
      </patternFill>
    </fill>
    <fill>
      <patternFill patternType="solid">
        <fgColor rgb="FFFFFF00"/>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66CCFF"/>
        <bgColor indexed="64"/>
      </patternFill>
    </fill>
    <fill>
      <patternFill patternType="solid">
        <fgColor theme="4"/>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rgb="FF00FFFF"/>
        <bgColor indexed="64"/>
      </patternFill>
    </fill>
    <fill>
      <patternFill patternType="solid">
        <fgColor rgb="FFABFFFF"/>
        <bgColor indexed="64"/>
      </patternFill>
    </fill>
    <fill>
      <patternFill patternType="solid">
        <fgColor rgb="FF00FF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0"/>
        <bgColor indexed="64"/>
      </patternFill>
    </fill>
    <fill>
      <patternFill patternType="solid">
        <fgColor rgb="FFFFFFFF"/>
        <bgColor indexed="64"/>
      </patternFill>
    </fill>
    <fill>
      <patternFill patternType="solid">
        <fgColor theme="1"/>
        <bgColor indexed="64"/>
      </patternFill>
    </fill>
    <fill>
      <patternFill patternType="solid">
        <fgColor rgb="FFFFFFFF"/>
        <bgColor rgb="FF000000"/>
      </patternFill>
    </fill>
    <fill>
      <patternFill patternType="solid">
        <fgColor rgb="FF4472C4"/>
        <bgColor rgb="FF000000"/>
      </patternFill>
    </fill>
    <fill>
      <patternFill patternType="solid">
        <fgColor rgb="FFFCE4D6"/>
        <bgColor rgb="FF000000"/>
      </patternFill>
    </fill>
    <fill>
      <patternFill patternType="solid">
        <fgColor rgb="FFFFFF00"/>
        <bgColor rgb="FF000000"/>
      </patternFill>
    </fill>
    <fill>
      <patternFill patternType="solid">
        <fgColor rgb="FFBDD7EE"/>
        <bgColor rgb="FF000000"/>
      </patternFill>
    </fill>
    <fill>
      <patternFill patternType="solid">
        <fgColor rgb="FF305496"/>
        <bgColor rgb="FF000000"/>
      </patternFill>
    </fill>
    <fill>
      <patternFill patternType="solid">
        <fgColor rgb="FF000000"/>
        <bgColor rgb="FF000000"/>
      </patternFill>
    </fill>
    <fill>
      <patternFill patternType="solid">
        <fgColor rgb="FFFFF2CC"/>
        <bgColor rgb="FF000000"/>
      </patternFill>
    </fill>
    <fill>
      <patternFill patternType="solid">
        <fgColor rgb="FF4472C4"/>
        <bgColor indexed="64"/>
      </patternFill>
    </fill>
    <fill>
      <patternFill patternType="solid">
        <fgColor rgb="FFBDD7EE"/>
        <bgColor indexed="64"/>
      </patternFill>
    </fill>
    <fill>
      <patternFill patternType="solid">
        <fgColor rgb="FFDDEBF7"/>
        <bgColor indexed="64"/>
      </patternFill>
    </fill>
    <fill>
      <patternFill patternType="solid">
        <fgColor theme="3"/>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F1D1"/>
        <bgColor rgb="FF000000"/>
      </patternFill>
    </fill>
    <fill>
      <patternFill patternType="solid">
        <fgColor rgb="FF555759"/>
        <bgColor rgb="FF000000"/>
      </patternFill>
    </fill>
    <fill>
      <patternFill patternType="solid">
        <fgColor rgb="FF648C1A"/>
        <bgColor rgb="FF000000"/>
      </patternFill>
    </fill>
    <fill>
      <patternFill patternType="solid">
        <fgColor theme="0" tint="-0.249977111117893"/>
        <bgColor indexed="64"/>
      </patternFill>
    </fill>
    <fill>
      <patternFill patternType="solid">
        <fgColor rgb="FFC00000"/>
        <bgColor indexed="64"/>
      </patternFill>
    </fill>
    <fill>
      <patternFill patternType="solid">
        <fgColor theme="9" tint="-0.499984740745262"/>
        <bgColor indexed="64"/>
      </patternFill>
    </fill>
    <fill>
      <patternFill patternType="solid">
        <fgColor rgb="FF7030A0"/>
        <bgColor indexed="64"/>
      </patternFill>
    </fill>
    <fill>
      <patternFill patternType="solid">
        <fgColor rgb="FF00B0F0"/>
        <bgColor indexed="64"/>
      </patternFill>
    </fill>
    <fill>
      <patternFill patternType="solid">
        <fgColor rgb="FF002060"/>
        <bgColor indexed="64"/>
      </patternFill>
    </fill>
    <fill>
      <patternFill patternType="solid">
        <fgColor theme="9" tint="0.59999389629810485"/>
        <bgColor indexed="64"/>
      </patternFill>
    </fill>
    <fill>
      <patternFill patternType="solid">
        <fgColor theme="4" tint="-0.499984740745262"/>
        <bgColor indexed="64"/>
      </patternFill>
    </fill>
    <fill>
      <patternFill patternType="solid">
        <fgColor theme="5"/>
        <bgColor indexed="64"/>
      </patternFill>
    </fill>
    <fill>
      <patternFill patternType="solid">
        <fgColor rgb="FF44546A"/>
        <bgColor rgb="FF000000"/>
      </patternFill>
    </fill>
    <fill>
      <patternFill patternType="solid">
        <fgColor rgb="FFC6E0B4"/>
        <bgColor rgb="FF000000"/>
      </patternFill>
    </fill>
    <fill>
      <patternFill patternType="solid">
        <fgColor rgb="FFFFC000"/>
        <bgColor rgb="FF000000"/>
      </patternFill>
    </fill>
    <fill>
      <patternFill patternType="solid">
        <fgColor rgb="FF104861"/>
        <bgColor rgb="FF000000"/>
      </patternFill>
    </fill>
    <fill>
      <patternFill patternType="solid">
        <fgColor theme="6"/>
        <bgColor indexed="64"/>
      </patternFill>
    </fill>
  </fills>
  <borders count="8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top style="thin">
        <color rgb="FF000000"/>
      </top>
      <bottom/>
      <diagonal/>
    </border>
    <border>
      <left/>
      <right style="thin">
        <color rgb="FF000000"/>
      </right>
      <top/>
      <bottom/>
      <diagonal/>
    </border>
    <border>
      <left/>
      <right/>
      <top/>
      <bottom style="dotted">
        <color rgb="FF000000"/>
      </bottom>
      <diagonal/>
    </border>
    <border>
      <left/>
      <right/>
      <top style="dotted">
        <color rgb="FF000000"/>
      </top>
      <bottom style="dotted">
        <color rgb="FF000000"/>
      </bottom>
      <diagonal/>
    </border>
    <border>
      <left/>
      <right/>
      <top style="dotted">
        <color rgb="FF000000"/>
      </top>
      <bottom/>
      <diagonal/>
    </border>
    <border>
      <left/>
      <right style="thin">
        <color rgb="FFFFFFFF"/>
      </right>
      <top style="thin">
        <color indexed="64"/>
      </top>
      <bottom/>
      <diagonal/>
    </border>
    <border>
      <left style="thin">
        <color rgb="FFFFFFFF"/>
      </left>
      <right style="thin">
        <color rgb="FFFFFFFF"/>
      </right>
      <top style="thin">
        <color indexed="64"/>
      </top>
      <bottom style="thin">
        <color rgb="FFFFFFFF"/>
      </bottom>
      <diagonal/>
    </border>
    <border>
      <left style="thin">
        <color rgb="FFFFFFFF"/>
      </left>
      <right style="thin">
        <color indexed="64"/>
      </right>
      <top style="thin">
        <color indexed="64"/>
      </top>
      <bottom style="thin">
        <color rgb="FFFFFFFF"/>
      </bottom>
      <diagonal/>
    </border>
    <border>
      <left/>
      <right style="thin">
        <color rgb="FFFFFFFF"/>
      </right>
      <top/>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indexed="64"/>
      </right>
      <top style="thin">
        <color rgb="FFFFFFFF"/>
      </top>
      <bottom style="thin">
        <color rgb="FFFFFFFF"/>
      </bottom>
      <diagonal/>
    </border>
    <border>
      <left/>
      <right style="thin">
        <color rgb="FFFFFFFF"/>
      </right>
      <top/>
      <bottom style="thin">
        <color rgb="FFFFFFFF"/>
      </bottom>
      <diagonal/>
    </border>
    <border>
      <left style="thin">
        <color rgb="FFFFFFFF"/>
      </left>
      <right style="thin">
        <color rgb="FFFFFFFF"/>
      </right>
      <top/>
      <bottom/>
      <diagonal/>
    </border>
    <border>
      <left style="thin">
        <color rgb="FFFFFFFF"/>
      </left>
      <right style="thin">
        <color rgb="FFFFFFFF"/>
      </right>
      <top/>
      <bottom style="thin">
        <color indexed="64"/>
      </bottom>
      <diagonal/>
    </border>
    <border>
      <left style="thin">
        <color rgb="FFFFFFFF"/>
      </left>
      <right style="thin">
        <color rgb="FFFFFFFF"/>
      </right>
      <top style="thin">
        <color rgb="FFFFFFFF"/>
      </top>
      <bottom style="thin">
        <color indexed="64"/>
      </bottom>
      <diagonal/>
    </border>
    <border>
      <left style="thin">
        <color rgb="FFFFFFFF"/>
      </left>
      <right style="thin">
        <color indexed="64"/>
      </right>
      <top style="thin">
        <color rgb="FFFFFFFF"/>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ck">
        <color rgb="FFFFC000"/>
      </left>
      <right/>
      <top style="thick">
        <color rgb="FFFFC000"/>
      </top>
      <bottom/>
      <diagonal/>
    </border>
    <border>
      <left/>
      <right/>
      <top style="thick">
        <color rgb="FFFFC000"/>
      </top>
      <bottom/>
      <diagonal/>
    </border>
    <border>
      <left style="thick">
        <color rgb="FFFFC000"/>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BABABA"/>
      </left>
      <right/>
      <top style="medium">
        <color rgb="FFBABABA"/>
      </top>
      <bottom style="medium">
        <color rgb="FFBABABA"/>
      </bottom>
      <diagonal/>
    </border>
    <border>
      <left/>
      <right/>
      <top style="medium">
        <color rgb="FFBABABA"/>
      </top>
      <bottom style="medium">
        <color rgb="FFBABABA"/>
      </bottom>
      <diagonal/>
    </border>
    <border>
      <left/>
      <right style="medium">
        <color rgb="FFBABABA"/>
      </right>
      <top style="medium">
        <color rgb="FFBABABA"/>
      </top>
      <bottom style="medium">
        <color rgb="FFBABABA"/>
      </bottom>
      <diagonal/>
    </border>
    <border>
      <left/>
      <right/>
      <top style="medium">
        <color rgb="FFBABABA"/>
      </top>
      <bottom style="thick">
        <color rgb="FF189BD7"/>
      </bottom>
      <diagonal/>
    </border>
    <border>
      <left style="medium">
        <color rgb="FFBABABA"/>
      </left>
      <right/>
      <top style="medium">
        <color rgb="FFBABABA"/>
      </top>
      <bottom style="thick">
        <color rgb="FF189BD7"/>
      </bottom>
      <diagonal/>
    </border>
    <border>
      <left/>
      <right/>
      <top style="mediumDashed">
        <color rgb="FFBABABA"/>
      </top>
      <bottom/>
      <diagonal/>
    </border>
    <border>
      <left/>
      <right/>
      <top style="mediumDashed">
        <color rgb="FFBABABA"/>
      </top>
      <bottom style="medium">
        <color rgb="FF189BD7"/>
      </bottom>
      <diagonal/>
    </border>
    <border>
      <left/>
      <right/>
      <top style="thin">
        <color indexed="64"/>
      </top>
      <bottom style="double">
        <color indexed="64"/>
      </bottom>
      <diagonal/>
    </border>
    <border>
      <left style="hair">
        <color rgb="FFB9BBBD"/>
      </left>
      <right style="hair">
        <color rgb="FFB9BBBD"/>
      </right>
      <top style="hair">
        <color rgb="FFB9BBBD"/>
      </top>
      <bottom style="hair">
        <color rgb="FFB9BBBD"/>
      </bottom>
      <diagonal/>
    </border>
    <border>
      <left/>
      <right/>
      <top/>
      <bottom style="medium">
        <color rgb="FF95D600"/>
      </bottom>
      <diagonal/>
    </border>
    <border>
      <left/>
      <right/>
      <top/>
      <bottom style="double">
        <color indexed="64"/>
      </bottom>
      <diagonal/>
    </border>
    <border>
      <left/>
      <right style="medium">
        <color indexed="64"/>
      </right>
      <top style="thin">
        <color auto="1"/>
      </top>
      <bottom style="thin">
        <color auto="1"/>
      </bottom>
      <diagonal/>
    </border>
    <border>
      <left style="thin">
        <color indexed="64"/>
      </left>
      <right style="thin">
        <color indexed="64"/>
      </right>
      <top/>
      <bottom style="thin">
        <color indexed="64"/>
      </bottom>
      <diagonal/>
    </border>
    <border>
      <left/>
      <right style="medium">
        <color indexed="64"/>
      </right>
      <top/>
      <bottom style="thin">
        <color auto="1"/>
      </bottom>
      <diagonal/>
    </border>
    <border>
      <left style="thin">
        <color indexed="64"/>
      </left>
      <right style="thin">
        <color indexed="64"/>
      </right>
      <top style="thin">
        <color indexed="64"/>
      </top>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indexed="64"/>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dotted">
        <color auto="1"/>
      </top>
      <bottom/>
      <diagonal/>
    </border>
    <border>
      <left style="medium">
        <color auto="1"/>
      </left>
      <right/>
      <top style="dotted">
        <color auto="1"/>
      </top>
      <bottom/>
      <diagonal/>
    </border>
    <border>
      <left/>
      <right style="medium">
        <color auto="1"/>
      </right>
      <top style="dotted">
        <color auto="1"/>
      </top>
      <bottom/>
      <diagonal/>
    </border>
    <border>
      <left/>
      <right/>
      <top/>
      <bottom style="dotted">
        <color auto="1"/>
      </bottom>
      <diagonal/>
    </border>
    <border>
      <left style="medium">
        <color auto="1"/>
      </left>
      <right/>
      <top/>
      <bottom style="dotted">
        <color auto="1"/>
      </bottom>
      <diagonal/>
    </border>
    <border>
      <left/>
      <right style="medium">
        <color auto="1"/>
      </right>
      <top/>
      <bottom style="dotted">
        <color auto="1"/>
      </bottom>
      <diagonal/>
    </border>
  </borders>
  <cellStyleXfs count="13">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37" fillId="0" borderId="0"/>
    <xf numFmtId="168" fontId="1" fillId="0" borderId="0" applyFont="0" applyFill="0" applyBorder="0" applyAlignment="0" applyProtection="0"/>
    <xf numFmtId="0" fontId="49" fillId="0" borderId="51" applyNumberFormat="0" applyAlignment="0">
      <alignment vertical="top"/>
    </xf>
    <xf numFmtId="0" fontId="50" fillId="42" borderId="51" applyNumberFormat="0" applyAlignment="0">
      <alignment vertical="top"/>
    </xf>
    <xf numFmtId="0" fontId="49" fillId="42" borderId="51" applyNumberFormat="0" applyAlignment="0">
      <alignment vertical="top"/>
    </xf>
    <xf numFmtId="0" fontId="51" fillId="43" borderId="52" applyNumberFormat="0">
      <alignment vertical="center" wrapText="1"/>
    </xf>
    <xf numFmtId="0" fontId="51" fillId="44" borderId="51" applyNumberFormat="0" applyAlignment="0">
      <alignment vertical="top"/>
    </xf>
    <xf numFmtId="0" fontId="52" fillId="0" borderId="0" applyNumberFormat="0" applyFill="0" applyBorder="0" applyAlignment="0">
      <alignment vertical="top"/>
    </xf>
    <xf numFmtId="43" fontId="1" fillId="0" borderId="0" applyFont="0" applyFill="0" applyBorder="0" applyAlignment="0" applyProtection="0"/>
  </cellStyleXfs>
  <cellXfs count="674">
    <xf numFmtId="0" fontId="0" fillId="0" borderId="0" xfId="0"/>
    <xf numFmtId="0" fontId="0" fillId="0" borderId="0" xfId="0" applyAlignment="1">
      <alignment horizontal="center"/>
    </xf>
    <xf numFmtId="0" fontId="0" fillId="0" borderId="0" xfId="0" applyAlignment="1">
      <alignment horizontal="left" vertical="top" wrapText="1"/>
    </xf>
    <xf numFmtId="0" fontId="7" fillId="0" borderId="0" xfId="3"/>
    <xf numFmtId="0" fontId="7" fillId="0" borderId="0" xfId="3" applyAlignment="1">
      <alignment vertical="center"/>
    </xf>
    <xf numFmtId="0" fontId="13" fillId="0" borderId="0" xfId="0" applyFont="1"/>
    <xf numFmtId="0" fontId="4" fillId="0" borderId="0" xfId="0" applyFont="1" applyAlignment="1">
      <alignment horizontal="center"/>
    </xf>
    <xf numFmtId="0" fontId="4" fillId="6" borderId="1" xfId="0" applyFont="1" applyFill="1" applyBorder="1" applyAlignment="1">
      <alignment horizontal="center"/>
    </xf>
    <xf numFmtId="0" fontId="4" fillId="0" borderId="0" xfId="0" applyFont="1"/>
    <xf numFmtId="164" fontId="0" fillId="5" borderId="1" xfId="1" applyNumberFormat="1" applyFont="1" applyFill="1" applyBorder="1" applyAlignment="1">
      <alignment horizontal="center"/>
    </xf>
    <xf numFmtId="164" fontId="0" fillId="6" borderId="1" xfId="1" applyNumberFormat="1" applyFont="1" applyFill="1" applyBorder="1" applyAlignment="1">
      <alignment horizontal="center"/>
    </xf>
    <xf numFmtId="165" fontId="0" fillId="0" borderId="0" xfId="0" applyNumberFormat="1"/>
    <xf numFmtId="0" fontId="19" fillId="0" borderId="0" xfId="0" applyFont="1"/>
    <xf numFmtId="164" fontId="4" fillId="5" borderId="1" xfId="1" applyNumberFormat="1" applyFont="1" applyFill="1" applyBorder="1" applyAlignment="1">
      <alignment horizontal="center"/>
    </xf>
    <xf numFmtId="164" fontId="4" fillId="6" borderId="1" xfId="1" applyNumberFormat="1" applyFont="1" applyFill="1" applyBorder="1" applyAlignment="1">
      <alignment horizontal="center"/>
    </xf>
    <xf numFmtId="164" fontId="0" fillId="2" borderId="1" xfId="1" applyNumberFormat="1" applyFont="1" applyFill="1" applyBorder="1" applyAlignment="1">
      <alignment horizontal="center"/>
    </xf>
    <xf numFmtId="2" fontId="22" fillId="0" borderId="0" xfId="0" applyNumberFormat="1" applyFont="1" applyAlignment="1">
      <alignment horizontal="left"/>
    </xf>
    <xf numFmtId="164" fontId="4" fillId="2" borderId="1" xfId="1" applyNumberFormat="1" applyFont="1" applyFill="1" applyBorder="1" applyAlignment="1">
      <alignment horizontal="center"/>
    </xf>
    <xf numFmtId="0" fontId="22" fillId="0" borderId="0" xfId="0" applyFont="1"/>
    <xf numFmtId="0" fontId="0" fillId="0" borderId="0" xfId="0" applyAlignment="1">
      <alignment horizontal="left"/>
    </xf>
    <xf numFmtId="10" fontId="0" fillId="0" borderId="0" xfId="0" applyNumberFormat="1"/>
    <xf numFmtId="0" fontId="4" fillId="0" borderId="1" xfId="0" applyFont="1" applyBorder="1"/>
    <xf numFmtId="0" fontId="24" fillId="0" borderId="0" xfId="0" applyFont="1" applyAlignment="1">
      <alignment horizontal="left"/>
    </xf>
    <xf numFmtId="2" fontId="0" fillId="0" borderId="0" xfId="0" applyNumberFormat="1"/>
    <xf numFmtId="2" fontId="0" fillId="0" borderId="0" xfId="0" applyNumberFormat="1" applyAlignment="1">
      <alignment horizontal="left"/>
    </xf>
    <xf numFmtId="0" fontId="0" fillId="0" borderId="1" xfId="0" applyBorder="1"/>
    <xf numFmtId="0" fontId="0" fillId="8" borderId="1" xfId="0" applyFill="1" applyBorder="1"/>
    <xf numFmtId="0" fontId="4" fillId="8" borderId="1" xfId="0" applyFont="1" applyFill="1" applyBorder="1"/>
    <xf numFmtId="2" fontId="0" fillId="8" borderId="1" xfId="0" applyNumberFormat="1" applyFill="1" applyBorder="1"/>
    <xf numFmtId="2" fontId="0" fillId="8" borderId="1" xfId="0" applyNumberFormat="1" applyFill="1" applyBorder="1" applyAlignment="1">
      <alignment horizontal="center"/>
    </xf>
    <xf numFmtId="164" fontId="0" fillId="5" borderId="1" xfId="1" applyNumberFormat="1" applyFont="1" applyFill="1" applyBorder="1" applyAlignment="1">
      <alignment horizontal="center" vertical="center"/>
    </xf>
    <xf numFmtId="164" fontId="4" fillId="5" borderId="1" xfId="1" applyNumberFormat="1" applyFont="1" applyFill="1" applyBorder="1"/>
    <xf numFmtId="1" fontId="0" fillId="0" borderId="0" xfId="0" applyNumberFormat="1"/>
    <xf numFmtId="0" fontId="4" fillId="8" borderId="2" xfId="0" applyFont="1" applyFill="1" applyBorder="1"/>
    <xf numFmtId="0" fontId="4" fillId="8" borderId="3" xfId="0" applyFont="1" applyFill="1" applyBorder="1"/>
    <xf numFmtId="0" fontId="4" fillId="8" borderId="4" xfId="0" applyFont="1" applyFill="1" applyBorder="1"/>
    <xf numFmtId="0" fontId="14" fillId="5" borderId="1" xfId="0" applyFont="1" applyFill="1" applyBorder="1"/>
    <xf numFmtId="0" fontId="13" fillId="4" borderId="1" xfId="0" applyFont="1" applyFill="1" applyBorder="1"/>
    <xf numFmtId="0" fontId="7" fillId="4" borderId="1" xfId="3" applyFill="1" applyBorder="1"/>
    <xf numFmtId="0" fontId="4" fillId="8" borderId="0" xfId="0" applyFont="1" applyFill="1"/>
    <xf numFmtId="0" fontId="0" fillId="8" borderId="0" xfId="0" applyFill="1"/>
    <xf numFmtId="0" fontId="0" fillId="8" borderId="0" xfId="0" applyFill="1" applyAlignment="1">
      <alignment horizontal="center"/>
    </xf>
    <xf numFmtId="3" fontId="0" fillId="0" borderId="0" xfId="0" applyNumberFormat="1"/>
    <xf numFmtId="3" fontId="31" fillId="0" borderId="0" xfId="0" applyNumberFormat="1" applyFont="1" applyAlignment="1">
      <alignment horizontal="center"/>
    </xf>
    <xf numFmtId="0" fontId="31" fillId="0" borderId="0" xfId="0" applyFont="1"/>
    <xf numFmtId="0" fontId="32" fillId="0" borderId="0" xfId="0" applyFont="1"/>
    <xf numFmtId="0" fontId="32" fillId="0" borderId="0" xfId="0" applyFont="1" applyAlignment="1">
      <alignment horizontal="right"/>
    </xf>
    <xf numFmtId="3" fontId="0" fillId="0" borderId="0" xfId="0" applyNumberFormat="1" applyAlignment="1">
      <alignment horizontal="center"/>
    </xf>
    <xf numFmtId="0" fontId="4" fillId="10" borderId="0" xfId="0" applyFont="1" applyFill="1"/>
    <xf numFmtId="0" fontId="0" fillId="10" borderId="0" xfId="0" applyFill="1"/>
    <xf numFmtId="0" fontId="0" fillId="10" borderId="0" xfId="0" applyFill="1" applyAlignment="1">
      <alignment horizontal="center"/>
    </xf>
    <xf numFmtId="0" fontId="4" fillId="11" borderId="0" xfId="0" applyFont="1" applyFill="1"/>
    <xf numFmtId="0" fontId="0" fillId="11" borderId="0" xfId="0" applyFill="1"/>
    <xf numFmtId="0" fontId="0" fillId="11" borderId="0" xfId="0" applyFill="1" applyAlignment="1">
      <alignment horizontal="center"/>
    </xf>
    <xf numFmtId="0" fontId="4" fillId="12" borderId="0" xfId="0" applyFont="1" applyFill="1"/>
    <xf numFmtId="0" fontId="0" fillId="12" borderId="0" xfId="0" applyFill="1"/>
    <xf numFmtId="0" fontId="0" fillId="12" borderId="0" xfId="0" applyFill="1" applyAlignment="1">
      <alignment horizontal="center"/>
    </xf>
    <xf numFmtId="0" fontId="4" fillId="13" borderId="0" xfId="0" applyFont="1" applyFill="1"/>
    <xf numFmtId="0" fontId="0" fillId="13" borderId="0" xfId="0" applyFill="1"/>
    <xf numFmtId="0" fontId="0" fillId="13" borderId="0" xfId="0" applyFill="1" applyAlignment="1">
      <alignment horizontal="center"/>
    </xf>
    <xf numFmtId="0" fontId="4" fillId="14" borderId="0" xfId="0" applyFont="1" applyFill="1"/>
    <xf numFmtId="0" fontId="0" fillId="14" borderId="0" xfId="0" applyFill="1"/>
    <xf numFmtId="0" fontId="0" fillId="14" borderId="0" xfId="0" applyFill="1" applyAlignment="1">
      <alignment horizontal="center"/>
    </xf>
    <xf numFmtId="0" fontId="4" fillId="15" borderId="0" xfId="0" applyFont="1" applyFill="1"/>
    <xf numFmtId="0" fontId="0" fillId="15" borderId="0" xfId="0" applyFill="1"/>
    <xf numFmtId="0" fontId="0" fillId="15" borderId="0" xfId="0" applyFill="1" applyAlignment="1">
      <alignment horizontal="center"/>
    </xf>
    <xf numFmtId="0" fontId="4" fillId="16" borderId="0" xfId="0" applyFont="1" applyFill="1"/>
    <xf numFmtId="0" fontId="4" fillId="16" borderId="0" xfId="0" applyFont="1" applyFill="1" applyAlignment="1">
      <alignment horizontal="center"/>
    </xf>
    <xf numFmtId="0" fontId="4" fillId="3" borderId="0" xfId="0" applyFont="1" applyFill="1"/>
    <xf numFmtId="0" fontId="0" fillId="3" borderId="0" xfId="0" applyFill="1"/>
    <xf numFmtId="0" fontId="0" fillId="3" borderId="0" xfId="0" applyFill="1" applyAlignment="1">
      <alignment horizontal="center"/>
    </xf>
    <xf numFmtId="0" fontId="4" fillId="17" borderId="0" xfId="0" applyFont="1" applyFill="1"/>
    <xf numFmtId="0" fontId="0" fillId="17" borderId="0" xfId="0" applyFill="1"/>
    <xf numFmtId="0" fontId="0" fillId="17" borderId="0" xfId="0" applyFill="1" applyAlignment="1">
      <alignment horizontal="center"/>
    </xf>
    <xf numFmtId="0" fontId="31" fillId="0" borderId="0" xfId="0" applyFont="1" applyAlignment="1">
      <alignment horizontal="center"/>
    </xf>
    <xf numFmtId="0" fontId="4" fillId="18" borderId="0" xfId="0" applyFont="1" applyFill="1"/>
    <xf numFmtId="0" fontId="0" fillId="18" borderId="0" xfId="0" applyFill="1"/>
    <xf numFmtId="0" fontId="0" fillId="18" borderId="0" xfId="0" applyFill="1" applyAlignment="1">
      <alignment horizontal="center"/>
    </xf>
    <xf numFmtId="0" fontId="4" fillId="19" borderId="0" xfId="0" applyFont="1" applyFill="1"/>
    <xf numFmtId="0" fontId="0" fillId="19" borderId="0" xfId="0" applyFill="1"/>
    <xf numFmtId="0" fontId="0" fillId="19" borderId="0" xfId="0" applyFill="1" applyAlignment="1">
      <alignment horizontal="center"/>
    </xf>
    <xf numFmtId="0" fontId="33" fillId="0" borderId="0" xfId="0" applyFont="1"/>
    <xf numFmtId="0" fontId="14" fillId="20" borderId="0" xfId="0" applyFont="1" applyFill="1"/>
    <xf numFmtId="0" fontId="0" fillId="20" borderId="0" xfId="0" applyFill="1"/>
    <xf numFmtId="0" fontId="0" fillId="20" borderId="0" xfId="0" applyFill="1" applyAlignment="1">
      <alignment horizontal="center"/>
    </xf>
    <xf numFmtId="0" fontId="4" fillId="21" borderId="0" xfId="0" applyFont="1" applyFill="1"/>
    <xf numFmtId="0" fontId="0" fillId="21" borderId="0" xfId="0" applyFill="1"/>
    <xf numFmtId="0" fontId="0" fillId="21" borderId="0" xfId="0" applyFill="1" applyAlignment="1">
      <alignment horizontal="center"/>
    </xf>
    <xf numFmtId="0" fontId="14" fillId="22" borderId="0" xfId="0" applyFont="1" applyFill="1"/>
    <xf numFmtId="0" fontId="0" fillId="22" borderId="0" xfId="0" applyFill="1"/>
    <xf numFmtId="0" fontId="0" fillId="22" borderId="0" xfId="0" applyFill="1" applyAlignment="1">
      <alignment horizontal="center"/>
    </xf>
    <xf numFmtId="0" fontId="14" fillId="23" borderId="0" xfId="0" applyFont="1" applyFill="1"/>
    <xf numFmtId="0" fontId="0" fillId="23" borderId="0" xfId="0" applyFill="1"/>
    <xf numFmtId="0" fontId="0" fillId="23" borderId="0" xfId="0" applyFill="1" applyAlignment="1">
      <alignment horizontal="center"/>
    </xf>
    <xf numFmtId="0" fontId="34" fillId="0" borderId="0" xfId="0" applyFont="1"/>
    <xf numFmtId="0" fontId="32" fillId="0" borderId="0" xfId="0" applyFont="1" applyAlignment="1">
      <alignment horizontal="center" vertical="center"/>
    </xf>
    <xf numFmtId="0" fontId="32" fillId="0" borderId="0" xfId="0" applyFont="1" applyAlignment="1">
      <alignment vertical="center"/>
    </xf>
    <xf numFmtId="0" fontId="32" fillId="0" borderId="0" xfId="0" applyFont="1" applyAlignment="1">
      <alignment horizontal="left" vertical="center"/>
    </xf>
    <xf numFmtId="0" fontId="10" fillId="0" borderId="8" xfId="0" applyFont="1" applyBorder="1" applyAlignment="1">
      <alignment horizontal="right"/>
    </xf>
    <xf numFmtId="0" fontId="10" fillId="0" borderId="0" xfId="0" applyFont="1" applyAlignment="1">
      <alignment horizontal="left"/>
    </xf>
    <xf numFmtId="0" fontId="10" fillId="0" borderId="9" xfId="0" applyFont="1" applyBorder="1" applyAlignment="1">
      <alignment horizontal="right"/>
    </xf>
    <xf numFmtId="0" fontId="10" fillId="0" borderId="0" xfId="0" applyFont="1"/>
    <xf numFmtId="0" fontId="10" fillId="0" borderId="4" xfId="0" applyFont="1" applyBorder="1" applyAlignment="1">
      <alignment horizontal="right"/>
    </xf>
    <xf numFmtId="0" fontId="10" fillId="0" borderId="3" xfId="0" applyFont="1" applyBorder="1" applyAlignment="1">
      <alignment horizontal="left"/>
    </xf>
    <xf numFmtId="0" fontId="10" fillId="0" borderId="2" xfId="0" applyFont="1" applyBorder="1" applyAlignment="1">
      <alignment horizontal="right"/>
    </xf>
    <xf numFmtId="0" fontId="10" fillId="0" borderId="3" xfId="0" applyFont="1" applyBorder="1" applyAlignment="1">
      <alignment horizontal="right"/>
    </xf>
    <xf numFmtId="0" fontId="15" fillId="0" borderId="8" xfId="0" applyFont="1" applyBorder="1" applyAlignment="1">
      <alignment horizontal="right"/>
    </xf>
    <xf numFmtId="0" fontId="15" fillId="0" borderId="0" xfId="0" applyFont="1" applyAlignment="1">
      <alignment horizontal="left"/>
    </xf>
    <xf numFmtId="0" fontId="15" fillId="0" borderId="9" xfId="0" applyFont="1" applyBorder="1" applyAlignment="1">
      <alignment horizontal="right"/>
    </xf>
    <xf numFmtId="0" fontId="15" fillId="0" borderId="0" xfId="0" applyFont="1" applyAlignment="1">
      <alignment horizontal="right"/>
    </xf>
    <xf numFmtId="0" fontId="15" fillId="0" borderId="0" xfId="0" applyFont="1"/>
    <xf numFmtId="0" fontId="15" fillId="0" borderId="9" xfId="0" applyFont="1" applyBorder="1"/>
    <xf numFmtId="0" fontId="15" fillId="0" borderId="12" xfId="0" applyFont="1" applyBorder="1" applyAlignment="1">
      <alignment horizontal="right"/>
    </xf>
    <xf numFmtId="0" fontId="15" fillId="0" borderId="11" xfId="0" applyFont="1" applyBorder="1" applyAlignment="1">
      <alignment horizontal="left"/>
    </xf>
    <xf numFmtId="0" fontId="15" fillId="0" borderId="10" xfId="0" applyFont="1" applyBorder="1" applyAlignment="1">
      <alignment horizontal="right"/>
    </xf>
    <xf numFmtId="0" fontId="15" fillId="0" borderId="11" xfId="0" applyFont="1" applyBorder="1" applyAlignment="1">
      <alignment horizontal="right"/>
    </xf>
    <xf numFmtId="0" fontId="15" fillId="0" borderId="13" xfId="0" applyFont="1" applyBorder="1" applyAlignment="1">
      <alignment horizontal="right"/>
    </xf>
    <xf numFmtId="0" fontId="15" fillId="0" borderId="14" xfId="0" applyFont="1" applyBorder="1" applyAlignment="1">
      <alignment horizontal="left"/>
    </xf>
    <xf numFmtId="0" fontId="15" fillId="0" borderId="15" xfId="0" applyFont="1" applyBorder="1" applyAlignment="1">
      <alignment horizontal="right"/>
    </xf>
    <xf numFmtId="0" fontId="15" fillId="0" borderId="14" xfId="0" applyFont="1" applyBorder="1" applyAlignment="1">
      <alignment horizontal="right"/>
    </xf>
    <xf numFmtId="0" fontId="15" fillId="0" borderId="16" xfId="0" applyFont="1" applyBorder="1" applyAlignment="1">
      <alignment horizontal="right"/>
    </xf>
    <xf numFmtId="0" fontId="15" fillId="0" borderId="0" xfId="0" applyFont="1" applyAlignment="1">
      <alignment horizontal="left" indent="2"/>
    </xf>
    <xf numFmtId="0" fontId="35" fillId="0" borderId="8" xfId="0" applyFont="1" applyBorder="1" applyAlignment="1">
      <alignment horizontal="right" vertical="center" textRotation="90"/>
    </xf>
    <xf numFmtId="11" fontId="15" fillId="0" borderId="0" xfId="0" applyNumberFormat="1" applyFont="1" applyAlignment="1">
      <alignment horizontal="right"/>
    </xf>
    <xf numFmtId="10" fontId="15" fillId="0" borderId="9" xfId="0" applyNumberFormat="1" applyFont="1" applyBorder="1" applyAlignment="1">
      <alignment horizontal="right"/>
    </xf>
    <xf numFmtId="10" fontId="15" fillId="0" borderId="0" xfId="0" applyNumberFormat="1" applyFont="1" applyAlignment="1">
      <alignment horizontal="right"/>
    </xf>
    <xf numFmtId="9" fontId="15" fillId="0" borderId="9" xfId="0" applyNumberFormat="1" applyFont="1" applyBorder="1" applyAlignment="1">
      <alignment horizontal="right"/>
    </xf>
    <xf numFmtId="9" fontId="15" fillId="0" borderId="0" xfId="0" applyNumberFormat="1" applyFont="1" applyAlignment="1">
      <alignment horizontal="right"/>
    </xf>
    <xf numFmtId="0" fontId="15" fillId="0" borderId="8" xfId="0" applyFont="1" applyBorder="1"/>
    <xf numFmtId="0" fontId="13" fillId="4" borderId="1" xfId="0" applyFont="1" applyFill="1" applyBorder="1" applyAlignment="1">
      <alignment horizontal="center"/>
    </xf>
    <xf numFmtId="0" fontId="0" fillId="4" borderId="0" xfId="0" applyFill="1"/>
    <xf numFmtId="0" fontId="2" fillId="24" borderId="0" xfId="0" applyFont="1" applyFill="1"/>
    <xf numFmtId="1" fontId="38" fillId="24" borderId="0" xfId="4" applyNumberFormat="1" applyFont="1" applyFill="1" applyAlignment="1">
      <alignment horizontal="center" vertical="center"/>
    </xf>
    <xf numFmtId="0" fontId="2" fillId="24" borderId="0" xfId="0" applyFont="1" applyFill="1" applyAlignment="1">
      <alignment horizontal="center"/>
    </xf>
    <xf numFmtId="0" fontId="8" fillId="0" borderId="17" xfId="0" applyFont="1" applyBorder="1"/>
    <xf numFmtId="0" fontId="8" fillId="0" borderId="17" xfId="0" applyFont="1" applyBorder="1" applyAlignment="1">
      <alignment horizontal="center"/>
    </xf>
    <xf numFmtId="167" fontId="9" fillId="0" borderId="17" xfId="0" applyNumberFormat="1" applyFont="1" applyBorder="1" applyAlignment="1">
      <alignment horizontal="center"/>
    </xf>
    <xf numFmtId="0" fontId="39" fillId="0" borderId="17" xfId="4" applyFont="1" applyBorder="1" applyAlignment="1">
      <alignment horizontal="left" vertical="center" indent="1"/>
    </xf>
    <xf numFmtId="0" fontId="8" fillId="0" borderId="18" xfId="0" applyFont="1" applyBorder="1"/>
    <xf numFmtId="0" fontId="8" fillId="0" borderId="18" xfId="0" applyFont="1" applyBorder="1" applyAlignment="1">
      <alignment horizontal="center"/>
    </xf>
    <xf numFmtId="167" fontId="9" fillId="0" borderId="18" xfId="0" applyNumberFormat="1" applyFont="1" applyBorder="1" applyAlignment="1">
      <alignment horizontal="center"/>
    </xf>
    <xf numFmtId="0" fontId="39" fillId="0" borderId="18" xfId="4" applyFont="1" applyBorder="1" applyAlignment="1">
      <alignment horizontal="left" vertical="center" wrapText="1" indent="1"/>
    </xf>
    <xf numFmtId="0" fontId="8" fillId="0" borderId="18" xfId="0" applyFont="1" applyBorder="1" applyAlignment="1">
      <alignment horizontal="left" wrapText="1"/>
    </xf>
    <xf numFmtId="0" fontId="39" fillId="0" borderId="0" xfId="4" applyFont="1" applyAlignment="1">
      <alignment horizontal="left" vertical="center" wrapText="1" indent="1"/>
    </xf>
    <xf numFmtId="0" fontId="8" fillId="25" borderId="18" xfId="0" applyFont="1" applyFill="1" applyBorder="1"/>
    <xf numFmtId="167" fontId="26" fillId="16" borderId="18" xfId="0" applyNumberFormat="1" applyFont="1" applyFill="1" applyBorder="1" applyAlignment="1">
      <alignment horizontal="center"/>
    </xf>
    <xf numFmtId="0" fontId="39" fillId="0" borderId="0" xfId="4" applyFont="1" applyAlignment="1">
      <alignment horizontal="center" vertical="center" wrapText="1"/>
    </xf>
    <xf numFmtId="0" fontId="39" fillId="0" borderId="18" xfId="4" applyFont="1" applyBorder="1" applyAlignment="1">
      <alignment horizontal="left" vertical="center" indent="1"/>
    </xf>
    <xf numFmtId="0" fontId="3" fillId="0" borderId="0" xfId="0" applyFont="1" applyAlignment="1">
      <alignment wrapText="1"/>
    </xf>
    <xf numFmtId="49" fontId="8" fillId="25" borderId="18" xfId="0" applyNumberFormat="1" applyFont="1" applyFill="1" applyBorder="1" applyAlignment="1">
      <alignment horizontal="left" vertical="top" wrapText="1"/>
    </xf>
    <xf numFmtId="0" fontId="39" fillId="0" borderId="0" xfId="4" applyFont="1" applyAlignment="1">
      <alignment horizontal="left" vertical="center" indent="1"/>
    </xf>
    <xf numFmtId="0" fontId="8" fillId="25" borderId="18" xfId="0" applyFont="1" applyFill="1" applyBorder="1" applyAlignment="1">
      <alignment horizontal="center"/>
    </xf>
    <xf numFmtId="167" fontId="9" fillId="25" borderId="18" xfId="0" applyNumberFormat="1" applyFont="1" applyFill="1" applyBorder="1" applyAlignment="1">
      <alignment horizontal="center"/>
    </xf>
    <xf numFmtId="0" fontId="27" fillId="26" borderId="0" xfId="0" applyFont="1" applyFill="1"/>
    <xf numFmtId="0" fontId="24" fillId="0" borderId="0" xfId="0" applyFont="1"/>
    <xf numFmtId="0" fontId="0" fillId="7" borderId="0" xfId="0" applyFill="1"/>
    <xf numFmtId="0" fontId="12" fillId="0" borderId="0" xfId="0" applyFont="1"/>
    <xf numFmtId="0" fontId="40" fillId="27" borderId="0" xfId="0" applyFont="1" applyFill="1"/>
    <xf numFmtId="0" fontId="41" fillId="28" borderId="0" xfId="0" applyFont="1" applyFill="1" applyAlignment="1">
      <alignment vertical="center"/>
    </xf>
    <xf numFmtId="0" fontId="41" fillId="28" borderId="0" xfId="0" applyFont="1" applyFill="1"/>
    <xf numFmtId="0" fontId="42" fillId="29" borderId="0" xfId="0" applyFont="1" applyFill="1" applyAlignment="1">
      <alignment horizontal="center" vertical="center"/>
    </xf>
    <xf numFmtId="0" fontId="12" fillId="30" borderId="21" xfId="0" applyFont="1" applyFill="1" applyBorder="1" applyAlignment="1">
      <alignment horizontal="left" vertical="center"/>
    </xf>
    <xf numFmtId="1" fontId="11" fillId="30" borderId="21" xfId="0" applyNumberFormat="1" applyFont="1" applyFill="1" applyBorder="1"/>
    <xf numFmtId="1" fontId="11" fillId="30" borderId="22" xfId="0" applyNumberFormat="1" applyFont="1" applyFill="1" applyBorder="1"/>
    <xf numFmtId="0" fontId="43" fillId="31" borderId="0" xfId="0" applyFont="1" applyFill="1" applyAlignment="1">
      <alignment horizontal="center" vertical="center"/>
    </xf>
    <xf numFmtId="169" fontId="43" fillId="31" borderId="0" xfId="5" applyNumberFormat="1" applyFont="1" applyFill="1" applyBorder="1" applyAlignment="1">
      <alignment horizontal="center" vertical="center"/>
    </xf>
    <xf numFmtId="0" fontId="12" fillId="30" borderId="24" xfId="0" applyFont="1" applyFill="1" applyBorder="1" applyAlignment="1">
      <alignment horizontal="left" vertical="center"/>
    </xf>
    <xf numFmtId="1" fontId="12" fillId="32" borderId="25" xfId="0" applyNumberFormat="1" applyFont="1" applyFill="1" applyBorder="1"/>
    <xf numFmtId="1" fontId="12" fillId="32" borderId="26" xfId="0" applyNumberFormat="1" applyFont="1" applyFill="1" applyBorder="1"/>
    <xf numFmtId="0" fontId="12" fillId="30" borderId="25" xfId="0" applyFont="1" applyFill="1" applyBorder="1"/>
    <xf numFmtId="1" fontId="12" fillId="31" borderId="25" xfId="0" applyNumberFormat="1" applyFont="1" applyFill="1" applyBorder="1"/>
    <xf numFmtId="1" fontId="12" fillId="31" borderId="26" xfId="0" applyNumberFormat="1" applyFont="1" applyFill="1" applyBorder="1"/>
    <xf numFmtId="0" fontId="12" fillId="30" borderId="30" xfId="0" applyFont="1" applyFill="1" applyBorder="1"/>
    <xf numFmtId="1" fontId="12" fillId="31" borderId="30" xfId="0" applyNumberFormat="1" applyFont="1" applyFill="1" applyBorder="1"/>
    <xf numFmtId="1" fontId="12" fillId="31" borderId="31" xfId="0" applyNumberFormat="1" applyFont="1" applyFill="1" applyBorder="1"/>
    <xf numFmtId="0" fontId="42" fillId="33" borderId="0" xfId="0" applyFont="1" applyFill="1"/>
    <xf numFmtId="169" fontId="12" fillId="0" borderId="0" xfId="0" applyNumberFormat="1" applyFont="1"/>
    <xf numFmtId="0" fontId="12" fillId="0" borderId="11" xfId="0" applyFont="1" applyBorder="1"/>
    <xf numFmtId="169" fontId="12" fillId="0" borderId="11" xfId="0" applyNumberFormat="1" applyFont="1" applyBorder="1"/>
    <xf numFmtId="9" fontId="12" fillId="0" borderId="0" xfId="2" applyFont="1" applyFill="1" applyBorder="1"/>
    <xf numFmtId="9" fontId="12" fillId="0" borderId="11" xfId="2" applyFont="1" applyFill="1" applyBorder="1"/>
    <xf numFmtId="167" fontId="0" fillId="0" borderId="11" xfId="0" applyNumberFormat="1" applyBorder="1"/>
    <xf numFmtId="9" fontId="0" fillId="0" borderId="0" xfId="0" applyNumberFormat="1"/>
    <xf numFmtId="0" fontId="12" fillId="0" borderId="32" xfId="0" applyFont="1" applyBorder="1"/>
    <xf numFmtId="0" fontId="12" fillId="0" borderId="33" xfId="0" applyFont="1" applyBorder="1"/>
    <xf numFmtId="0" fontId="12" fillId="0" borderId="34" xfId="0" applyFont="1" applyBorder="1"/>
    <xf numFmtId="0" fontId="12" fillId="0" borderId="35" xfId="0" applyFont="1" applyBorder="1"/>
    <xf numFmtId="0" fontId="12" fillId="0" borderId="36" xfId="0" applyFont="1" applyBorder="1"/>
    <xf numFmtId="0" fontId="42" fillId="34" borderId="37" xfId="0" applyFont="1" applyFill="1" applyBorder="1" applyAlignment="1">
      <alignment horizontal="left" vertical="center"/>
    </xf>
    <xf numFmtId="0" fontId="42" fillId="34" borderId="38" xfId="0" applyFont="1" applyFill="1" applyBorder="1" applyAlignment="1">
      <alignment horizontal="left" vertical="center"/>
    </xf>
    <xf numFmtId="0" fontId="42" fillId="34" borderId="0" xfId="0" applyFont="1" applyFill="1"/>
    <xf numFmtId="0" fontId="4" fillId="7" borderId="11" xfId="0" applyFont="1" applyFill="1" applyBorder="1"/>
    <xf numFmtId="0" fontId="44" fillId="35" borderId="39" xfId="0" applyFont="1" applyFill="1" applyBorder="1" applyAlignment="1">
      <alignment horizontal="left" vertical="center"/>
    </xf>
    <xf numFmtId="0" fontId="44" fillId="35" borderId="0" xfId="0" applyFont="1" applyFill="1" applyAlignment="1">
      <alignment horizontal="left" vertical="center"/>
    </xf>
    <xf numFmtId="1" fontId="40" fillId="28" borderId="0" xfId="0" applyNumberFormat="1" applyFont="1" applyFill="1" applyAlignment="1">
      <alignment horizontal="left" vertical="center"/>
    </xf>
    <xf numFmtId="0" fontId="0" fillId="0" borderId="3" xfId="0" applyBorder="1"/>
    <xf numFmtId="167" fontId="0" fillId="0" borderId="3" xfId="0" applyNumberFormat="1" applyBorder="1"/>
    <xf numFmtId="167" fontId="0" fillId="0" borderId="0" xfId="0" applyNumberFormat="1"/>
    <xf numFmtId="0" fontId="0" fillId="0" borderId="11" xfId="0" applyBorder="1"/>
    <xf numFmtId="167" fontId="4" fillId="0" borderId="0" xfId="0" applyNumberFormat="1" applyFont="1"/>
    <xf numFmtId="167" fontId="12" fillId="0" borderId="0" xfId="0" applyNumberFormat="1" applyFont="1"/>
    <xf numFmtId="1" fontId="44" fillId="28" borderId="0" xfId="0" applyNumberFormat="1" applyFont="1" applyFill="1" applyAlignment="1">
      <alignment horizontal="left" vertical="center"/>
    </xf>
    <xf numFmtId="1" fontId="44" fillId="28" borderId="0" xfId="0" applyNumberFormat="1" applyFont="1" applyFill="1" applyAlignment="1">
      <alignment horizontal="left"/>
    </xf>
    <xf numFmtId="9" fontId="44" fillId="28" borderId="35" xfId="2" applyFont="1" applyFill="1" applyBorder="1" applyAlignment="1">
      <alignment horizontal="left"/>
    </xf>
    <xf numFmtId="0" fontId="12" fillId="0" borderId="40" xfId="0" applyFont="1" applyBorder="1"/>
    <xf numFmtId="0" fontId="12" fillId="0" borderId="41" xfId="0" applyFont="1" applyBorder="1"/>
    <xf numFmtId="0" fontId="12" fillId="0" borderId="42" xfId="0" applyFont="1" applyBorder="1"/>
    <xf numFmtId="0" fontId="16" fillId="0" borderId="0" xfId="0" applyFont="1"/>
    <xf numFmtId="0" fontId="45" fillId="36" borderId="0" xfId="0" applyFont="1" applyFill="1"/>
    <xf numFmtId="0" fontId="4" fillId="37" borderId="0" xfId="0" applyFont="1" applyFill="1"/>
    <xf numFmtId="0" fontId="4" fillId="38" borderId="0" xfId="0" applyFont="1" applyFill="1"/>
    <xf numFmtId="0" fontId="46" fillId="36" borderId="0" xfId="0" applyFont="1" applyFill="1"/>
    <xf numFmtId="0" fontId="0" fillId="37" borderId="0" xfId="0" applyFill="1"/>
    <xf numFmtId="0" fontId="0" fillId="38" borderId="0" xfId="0" applyFill="1"/>
    <xf numFmtId="0" fontId="5" fillId="39" borderId="0" xfId="0" applyFont="1" applyFill="1"/>
    <xf numFmtId="0" fontId="43" fillId="0" borderId="0" xfId="0" applyFont="1"/>
    <xf numFmtId="0" fontId="0" fillId="9" borderId="0" xfId="0" applyFill="1"/>
    <xf numFmtId="2" fontId="0" fillId="9" borderId="0" xfId="0" applyNumberFormat="1" applyFill="1"/>
    <xf numFmtId="0" fontId="0" fillId="0" borderId="0" xfId="0" applyAlignment="1">
      <alignment horizontal="right"/>
    </xf>
    <xf numFmtId="9" fontId="0" fillId="0" borderId="0" xfId="0" applyNumberFormat="1" applyAlignment="1">
      <alignment horizontal="left"/>
    </xf>
    <xf numFmtId="1" fontId="0" fillId="2" borderId="0" xfId="0" applyNumberFormat="1" applyFill="1"/>
    <xf numFmtId="0" fontId="47" fillId="0" borderId="43" xfId="0" applyFont="1" applyBorder="1" applyAlignment="1">
      <alignment horizontal="left" wrapText="1"/>
    </xf>
    <xf numFmtId="0" fontId="47" fillId="0" borderId="44" xfId="0" applyFont="1" applyBorder="1" applyAlignment="1">
      <alignment horizontal="left" wrapText="1"/>
    </xf>
    <xf numFmtId="0" fontId="47" fillId="0" borderId="45" xfId="0" applyFont="1" applyBorder="1" applyAlignment="1">
      <alignment horizontal="left" wrapText="1"/>
    </xf>
    <xf numFmtId="0" fontId="8" fillId="0" borderId="0" xfId="0" applyFont="1"/>
    <xf numFmtId="0" fontId="47" fillId="0" borderId="46" xfId="0" applyFont="1" applyBorder="1" applyAlignment="1">
      <alignment horizontal="left" wrapText="1"/>
    </xf>
    <xf numFmtId="0" fontId="47" fillId="0" borderId="47" xfId="0" applyFont="1" applyBorder="1" applyAlignment="1">
      <alignment horizontal="right" wrapText="1"/>
    </xf>
    <xf numFmtId="0" fontId="48" fillId="0" borderId="0" xfId="0" applyFont="1" applyAlignment="1">
      <alignment horizontal="left" vertical="top" wrapText="1"/>
    </xf>
    <xf numFmtId="0" fontId="48" fillId="7" borderId="0" xfId="0" applyFont="1" applyFill="1" applyAlignment="1">
      <alignment horizontal="right" vertical="top" wrapText="1"/>
    </xf>
    <xf numFmtId="0" fontId="48" fillId="0" borderId="0" xfId="0" applyFont="1" applyAlignment="1">
      <alignment horizontal="right" vertical="top" wrapText="1"/>
    </xf>
    <xf numFmtId="0" fontId="48" fillId="0" borderId="48" xfId="0" applyFont="1" applyBorder="1" applyAlignment="1">
      <alignment horizontal="left" vertical="top" wrapText="1"/>
    </xf>
    <xf numFmtId="0" fontId="48" fillId="7" borderId="48" xfId="0" applyFont="1" applyFill="1" applyBorder="1" applyAlignment="1">
      <alignment horizontal="right" vertical="top" wrapText="1"/>
    </xf>
    <xf numFmtId="0" fontId="48" fillId="0" borderId="48" xfId="0" applyFont="1" applyBorder="1" applyAlignment="1">
      <alignment horizontal="right" vertical="top" wrapText="1"/>
    </xf>
    <xf numFmtId="0" fontId="48" fillId="0" borderId="49" xfId="0" applyFont="1" applyBorder="1" applyAlignment="1">
      <alignment horizontal="left" vertical="top" wrapText="1"/>
    </xf>
    <xf numFmtId="0" fontId="48" fillId="7" borderId="49" xfId="0" applyFont="1" applyFill="1" applyBorder="1" applyAlignment="1">
      <alignment horizontal="right" vertical="top" wrapText="1"/>
    </xf>
    <xf numFmtId="0" fontId="48" fillId="0" borderId="49" xfId="0" applyFont="1" applyBorder="1" applyAlignment="1">
      <alignment horizontal="right" vertical="top" wrapText="1"/>
    </xf>
    <xf numFmtId="0" fontId="4" fillId="24" borderId="0" xfId="0" applyFont="1" applyFill="1"/>
    <xf numFmtId="0" fontId="4" fillId="0" borderId="11" xfId="0" applyFont="1" applyBorder="1"/>
    <xf numFmtId="0" fontId="5" fillId="24" borderId="0" xfId="0" applyFont="1" applyFill="1"/>
    <xf numFmtId="1" fontId="0" fillId="0" borderId="3" xfId="0" applyNumberFormat="1" applyBorder="1"/>
    <xf numFmtId="170" fontId="0" fillId="0" borderId="0" xfId="0" applyNumberFormat="1"/>
    <xf numFmtId="1" fontId="0" fillId="0" borderId="11" xfId="0" applyNumberFormat="1" applyBorder="1"/>
    <xf numFmtId="170" fontId="0" fillId="0" borderId="11" xfId="0" applyNumberFormat="1" applyBorder="1"/>
    <xf numFmtId="0" fontId="2" fillId="14" borderId="0" xfId="0" applyFont="1" applyFill="1"/>
    <xf numFmtId="0" fontId="2" fillId="40" borderId="0" xfId="0" applyFont="1" applyFill="1"/>
    <xf numFmtId="0" fontId="5" fillId="40" borderId="0" xfId="0" applyFont="1" applyFill="1"/>
    <xf numFmtId="0" fontId="5" fillId="14" borderId="0" xfId="0" applyFont="1" applyFill="1"/>
    <xf numFmtId="9" fontId="0" fillId="0" borderId="0" xfId="2" applyFont="1" applyBorder="1"/>
    <xf numFmtId="9" fontId="0" fillId="0" borderId="11" xfId="2" applyFont="1" applyBorder="1"/>
    <xf numFmtId="0" fontId="5" fillId="41" borderId="0" xfId="0" applyFont="1" applyFill="1"/>
    <xf numFmtId="0" fontId="0" fillId="0" borderId="50" xfId="0" applyBorder="1"/>
    <xf numFmtId="167" fontId="0" fillId="0" borderId="50" xfId="0" applyNumberFormat="1" applyBorder="1"/>
    <xf numFmtId="8" fontId="0" fillId="0" borderId="0" xfId="0" applyNumberFormat="1"/>
    <xf numFmtId="0" fontId="0" fillId="0" borderId="33" xfId="0" applyBorder="1"/>
    <xf numFmtId="0" fontId="0" fillId="0" borderId="34" xfId="0" applyBorder="1"/>
    <xf numFmtId="0" fontId="0" fillId="0" borderId="32" xfId="0" applyBorder="1"/>
    <xf numFmtId="0" fontId="0" fillId="0" borderId="35" xfId="0" applyBorder="1"/>
    <xf numFmtId="0" fontId="0" fillId="0" borderId="36" xfId="0" applyBorder="1"/>
    <xf numFmtId="0" fontId="49" fillId="0" borderId="0" xfId="0" applyFont="1"/>
    <xf numFmtId="0" fontId="4" fillId="0" borderId="53" xfId="0" applyFont="1" applyBorder="1"/>
    <xf numFmtId="0" fontId="0" fillId="0" borderId="40" xfId="0" applyBorder="1"/>
    <xf numFmtId="0" fontId="0" fillId="0" borderId="41" xfId="0" applyBorder="1"/>
    <xf numFmtId="0" fontId="0" fillId="0" borderId="42" xfId="0" applyBorder="1"/>
    <xf numFmtId="0" fontId="2" fillId="27" borderId="0" xfId="0" applyFont="1" applyFill="1"/>
    <xf numFmtId="0" fontId="0" fillId="27" borderId="0" xfId="0" applyFill="1"/>
    <xf numFmtId="0" fontId="53" fillId="25" borderId="1" xfId="0" applyFont="1" applyFill="1" applyBorder="1" applyAlignment="1">
      <alignment vertical="top" wrapText="1"/>
    </xf>
    <xf numFmtId="0" fontId="2" fillId="41" borderId="0" xfId="0" applyFont="1" applyFill="1"/>
    <xf numFmtId="0" fontId="0" fillId="41" borderId="0" xfId="0" applyFill="1"/>
    <xf numFmtId="0" fontId="55" fillId="25" borderId="55" xfId="0" applyFont="1" applyFill="1" applyBorder="1" applyAlignment="1">
      <alignment vertical="top" wrapText="1"/>
    </xf>
    <xf numFmtId="0" fontId="53" fillId="25" borderId="12" xfId="0" applyFont="1" applyFill="1" applyBorder="1" applyAlignment="1">
      <alignment horizontal="center" vertical="top" wrapText="1"/>
    </xf>
    <xf numFmtId="0" fontId="53" fillId="25" borderId="56" xfId="0" applyFont="1" applyFill="1" applyBorder="1" applyAlignment="1">
      <alignment horizontal="center" vertical="top" wrapText="1"/>
    </xf>
    <xf numFmtId="0" fontId="53" fillId="25" borderId="5" xfId="0" applyFont="1" applyFill="1" applyBorder="1" applyAlignment="1">
      <alignment vertical="top" wrapText="1"/>
    </xf>
    <xf numFmtId="0" fontId="53" fillId="25" borderId="6" xfId="0" applyFont="1" applyFill="1" applyBorder="1" applyAlignment="1">
      <alignment vertical="top" wrapText="1"/>
    </xf>
    <xf numFmtId="0" fontId="53" fillId="25" borderId="54" xfId="0" applyFont="1" applyFill="1" applyBorder="1" applyAlignment="1">
      <alignment vertical="top" wrapText="1"/>
    </xf>
    <xf numFmtId="0" fontId="55" fillId="25" borderId="57" xfId="0" applyFont="1" applyFill="1" applyBorder="1" applyAlignment="1">
      <alignment vertical="top" wrapText="1"/>
    </xf>
    <xf numFmtId="0" fontId="55" fillId="25" borderId="57" xfId="0" applyFont="1" applyFill="1" applyBorder="1" applyAlignment="1">
      <alignment horizontal="center" vertical="top" wrapText="1"/>
    </xf>
    <xf numFmtId="0" fontId="55" fillId="25" borderId="1" xfId="0" applyFont="1" applyFill="1" applyBorder="1" applyAlignment="1">
      <alignment vertical="top" wrapText="1"/>
    </xf>
    <xf numFmtId="167" fontId="55" fillId="0" borderId="1" xfId="0" applyNumberFormat="1" applyFont="1" applyBorder="1" applyAlignment="1">
      <alignment horizontal="center" vertical="top" wrapText="1"/>
    </xf>
    <xf numFmtId="0" fontId="55" fillId="25" borderId="1" xfId="0" applyFont="1" applyFill="1" applyBorder="1" applyAlignment="1">
      <alignment horizontal="center" vertical="top" wrapText="1"/>
    </xf>
    <xf numFmtId="49" fontId="55" fillId="25" borderId="58" xfId="0" applyNumberFormat="1" applyFont="1" applyFill="1" applyBorder="1" applyAlignment="1">
      <alignment horizontal="center" vertical="top" wrapText="1"/>
    </xf>
    <xf numFmtId="167" fontId="0" fillId="45" borderId="11" xfId="0" applyNumberFormat="1" applyFill="1" applyBorder="1"/>
    <xf numFmtId="0" fontId="55" fillId="25" borderId="58" xfId="0" applyFont="1" applyFill="1" applyBorder="1" applyAlignment="1">
      <alignment horizontal="center" vertical="top" wrapText="1"/>
    </xf>
    <xf numFmtId="0" fontId="56" fillId="25" borderId="1" xfId="0" quotePrefix="1" applyFont="1" applyFill="1" applyBorder="1" applyAlignment="1">
      <alignment vertical="top" wrapText="1"/>
    </xf>
    <xf numFmtId="0" fontId="2" fillId="46" borderId="0" xfId="0" applyFont="1" applyFill="1"/>
    <xf numFmtId="0" fontId="4" fillId="46" borderId="0" xfId="0" applyFont="1" applyFill="1"/>
    <xf numFmtId="0" fontId="55" fillId="0" borderId="1" xfId="0" applyFont="1" applyBorder="1" applyAlignment="1">
      <alignment vertical="top" wrapText="1"/>
    </xf>
    <xf numFmtId="3" fontId="55" fillId="0" borderId="1" xfId="0" applyNumberFormat="1" applyFont="1" applyBorder="1" applyAlignment="1">
      <alignment horizontal="center"/>
    </xf>
    <xf numFmtId="0" fontId="57" fillId="0" borderId="1" xfId="0" applyFont="1" applyBorder="1" applyAlignment="1">
      <alignment vertical="top" wrapText="1"/>
    </xf>
    <xf numFmtId="0" fontId="55" fillId="0" borderId="1" xfId="0" applyFont="1" applyBorder="1" applyAlignment="1">
      <alignment horizontal="center" vertical="top" wrapText="1"/>
    </xf>
    <xf numFmtId="0" fontId="57" fillId="0" borderId="1" xfId="0" applyFont="1" applyBorder="1" applyAlignment="1">
      <alignment horizontal="left" vertical="top"/>
    </xf>
    <xf numFmtId="166" fontId="0" fillId="0" borderId="0" xfId="0" applyNumberFormat="1"/>
    <xf numFmtId="167" fontId="4" fillId="0" borderId="53" xfId="0" applyNumberFormat="1" applyFont="1" applyBorder="1"/>
    <xf numFmtId="0" fontId="0" fillId="0" borderId="1" xfId="0" applyBorder="1" applyAlignment="1">
      <alignment horizontal="center"/>
    </xf>
    <xf numFmtId="0" fontId="0" fillId="0" borderId="1" xfId="0" applyBorder="1" applyAlignment="1">
      <alignment horizontal="left"/>
    </xf>
    <xf numFmtId="0" fontId="0" fillId="0" borderId="58" xfId="0" applyBorder="1"/>
    <xf numFmtId="0" fontId="2" fillId="47" borderId="0" xfId="0" applyFont="1" applyFill="1"/>
    <xf numFmtId="0" fontId="0" fillId="47" borderId="0" xfId="0" applyFill="1"/>
    <xf numFmtId="9" fontId="55" fillId="0" borderId="1" xfId="2" applyFont="1" applyFill="1" applyBorder="1" applyAlignment="1">
      <alignment horizontal="center" vertical="top" wrapText="1"/>
    </xf>
    <xf numFmtId="9" fontId="55" fillId="0" borderId="1" xfId="0" applyNumberFormat="1" applyFont="1" applyBorder="1" applyAlignment="1">
      <alignment horizontal="center" vertical="top" wrapText="1"/>
    </xf>
    <xf numFmtId="0" fontId="55" fillId="0" borderId="58" xfId="0" applyFont="1" applyBorder="1" applyAlignment="1">
      <alignment horizontal="center" vertical="top" wrapText="1"/>
    </xf>
    <xf numFmtId="0" fontId="56" fillId="0" borderId="1" xfId="0" quotePrefix="1" applyFont="1" applyBorder="1" applyAlignment="1">
      <alignment vertical="top" wrapText="1"/>
    </xf>
    <xf numFmtId="171" fontId="55" fillId="0" borderId="1" xfId="12" applyNumberFormat="1" applyFont="1" applyFill="1" applyBorder="1" applyAlignment="1">
      <alignment horizontal="center" vertical="top" wrapText="1"/>
    </xf>
    <xf numFmtId="0" fontId="0" fillId="0" borderId="1" xfId="0" applyBorder="1" applyAlignment="1">
      <alignment horizontal="center" vertical="top" wrapText="1"/>
    </xf>
    <xf numFmtId="0" fontId="55" fillId="0" borderId="58" xfId="0" applyFont="1" applyBorder="1"/>
    <xf numFmtId="2" fontId="0" fillId="0" borderId="3" xfId="0" applyNumberFormat="1" applyBorder="1"/>
    <xf numFmtId="0" fontId="55" fillId="0" borderId="1" xfId="0" quotePrefix="1" applyFont="1" applyBorder="1" applyAlignment="1">
      <alignment vertical="top" wrapText="1"/>
    </xf>
    <xf numFmtId="0" fontId="55" fillId="0" borderId="1" xfId="12" applyNumberFormat="1" applyFont="1" applyFill="1" applyBorder="1" applyAlignment="1">
      <alignment horizontal="center" vertical="center"/>
    </xf>
    <xf numFmtId="1" fontId="55" fillId="0" borderId="1" xfId="12" applyNumberFormat="1" applyFont="1" applyFill="1" applyBorder="1" applyAlignment="1">
      <alignment horizontal="center" vertical="center"/>
    </xf>
    <xf numFmtId="16" fontId="55" fillId="0" borderId="58" xfId="0" applyNumberFormat="1" applyFont="1" applyBorder="1" applyAlignment="1">
      <alignment horizontal="center" vertical="top" wrapText="1"/>
    </xf>
    <xf numFmtId="4" fontId="55" fillId="25" borderId="1" xfId="0" applyNumberFormat="1" applyFont="1" applyFill="1" applyBorder="1" applyAlignment="1">
      <alignment horizontal="center" vertical="top" wrapText="1"/>
    </xf>
    <xf numFmtId="0" fontId="2" fillId="48" borderId="0" xfId="0" applyFont="1" applyFill="1"/>
    <xf numFmtId="0" fontId="0" fillId="48" borderId="0" xfId="0" applyFill="1"/>
    <xf numFmtId="3" fontId="55" fillId="25" borderId="1" xfId="0" applyNumberFormat="1" applyFont="1" applyFill="1" applyBorder="1" applyAlignment="1">
      <alignment horizontal="center" vertical="top" wrapText="1"/>
    </xf>
    <xf numFmtId="3" fontId="55" fillId="0" borderId="1" xfId="0" applyNumberFormat="1" applyFont="1" applyBorder="1" applyAlignment="1">
      <alignment horizontal="center" vertical="top" wrapText="1"/>
    </xf>
    <xf numFmtId="2" fontId="0" fillId="0" borderId="11" xfId="0" applyNumberFormat="1" applyBorder="1"/>
    <xf numFmtId="0" fontId="4" fillId="0" borderId="50" xfId="0" applyFont="1" applyBorder="1"/>
    <xf numFmtId="2" fontId="4" fillId="0" borderId="50" xfId="0" applyNumberFormat="1" applyFont="1" applyBorder="1"/>
    <xf numFmtId="0" fontId="53" fillId="25" borderId="1" xfId="0" applyFont="1" applyFill="1" applyBorder="1" applyAlignment="1">
      <alignment horizontal="center" vertical="top" wrapText="1"/>
    </xf>
    <xf numFmtId="0" fontId="53" fillId="25" borderId="58" xfId="0" applyFont="1" applyFill="1" applyBorder="1" applyAlignment="1">
      <alignment vertical="top" wrapText="1"/>
    </xf>
    <xf numFmtId="0" fontId="4" fillId="49" borderId="0" xfId="0" applyFont="1" applyFill="1"/>
    <xf numFmtId="0" fontId="0" fillId="49" borderId="0" xfId="0" applyFill="1"/>
    <xf numFmtId="2" fontId="55" fillId="0" borderId="1" xfId="0" applyNumberFormat="1" applyFont="1" applyBorder="1" applyAlignment="1">
      <alignment horizontal="center" vertical="top" wrapText="1"/>
    </xf>
    <xf numFmtId="16" fontId="55" fillId="25" borderId="58" xfId="0" applyNumberFormat="1" applyFont="1" applyFill="1" applyBorder="1" applyAlignment="1">
      <alignment horizontal="center" vertical="top" wrapText="1"/>
    </xf>
    <xf numFmtId="3" fontId="0" fillId="0" borderId="11" xfId="0" applyNumberFormat="1" applyBorder="1"/>
    <xf numFmtId="1" fontId="55" fillId="0" borderId="1" xfId="0" applyNumberFormat="1" applyFont="1" applyBorder="1" applyAlignment="1">
      <alignment horizontal="center" vertical="top"/>
    </xf>
    <xf numFmtId="167" fontId="4" fillId="0" borderId="50" xfId="0" applyNumberFormat="1" applyFont="1" applyBorder="1"/>
    <xf numFmtId="172" fontId="55" fillId="0" borderId="1" xfId="12" applyNumberFormat="1" applyFont="1" applyBorder="1" applyAlignment="1">
      <alignment horizontal="center" vertical="top"/>
    </xf>
    <xf numFmtId="2" fontId="55" fillId="0" borderId="1" xfId="0" applyNumberFormat="1" applyFont="1" applyBorder="1" applyAlignment="1">
      <alignment horizontal="center" vertical="top"/>
    </xf>
    <xf numFmtId="2" fontId="55" fillId="25" borderId="1" xfId="0" applyNumberFormat="1" applyFont="1" applyFill="1" applyBorder="1" applyAlignment="1">
      <alignment horizontal="center" vertical="top" wrapText="1"/>
    </xf>
    <xf numFmtId="16" fontId="55" fillId="25" borderId="58" xfId="0" quotePrefix="1" applyNumberFormat="1" applyFont="1" applyFill="1" applyBorder="1" applyAlignment="1">
      <alignment horizontal="center" vertical="top" wrapText="1"/>
    </xf>
    <xf numFmtId="0" fontId="55" fillId="0" borderId="55" xfId="0" quotePrefix="1" applyFont="1" applyBorder="1" applyAlignment="1">
      <alignment vertical="top" wrapText="1"/>
    </xf>
    <xf numFmtId="16" fontId="55" fillId="25" borderId="56" xfId="0" quotePrefix="1" applyNumberFormat="1" applyFont="1" applyFill="1" applyBorder="1" applyAlignment="1">
      <alignment horizontal="center" vertical="top" wrapText="1"/>
    </xf>
    <xf numFmtId="0" fontId="58" fillId="0" borderId="55" xfId="0" applyFont="1" applyBorder="1" applyAlignment="1">
      <alignment vertical="top" wrapText="1"/>
    </xf>
    <xf numFmtId="167" fontId="55" fillId="0" borderId="1" xfId="0" applyNumberFormat="1" applyFont="1" applyBorder="1" applyAlignment="1">
      <alignment horizontal="center" vertical="top"/>
    </xf>
    <xf numFmtId="0" fontId="53" fillId="25" borderId="1" xfId="0" applyFont="1" applyFill="1" applyBorder="1" applyAlignment="1">
      <alignment horizontal="center" vertical="top"/>
    </xf>
    <xf numFmtId="49" fontId="55" fillId="25" borderId="56" xfId="0" quotePrefix="1" applyNumberFormat="1" applyFont="1" applyFill="1" applyBorder="1" applyAlignment="1">
      <alignment horizontal="center" vertical="top" wrapText="1"/>
    </xf>
    <xf numFmtId="0" fontId="55" fillId="0" borderId="55" xfId="0" applyFont="1" applyBorder="1" applyAlignment="1">
      <alignment vertical="top" wrapText="1"/>
    </xf>
    <xf numFmtId="0" fontId="55" fillId="25" borderId="1" xfId="0" applyFont="1" applyFill="1" applyBorder="1" applyAlignment="1">
      <alignment horizontal="center" vertical="top"/>
    </xf>
    <xf numFmtId="0" fontId="58" fillId="25" borderId="35" xfId="0" applyFont="1" applyFill="1" applyBorder="1" applyAlignment="1">
      <alignment vertical="top" wrapText="1"/>
    </xf>
    <xf numFmtId="0" fontId="58" fillId="25" borderId="0" xfId="0" applyFont="1" applyFill="1" applyAlignment="1">
      <alignment vertical="top" wrapText="1"/>
    </xf>
    <xf numFmtId="0" fontId="0" fillId="0" borderId="59" xfId="0" applyBorder="1"/>
    <xf numFmtId="0" fontId="0" fillId="0" borderId="1" xfId="0" applyBorder="1" applyAlignment="1">
      <alignment wrapText="1"/>
    </xf>
    <xf numFmtId="0" fontId="0" fillId="0" borderId="1" xfId="0" applyBorder="1" applyAlignment="1">
      <alignment horizontal="center" wrapText="1"/>
    </xf>
    <xf numFmtId="165" fontId="0" fillId="0" borderId="1" xfId="2" applyNumberFormat="1" applyFont="1" applyBorder="1"/>
    <xf numFmtId="2" fontId="0" fillId="0" borderId="1" xfId="0" applyNumberFormat="1" applyBorder="1"/>
    <xf numFmtId="167" fontId="0" fillId="0" borderId="1" xfId="0" applyNumberFormat="1" applyBorder="1"/>
    <xf numFmtId="0" fontId="31" fillId="0" borderId="35" xfId="0" applyFont="1" applyBorder="1" applyAlignment="1">
      <alignment horizontal="left" vertical="top" wrapText="1"/>
    </xf>
    <xf numFmtId="0" fontId="31" fillId="0" borderId="0" xfId="0" applyFont="1" applyAlignment="1">
      <alignment horizontal="left" vertical="top" wrapText="1"/>
    </xf>
    <xf numFmtId="0" fontId="53" fillId="25" borderId="1" xfId="0" applyFont="1" applyFill="1" applyBorder="1" applyAlignment="1">
      <alignment vertical="center" wrapText="1"/>
    </xf>
    <xf numFmtId="0" fontId="0" fillId="50" borderId="0" xfId="0" applyFill="1"/>
    <xf numFmtId="0" fontId="55" fillId="25" borderId="1" xfId="0" applyFont="1" applyFill="1" applyBorder="1" applyAlignment="1">
      <alignment vertical="center" wrapText="1"/>
    </xf>
    <xf numFmtId="0" fontId="53" fillId="25" borderId="1" xfId="0" applyFont="1" applyFill="1" applyBorder="1" applyAlignment="1">
      <alignment horizontal="center" vertical="center" wrapText="1"/>
    </xf>
    <xf numFmtId="0" fontId="53" fillId="0" borderId="1" xfId="0" applyFont="1" applyBorder="1" applyAlignment="1">
      <alignment vertical="center" wrapText="1"/>
    </xf>
    <xf numFmtId="0" fontId="58" fillId="0" borderId="1" xfId="0" applyFont="1" applyBorder="1" applyAlignment="1">
      <alignment horizontal="center" vertical="center" wrapText="1"/>
    </xf>
    <xf numFmtId="0" fontId="53" fillId="0" borderId="1" xfId="0" applyFont="1" applyBorder="1" applyAlignment="1">
      <alignment horizontal="center" vertical="center" wrapText="1"/>
    </xf>
    <xf numFmtId="0" fontId="2" fillId="50" borderId="0" xfId="0" applyFont="1" applyFill="1"/>
    <xf numFmtId="0" fontId="5" fillId="50" borderId="0" xfId="0" applyFont="1" applyFill="1"/>
    <xf numFmtId="0" fontId="55" fillId="0" borderId="1" xfId="0" applyFont="1" applyBorder="1" applyAlignment="1">
      <alignment vertical="center"/>
    </xf>
    <xf numFmtId="0" fontId="55" fillId="0" borderId="1" xfId="0" applyFont="1" applyBorder="1" applyAlignment="1">
      <alignment horizontal="center" vertical="center" wrapText="1"/>
    </xf>
    <xf numFmtId="0" fontId="49" fillId="0" borderId="1" xfId="0" applyFont="1" applyBorder="1" applyAlignment="1">
      <alignment horizontal="center" vertical="center" wrapText="1"/>
    </xf>
    <xf numFmtId="0" fontId="49" fillId="0" borderId="1" xfId="0" applyFont="1" applyBorder="1" applyAlignment="1">
      <alignment vertical="center" wrapText="1"/>
    </xf>
    <xf numFmtId="1" fontId="0" fillId="25" borderId="0" xfId="0" applyNumberFormat="1" applyFill="1"/>
    <xf numFmtId="0" fontId="53" fillId="0" borderId="1" xfId="0" quotePrefix="1" applyFont="1" applyBorder="1" applyAlignment="1">
      <alignment vertical="center" wrapText="1"/>
    </xf>
    <xf numFmtId="1" fontId="0" fillId="25" borderId="11" xfId="0" applyNumberFormat="1" applyFill="1" applyBorder="1"/>
    <xf numFmtId="0" fontId="55" fillId="0" borderId="1" xfId="0" applyFont="1" applyBorder="1" applyAlignment="1">
      <alignment vertical="center" wrapText="1"/>
    </xf>
    <xf numFmtId="167" fontId="0" fillId="25" borderId="3" xfId="0" applyNumberFormat="1" applyFill="1" applyBorder="1"/>
    <xf numFmtId="167" fontId="0" fillId="25" borderId="11" xfId="0" applyNumberFormat="1" applyFill="1" applyBorder="1"/>
    <xf numFmtId="0" fontId="57" fillId="0" borderId="1" xfId="0" applyFont="1" applyBorder="1" applyAlignment="1">
      <alignment vertical="center" wrapText="1"/>
    </xf>
    <xf numFmtId="164" fontId="0" fillId="0" borderId="11" xfId="12" applyNumberFormat="1" applyFont="1" applyBorder="1"/>
    <xf numFmtId="173" fontId="4" fillId="0" borderId="53" xfId="0" applyNumberFormat="1" applyFont="1" applyBorder="1"/>
    <xf numFmtId="0" fontId="39" fillId="0" borderId="1" xfId="0" applyFont="1" applyBorder="1" applyAlignment="1">
      <alignment horizontal="center" vertical="center" wrapText="1"/>
    </xf>
    <xf numFmtId="0" fontId="49" fillId="25" borderId="1" xfId="0" applyFont="1" applyFill="1" applyBorder="1" applyAlignment="1">
      <alignment horizontal="center" vertical="center" wrapText="1"/>
    </xf>
    <xf numFmtId="0" fontId="55" fillId="0" borderId="1" xfId="12" applyNumberFormat="1" applyFont="1" applyFill="1" applyBorder="1" applyAlignment="1">
      <alignment horizontal="center" vertical="center" wrapText="1"/>
    </xf>
    <xf numFmtId="2" fontId="55" fillId="0" borderId="1" xfId="0" applyNumberFormat="1" applyFont="1" applyBorder="1" applyAlignment="1">
      <alignment horizontal="center" vertical="center" wrapText="1"/>
    </xf>
    <xf numFmtId="1" fontId="55" fillId="0" borderId="1" xfId="0" applyNumberFormat="1" applyFont="1" applyBorder="1" applyAlignment="1">
      <alignment horizontal="center" vertical="center" wrapText="1"/>
    </xf>
    <xf numFmtId="0" fontId="53" fillId="0" borderId="1" xfId="0" applyFont="1" applyBorder="1" applyAlignment="1">
      <alignment vertical="center"/>
    </xf>
    <xf numFmtId="167" fontId="55" fillId="0" borderId="1" xfId="0" applyNumberFormat="1" applyFont="1" applyBorder="1" applyAlignment="1">
      <alignment horizontal="center" vertical="center" wrapText="1"/>
    </xf>
    <xf numFmtId="0" fontId="55" fillId="0" borderId="1" xfId="0" quotePrefix="1" applyFont="1" applyBorder="1" applyAlignment="1">
      <alignment horizontal="center" vertical="center" wrapText="1"/>
    </xf>
    <xf numFmtId="0" fontId="6" fillId="0" borderId="0" xfId="0" applyFont="1"/>
    <xf numFmtId="0" fontId="4" fillId="0" borderId="6" xfId="0" applyFont="1" applyBorder="1"/>
    <xf numFmtId="1" fontId="4" fillId="0" borderId="6" xfId="0" applyNumberFormat="1" applyFont="1" applyBorder="1"/>
    <xf numFmtId="0" fontId="28" fillId="0" borderId="0" xfId="0" applyFont="1"/>
    <xf numFmtId="0" fontId="60" fillId="0" borderId="0" xfId="0" applyFont="1"/>
    <xf numFmtId="0" fontId="61" fillId="0" borderId="0" xfId="0" applyFont="1"/>
    <xf numFmtId="0" fontId="62" fillId="0" borderId="0" xfId="0" applyFont="1"/>
    <xf numFmtId="0" fontId="0" fillId="25" borderId="0" xfId="0" applyFill="1"/>
    <xf numFmtId="0" fontId="27" fillId="16" borderId="0" xfId="0" applyFont="1" applyFill="1"/>
    <xf numFmtId="0" fontId="63" fillId="0" borderId="0" xfId="0" applyFont="1" applyAlignment="1">
      <alignment horizontal="left" vertical="center" readingOrder="1"/>
    </xf>
    <xf numFmtId="0" fontId="64" fillId="0" borderId="0" xfId="0" applyFont="1" applyAlignment="1">
      <alignment horizontal="left" vertical="center" indent="4" readingOrder="1"/>
    </xf>
    <xf numFmtId="0" fontId="12" fillId="0" borderId="0" xfId="0" applyFont="1" applyAlignment="1">
      <alignment horizontal="center" vertical="center"/>
    </xf>
    <xf numFmtId="0" fontId="11" fillId="0" borderId="0" xfId="0" applyFont="1" applyAlignment="1">
      <alignment horizontal="center" vertical="center"/>
    </xf>
    <xf numFmtId="0" fontId="41" fillId="0" borderId="0" xfId="0" applyFont="1"/>
    <xf numFmtId="0" fontId="40" fillId="52" borderId="0" xfId="0" applyFont="1" applyFill="1" applyAlignment="1">
      <alignment horizontal="center" vertical="center"/>
    </xf>
    <xf numFmtId="9" fontId="12" fillId="0" borderId="11" xfId="2" applyFont="1" applyBorder="1"/>
    <xf numFmtId="0" fontId="3" fillId="0" borderId="0" xfId="0" applyFont="1"/>
    <xf numFmtId="164" fontId="4" fillId="0" borderId="0" xfId="0" applyNumberFormat="1" applyFont="1" applyAlignment="1">
      <alignment horizontal="center"/>
    </xf>
    <xf numFmtId="164" fontId="1" fillId="5" borderId="1" xfId="1" applyNumberFormat="1" applyFont="1" applyFill="1" applyBorder="1" applyAlignment="1">
      <alignment horizontal="center"/>
    </xf>
    <xf numFmtId="164" fontId="15" fillId="5" borderId="1" xfId="1" applyNumberFormat="1" applyFont="1" applyFill="1" applyBorder="1" applyAlignment="1">
      <alignment horizontal="center"/>
    </xf>
    <xf numFmtId="164" fontId="1" fillId="5" borderId="1" xfId="5" applyNumberFormat="1" applyFont="1" applyFill="1" applyBorder="1" applyAlignment="1">
      <alignment horizontal="center"/>
    </xf>
    <xf numFmtId="164" fontId="1" fillId="2" borderId="1" xfId="1" applyNumberFormat="1" applyFont="1" applyFill="1" applyBorder="1" applyAlignment="1">
      <alignment horizontal="center"/>
    </xf>
    <xf numFmtId="164" fontId="15" fillId="2" borderId="1" xfId="1" applyNumberFormat="1" applyFont="1" applyFill="1" applyBorder="1" applyAlignment="1">
      <alignment horizontal="center"/>
    </xf>
    <xf numFmtId="164" fontId="1" fillId="2" borderId="1" xfId="5" applyNumberFormat="1" applyFont="1" applyFill="1" applyBorder="1" applyAlignment="1">
      <alignment horizontal="center"/>
    </xf>
    <xf numFmtId="165" fontId="0" fillId="4" borderId="1" xfId="0" applyNumberFormat="1" applyFill="1" applyBorder="1" applyAlignment="1">
      <alignment horizontal="center"/>
    </xf>
    <xf numFmtId="165" fontId="0" fillId="4" borderId="57" xfId="0" applyNumberFormat="1" applyFill="1" applyBorder="1" applyAlignment="1">
      <alignment horizontal="center"/>
    </xf>
    <xf numFmtId="165" fontId="0" fillId="4" borderId="69" xfId="0" applyNumberFormat="1" applyFill="1" applyBorder="1" applyAlignment="1">
      <alignment horizontal="center"/>
    </xf>
    <xf numFmtId="165" fontId="0" fillId="4" borderId="70" xfId="0" applyNumberFormat="1" applyFill="1" applyBorder="1" applyAlignment="1">
      <alignment horizontal="center"/>
    </xf>
    <xf numFmtId="165" fontId="0" fillId="4" borderId="71" xfId="0" applyNumberFormat="1" applyFill="1" applyBorder="1" applyAlignment="1">
      <alignment horizontal="center"/>
    </xf>
    <xf numFmtId="0" fontId="4" fillId="51" borderId="1" xfId="0" applyFont="1" applyFill="1" applyBorder="1" applyAlignment="1">
      <alignment horizontal="center"/>
    </xf>
    <xf numFmtId="0" fontId="17" fillId="16" borderId="1" xfId="0" applyFont="1" applyFill="1" applyBorder="1" applyAlignment="1">
      <alignment horizontal="center"/>
    </xf>
    <xf numFmtId="0" fontId="4" fillId="11" borderId="1" xfId="0" applyFont="1" applyFill="1" applyBorder="1" applyAlignment="1">
      <alignment horizontal="center"/>
    </xf>
    <xf numFmtId="0" fontId="4" fillId="17" borderId="1" xfId="0" applyFont="1" applyFill="1" applyBorder="1" applyAlignment="1">
      <alignment horizontal="center"/>
    </xf>
    <xf numFmtId="0" fontId="4" fillId="51" borderId="58" xfId="0" applyFont="1" applyFill="1" applyBorder="1" applyAlignment="1">
      <alignment horizontal="center"/>
    </xf>
    <xf numFmtId="164" fontId="1" fillId="5" borderId="58" xfId="1" applyNumberFormat="1" applyFont="1" applyFill="1" applyBorder="1" applyAlignment="1">
      <alignment horizontal="center"/>
    </xf>
    <xf numFmtId="164" fontId="1" fillId="5" borderId="58" xfId="5" applyNumberFormat="1" applyFont="1" applyFill="1" applyBorder="1" applyAlignment="1">
      <alignment horizontal="center"/>
    </xf>
    <xf numFmtId="164" fontId="1" fillId="5" borderId="58" xfId="1" applyNumberFormat="1" applyFont="1" applyFill="1" applyBorder="1" applyAlignment="1">
      <alignment horizontal="right"/>
    </xf>
    <xf numFmtId="164" fontId="15" fillId="5" borderId="58" xfId="1" applyNumberFormat="1" applyFont="1" applyFill="1" applyBorder="1" applyAlignment="1">
      <alignment horizontal="center"/>
    </xf>
    <xf numFmtId="164" fontId="15" fillId="5" borderId="61" xfId="1" applyNumberFormat="1" applyFont="1" applyFill="1" applyBorder="1" applyAlignment="1">
      <alignment horizontal="center"/>
    </xf>
    <xf numFmtId="164" fontId="15" fillId="5" borderId="62" xfId="1" applyNumberFormat="1" applyFont="1" applyFill="1" applyBorder="1" applyAlignment="1">
      <alignment horizontal="center"/>
    </xf>
    <xf numFmtId="164" fontId="4" fillId="5" borderId="67" xfId="1" applyNumberFormat="1" applyFont="1" applyFill="1" applyBorder="1" applyAlignment="1">
      <alignment horizontal="center"/>
    </xf>
    <xf numFmtId="164" fontId="4" fillId="5" borderId="68" xfId="1" applyNumberFormat="1" applyFont="1" applyFill="1" applyBorder="1" applyAlignment="1">
      <alignment horizontal="center"/>
    </xf>
    <xf numFmtId="0" fontId="4" fillId="11" borderId="59" xfId="0" applyFont="1" applyFill="1" applyBorder="1" applyAlignment="1">
      <alignment horizontal="center"/>
    </xf>
    <xf numFmtId="164" fontId="1" fillId="2" borderId="59" xfId="1" applyNumberFormat="1" applyFont="1" applyFill="1" applyBorder="1" applyAlignment="1">
      <alignment horizontal="center"/>
    </xf>
    <xf numFmtId="164" fontId="1" fillId="2" borderId="59" xfId="5" applyNumberFormat="1" applyFont="1" applyFill="1" applyBorder="1" applyAlignment="1">
      <alignment horizontal="center"/>
    </xf>
    <xf numFmtId="164" fontId="15" fillId="2" borderId="59" xfId="1" applyNumberFormat="1" applyFont="1" applyFill="1" applyBorder="1" applyAlignment="1">
      <alignment horizontal="center"/>
    </xf>
    <xf numFmtId="164" fontId="1" fillId="2" borderId="60" xfId="1" applyNumberFormat="1" applyFont="1" applyFill="1" applyBorder="1" applyAlignment="1">
      <alignment horizontal="center"/>
    </xf>
    <xf numFmtId="164" fontId="1" fillId="2" borderId="61" xfId="1" applyNumberFormat="1" applyFont="1" applyFill="1" applyBorder="1" applyAlignment="1">
      <alignment horizontal="center"/>
    </xf>
    <xf numFmtId="164" fontId="24" fillId="2" borderId="66" xfId="1" applyNumberFormat="1" applyFont="1" applyFill="1" applyBorder="1" applyAlignment="1">
      <alignment horizontal="center"/>
    </xf>
    <xf numFmtId="164" fontId="24" fillId="2" borderId="67" xfId="1" applyNumberFormat="1" applyFont="1" applyFill="1" applyBorder="1" applyAlignment="1">
      <alignment horizontal="center"/>
    </xf>
    <xf numFmtId="164" fontId="21" fillId="3" borderId="1" xfId="1" applyNumberFormat="1" applyFont="1" applyFill="1" applyBorder="1" applyAlignment="1">
      <alignment horizontal="center"/>
    </xf>
    <xf numFmtId="164" fontId="20" fillId="3" borderId="1" xfId="1" applyNumberFormat="1" applyFont="1" applyFill="1" applyBorder="1" applyAlignment="1">
      <alignment horizontal="center"/>
    </xf>
    <xf numFmtId="0" fontId="20" fillId="16" borderId="1" xfId="0" applyFont="1" applyFill="1" applyBorder="1" applyAlignment="1">
      <alignment horizontal="center"/>
    </xf>
    <xf numFmtId="164" fontId="18" fillId="3" borderId="1" xfId="1" applyNumberFormat="1" applyFont="1" applyFill="1" applyBorder="1" applyAlignment="1">
      <alignment horizontal="center"/>
    </xf>
    <xf numFmtId="164" fontId="18" fillId="3" borderId="61" xfId="1" applyNumberFormat="1" applyFont="1" applyFill="1" applyBorder="1" applyAlignment="1">
      <alignment horizontal="center"/>
    </xf>
    <xf numFmtId="164" fontId="17" fillId="3" borderId="67" xfId="1" applyNumberFormat="1" applyFont="1" applyFill="1" applyBorder="1" applyAlignment="1">
      <alignment horizontal="center"/>
    </xf>
    <xf numFmtId="0" fontId="20" fillId="3" borderId="1" xfId="0" applyFont="1" applyFill="1" applyBorder="1" applyAlignment="1">
      <alignment horizontal="center"/>
    </xf>
    <xf numFmtId="164" fontId="4" fillId="3" borderId="1" xfId="1" applyNumberFormat="1" applyFont="1" applyFill="1" applyBorder="1" applyAlignment="1">
      <alignment horizontal="center"/>
    </xf>
    <xf numFmtId="0" fontId="4" fillId="10" borderId="1" xfId="0" applyFont="1" applyFill="1" applyBorder="1" applyAlignment="1">
      <alignment horizontal="center"/>
    </xf>
    <xf numFmtId="164" fontId="0" fillId="9" borderId="1" xfId="1" applyNumberFormat="1" applyFont="1" applyFill="1" applyBorder="1" applyAlignment="1">
      <alignment horizontal="center"/>
    </xf>
    <xf numFmtId="164" fontId="4" fillId="9" borderId="0" xfId="1" applyNumberFormat="1" applyFont="1" applyFill="1"/>
    <xf numFmtId="0" fontId="23" fillId="16" borderId="1" xfId="0" applyFont="1" applyFill="1" applyBorder="1" applyAlignment="1">
      <alignment horizontal="center"/>
    </xf>
    <xf numFmtId="164" fontId="25" fillId="3" borderId="1" xfId="1" applyNumberFormat="1" applyFont="1" applyFill="1" applyBorder="1" applyAlignment="1">
      <alignment horizontal="center"/>
    </xf>
    <xf numFmtId="164" fontId="4" fillId="3" borderId="0" xfId="1" applyNumberFormat="1" applyFont="1" applyFill="1"/>
    <xf numFmtId="164" fontId="15" fillId="6" borderId="1" xfId="1" applyNumberFormat="1" applyFont="1" applyFill="1" applyBorder="1" applyAlignment="1">
      <alignment horizontal="center"/>
    </xf>
    <xf numFmtId="0" fontId="4" fillId="11" borderId="1" xfId="1" applyNumberFormat="1" applyFont="1" applyFill="1" applyBorder="1" applyAlignment="1">
      <alignment horizontal="center" vertical="center"/>
    </xf>
    <xf numFmtId="164" fontId="0" fillId="2" borderId="1" xfId="1" applyNumberFormat="1" applyFont="1" applyFill="1" applyBorder="1" applyAlignment="1">
      <alignment horizontal="center" vertical="center"/>
    </xf>
    <xf numFmtId="164" fontId="4" fillId="2" borderId="1" xfId="1" applyNumberFormat="1" applyFont="1" applyFill="1" applyBorder="1"/>
    <xf numFmtId="0" fontId="4" fillId="51" borderId="1" xfId="1" applyNumberFormat="1" applyFont="1" applyFill="1" applyBorder="1" applyAlignment="1">
      <alignment horizontal="center" vertical="center"/>
    </xf>
    <xf numFmtId="0" fontId="26" fillId="16" borderId="1" xfId="1" applyNumberFormat="1" applyFont="1" applyFill="1" applyBorder="1" applyAlignment="1">
      <alignment horizontal="center" vertical="center"/>
    </xf>
    <xf numFmtId="164" fontId="27" fillId="3" borderId="1" xfId="1" applyNumberFormat="1" applyFont="1" applyFill="1" applyBorder="1" applyAlignment="1">
      <alignment horizontal="center" vertical="center"/>
    </xf>
    <xf numFmtId="164" fontId="26" fillId="3" borderId="1" xfId="1" applyNumberFormat="1" applyFont="1" applyFill="1" applyBorder="1"/>
    <xf numFmtId="43" fontId="0" fillId="0" borderId="0" xfId="1" applyFont="1"/>
    <xf numFmtId="164" fontId="0" fillId="0" borderId="0" xfId="1" applyNumberFormat="1" applyFont="1"/>
    <xf numFmtId="164" fontId="31" fillId="0" borderId="0" xfId="1" applyNumberFormat="1" applyFont="1"/>
    <xf numFmtId="164" fontId="0" fillId="10" borderId="0" xfId="1" applyNumberFormat="1" applyFont="1" applyFill="1"/>
    <xf numFmtId="164" fontId="0" fillId="0" borderId="0" xfId="0" applyNumberFormat="1"/>
    <xf numFmtId="164" fontId="0" fillId="10" borderId="0" xfId="0" applyNumberFormat="1" applyFill="1"/>
    <xf numFmtId="164" fontId="0" fillId="11" borderId="0" xfId="1" applyNumberFormat="1" applyFont="1" applyFill="1"/>
    <xf numFmtId="164" fontId="0" fillId="12" borderId="0" xfId="1" applyNumberFormat="1" applyFont="1" applyFill="1"/>
    <xf numFmtId="164" fontId="0" fillId="13" borderId="0" xfId="1" applyNumberFormat="1" applyFont="1" applyFill="1"/>
    <xf numFmtId="164" fontId="0" fillId="14" borderId="0" xfId="1" applyNumberFormat="1" applyFont="1" applyFill="1"/>
    <xf numFmtId="164" fontId="31" fillId="0" borderId="0" xfId="1" applyNumberFormat="1" applyFont="1" applyAlignment="1">
      <alignment horizontal="center"/>
    </xf>
    <xf numFmtId="164" fontId="0" fillId="15" borderId="0" xfId="1" applyNumberFormat="1" applyFont="1" applyFill="1"/>
    <xf numFmtId="164" fontId="4" fillId="16" borderId="0" xfId="1" applyNumberFormat="1" applyFont="1" applyFill="1"/>
    <xf numFmtId="164" fontId="0" fillId="3" borderId="0" xfId="1" applyNumberFormat="1" applyFont="1" applyFill="1"/>
    <xf numFmtId="164" fontId="0" fillId="17" borderId="0" xfId="1" applyNumberFormat="1" applyFont="1" applyFill="1"/>
    <xf numFmtId="164" fontId="0" fillId="18" borderId="0" xfId="1" applyNumberFormat="1" applyFont="1" applyFill="1"/>
    <xf numFmtId="164" fontId="0" fillId="19" borderId="0" xfId="1" applyNumberFormat="1" applyFont="1" applyFill="1"/>
    <xf numFmtId="164" fontId="0" fillId="20" borderId="0" xfId="1" applyNumberFormat="1" applyFont="1" applyFill="1"/>
    <xf numFmtId="164" fontId="0" fillId="21" borderId="0" xfId="1" applyNumberFormat="1" applyFont="1" applyFill="1"/>
    <xf numFmtId="164" fontId="0" fillId="22" borderId="0" xfId="1" applyNumberFormat="1" applyFont="1" applyFill="1"/>
    <xf numFmtId="164" fontId="0" fillId="23" borderId="0" xfId="1" applyNumberFormat="1" applyFont="1" applyFill="1"/>
    <xf numFmtId="164" fontId="0" fillId="15" borderId="0" xfId="0" applyNumberFormat="1" applyFill="1"/>
    <xf numFmtId="164" fontId="4" fillId="16" borderId="0" xfId="0" applyNumberFormat="1" applyFont="1" applyFill="1"/>
    <xf numFmtId="164" fontId="0" fillId="3" borderId="0" xfId="0" applyNumberFormat="1" applyFill="1"/>
    <xf numFmtId="164" fontId="15" fillId="0" borderId="0" xfId="1" applyNumberFormat="1" applyFont="1"/>
    <xf numFmtId="0" fontId="4" fillId="0" borderId="0" xfId="0" applyFont="1" applyAlignment="1">
      <alignment horizontal="center" vertical="center"/>
    </xf>
    <xf numFmtId="9" fontId="30" fillId="53" borderId="0" xfId="2" applyFont="1" applyFill="1" applyAlignment="1">
      <alignment horizontal="center"/>
    </xf>
    <xf numFmtId="9" fontId="65" fillId="53" borderId="0" xfId="2" applyFont="1" applyFill="1" applyAlignment="1">
      <alignment horizontal="center"/>
    </xf>
    <xf numFmtId="0" fontId="66" fillId="0" borderId="0" xfId="0" applyFont="1"/>
    <xf numFmtId="0" fontId="67" fillId="54" borderId="0" xfId="0" quotePrefix="1" applyFont="1" applyFill="1"/>
    <xf numFmtId="0" fontId="42" fillId="54" borderId="0" xfId="0" applyFont="1" applyFill="1"/>
    <xf numFmtId="0" fontId="68" fillId="0" borderId="3" xfId="0" applyFont="1" applyBorder="1"/>
    <xf numFmtId="1" fontId="12" fillId="0" borderId="0" xfId="0" applyNumberFormat="1" applyFont="1"/>
    <xf numFmtId="0" fontId="68" fillId="0" borderId="0" xfId="0" applyFont="1"/>
    <xf numFmtId="1" fontId="68" fillId="0" borderId="0" xfId="0" applyNumberFormat="1" applyFont="1"/>
    <xf numFmtId="1" fontId="41" fillId="0" borderId="0" xfId="0" applyNumberFormat="1" applyFont="1"/>
    <xf numFmtId="1" fontId="41" fillId="55" borderId="0" xfId="0" applyNumberFormat="1" applyFont="1" applyFill="1"/>
    <xf numFmtId="1" fontId="41" fillId="0" borderId="11" xfId="0" applyNumberFormat="1" applyFont="1" applyBorder="1"/>
    <xf numFmtId="0" fontId="41" fillId="0" borderId="50" xfId="0" applyFont="1" applyBorder="1"/>
    <xf numFmtId="1" fontId="41" fillId="0" borderId="50" xfId="0" applyNumberFormat="1" applyFont="1" applyBorder="1"/>
    <xf numFmtId="0" fontId="67" fillId="54" borderId="0" xfId="0" applyFont="1" applyFill="1"/>
    <xf numFmtId="0" fontId="12" fillId="0" borderId="3" xfId="0" applyFont="1" applyBorder="1"/>
    <xf numFmtId="1" fontId="12" fillId="55" borderId="0" xfId="0" applyNumberFormat="1" applyFont="1" applyFill="1"/>
    <xf numFmtId="0" fontId="12" fillId="0" borderId="50" xfId="0" applyFont="1" applyBorder="1"/>
    <xf numFmtId="1" fontId="12" fillId="55" borderId="50" xfId="0" applyNumberFormat="1" applyFont="1" applyFill="1" applyBorder="1"/>
    <xf numFmtId="1" fontId="12" fillId="28" borderId="50" xfId="0" applyNumberFormat="1" applyFont="1" applyFill="1" applyBorder="1"/>
    <xf numFmtId="1" fontId="12" fillId="0" borderId="50" xfId="0" applyNumberFormat="1" applyFont="1" applyBorder="1" applyAlignment="1">
      <alignment horizontal="center"/>
    </xf>
    <xf numFmtId="0" fontId="12" fillId="55" borderId="0" xfId="0" applyFont="1" applyFill="1"/>
    <xf numFmtId="1" fontId="12" fillId="0" borderId="50" xfId="0" applyNumberFormat="1" applyFont="1" applyBorder="1"/>
    <xf numFmtId="0" fontId="12" fillId="55" borderId="50" xfId="0" applyFont="1" applyFill="1" applyBorder="1"/>
    <xf numFmtId="0" fontId="69" fillId="0" borderId="0" xfId="3" applyFont="1" applyFill="1" applyBorder="1"/>
    <xf numFmtId="0" fontId="12" fillId="31" borderId="32" xfId="0" applyFont="1" applyFill="1" applyBorder="1"/>
    <xf numFmtId="0" fontId="12" fillId="31" borderId="33" xfId="0" applyFont="1" applyFill="1" applyBorder="1"/>
    <xf numFmtId="0" fontId="12" fillId="31" borderId="34" xfId="0" applyFont="1" applyFill="1" applyBorder="1"/>
    <xf numFmtId="0" fontId="67" fillId="54" borderId="35" xfId="0" applyFont="1" applyFill="1" applyBorder="1"/>
    <xf numFmtId="0" fontId="67" fillId="54" borderId="36" xfId="0" applyFont="1" applyFill="1" applyBorder="1"/>
    <xf numFmtId="0" fontId="12" fillId="0" borderId="72" xfId="0" applyFont="1" applyBorder="1"/>
    <xf numFmtId="0" fontId="12" fillId="0" borderId="56" xfId="0" applyFont="1" applyBorder="1"/>
    <xf numFmtId="0" fontId="12" fillId="0" borderId="73" xfId="0" applyFont="1" applyBorder="1"/>
    <xf numFmtId="0" fontId="12" fillId="0" borderId="6" xfId="0" applyFont="1" applyBorder="1"/>
    <xf numFmtId="0" fontId="12" fillId="0" borderId="54" xfId="0" applyFont="1" applyBorder="1"/>
    <xf numFmtId="0" fontId="12" fillId="0" borderId="74" xfId="0" applyFont="1" applyBorder="1"/>
    <xf numFmtId="0" fontId="12" fillId="0" borderId="75" xfId="0" applyFont="1" applyBorder="1"/>
    <xf numFmtId="0" fontId="12" fillId="0" borderId="76" xfId="0" applyFont="1" applyBorder="1"/>
    <xf numFmtId="0" fontId="41" fillId="0" borderId="11" xfId="0" applyFont="1" applyBorder="1"/>
    <xf numFmtId="1" fontId="12" fillId="0" borderId="3" xfId="0" applyNumberFormat="1" applyFont="1" applyBorder="1"/>
    <xf numFmtId="1" fontId="12" fillId="0" borderId="11" xfId="0" applyNumberFormat="1" applyFont="1" applyBorder="1"/>
    <xf numFmtId="0" fontId="12" fillId="56" borderId="0" xfId="0" applyFont="1" applyFill="1"/>
    <xf numFmtId="2" fontId="9" fillId="0" borderId="18" xfId="0" applyNumberFormat="1" applyFont="1" applyBorder="1" applyAlignment="1">
      <alignment horizontal="center"/>
    </xf>
    <xf numFmtId="0" fontId="12" fillId="7" borderId="0" xfId="0" applyFont="1" applyFill="1" applyAlignment="1">
      <alignment horizontal="center" vertical="center"/>
    </xf>
    <xf numFmtId="0" fontId="11" fillId="7" borderId="0" xfId="0" applyFont="1" applyFill="1" applyAlignment="1">
      <alignment horizontal="center" vertical="center"/>
    </xf>
    <xf numFmtId="0" fontId="12" fillId="7" borderId="11" xfId="0" applyFont="1" applyFill="1" applyBorder="1" applyAlignment="1">
      <alignment horizontal="center" vertical="center"/>
    </xf>
    <xf numFmtId="0" fontId="11" fillId="7" borderId="11" xfId="0" applyFont="1" applyFill="1" applyBorder="1" applyAlignment="1">
      <alignment horizontal="center" vertical="center"/>
    </xf>
    <xf numFmtId="164" fontId="70" fillId="57" borderId="35" xfId="1" applyNumberFormat="1" applyFont="1" applyFill="1" applyBorder="1" applyAlignment="1">
      <alignment horizontal="center"/>
    </xf>
    <xf numFmtId="164" fontId="70" fillId="57" borderId="36" xfId="1" applyNumberFormat="1" applyFont="1" applyFill="1" applyBorder="1" applyAlignment="1">
      <alignment horizontal="center" vertical="center"/>
    </xf>
    <xf numFmtId="164" fontId="11" fillId="0" borderId="35" xfId="1" applyNumberFormat="1" applyFont="1" applyFill="1" applyBorder="1" applyAlignment="1">
      <alignment horizontal="center" vertical="center"/>
    </xf>
    <xf numFmtId="164" fontId="11" fillId="0" borderId="36" xfId="1" applyNumberFormat="1" applyFont="1" applyFill="1" applyBorder="1"/>
    <xf numFmtId="0" fontId="43" fillId="0" borderId="77" xfId="0" applyFont="1" applyBorder="1" applyAlignment="1">
      <alignment horizontal="center" vertical="center"/>
    </xf>
    <xf numFmtId="0" fontId="43" fillId="0" borderId="77" xfId="0" applyFont="1" applyBorder="1" applyAlignment="1">
      <alignment horizontal="center"/>
    </xf>
    <xf numFmtId="164" fontId="11" fillId="0" borderId="78" xfId="1" applyNumberFormat="1" applyFont="1" applyFill="1" applyBorder="1" applyAlignment="1">
      <alignment horizontal="center" vertical="center"/>
    </xf>
    <xf numFmtId="164" fontId="11" fillId="0" borderId="79" xfId="1" applyNumberFormat="1" applyFont="1" applyFill="1" applyBorder="1"/>
    <xf numFmtId="0" fontId="43" fillId="0" borderId="80" xfId="0" applyFont="1" applyBorder="1" applyAlignment="1">
      <alignment horizontal="center" vertical="center"/>
    </xf>
    <xf numFmtId="0" fontId="43" fillId="0" borderId="80" xfId="0" applyFont="1" applyBorder="1" applyAlignment="1">
      <alignment horizontal="center"/>
    </xf>
    <xf numFmtId="164" fontId="11" fillId="0" borderId="81" xfId="1" applyNumberFormat="1" applyFont="1" applyFill="1" applyBorder="1" applyAlignment="1">
      <alignment horizontal="center" vertical="center"/>
    </xf>
    <xf numFmtId="164" fontId="11" fillId="0" borderId="82" xfId="1" applyNumberFormat="1" applyFont="1" applyFill="1" applyBorder="1"/>
    <xf numFmtId="0" fontId="70" fillId="57" borderId="32" xfId="0" applyFont="1" applyFill="1" applyBorder="1"/>
    <xf numFmtId="0" fontId="70" fillId="57" borderId="33" xfId="0" applyFont="1" applyFill="1" applyBorder="1"/>
    <xf numFmtId="0" fontId="70" fillId="57" borderId="35" xfId="0" applyFont="1" applyFill="1" applyBorder="1" applyAlignment="1">
      <alignment horizontal="center" vertical="center"/>
    </xf>
    <xf numFmtId="0" fontId="70" fillId="57" borderId="0" xfId="0" applyFont="1" applyFill="1" applyAlignment="1">
      <alignment horizontal="center" vertical="center"/>
    </xf>
    <xf numFmtId="0" fontId="43" fillId="0" borderId="35" xfId="0" applyFont="1" applyBorder="1"/>
    <xf numFmtId="0" fontId="43" fillId="0" borderId="0" xfId="0" applyFont="1" applyAlignment="1">
      <alignment horizontal="center" vertical="center"/>
    </xf>
    <xf numFmtId="0" fontId="43" fillId="0" borderId="0" xfId="0" applyFont="1" applyAlignment="1">
      <alignment horizontal="center"/>
    </xf>
    <xf numFmtId="0" fontId="43" fillId="0" borderId="78" xfId="0" applyFont="1" applyBorder="1"/>
    <xf numFmtId="0" fontId="43" fillId="0" borderId="81" xfId="0" applyFont="1" applyBorder="1"/>
    <xf numFmtId="0" fontId="43" fillId="0" borderId="40" xfId="0" applyFont="1" applyBorder="1"/>
    <xf numFmtId="0" fontId="43" fillId="0" borderId="41" xfId="0" applyFont="1" applyBorder="1" applyAlignment="1">
      <alignment horizontal="center" vertical="center"/>
    </xf>
    <xf numFmtId="0" fontId="43" fillId="0" borderId="41" xfId="0" applyFont="1" applyBorder="1" applyAlignment="1">
      <alignment horizontal="center"/>
    </xf>
    <xf numFmtId="164" fontId="11" fillId="0" borderId="40" xfId="1" applyNumberFormat="1" applyFont="1" applyFill="1" applyBorder="1" applyAlignment="1">
      <alignment horizontal="center" vertical="center"/>
    </xf>
    <xf numFmtId="164" fontId="11" fillId="0" borderId="42" xfId="1" applyNumberFormat="1" applyFont="1" applyFill="1" applyBorder="1"/>
    <xf numFmtId="43" fontId="0" fillId="0" borderId="0" xfId="0" applyNumberFormat="1"/>
    <xf numFmtId="0" fontId="8" fillId="7" borderId="18" xfId="0" applyFont="1" applyFill="1" applyBorder="1"/>
    <xf numFmtId="0" fontId="0" fillId="0" borderId="0" xfId="0" applyAlignment="1">
      <alignment horizontal="center" vertical="center"/>
    </xf>
    <xf numFmtId="0" fontId="0" fillId="58" borderId="11" xfId="0" applyFill="1" applyBorder="1"/>
    <xf numFmtId="1" fontId="0" fillId="0" borderId="0" xfId="0" applyNumberFormat="1" applyAlignment="1">
      <alignment horizontal="center" vertical="center"/>
    </xf>
    <xf numFmtId="164" fontId="0" fillId="0" borderId="0" xfId="0" applyNumberFormat="1" applyAlignment="1">
      <alignment horizontal="center" vertical="center"/>
    </xf>
    <xf numFmtId="0" fontId="0" fillId="0" borderId="11" xfId="0" applyBorder="1" applyAlignment="1">
      <alignment horizontal="center" vertical="center"/>
    </xf>
    <xf numFmtId="0" fontId="15" fillId="7" borderId="9" xfId="0" applyFont="1" applyFill="1" applyBorder="1"/>
    <xf numFmtId="0" fontId="15" fillId="7" borderId="0" xfId="0" applyFont="1" applyFill="1"/>
    <xf numFmtId="0" fontId="10" fillId="7" borderId="2" xfId="0" applyFont="1" applyFill="1" applyBorder="1" applyAlignment="1">
      <alignment horizontal="right"/>
    </xf>
    <xf numFmtId="0" fontId="10" fillId="7" borderId="3" xfId="0" applyFont="1" applyFill="1" applyBorder="1" applyAlignment="1">
      <alignment horizontal="right"/>
    </xf>
    <xf numFmtId="0" fontId="15" fillId="7" borderId="9" xfId="0" applyFont="1" applyFill="1" applyBorder="1" applyAlignment="1">
      <alignment horizontal="right"/>
    </xf>
    <xf numFmtId="0" fontId="15" fillId="7" borderId="0" xfId="0" applyFont="1" applyFill="1" applyAlignment="1">
      <alignment horizontal="right"/>
    </xf>
    <xf numFmtId="11" fontId="15" fillId="7" borderId="10" xfId="0" applyNumberFormat="1" applyFont="1" applyFill="1" applyBorder="1" applyAlignment="1">
      <alignment horizontal="right"/>
    </xf>
    <xf numFmtId="11" fontId="15" fillId="7" borderId="11" xfId="0" applyNumberFormat="1" applyFont="1" applyFill="1" applyBorder="1" applyAlignment="1">
      <alignment horizontal="right"/>
    </xf>
    <xf numFmtId="0" fontId="15" fillId="7" borderId="11" xfId="0" applyFont="1" applyFill="1" applyBorder="1" applyAlignment="1">
      <alignment horizontal="right"/>
    </xf>
    <xf numFmtId="0" fontId="15" fillId="7" borderId="15" xfId="0" applyFont="1" applyFill="1" applyBorder="1" applyAlignment="1">
      <alignment horizontal="right"/>
    </xf>
    <xf numFmtId="0" fontId="15" fillId="7" borderId="14" xfId="0" applyFont="1" applyFill="1" applyBorder="1" applyAlignment="1">
      <alignment horizontal="right"/>
    </xf>
    <xf numFmtId="11" fontId="15" fillId="7" borderId="9" xfId="0" applyNumberFormat="1" applyFont="1" applyFill="1" applyBorder="1" applyAlignment="1">
      <alignment horizontal="right"/>
    </xf>
    <xf numFmtId="11" fontId="15" fillId="7" borderId="0" xfId="0" applyNumberFormat="1" applyFont="1" applyFill="1" applyAlignment="1">
      <alignment horizontal="right"/>
    </xf>
    <xf numFmtId="174" fontId="0" fillId="0" borderId="0" xfId="0" applyNumberFormat="1"/>
    <xf numFmtId="0" fontId="29" fillId="8" borderId="0" xfId="0" applyFont="1" applyFill="1" applyAlignment="1">
      <alignment horizontal="center" vertical="center"/>
    </xf>
    <xf numFmtId="0" fontId="13" fillId="4" borderId="0" xfId="0" applyFont="1" applyFill="1" applyAlignment="1">
      <alignment horizontal="left" vertical="top" wrapText="1" indent="2"/>
    </xf>
    <xf numFmtId="0" fontId="4" fillId="2" borderId="0" xfId="0" applyFont="1" applyFill="1" applyAlignment="1">
      <alignment horizontal="center"/>
    </xf>
    <xf numFmtId="0" fontId="4" fillId="3" borderId="0" xfId="0" applyFont="1" applyFill="1" applyAlignment="1">
      <alignment horizontal="center"/>
    </xf>
    <xf numFmtId="0" fontId="0" fillId="2" borderId="0" xfId="0" quotePrefix="1" applyFill="1" applyAlignment="1">
      <alignment horizontal="left" vertical="top" wrapText="1"/>
    </xf>
    <xf numFmtId="0" fontId="0" fillId="2" borderId="0" xfId="0" applyFill="1" applyAlignment="1">
      <alignment horizontal="left" vertical="top"/>
    </xf>
    <xf numFmtId="0" fontId="0" fillId="3" borderId="0" xfId="0" quotePrefix="1" applyFill="1" applyAlignment="1">
      <alignment horizontal="left" vertical="top" wrapText="1"/>
    </xf>
    <xf numFmtId="0" fontId="0" fillId="3" borderId="0" xfId="0" applyFill="1" applyAlignment="1">
      <alignment horizontal="left" vertical="top"/>
    </xf>
    <xf numFmtId="0" fontId="4" fillId="51" borderId="64" xfId="0" applyFont="1" applyFill="1" applyBorder="1" applyAlignment="1">
      <alignment horizontal="center"/>
    </xf>
    <xf numFmtId="0" fontId="4" fillId="51" borderId="65" xfId="0" applyFont="1" applyFill="1" applyBorder="1" applyAlignment="1">
      <alignment horizontal="center"/>
    </xf>
    <xf numFmtId="0" fontId="4" fillId="17" borderId="1" xfId="0" applyFont="1" applyFill="1" applyBorder="1" applyAlignment="1">
      <alignment horizontal="center"/>
    </xf>
    <xf numFmtId="0" fontId="4" fillId="11" borderId="63" xfId="0" applyFont="1" applyFill="1" applyBorder="1" applyAlignment="1">
      <alignment horizontal="center"/>
    </xf>
    <xf numFmtId="0" fontId="4" fillId="11" borderId="64" xfId="0" applyFont="1" applyFill="1" applyBorder="1" applyAlignment="1">
      <alignment horizontal="center"/>
    </xf>
    <xf numFmtId="0" fontId="17" fillId="16" borderId="64" xfId="0" applyFont="1" applyFill="1" applyBorder="1" applyAlignment="1">
      <alignment horizontal="center"/>
    </xf>
    <xf numFmtId="0" fontId="4" fillId="11" borderId="0" xfId="0" applyFont="1" applyFill="1" applyAlignment="1">
      <alignment horizontal="center"/>
    </xf>
    <xf numFmtId="0" fontId="20" fillId="16" borderId="0" xfId="0" applyFont="1" applyFill="1" applyAlignment="1">
      <alignment horizontal="center"/>
    </xf>
    <xf numFmtId="0" fontId="4" fillId="51" borderId="0" xfId="0" applyFont="1" applyFill="1" applyAlignment="1">
      <alignment horizontal="center"/>
    </xf>
    <xf numFmtId="0" fontId="4" fillId="11" borderId="1" xfId="0" applyFont="1" applyFill="1" applyBorder="1" applyAlignment="1">
      <alignment horizontal="center"/>
    </xf>
    <xf numFmtId="0" fontId="20" fillId="3" borderId="1" xfId="0" applyFont="1" applyFill="1" applyBorder="1" applyAlignment="1">
      <alignment horizontal="center"/>
    </xf>
    <xf numFmtId="0" fontId="4" fillId="51" borderId="1" xfId="0" applyFont="1" applyFill="1" applyBorder="1" applyAlignment="1">
      <alignment horizontal="center"/>
    </xf>
    <xf numFmtId="0" fontId="4" fillId="0" borderId="9" xfId="0" applyFont="1" applyBorder="1" applyAlignment="1">
      <alignment horizontal="center" vertical="center"/>
    </xf>
    <xf numFmtId="0" fontId="4" fillId="10" borderId="1" xfId="0" applyFont="1" applyFill="1" applyBorder="1" applyAlignment="1">
      <alignment horizontal="center"/>
    </xf>
    <xf numFmtId="0" fontId="23" fillId="16" borderId="1" xfId="0" applyFont="1" applyFill="1" applyBorder="1" applyAlignment="1">
      <alignment horizontal="center"/>
    </xf>
    <xf numFmtId="0" fontId="4" fillId="6" borderId="1" xfId="0" applyFont="1" applyFill="1" applyBorder="1" applyAlignment="1">
      <alignment horizontal="center"/>
    </xf>
    <xf numFmtId="0" fontId="20" fillId="16" borderId="1" xfId="0" applyFont="1" applyFill="1" applyBorder="1" applyAlignment="1">
      <alignment horizont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7" xfId="0" applyFont="1" applyFill="1" applyBorder="1" applyAlignment="1">
      <alignment horizontal="center"/>
    </xf>
    <xf numFmtId="164" fontId="4" fillId="11" borderId="1" xfId="1" applyNumberFormat="1" applyFont="1" applyFill="1" applyBorder="1" applyAlignment="1">
      <alignment horizontal="center" vertical="center"/>
    </xf>
    <xf numFmtId="164" fontId="26" fillId="16" borderId="1" xfId="1" applyNumberFormat="1" applyFont="1" applyFill="1" applyBorder="1" applyAlignment="1">
      <alignment horizontal="center" vertical="center"/>
    </xf>
    <xf numFmtId="164" fontId="4" fillId="51" borderId="1" xfId="1" applyNumberFormat="1" applyFont="1" applyFill="1" applyBorder="1" applyAlignment="1">
      <alignment horizontal="center" vertical="center"/>
    </xf>
    <xf numFmtId="0" fontId="14" fillId="4" borderId="0" xfId="0" applyFont="1" applyFill="1" applyAlignment="1">
      <alignment horizontal="left"/>
    </xf>
    <xf numFmtId="0" fontId="32" fillId="0" borderId="0" xfId="0" applyFont="1" applyAlignment="1">
      <alignment horizontal="left" vertical="center"/>
    </xf>
    <xf numFmtId="0" fontId="4" fillId="0" borderId="0" xfId="0" applyFont="1" applyAlignment="1">
      <alignment horizontal="center"/>
    </xf>
    <xf numFmtId="0" fontId="34" fillId="0" borderId="0" xfId="0" applyFont="1" applyAlignment="1">
      <alignment horizontal="left"/>
    </xf>
    <xf numFmtId="0" fontId="32" fillId="0" borderId="0" xfId="0" applyFont="1" applyAlignment="1">
      <alignment horizontal="left" wrapText="1"/>
    </xf>
    <xf numFmtId="0" fontId="35" fillId="0" borderId="8" xfId="0" applyFont="1" applyBorder="1" applyAlignment="1">
      <alignment horizontal="center" vertical="center" textRotation="90"/>
    </xf>
    <xf numFmtId="0" fontId="10" fillId="0" borderId="2" xfId="0" applyFont="1" applyBorder="1" applyAlignment="1">
      <alignment horizontal="center" wrapText="1"/>
    </xf>
    <xf numFmtId="0" fontId="10" fillId="0" borderId="3" xfId="0" applyFont="1" applyBorder="1" applyAlignment="1">
      <alignment horizontal="center" wrapText="1"/>
    </xf>
    <xf numFmtId="0" fontId="10" fillId="0" borderId="4" xfId="0" applyFont="1" applyBorder="1" applyAlignment="1">
      <alignment horizontal="center" wrapText="1"/>
    </xf>
    <xf numFmtId="0" fontId="10" fillId="0" borderId="10" xfId="0" applyFont="1" applyBorder="1" applyAlignment="1">
      <alignment horizontal="center" wrapText="1"/>
    </xf>
    <xf numFmtId="0" fontId="10" fillId="0" borderId="11" xfId="0" applyFont="1" applyBorder="1" applyAlignment="1">
      <alignment horizontal="center" wrapText="1"/>
    </xf>
    <xf numFmtId="0" fontId="10" fillId="0" borderId="12" xfId="0" applyFont="1" applyBorder="1" applyAlignment="1">
      <alignment horizontal="center" wrapText="1"/>
    </xf>
    <xf numFmtId="0" fontId="10" fillId="0" borderId="2" xfId="0" applyFont="1" applyBorder="1" applyAlignment="1">
      <alignment horizontal="center"/>
    </xf>
    <xf numFmtId="0" fontId="10" fillId="0" borderId="3" xfId="0" applyFont="1" applyBorder="1" applyAlignment="1">
      <alignment horizontal="center"/>
    </xf>
    <xf numFmtId="0" fontId="10" fillId="0" borderId="4" xfId="0" applyFont="1" applyBorder="1" applyAlignment="1">
      <alignment horizontal="center"/>
    </xf>
    <xf numFmtId="0" fontId="10" fillId="0" borderId="10" xfId="0" applyFont="1" applyBorder="1" applyAlignment="1">
      <alignment horizontal="center"/>
    </xf>
    <xf numFmtId="0" fontId="10" fillId="0" borderId="11" xfId="0" applyFont="1" applyBorder="1" applyAlignment="1">
      <alignment horizontal="center"/>
    </xf>
    <xf numFmtId="0" fontId="10" fillId="0" borderId="12" xfId="0" applyFont="1" applyBorder="1" applyAlignment="1">
      <alignment horizontal="center"/>
    </xf>
    <xf numFmtId="0" fontId="10" fillId="0" borderId="9" xfId="0" applyFont="1" applyBorder="1" applyAlignment="1">
      <alignment horizontal="center" wrapText="1"/>
    </xf>
    <xf numFmtId="0" fontId="10" fillId="0" borderId="0" xfId="0" applyFont="1" applyAlignment="1">
      <alignment horizontal="center" wrapText="1"/>
    </xf>
    <xf numFmtId="0" fontId="10" fillId="0" borderId="8" xfId="0" applyFont="1" applyBorder="1" applyAlignment="1">
      <alignment horizontal="center" wrapText="1"/>
    </xf>
    <xf numFmtId="0" fontId="10" fillId="7" borderId="9" xfId="0" applyFont="1" applyFill="1" applyBorder="1" applyAlignment="1">
      <alignment horizontal="center" wrapText="1"/>
    </xf>
    <xf numFmtId="0" fontId="10" fillId="7" borderId="0" xfId="0" applyFont="1" applyFill="1" applyAlignment="1">
      <alignment horizontal="center" wrapText="1"/>
    </xf>
    <xf numFmtId="0" fontId="10" fillId="7" borderId="8" xfId="0" applyFont="1" applyFill="1" applyBorder="1" applyAlignment="1">
      <alignment horizontal="center" wrapText="1"/>
    </xf>
    <xf numFmtId="0" fontId="10" fillId="7" borderId="10" xfId="0" applyFont="1" applyFill="1" applyBorder="1" applyAlignment="1">
      <alignment horizontal="center" wrapText="1"/>
    </xf>
    <xf numFmtId="0" fontId="10" fillId="7" borderId="11" xfId="0" applyFont="1" applyFill="1" applyBorder="1" applyAlignment="1">
      <alignment horizontal="center" wrapText="1"/>
    </xf>
    <xf numFmtId="0" fontId="10" fillId="7" borderId="12" xfId="0" applyFont="1" applyFill="1" applyBorder="1" applyAlignment="1">
      <alignment horizontal="center" wrapText="1"/>
    </xf>
    <xf numFmtId="0" fontId="35" fillId="0" borderId="16" xfId="0" applyFont="1" applyBorder="1" applyAlignment="1">
      <alignment horizontal="right" vertical="center" textRotation="90" wrapText="1"/>
    </xf>
    <xf numFmtId="0" fontId="35" fillId="0" borderId="8" xfId="0" applyFont="1" applyBorder="1" applyAlignment="1">
      <alignment horizontal="right" vertical="center" textRotation="90"/>
    </xf>
    <xf numFmtId="0" fontId="39" fillId="0" borderId="19" xfId="4" applyFont="1" applyBorder="1" applyAlignment="1">
      <alignment horizontal="left" vertical="center" wrapText="1" indent="1"/>
    </xf>
    <xf numFmtId="0" fontId="39" fillId="0" borderId="0" xfId="4" applyFont="1" applyAlignment="1">
      <alignment horizontal="left" vertical="center" wrapText="1" indent="1"/>
    </xf>
    <xf numFmtId="0" fontId="24" fillId="0" borderId="0" xfId="0" applyFont="1" applyAlignment="1">
      <alignment horizontal="center" vertical="center"/>
    </xf>
    <xf numFmtId="0" fontId="36" fillId="0" borderId="0" xfId="0" applyFont="1" applyAlignment="1">
      <alignment vertical="center" indent="1"/>
    </xf>
    <xf numFmtId="0" fontId="39" fillId="0" borderId="19" xfId="4" applyFont="1" applyBorder="1" applyAlignment="1">
      <alignment horizontal="center" vertical="center" wrapText="1"/>
    </xf>
    <xf numFmtId="0" fontId="39" fillId="0" borderId="0" xfId="4" applyFont="1" applyAlignment="1">
      <alignment horizontal="center" vertical="center" wrapText="1"/>
    </xf>
    <xf numFmtId="0" fontId="39" fillId="0" borderId="17" xfId="4" applyFont="1" applyBorder="1" applyAlignment="1">
      <alignment horizontal="center" vertical="center" wrapText="1"/>
    </xf>
    <xf numFmtId="0" fontId="39" fillId="0" borderId="17" xfId="4" applyFont="1" applyBorder="1" applyAlignment="1">
      <alignment horizontal="left" vertical="center" wrapText="1" indent="1"/>
    </xf>
    <xf numFmtId="0" fontId="2" fillId="24" borderId="0" xfId="0" applyFont="1" applyFill="1" applyAlignment="1">
      <alignment horizontal="center"/>
    </xf>
    <xf numFmtId="0" fontId="41" fillId="30" borderId="20" xfId="0" applyFont="1" applyFill="1" applyBorder="1" applyAlignment="1">
      <alignment horizontal="center" vertical="center" wrapText="1"/>
    </xf>
    <xf numFmtId="0" fontId="41" fillId="30" borderId="23" xfId="0" applyFont="1" applyFill="1" applyBorder="1" applyAlignment="1">
      <alignment horizontal="center" vertical="center" wrapText="1"/>
    </xf>
    <xf numFmtId="0" fontId="41" fillId="30" borderId="27" xfId="0" applyFont="1" applyFill="1" applyBorder="1" applyAlignment="1">
      <alignment horizontal="center" vertical="center" wrapText="1"/>
    </xf>
    <xf numFmtId="0" fontId="41" fillId="30" borderId="28" xfId="0" applyFont="1" applyFill="1" applyBorder="1" applyAlignment="1">
      <alignment horizontal="center" vertical="center" wrapText="1"/>
    </xf>
    <xf numFmtId="0" fontId="41" fillId="30" borderId="29" xfId="0" applyFont="1" applyFill="1" applyBorder="1" applyAlignment="1">
      <alignment horizontal="center" vertical="center" wrapText="1"/>
    </xf>
    <xf numFmtId="0" fontId="45" fillId="36" borderId="0" xfId="0" applyFont="1" applyFill="1" applyAlignment="1">
      <alignment horizontal="center"/>
    </xf>
    <xf numFmtId="0" fontId="4" fillId="37" borderId="0" xfId="0" applyFont="1" applyFill="1" applyAlignment="1">
      <alignment horizontal="center"/>
    </xf>
    <xf numFmtId="0" fontId="4" fillId="38" borderId="0" xfId="0" applyFont="1" applyFill="1" applyAlignment="1">
      <alignment horizontal="center"/>
    </xf>
    <xf numFmtId="0" fontId="47" fillId="0" borderId="43" xfId="0" applyFont="1" applyBorder="1" applyAlignment="1">
      <alignment horizontal="left" wrapText="1"/>
    </xf>
    <xf numFmtId="0" fontId="47" fillId="0" borderId="44" xfId="0" applyFont="1" applyBorder="1" applyAlignment="1">
      <alignment horizontal="left" wrapText="1"/>
    </xf>
    <xf numFmtId="0" fontId="31" fillId="0" borderId="35" xfId="0" applyFont="1" applyBorder="1"/>
    <xf numFmtId="0" fontId="31" fillId="0" borderId="0" xfId="0" applyFont="1"/>
    <xf numFmtId="0" fontId="54" fillId="25" borderId="5" xfId="3" applyFont="1" applyFill="1" applyBorder="1" applyAlignment="1" applyProtection="1">
      <alignment horizontal="center" vertical="top" wrapText="1"/>
    </xf>
    <xf numFmtId="0" fontId="0" fillId="25" borderId="6" xfId="0" applyFill="1" applyBorder="1" applyAlignment="1">
      <alignment horizontal="center" vertical="top" wrapText="1"/>
    </xf>
    <xf numFmtId="0" fontId="0" fillId="25" borderId="54" xfId="0" applyFill="1" applyBorder="1" applyAlignment="1">
      <alignment horizontal="center" vertical="top" wrapText="1"/>
    </xf>
    <xf numFmtId="0" fontId="53" fillId="25" borderId="5" xfId="0" applyFont="1" applyFill="1" applyBorder="1" applyAlignment="1">
      <alignment horizontal="center" vertical="top" wrapText="1"/>
    </xf>
    <xf numFmtId="0" fontId="53" fillId="25" borderId="7" xfId="0" applyFont="1" applyFill="1" applyBorder="1" applyAlignment="1">
      <alignment horizontal="center" vertical="top" wrapText="1"/>
    </xf>
    <xf numFmtId="49" fontId="55" fillId="25" borderId="35" xfId="12" applyNumberFormat="1" applyFont="1" applyFill="1" applyBorder="1" applyAlignment="1">
      <alignment vertical="top" wrapText="1"/>
    </xf>
    <xf numFmtId="49" fontId="55" fillId="25" borderId="0" xfId="12" applyNumberFormat="1" applyFont="1" applyFill="1" applyBorder="1" applyAlignment="1">
      <alignment vertical="top" wrapText="1"/>
    </xf>
    <xf numFmtId="43" fontId="55" fillId="25" borderId="35" xfId="12" applyFont="1" applyFill="1" applyBorder="1" applyAlignment="1">
      <alignment vertical="top" wrapText="1"/>
    </xf>
    <xf numFmtId="43" fontId="55" fillId="25" borderId="0" xfId="12" applyFont="1" applyFill="1" applyBorder="1" applyAlignment="1">
      <alignment vertical="top" wrapText="1"/>
    </xf>
    <xf numFmtId="0" fontId="0" fillId="0" borderId="35" xfId="0" applyBorder="1"/>
    <xf numFmtId="0" fontId="0" fillId="0" borderId="0" xfId="0"/>
    <xf numFmtId="0" fontId="31" fillId="0" borderId="35" xfId="0" applyFont="1" applyBorder="1" applyAlignment="1">
      <alignment horizontal="left" vertical="top" wrapText="1"/>
    </xf>
    <xf numFmtId="0" fontId="31" fillId="0" borderId="0" xfId="0" applyFont="1" applyAlignment="1">
      <alignment horizontal="left" vertical="top" wrapText="1"/>
    </xf>
    <xf numFmtId="0" fontId="0" fillId="0" borderId="35" xfId="0" applyBorder="1" applyAlignment="1">
      <alignment horizontal="left" vertical="center"/>
    </xf>
    <xf numFmtId="0" fontId="0" fillId="0" borderId="0" xfId="0" applyAlignment="1">
      <alignment horizontal="left" vertical="center"/>
    </xf>
    <xf numFmtId="0" fontId="54" fillId="25" borderId="1" xfId="3" applyFont="1" applyFill="1" applyBorder="1" applyAlignment="1" applyProtection="1">
      <alignment horizontal="center" vertical="center" wrapText="1"/>
    </xf>
    <xf numFmtId="0" fontId="0" fillId="25" borderId="1" xfId="0" applyFill="1" applyBorder="1" applyAlignment="1">
      <alignment horizontal="center" vertical="center" wrapText="1"/>
    </xf>
    <xf numFmtId="0" fontId="53" fillId="25" borderId="1" xfId="0" applyFont="1" applyFill="1" applyBorder="1" applyAlignment="1">
      <alignment horizontal="center" vertical="center" wrapText="1"/>
    </xf>
    <xf numFmtId="164" fontId="70" fillId="57" borderId="32" xfId="1" applyNumberFormat="1" applyFont="1" applyFill="1" applyBorder="1" applyAlignment="1">
      <alignment horizontal="center"/>
    </xf>
    <xf numFmtId="164" fontId="70" fillId="57" borderId="34" xfId="1" applyNumberFormat="1" applyFont="1" applyFill="1" applyBorder="1" applyAlignment="1">
      <alignment horizontal="center"/>
    </xf>
    <xf numFmtId="0" fontId="0" fillId="0" borderId="0" xfId="0" applyAlignment="1">
      <alignment horizontal="center"/>
    </xf>
    <xf numFmtId="0" fontId="0" fillId="0" borderId="0" xfId="0" applyAlignment="1">
      <alignment horizontal="center" vertical="center"/>
    </xf>
    <xf numFmtId="0" fontId="4" fillId="0" borderId="0" xfId="0" applyFont="1" applyAlignment="1">
      <alignment horizontal="center" vertical="center"/>
    </xf>
  </cellXfs>
  <cellStyles count="13">
    <cellStyle name="Comma" xfId="1" builtinId="3"/>
    <cellStyle name="Comma 2" xfId="5" xr:uid="{064E30AF-D66D-4DD2-A48B-C5D96644919D}"/>
    <cellStyle name="Comma 3" xfId="12" xr:uid="{02D4E595-C5CF-4A06-8744-54511F4A0829}"/>
    <cellStyle name="Hyperlink" xfId="3" builtinId="8"/>
    <cellStyle name="N_CalcSum" xfId="10" xr:uid="{3963CCFA-2B53-4F60-88F5-E5CDE0AA684B}"/>
    <cellStyle name="N_Comment" xfId="11" xr:uid="{8A71FA9B-FA2B-442C-B736-48A07B6B1B80}"/>
    <cellStyle name="N_Input" xfId="8" xr:uid="{B112104D-635E-4641-A73A-DC64885491C5}"/>
    <cellStyle name="N_InputCalc" xfId="7" xr:uid="{2B60D13E-E0EF-4BD2-AADA-8C9268FF4708}"/>
    <cellStyle name="N_InputWhite" xfId="6" xr:uid="{BE20F71F-C904-4F97-906C-303404C9A060}"/>
    <cellStyle name="N_Table1_Header" xfId="9" xr:uid="{B0183E09-C4E1-443D-A33E-EE1C42B6457C}"/>
    <cellStyle name="Normal" xfId="0" builtinId="0"/>
    <cellStyle name="Percent" xfId="2" builtinId="5"/>
    <cellStyle name="Standard_Data provided by OT3" xfId="4" xr:uid="{7BD6302D-C5AD-4300-8FC1-28E0D33B8B16}"/>
  </cellStyles>
  <dxfs count="1">
    <dxf>
      <font>
        <color rgb="FFFFFFFF"/>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10.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5.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8.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externalLink" Target="externalLinks/externalLink9.xml"/><Relationship Id="rId38"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Aggregated Final Solar PV </a:t>
            </a:r>
            <a:r>
              <a:rPr lang="es-ES" sz="1260" b="1" i="0" u="none" strike="noStrike" baseline="0">
                <a:effectLst/>
              </a:rPr>
              <a:t>Trajectories</a:t>
            </a:r>
            <a:r>
              <a:rPr lang="es-ES"/>
              <a:t> MW</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'1.1.'!$C$3:$E$3</c:f>
              <c:strCache>
                <c:ptCount val="3"/>
                <c:pt idx="0">
                  <c:v>LOW</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'1.1.'!$C$4:$E$4</c:f>
              <c:numCache>
                <c:formatCode>General</c:formatCode>
                <c:ptCount val="3"/>
                <c:pt idx="0">
                  <c:v>2030</c:v>
                </c:pt>
                <c:pt idx="1">
                  <c:v>2040</c:v>
                </c:pt>
                <c:pt idx="2">
                  <c:v>2050</c:v>
                </c:pt>
              </c:numCache>
            </c:numRef>
          </c:xVal>
          <c:yVal>
            <c:numRef>
              <c:f>'1.1.'!$C$59:$E$59</c:f>
              <c:numCache>
                <c:formatCode>_-* #,##0_-;\-* #,##0_-;_-* "-"??_-;_-@_-</c:formatCode>
                <c:ptCount val="3"/>
                <c:pt idx="0">
                  <c:v>543237.54315241973</c:v>
                </c:pt>
                <c:pt idx="1">
                  <c:v>830184.49918884318</c:v>
                </c:pt>
                <c:pt idx="2">
                  <c:v>1031993.7895768173</c:v>
                </c:pt>
              </c:numCache>
            </c:numRef>
          </c:yVal>
          <c:smooth val="1"/>
          <c:extLst>
            <c:ext xmlns:c16="http://schemas.microsoft.com/office/drawing/2014/chart" uri="{C3380CC4-5D6E-409C-BE32-E72D297353CC}">
              <c16:uniqueId val="{00000000-DEC5-43E7-9730-F7A82B6D5F9E}"/>
            </c:ext>
          </c:extLst>
        </c:ser>
        <c:ser>
          <c:idx val="1"/>
          <c:order val="1"/>
          <c:tx>
            <c:strRef>
              <c:f>'1.1.'!$F$3:$G$3</c:f>
              <c:strCache>
                <c:ptCount val="2"/>
                <c:pt idx="0">
                  <c:v>Best Estimate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'1.1.'!$F$4:$G$4</c:f>
              <c:numCache>
                <c:formatCode>General</c:formatCode>
                <c:ptCount val="2"/>
                <c:pt idx="0">
                  <c:v>2030</c:v>
                </c:pt>
                <c:pt idx="1">
                  <c:v>2040</c:v>
                </c:pt>
              </c:numCache>
            </c:numRef>
          </c:xVal>
          <c:yVal>
            <c:numRef>
              <c:f>'1.1.'!$F$59:$G$59</c:f>
              <c:numCache>
                <c:formatCode>_-* #,##0_-;\-* #,##0_-;_-* "-"??_-;_-@_-</c:formatCode>
                <c:ptCount val="2"/>
                <c:pt idx="0">
                  <c:v>670014.48711256532</c:v>
                </c:pt>
                <c:pt idx="1">
                  <c:v>1132770.1972952515</c:v>
                </c:pt>
              </c:numCache>
            </c:numRef>
          </c:yVal>
          <c:smooth val="1"/>
          <c:extLst>
            <c:ext xmlns:c16="http://schemas.microsoft.com/office/drawing/2014/chart" uri="{C3380CC4-5D6E-409C-BE32-E72D297353CC}">
              <c16:uniqueId val="{00000001-DEC5-43E7-9730-F7A82B6D5F9E}"/>
            </c:ext>
          </c:extLst>
        </c:ser>
        <c:ser>
          <c:idx val="2"/>
          <c:order val="2"/>
          <c:tx>
            <c:strRef>
              <c:f>'1.1.'!$H$3:$J$3</c:f>
              <c:strCache>
                <c:ptCount val="3"/>
                <c:pt idx="0">
                  <c:v>HIGH</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'1.1.'!$H$4:$J$4</c:f>
              <c:numCache>
                <c:formatCode>General</c:formatCode>
                <c:ptCount val="3"/>
                <c:pt idx="0">
                  <c:v>2030</c:v>
                </c:pt>
                <c:pt idx="1">
                  <c:v>2040</c:v>
                </c:pt>
                <c:pt idx="2">
                  <c:v>2050</c:v>
                </c:pt>
              </c:numCache>
            </c:numRef>
          </c:xVal>
          <c:yVal>
            <c:numRef>
              <c:f>'1.1.'!$H$59:$J$59</c:f>
              <c:numCache>
                <c:formatCode>_-* #,##0_-;\-* #,##0_-;_-* "-"??_-;_-@_-</c:formatCode>
                <c:ptCount val="3"/>
                <c:pt idx="0">
                  <c:v>914363.29172946641</c:v>
                </c:pt>
                <c:pt idx="1">
                  <c:v>1571318.1983784614</c:v>
                </c:pt>
                <c:pt idx="2">
                  <c:v>2174588.948011281</c:v>
                </c:pt>
              </c:numCache>
            </c:numRef>
          </c:yVal>
          <c:smooth val="1"/>
          <c:extLst>
            <c:ext xmlns:c16="http://schemas.microsoft.com/office/drawing/2014/chart" uri="{C3380CC4-5D6E-409C-BE32-E72D297353CC}">
              <c16:uniqueId val="{00000002-DEC5-43E7-9730-F7A82B6D5F9E}"/>
            </c:ext>
          </c:extLst>
        </c:ser>
        <c:dLbls>
          <c:dLblPos val="ctr"/>
          <c:showLegendKey val="0"/>
          <c:showVal val="1"/>
          <c:showCatName val="0"/>
          <c:showSerName val="0"/>
          <c:showPercent val="0"/>
          <c:showBubbleSize val="0"/>
        </c:dLbls>
        <c:axId val="1325978448"/>
        <c:axId val="1325980112"/>
      </c:scatterChart>
      <c:valAx>
        <c:axId val="1325978448"/>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980112"/>
        <c:crosses val="autoZero"/>
        <c:crossBetween val="midCat"/>
        <c:majorUnit val="10"/>
      </c:valAx>
      <c:valAx>
        <c:axId val="132598011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978448"/>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EU27 Final Solar PV </a:t>
            </a:r>
            <a:r>
              <a:rPr lang="es-ES" sz="1260" b="1" i="0" u="none" strike="noStrike" baseline="0">
                <a:effectLst/>
              </a:rPr>
              <a:t>Trajectories</a:t>
            </a:r>
            <a:r>
              <a:rPr lang="es-ES"/>
              <a:t> MW</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'1.1.'!$C$3:$E$3</c:f>
              <c:strCache>
                <c:ptCount val="3"/>
                <c:pt idx="0">
                  <c:v>LOW</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'1.1.'!$C$4:$E$4</c:f>
              <c:numCache>
                <c:formatCode>General</c:formatCode>
                <c:ptCount val="3"/>
                <c:pt idx="0">
                  <c:v>2030</c:v>
                </c:pt>
                <c:pt idx="1">
                  <c:v>2040</c:v>
                </c:pt>
                <c:pt idx="2">
                  <c:v>2050</c:v>
                </c:pt>
              </c:numCache>
            </c:numRef>
          </c:xVal>
          <c:yVal>
            <c:numRef>
              <c:f>'1.1.'!$C$61:$E$61</c:f>
              <c:numCache>
                <c:formatCode>_-* #,##0_-;\-* #,##0_-;_-* "-"??_-;_-@_-</c:formatCode>
                <c:ptCount val="3"/>
                <c:pt idx="0">
                  <c:v>504876.7161524198</c:v>
                </c:pt>
                <c:pt idx="1">
                  <c:v>781124.34918884316</c:v>
                </c:pt>
                <c:pt idx="2">
                  <c:v>975781.63957681728</c:v>
                </c:pt>
              </c:numCache>
            </c:numRef>
          </c:yVal>
          <c:smooth val="1"/>
          <c:extLst>
            <c:ext xmlns:c16="http://schemas.microsoft.com/office/drawing/2014/chart" uri="{C3380CC4-5D6E-409C-BE32-E72D297353CC}">
              <c16:uniqueId val="{00000000-397A-4360-8C8A-CD55B56B8BDA}"/>
            </c:ext>
          </c:extLst>
        </c:ser>
        <c:ser>
          <c:idx val="1"/>
          <c:order val="1"/>
          <c:tx>
            <c:strRef>
              <c:f>'1.1.'!$F$3:$G$3</c:f>
              <c:strCache>
                <c:ptCount val="2"/>
                <c:pt idx="0">
                  <c:v>Best Estimate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'1.1.'!$F$4:$G$4</c:f>
              <c:numCache>
                <c:formatCode>General</c:formatCode>
                <c:ptCount val="2"/>
                <c:pt idx="0">
                  <c:v>2030</c:v>
                </c:pt>
                <c:pt idx="1">
                  <c:v>2040</c:v>
                </c:pt>
              </c:numCache>
            </c:numRef>
          </c:xVal>
          <c:yVal>
            <c:numRef>
              <c:f>'1.1.'!$F$61:$G$61</c:f>
              <c:numCache>
                <c:formatCode>_-* #,##0_-;\-* #,##0_-;_-* "-"??_-;_-@_-</c:formatCode>
                <c:ptCount val="2"/>
                <c:pt idx="0">
                  <c:v>618690.64619113668</c:v>
                </c:pt>
                <c:pt idx="1">
                  <c:v>1032628.471300449</c:v>
                </c:pt>
              </c:numCache>
            </c:numRef>
          </c:yVal>
          <c:smooth val="1"/>
          <c:extLst>
            <c:ext xmlns:c16="http://schemas.microsoft.com/office/drawing/2014/chart" uri="{C3380CC4-5D6E-409C-BE32-E72D297353CC}">
              <c16:uniqueId val="{00000001-397A-4360-8C8A-CD55B56B8BDA}"/>
            </c:ext>
          </c:extLst>
        </c:ser>
        <c:ser>
          <c:idx val="2"/>
          <c:order val="2"/>
          <c:tx>
            <c:strRef>
              <c:f>'1.1.'!$H$3:$J$3</c:f>
              <c:strCache>
                <c:ptCount val="3"/>
                <c:pt idx="0">
                  <c:v>HIGH</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'1.1.'!$H$4:$J$4</c:f>
              <c:numCache>
                <c:formatCode>General</c:formatCode>
                <c:ptCount val="3"/>
                <c:pt idx="0">
                  <c:v>2030</c:v>
                </c:pt>
                <c:pt idx="1">
                  <c:v>2040</c:v>
                </c:pt>
                <c:pt idx="2">
                  <c:v>2050</c:v>
                </c:pt>
              </c:numCache>
            </c:numRef>
          </c:xVal>
          <c:yVal>
            <c:numRef>
              <c:f>'1.1.'!$H$61:$J$61</c:f>
              <c:numCache>
                <c:formatCode>_-* #,##0_-;\-* #,##0_-;_-* "-"??_-;_-@_-</c:formatCode>
                <c:ptCount val="3"/>
                <c:pt idx="0">
                  <c:v>818118.39472946629</c:v>
                </c:pt>
                <c:pt idx="1">
                  <c:v>1437233.3013784613</c:v>
                </c:pt>
                <c:pt idx="2">
                  <c:v>2013784.9580112807</c:v>
                </c:pt>
              </c:numCache>
            </c:numRef>
          </c:yVal>
          <c:smooth val="1"/>
          <c:extLst>
            <c:ext xmlns:c16="http://schemas.microsoft.com/office/drawing/2014/chart" uri="{C3380CC4-5D6E-409C-BE32-E72D297353CC}">
              <c16:uniqueId val="{00000002-397A-4360-8C8A-CD55B56B8BDA}"/>
            </c:ext>
          </c:extLst>
        </c:ser>
        <c:dLbls>
          <c:dLblPos val="ctr"/>
          <c:showLegendKey val="0"/>
          <c:showVal val="1"/>
          <c:showCatName val="0"/>
          <c:showSerName val="0"/>
          <c:showPercent val="0"/>
          <c:showBubbleSize val="0"/>
        </c:dLbls>
        <c:axId val="1325978448"/>
        <c:axId val="1325980112"/>
      </c:scatterChart>
      <c:valAx>
        <c:axId val="1325978448"/>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980112"/>
        <c:crosses val="autoZero"/>
        <c:crossBetween val="midCat"/>
        <c:majorUnit val="10"/>
      </c:valAx>
      <c:valAx>
        <c:axId val="132598011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978448"/>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Aggregated Wind Onshore Trajectories MW </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'1.2.'!$C$3:$E$3</c:f>
              <c:strCache>
                <c:ptCount val="3"/>
                <c:pt idx="0">
                  <c:v>LOW</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'1.2.'!$C$4:$E$4</c:f>
              <c:numCache>
                <c:formatCode>General</c:formatCode>
                <c:ptCount val="3"/>
                <c:pt idx="0">
                  <c:v>2030</c:v>
                </c:pt>
                <c:pt idx="1">
                  <c:v>2040</c:v>
                </c:pt>
                <c:pt idx="2">
                  <c:v>2050</c:v>
                </c:pt>
              </c:numCache>
            </c:numRef>
          </c:xVal>
          <c:yVal>
            <c:numRef>
              <c:f>'1.2.'!$C$59:$E$59</c:f>
              <c:numCache>
                <c:formatCode>_-* #,##0_-;\-* #,##0_-;_-* "-"??_-;_-@_-</c:formatCode>
                <c:ptCount val="3"/>
                <c:pt idx="0">
                  <c:v>335450.15487608104</c:v>
                </c:pt>
                <c:pt idx="1">
                  <c:v>413399.77469999995</c:v>
                </c:pt>
                <c:pt idx="2">
                  <c:v>452337.30469999992</c:v>
                </c:pt>
              </c:numCache>
            </c:numRef>
          </c:yVal>
          <c:smooth val="1"/>
          <c:extLst>
            <c:ext xmlns:c16="http://schemas.microsoft.com/office/drawing/2014/chart" uri="{C3380CC4-5D6E-409C-BE32-E72D297353CC}">
              <c16:uniqueId val="{00000000-9495-469A-B1A4-F066E4CF116D}"/>
            </c:ext>
          </c:extLst>
        </c:ser>
        <c:ser>
          <c:idx val="1"/>
          <c:order val="1"/>
          <c:tx>
            <c:strRef>
              <c:f>'1.2.'!$F$3:$G$3</c:f>
              <c:strCache>
                <c:ptCount val="2"/>
                <c:pt idx="0">
                  <c:v>BEST ESTIMATE (BE)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'1.2.'!$F$4:$G$4</c:f>
              <c:numCache>
                <c:formatCode>General</c:formatCode>
                <c:ptCount val="2"/>
                <c:pt idx="0">
                  <c:v>2030</c:v>
                </c:pt>
                <c:pt idx="1">
                  <c:v>2040</c:v>
                </c:pt>
              </c:numCache>
            </c:numRef>
          </c:xVal>
          <c:yVal>
            <c:numRef>
              <c:f>'1.2.'!$F$59:$G$59</c:f>
              <c:numCache>
                <c:formatCode>_-* #,##0_-;\-* #,##0_-;_-* "-"??_-;_-@_-</c:formatCode>
                <c:ptCount val="2"/>
                <c:pt idx="0">
                  <c:v>388188.29327286297</c:v>
                </c:pt>
                <c:pt idx="1">
                  <c:v>547661.08486636728</c:v>
                </c:pt>
              </c:numCache>
            </c:numRef>
          </c:yVal>
          <c:smooth val="1"/>
          <c:extLst>
            <c:ext xmlns:c16="http://schemas.microsoft.com/office/drawing/2014/chart" uri="{C3380CC4-5D6E-409C-BE32-E72D297353CC}">
              <c16:uniqueId val="{00000001-9495-469A-B1A4-F066E4CF116D}"/>
            </c:ext>
          </c:extLst>
        </c:ser>
        <c:ser>
          <c:idx val="2"/>
          <c:order val="2"/>
          <c:tx>
            <c:strRef>
              <c:f>'1.2.'!$H$3:$J$3</c:f>
              <c:strCache>
                <c:ptCount val="3"/>
                <c:pt idx="0">
                  <c:v>HIGH</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'1.2.'!$H$4:$J$4</c:f>
              <c:numCache>
                <c:formatCode>General</c:formatCode>
                <c:ptCount val="3"/>
                <c:pt idx="0">
                  <c:v>2030</c:v>
                </c:pt>
                <c:pt idx="1">
                  <c:v>2040</c:v>
                </c:pt>
                <c:pt idx="2">
                  <c:v>2050</c:v>
                </c:pt>
              </c:numCache>
            </c:numRef>
          </c:xVal>
          <c:yVal>
            <c:numRef>
              <c:f>'1.2.'!$H$59:$J$59</c:f>
              <c:numCache>
                <c:formatCode>_-* #,##0_-;\-* #,##0_-;_-* "-"??_-;_-@_-</c:formatCode>
                <c:ptCount val="3"/>
                <c:pt idx="0">
                  <c:v>432258.88339999993</c:v>
                </c:pt>
                <c:pt idx="1">
                  <c:v>678965.255</c:v>
                </c:pt>
                <c:pt idx="2">
                  <c:v>867873.64661001775</c:v>
                </c:pt>
              </c:numCache>
            </c:numRef>
          </c:yVal>
          <c:smooth val="1"/>
          <c:extLst>
            <c:ext xmlns:c16="http://schemas.microsoft.com/office/drawing/2014/chart" uri="{C3380CC4-5D6E-409C-BE32-E72D297353CC}">
              <c16:uniqueId val="{00000002-9495-469A-B1A4-F066E4CF116D}"/>
            </c:ext>
          </c:extLst>
        </c:ser>
        <c:dLbls>
          <c:dLblPos val="ctr"/>
          <c:showLegendKey val="0"/>
          <c:showVal val="1"/>
          <c:showCatName val="0"/>
          <c:showSerName val="0"/>
          <c:showPercent val="0"/>
          <c:showBubbleSize val="0"/>
        </c:dLbls>
        <c:axId val="1329761600"/>
        <c:axId val="1329759104"/>
      </c:scatterChart>
      <c:valAx>
        <c:axId val="1329761600"/>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759104"/>
        <c:crosses val="autoZero"/>
        <c:crossBetween val="midCat"/>
        <c:majorUnit val="10"/>
      </c:valAx>
      <c:valAx>
        <c:axId val="1329759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761600"/>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EU27 Wind Onshore Trajectories MW </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'1.2.'!$C$3:$E$3</c:f>
              <c:strCache>
                <c:ptCount val="3"/>
                <c:pt idx="0">
                  <c:v>LOW</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'1.2.'!$C$4:$E$4</c:f>
              <c:numCache>
                <c:formatCode>General</c:formatCode>
                <c:ptCount val="3"/>
                <c:pt idx="0">
                  <c:v>2030</c:v>
                </c:pt>
                <c:pt idx="1">
                  <c:v>2040</c:v>
                </c:pt>
                <c:pt idx="2">
                  <c:v>2050</c:v>
                </c:pt>
              </c:numCache>
            </c:numRef>
          </c:xVal>
          <c:yVal>
            <c:numRef>
              <c:f>'1.2.'!$C$61:$E$61</c:f>
              <c:numCache>
                <c:formatCode>_-* #,##0_-;\-* #,##0_-;_-* "-"??_-;_-@_-</c:formatCode>
                <c:ptCount val="3"/>
                <c:pt idx="0">
                  <c:v>299697.3251760811</c:v>
                </c:pt>
                <c:pt idx="1">
                  <c:v>377766.97</c:v>
                </c:pt>
                <c:pt idx="2">
                  <c:v>414686.5</c:v>
                </c:pt>
              </c:numCache>
            </c:numRef>
          </c:yVal>
          <c:smooth val="1"/>
          <c:extLst>
            <c:ext xmlns:c16="http://schemas.microsoft.com/office/drawing/2014/chart" uri="{C3380CC4-5D6E-409C-BE32-E72D297353CC}">
              <c16:uniqueId val="{00000000-0CFA-44B7-8D2D-FD2A1D4F9EDA}"/>
            </c:ext>
          </c:extLst>
        </c:ser>
        <c:ser>
          <c:idx val="1"/>
          <c:order val="1"/>
          <c:tx>
            <c:strRef>
              <c:f>'1.2.'!$F$3:$G$3</c:f>
              <c:strCache>
                <c:ptCount val="2"/>
                <c:pt idx="0">
                  <c:v>BEST ESTIMATE (BE)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'1.2.'!$F$4:$G$4</c:f>
              <c:numCache>
                <c:formatCode>General</c:formatCode>
                <c:ptCount val="2"/>
                <c:pt idx="0">
                  <c:v>2030</c:v>
                </c:pt>
                <c:pt idx="1">
                  <c:v>2040</c:v>
                </c:pt>
              </c:numCache>
            </c:numRef>
          </c:xVal>
          <c:yVal>
            <c:numRef>
              <c:f>'1.2.'!$F$61:$G$61</c:f>
              <c:numCache>
                <c:formatCode>_-* #,##0_-;\-* #,##0_-;_-* "-"??_-;_-@_-</c:formatCode>
                <c:ptCount val="2"/>
                <c:pt idx="0">
                  <c:v>343362.94306402281</c:v>
                </c:pt>
                <c:pt idx="1">
                  <c:v>486201.82697156718</c:v>
                </c:pt>
              </c:numCache>
            </c:numRef>
          </c:yVal>
          <c:smooth val="1"/>
          <c:extLst>
            <c:ext xmlns:c16="http://schemas.microsoft.com/office/drawing/2014/chart" uri="{C3380CC4-5D6E-409C-BE32-E72D297353CC}">
              <c16:uniqueId val="{00000001-0CFA-44B7-8D2D-FD2A1D4F9EDA}"/>
            </c:ext>
          </c:extLst>
        </c:ser>
        <c:ser>
          <c:idx val="2"/>
          <c:order val="2"/>
          <c:tx>
            <c:strRef>
              <c:f>'1.2.'!$H$3:$J$3</c:f>
              <c:strCache>
                <c:ptCount val="3"/>
                <c:pt idx="0">
                  <c:v>HIGH</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'1.2.'!$H$4:$J$4</c:f>
              <c:numCache>
                <c:formatCode>General</c:formatCode>
                <c:ptCount val="3"/>
                <c:pt idx="0">
                  <c:v>2030</c:v>
                </c:pt>
                <c:pt idx="1">
                  <c:v>2040</c:v>
                </c:pt>
                <c:pt idx="2">
                  <c:v>2050</c:v>
                </c:pt>
              </c:numCache>
            </c:numRef>
          </c:xVal>
          <c:yVal>
            <c:numRef>
              <c:f>'1.2.'!$H$61:$J$61</c:f>
              <c:numCache>
                <c:formatCode>_-* #,##0_-;\-* #,##0_-;_-* "-"??_-;_-@_-</c:formatCode>
                <c:ptCount val="3"/>
                <c:pt idx="0">
                  <c:v>379885</c:v>
                </c:pt>
                <c:pt idx="1">
                  <c:v>620169</c:v>
                </c:pt>
                <c:pt idx="2">
                  <c:v>799439.90161001787</c:v>
                </c:pt>
              </c:numCache>
            </c:numRef>
          </c:yVal>
          <c:smooth val="1"/>
          <c:extLst>
            <c:ext xmlns:c16="http://schemas.microsoft.com/office/drawing/2014/chart" uri="{C3380CC4-5D6E-409C-BE32-E72D297353CC}">
              <c16:uniqueId val="{00000002-0CFA-44B7-8D2D-FD2A1D4F9EDA}"/>
            </c:ext>
          </c:extLst>
        </c:ser>
        <c:dLbls>
          <c:dLblPos val="ctr"/>
          <c:showLegendKey val="0"/>
          <c:showVal val="1"/>
          <c:showCatName val="0"/>
          <c:showSerName val="0"/>
          <c:showPercent val="0"/>
          <c:showBubbleSize val="0"/>
        </c:dLbls>
        <c:axId val="1329761600"/>
        <c:axId val="1329759104"/>
      </c:scatterChart>
      <c:valAx>
        <c:axId val="1329761600"/>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759104"/>
        <c:crosses val="autoZero"/>
        <c:crossBetween val="midCat"/>
        <c:majorUnit val="10"/>
      </c:valAx>
      <c:valAx>
        <c:axId val="1329759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761600"/>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Aggregated Wind Offshore Trajectories MW</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'1.3.'!$C$3:$G$3</c:f>
              <c:strCache>
                <c:ptCount val="5"/>
                <c:pt idx="0">
                  <c:v>LOW</c:v>
                </c:pt>
              </c:strCache>
              <c:extLst xmlns:c15="http://schemas.microsoft.com/office/drawing/2012/chart"/>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'1.3.'!$C$4:$G$4</c:f>
              <c:numCache>
                <c:formatCode>General</c:formatCode>
                <c:ptCount val="5"/>
                <c:pt idx="0">
                  <c:v>2030</c:v>
                </c:pt>
                <c:pt idx="1">
                  <c:v>2035</c:v>
                </c:pt>
                <c:pt idx="2">
                  <c:v>2040</c:v>
                </c:pt>
                <c:pt idx="3">
                  <c:v>2045</c:v>
                </c:pt>
                <c:pt idx="4">
                  <c:v>2050</c:v>
                </c:pt>
              </c:numCache>
              <c:extLst xmlns:c15="http://schemas.microsoft.com/office/drawing/2012/chart"/>
            </c:numRef>
          </c:xVal>
          <c:yVal>
            <c:numRef>
              <c:f>'1.3.'!$C$70:$G$70</c:f>
              <c:numCache>
                <c:formatCode>_-* #,##0_-;\-* #,##0_-;_-* "-"??_-;_-@_-</c:formatCode>
                <c:ptCount val="5"/>
                <c:pt idx="0">
                  <c:v>156459.56998</c:v>
                </c:pt>
                <c:pt idx="1">
                  <c:v>270902.16998000001</c:v>
                </c:pt>
                <c:pt idx="2">
                  <c:v>375580.96998000005</c:v>
                </c:pt>
                <c:pt idx="3">
                  <c:v>426406.21998000005</c:v>
                </c:pt>
                <c:pt idx="4">
                  <c:v>485515.639428647</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02-4239-4042-895D-9DA910FF9F68}"/>
            </c:ext>
          </c:extLst>
        </c:ser>
        <c:ser>
          <c:idx val="1"/>
          <c:order val="1"/>
          <c:tx>
            <c:strRef>
              <c:f>'1.3.'!$H$3:$L$3</c:f>
              <c:strCache>
                <c:ptCount val="5"/>
                <c:pt idx="0">
                  <c:v>BEST ESTIMATE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'1.3.'!$H$4:$L$4</c:f>
              <c:numCache>
                <c:formatCode>General</c:formatCode>
                <c:ptCount val="5"/>
                <c:pt idx="0">
                  <c:v>2030</c:v>
                </c:pt>
                <c:pt idx="1">
                  <c:v>2035</c:v>
                </c:pt>
                <c:pt idx="2">
                  <c:v>2040</c:v>
                </c:pt>
                <c:pt idx="3">
                  <c:v>2045</c:v>
                </c:pt>
                <c:pt idx="4">
                  <c:v>2050</c:v>
                </c:pt>
              </c:numCache>
            </c:numRef>
          </c:xVal>
          <c:yVal>
            <c:numRef>
              <c:f>'1.3.'!$H$70:$L$70</c:f>
              <c:numCache>
                <c:formatCode>_-* #,##0_-;\-* #,##0_-;_-* "-"??_-;_-@_-</c:formatCode>
                <c:ptCount val="5"/>
                <c:pt idx="0">
                  <c:v>156459.56998</c:v>
                </c:pt>
                <c:pt idx="1">
                  <c:v>270902.16998000001</c:v>
                </c:pt>
                <c:pt idx="2">
                  <c:v>375244.66998000001</c:v>
                </c:pt>
                <c:pt idx="3">
                  <c:v>426069.91998000001</c:v>
                </c:pt>
                <c:pt idx="4">
                  <c:v>498212.1</c:v>
                </c:pt>
              </c:numCache>
            </c:numRef>
          </c:yVal>
          <c:smooth val="1"/>
          <c:extLst>
            <c:ext xmlns:c16="http://schemas.microsoft.com/office/drawing/2014/chart" uri="{C3380CC4-5D6E-409C-BE32-E72D297353CC}">
              <c16:uniqueId val="{00000000-4239-4042-895D-9DA910FF9F68}"/>
            </c:ext>
          </c:extLst>
        </c:ser>
        <c:ser>
          <c:idx val="2"/>
          <c:order val="2"/>
          <c:tx>
            <c:strRef>
              <c:f>'1.3.'!$M$3:$O$3</c:f>
              <c:strCache>
                <c:ptCount val="3"/>
                <c:pt idx="0">
                  <c:v>HIGH</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'1.3.'!$M$4:$O$4</c:f>
              <c:numCache>
                <c:formatCode>General</c:formatCode>
                <c:ptCount val="3"/>
                <c:pt idx="0">
                  <c:v>2030</c:v>
                </c:pt>
                <c:pt idx="1">
                  <c:v>2040</c:v>
                </c:pt>
                <c:pt idx="2">
                  <c:v>2050</c:v>
                </c:pt>
              </c:numCache>
            </c:numRef>
          </c:xVal>
          <c:yVal>
            <c:numRef>
              <c:f>'1.3.'!$M$70:$O$70</c:f>
              <c:numCache>
                <c:formatCode>_-* #,##0_-;\-* #,##0_-;_-* "-"??_-;_-@_-</c:formatCode>
                <c:ptCount val="3"/>
                <c:pt idx="0">
                  <c:v>296548.28961681674</c:v>
                </c:pt>
                <c:pt idx="1">
                  <c:v>570923.5919977926</c:v>
                </c:pt>
                <c:pt idx="2">
                  <c:v>811192.41375796183</c:v>
                </c:pt>
              </c:numCache>
            </c:numRef>
          </c:yVal>
          <c:smooth val="1"/>
          <c:extLst>
            <c:ext xmlns:c16="http://schemas.microsoft.com/office/drawing/2014/chart" uri="{C3380CC4-5D6E-409C-BE32-E72D297353CC}">
              <c16:uniqueId val="{00000001-4239-4042-895D-9DA910FF9F68}"/>
            </c:ext>
          </c:extLst>
        </c:ser>
        <c:dLbls>
          <c:dLblPos val="ctr"/>
          <c:showLegendKey val="0"/>
          <c:showVal val="1"/>
          <c:showCatName val="0"/>
          <c:showSerName val="0"/>
          <c:showPercent val="0"/>
          <c:showBubbleSize val="0"/>
        </c:dLbls>
        <c:axId val="1325610864"/>
        <c:axId val="1325605872"/>
        <c:extLst/>
      </c:scatterChart>
      <c:valAx>
        <c:axId val="1325610864"/>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605872"/>
        <c:crosses val="autoZero"/>
        <c:crossBetween val="midCat"/>
        <c:majorUnit val="10"/>
      </c:valAx>
      <c:valAx>
        <c:axId val="1325605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610864"/>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EU27 Wind Offshore </a:t>
            </a:r>
            <a:r>
              <a:rPr lang="es-ES" sz="1260" b="1" i="0" u="none" strike="noStrike" baseline="0">
                <a:effectLst/>
              </a:rPr>
              <a:t>Trajectories</a:t>
            </a:r>
            <a:r>
              <a:rPr lang="es-ES"/>
              <a:t> MW</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'1.3.'!$C$3:$G$3</c:f>
              <c:strCache>
                <c:ptCount val="5"/>
                <c:pt idx="0">
                  <c:v>LOW</c:v>
                </c:pt>
              </c:strCache>
              <c:extLst xmlns:c15="http://schemas.microsoft.com/office/drawing/2012/chart"/>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'1.3.'!$C$4:$G$4</c:f>
              <c:numCache>
                <c:formatCode>General</c:formatCode>
                <c:ptCount val="5"/>
                <c:pt idx="0">
                  <c:v>2030</c:v>
                </c:pt>
                <c:pt idx="1">
                  <c:v>2035</c:v>
                </c:pt>
                <c:pt idx="2">
                  <c:v>2040</c:v>
                </c:pt>
                <c:pt idx="3">
                  <c:v>2045</c:v>
                </c:pt>
                <c:pt idx="4">
                  <c:v>2050</c:v>
                </c:pt>
              </c:numCache>
              <c:extLst xmlns:c15="http://schemas.microsoft.com/office/drawing/2012/chart"/>
            </c:numRef>
          </c:xVal>
          <c:yVal>
            <c:numRef>
              <c:f>'1.3.'!$C$72:$G$72</c:f>
              <c:numCache>
                <c:formatCode>_-* #,##0_-;\-* #,##0_-;_-* "-"??_-;_-@_-</c:formatCode>
                <c:ptCount val="5"/>
                <c:pt idx="0">
                  <c:v>100988.6</c:v>
                </c:pt>
                <c:pt idx="1">
                  <c:v>189870.1</c:v>
                </c:pt>
                <c:pt idx="2">
                  <c:v>269419.90000000002</c:v>
                </c:pt>
                <c:pt idx="3">
                  <c:v>306145.15000000002</c:v>
                </c:pt>
                <c:pt idx="4">
                  <c:v>377544.9</c:v>
                </c:pt>
              </c:numCache>
            </c:numRef>
          </c:yVal>
          <c:smooth val="1"/>
          <c:extLst xmlns:c15="http://schemas.microsoft.com/office/drawing/2012/chart">
            <c:ext xmlns:c16="http://schemas.microsoft.com/office/drawing/2014/chart" uri="{C3380CC4-5D6E-409C-BE32-E72D297353CC}">
              <c16:uniqueId val="{00000002-6A57-4BDD-B75E-66F7426BB808}"/>
            </c:ext>
          </c:extLst>
        </c:ser>
        <c:ser>
          <c:idx val="1"/>
          <c:order val="1"/>
          <c:tx>
            <c:strRef>
              <c:f>'1.3.'!$H$3:$L$3</c:f>
              <c:strCache>
                <c:ptCount val="5"/>
                <c:pt idx="0">
                  <c:v>BEST ESTIMATE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'1.3.'!$H$4:$L$4</c:f>
              <c:numCache>
                <c:formatCode>General</c:formatCode>
                <c:ptCount val="5"/>
                <c:pt idx="0">
                  <c:v>2030</c:v>
                </c:pt>
                <c:pt idx="1">
                  <c:v>2035</c:v>
                </c:pt>
                <c:pt idx="2">
                  <c:v>2040</c:v>
                </c:pt>
                <c:pt idx="3">
                  <c:v>2045</c:v>
                </c:pt>
                <c:pt idx="4">
                  <c:v>2050</c:v>
                </c:pt>
              </c:numCache>
            </c:numRef>
          </c:xVal>
          <c:yVal>
            <c:numRef>
              <c:f>'1.3.'!$H$72:$L$72</c:f>
              <c:numCache>
                <c:formatCode>_-* #,##0_-;\-* #,##0_-;_-* "-"??_-;_-@_-</c:formatCode>
                <c:ptCount val="5"/>
                <c:pt idx="0">
                  <c:v>100988.6</c:v>
                </c:pt>
                <c:pt idx="1">
                  <c:v>189870.1</c:v>
                </c:pt>
                <c:pt idx="2">
                  <c:v>269083.59999999998</c:v>
                </c:pt>
                <c:pt idx="3">
                  <c:v>305808.84999999998</c:v>
                </c:pt>
                <c:pt idx="4">
                  <c:v>377208.6</c:v>
                </c:pt>
              </c:numCache>
            </c:numRef>
          </c:yVal>
          <c:smooth val="1"/>
          <c:extLst>
            <c:ext xmlns:c16="http://schemas.microsoft.com/office/drawing/2014/chart" uri="{C3380CC4-5D6E-409C-BE32-E72D297353CC}">
              <c16:uniqueId val="{00000000-6A57-4BDD-B75E-66F7426BB808}"/>
            </c:ext>
          </c:extLst>
        </c:ser>
        <c:ser>
          <c:idx val="2"/>
          <c:order val="2"/>
          <c:tx>
            <c:strRef>
              <c:f>'1.3.'!$M$3:$O$3</c:f>
              <c:strCache>
                <c:ptCount val="3"/>
                <c:pt idx="0">
                  <c:v>HIGH</c:v>
                </c:pt>
              </c:strCache>
            </c:strRef>
          </c:tx>
          <c:spPr>
            <a:ln w="19050" cap="rnd">
              <a:solidFill>
                <a:srgbClr val="00B050"/>
              </a:solidFill>
              <a:prstDash val="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'1.3.'!$M$4:$O$4</c:f>
              <c:numCache>
                <c:formatCode>General</c:formatCode>
                <c:ptCount val="3"/>
                <c:pt idx="0">
                  <c:v>2030</c:v>
                </c:pt>
                <c:pt idx="1">
                  <c:v>2040</c:v>
                </c:pt>
                <c:pt idx="2">
                  <c:v>2050</c:v>
                </c:pt>
              </c:numCache>
            </c:numRef>
          </c:xVal>
          <c:yVal>
            <c:numRef>
              <c:f>'1.3.'!$M$72:$O$72</c:f>
              <c:numCache>
                <c:formatCode>_-* #,##0_-;\-* #,##0_-;_-* "-"??_-;_-@_-</c:formatCode>
                <c:ptCount val="3"/>
                <c:pt idx="0">
                  <c:v>240293.44961681674</c:v>
                </c:pt>
                <c:pt idx="1">
                  <c:v>458034.31199779263</c:v>
                </c:pt>
                <c:pt idx="2">
                  <c:v>675795.53375796182</c:v>
                </c:pt>
              </c:numCache>
            </c:numRef>
          </c:yVal>
          <c:smooth val="1"/>
          <c:extLst>
            <c:ext xmlns:c16="http://schemas.microsoft.com/office/drawing/2014/chart" uri="{C3380CC4-5D6E-409C-BE32-E72D297353CC}">
              <c16:uniqueId val="{00000001-6A57-4BDD-B75E-66F7426BB808}"/>
            </c:ext>
          </c:extLst>
        </c:ser>
        <c:dLbls>
          <c:dLblPos val="ctr"/>
          <c:showLegendKey val="0"/>
          <c:showVal val="1"/>
          <c:showCatName val="0"/>
          <c:showSerName val="0"/>
          <c:showPercent val="0"/>
          <c:showBubbleSize val="0"/>
        </c:dLbls>
        <c:axId val="1325610864"/>
        <c:axId val="1325605872"/>
        <c:extLst/>
      </c:scatterChart>
      <c:valAx>
        <c:axId val="1325610864"/>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605872"/>
        <c:crosses val="autoZero"/>
        <c:crossBetween val="midCat"/>
        <c:majorUnit val="10"/>
      </c:valAx>
      <c:valAx>
        <c:axId val="1325605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610864"/>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Aggregated* Nuclear Capacities MW</a:t>
            </a:r>
          </a:p>
        </c:rich>
      </c:tx>
      <c:layout>
        <c:manualLayout>
          <c:xMode val="edge"/>
          <c:yMode val="edge"/>
          <c:x val="0.27978895495205958"/>
          <c:y val="2.7675276752767528E-2"/>
        </c:manualLayout>
      </c:layout>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'1.4.'!$C$3:$E$3</c:f>
              <c:strCache>
                <c:ptCount val="3"/>
                <c:pt idx="0">
                  <c:v>Distributed Energy</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'1.4.'!$C$4:$E$4</c:f>
              <c:numCache>
                <c:formatCode>General</c:formatCode>
                <c:ptCount val="3"/>
                <c:pt idx="0">
                  <c:v>2030</c:v>
                </c:pt>
                <c:pt idx="1">
                  <c:v>2040</c:v>
                </c:pt>
                <c:pt idx="2">
                  <c:v>2050</c:v>
                </c:pt>
              </c:numCache>
            </c:numRef>
          </c:xVal>
          <c:yVal>
            <c:numRef>
              <c:f>'1.4.'!$C$59:$E$59</c:f>
              <c:numCache>
                <c:formatCode>_-* #,##0_-;\-* #,##0_-;_-* "-"??_-;_-@_-</c:formatCode>
                <c:ptCount val="3"/>
                <c:pt idx="0">
                  <c:v>95315.197264415852</c:v>
                </c:pt>
                <c:pt idx="1">
                  <c:v>78930.837264415852</c:v>
                </c:pt>
                <c:pt idx="2">
                  <c:v>52672.237264415846</c:v>
                </c:pt>
              </c:numCache>
            </c:numRef>
          </c:yVal>
          <c:smooth val="1"/>
          <c:extLst>
            <c:ext xmlns:c16="http://schemas.microsoft.com/office/drawing/2014/chart" uri="{C3380CC4-5D6E-409C-BE32-E72D297353CC}">
              <c16:uniqueId val="{00000000-F539-4892-B247-9ECA9B793175}"/>
            </c:ext>
          </c:extLst>
        </c:ser>
        <c:ser>
          <c:idx val="1"/>
          <c:order val="1"/>
          <c:tx>
            <c:strRef>
              <c:f>'1.4.'!$F$3:$G$3</c:f>
              <c:strCache>
                <c:ptCount val="2"/>
                <c:pt idx="0">
                  <c:v>National Trends+</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'1.4.'!$F$4:$G$4</c:f>
              <c:numCache>
                <c:formatCode>General</c:formatCode>
                <c:ptCount val="2"/>
                <c:pt idx="0">
                  <c:v>2030</c:v>
                </c:pt>
                <c:pt idx="1">
                  <c:v>2040</c:v>
                </c:pt>
              </c:numCache>
            </c:numRef>
          </c:xVal>
          <c:yVal>
            <c:numRef>
              <c:f>'1.4.'!$F$59:$G$59</c:f>
              <c:numCache>
                <c:formatCode>_-* #,##0_-;\-* #,##0_-;_-* "-"??_-;_-@_-</c:formatCode>
                <c:ptCount val="2"/>
                <c:pt idx="0">
                  <c:v>101795.19726441585</c:v>
                </c:pt>
                <c:pt idx="1">
                  <c:v>110946.83726441585</c:v>
                </c:pt>
              </c:numCache>
            </c:numRef>
          </c:yVal>
          <c:smooth val="1"/>
          <c:extLst>
            <c:ext xmlns:c16="http://schemas.microsoft.com/office/drawing/2014/chart" uri="{C3380CC4-5D6E-409C-BE32-E72D297353CC}">
              <c16:uniqueId val="{00000001-F539-4892-B247-9ECA9B793175}"/>
            </c:ext>
          </c:extLst>
        </c:ser>
        <c:ser>
          <c:idx val="2"/>
          <c:order val="2"/>
          <c:tx>
            <c:strRef>
              <c:f>'1.4.'!$H$3:$J$3</c:f>
              <c:strCache>
                <c:ptCount val="3"/>
                <c:pt idx="0">
                  <c:v>Global Ambition</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'1.4.'!$H$4:$J$4</c:f>
              <c:numCache>
                <c:formatCode>General</c:formatCode>
                <c:ptCount val="3"/>
                <c:pt idx="0">
                  <c:v>2030</c:v>
                </c:pt>
                <c:pt idx="1">
                  <c:v>2040</c:v>
                </c:pt>
                <c:pt idx="2">
                  <c:v>2050</c:v>
                </c:pt>
              </c:numCache>
            </c:numRef>
          </c:xVal>
          <c:yVal>
            <c:numRef>
              <c:f>'1.4.'!$H$59:$J$59</c:f>
              <c:numCache>
                <c:formatCode>_-* #,##0_-;\-* #,##0_-;_-* "-"??_-;_-@_-</c:formatCode>
                <c:ptCount val="3"/>
                <c:pt idx="0">
                  <c:v>108135.19726441585</c:v>
                </c:pt>
                <c:pt idx="1">
                  <c:v>134369.63726441585</c:v>
                </c:pt>
                <c:pt idx="2">
                  <c:v>132164.26800000001</c:v>
                </c:pt>
              </c:numCache>
            </c:numRef>
          </c:yVal>
          <c:smooth val="1"/>
          <c:extLst>
            <c:ext xmlns:c16="http://schemas.microsoft.com/office/drawing/2014/chart" uri="{C3380CC4-5D6E-409C-BE32-E72D297353CC}">
              <c16:uniqueId val="{00000002-F539-4892-B247-9ECA9B793175}"/>
            </c:ext>
          </c:extLst>
        </c:ser>
        <c:dLbls>
          <c:dLblPos val="ctr"/>
          <c:showLegendKey val="0"/>
          <c:showVal val="1"/>
          <c:showCatName val="0"/>
          <c:showSerName val="0"/>
          <c:showPercent val="0"/>
          <c:showBubbleSize val="0"/>
        </c:dLbls>
        <c:axId val="1329850032"/>
        <c:axId val="1329855024"/>
      </c:scatterChart>
      <c:valAx>
        <c:axId val="1329850032"/>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855024"/>
        <c:crosses val="autoZero"/>
        <c:crossBetween val="midCat"/>
        <c:majorUnit val="10"/>
      </c:valAx>
      <c:valAx>
        <c:axId val="1329855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850032"/>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EU27* Nuclear Capacities MW</a:t>
            </a:r>
          </a:p>
        </c:rich>
      </c:tx>
      <c:layout>
        <c:manualLayout>
          <c:xMode val="edge"/>
          <c:yMode val="edge"/>
          <c:x val="0.27978895495205958"/>
          <c:y val="2.7675276752767528E-2"/>
        </c:manualLayout>
      </c:layout>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'1.4.'!$C$3:$E$3</c:f>
              <c:strCache>
                <c:ptCount val="3"/>
                <c:pt idx="0">
                  <c:v>Distributed Energy</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'1.4.'!$C$4:$E$4</c:f>
              <c:numCache>
                <c:formatCode>General</c:formatCode>
                <c:ptCount val="3"/>
                <c:pt idx="0">
                  <c:v>2030</c:v>
                </c:pt>
                <c:pt idx="1">
                  <c:v>2040</c:v>
                </c:pt>
                <c:pt idx="2">
                  <c:v>2050</c:v>
                </c:pt>
              </c:numCache>
            </c:numRef>
          </c:xVal>
          <c:yVal>
            <c:numRef>
              <c:f>'1.4.'!$C$61:$E$61</c:f>
              <c:numCache>
                <c:formatCode>_-* #,##0_-;\-* #,##0_-;_-* "-"??_-;_-@_-</c:formatCode>
                <c:ptCount val="3"/>
                <c:pt idx="0">
                  <c:v>89625.197264415852</c:v>
                </c:pt>
                <c:pt idx="1">
                  <c:v>74430.837264415852</c:v>
                </c:pt>
                <c:pt idx="2">
                  <c:v>47172.237264415846</c:v>
                </c:pt>
              </c:numCache>
            </c:numRef>
          </c:yVal>
          <c:smooth val="1"/>
          <c:extLst>
            <c:ext xmlns:c16="http://schemas.microsoft.com/office/drawing/2014/chart" uri="{C3380CC4-5D6E-409C-BE32-E72D297353CC}">
              <c16:uniqueId val="{00000000-0230-458A-9040-204BA3A028C6}"/>
            </c:ext>
          </c:extLst>
        </c:ser>
        <c:ser>
          <c:idx val="1"/>
          <c:order val="1"/>
          <c:tx>
            <c:strRef>
              <c:f>'1.4.'!$F$3:$G$3</c:f>
              <c:strCache>
                <c:ptCount val="2"/>
                <c:pt idx="0">
                  <c:v>National Trends+</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'1.4.'!$F$4:$G$4</c:f>
              <c:numCache>
                <c:formatCode>General</c:formatCode>
                <c:ptCount val="2"/>
                <c:pt idx="0">
                  <c:v>2030</c:v>
                </c:pt>
                <c:pt idx="1">
                  <c:v>2040</c:v>
                </c:pt>
              </c:numCache>
            </c:numRef>
          </c:xVal>
          <c:yVal>
            <c:numRef>
              <c:f>'1.4.'!$F$61:$G$61</c:f>
              <c:numCache>
                <c:formatCode>_-* #,##0_-;\-* #,##0_-;_-* "-"??_-;_-@_-</c:formatCode>
                <c:ptCount val="2"/>
                <c:pt idx="0">
                  <c:v>95095.197264415852</c:v>
                </c:pt>
                <c:pt idx="1">
                  <c:v>97710.837264415852</c:v>
                </c:pt>
              </c:numCache>
            </c:numRef>
          </c:yVal>
          <c:smooth val="1"/>
          <c:extLst>
            <c:ext xmlns:c16="http://schemas.microsoft.com/office/drawing/2014/chart" uri="{C3380CC4-5D6E-409C-BE32-E72D297353CC}">
              <c16:uniqueId val="{00000001-0230-458A-9040-204BA3A028C6}"/>
            </c:ext>
          </c:extLst>
        </c:ser>
        <c:ser>
          <c:idx val="2"/>
          <c:order val="2"/>
          <c:tx>
            <c:strRef>
              <c:f>'1.4.'!$H$3:$J$3</c:f>
              <c:strCache>
                <c:ptCount val="3"/>
                <c:pt idx="0">
                  <c:v>Global Ambition</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'1.4.'!$H$4:$J$4</c:f>
              <c:numCache>
                <c:formatCode>General</c:formatCode>
                <c:ptCount val="3"/>
                <c:pt idx="0">
                  <c:v>2030</c:v>
                </c:pt>
                <c:pt idx="1">
                  <c:v>2040</c:v>
                </c:pt>
                <c:pt idx="2">
                  <c:v>2050</c:v>
                </c:pt>
              </c:numCache>
            </c:numRef>
          </c:xVal>
          <c:yVal>
            <c:numRef>
              <c:f>'1.4.'!$H$61:$J$61</c:f>
              <c:numCache>
                <c:formatCode>_-* #,##0_-;\-* #,##0_-;_-* "-"??_-;_-@_-</c:formatCode>
                <c:ptCount val="3"/>
                <c:pt idx="0">
                  <c:v>98945.197264415852</c:v>
                </c:pt>
                <c:pt idx="1">
                  <c:v>119869.63726441585</c:v>
                </c:pt>
                <c:pt idx="2">
                  <c:v>116164.26800000001</c:v>
                </c:pt>
              </c:numCache>
            </c:numRef>
          </c:yVal>
          <c:smooth val="1"/>
          <c:extLst>
            <c:ext xmlns:c16="http://schemas.microsoft.com/office/drawing/2014/chart" uri="{C3380CC4-5D6E-409C-BE32-E72D297353CC}">
              <c16:uniqueId val="{00000002-0230-458A-9040-204BA3A028C6}"/>
            </c:ext>
          </c:extLst>
        </c:ser>
        <c:dLbls>
          <c:dLblPos val="ctr"/>
          <c:showLegendKey val="0"/>
          <c:showVal val="1"/>
          <c:showCatName val="0"/>
          <c:showSerName val="0"/>
          <c:showPercent val="0"/>
          <c:showBubbleSize val="0"/>
        </c:dLbls>
        <c:axId val="1329850032"/>
        <c:axId val="1329855024"/>
      </c:scatterChart>
      <c:valAx>
        <c:axId val="1329850032"/>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855024"/>
        <c:crosses val="autoZero"/>
        <c:crossBetween val="midCat"/>
        <c:majorUnit val="10"/>
      </c:valAx>
      <c:valAx>
        <c:axId val="1329855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850032"/>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Aggregated Prosumer Batteries Trajectories MWh</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'1.5.'!$D$3:$F$3</c:f>
              <c:strCache>
                <c:ptCount val="3"/>
                <c:pt idx="0">
                  <c:v>LOW</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'1.5.'!$D$4:$F$4</c:f>
              <c:numCache>
                <c:formatCode>General</c:formatCode>
                <c:ptCount val="3"/>
                <c:pt idx="0">
                  <c:v>2030</c:v>
                </c:pt>
                <c:pt idx="1">
                  <c:v>2040</c:v>
                </c:pt>
                <c:pt idx="2">
                  <c:v>2050</c:v>
                </c:pt>
              </c:numCache>
            </c:numRef>
          </c:xVal>
          <c:yVal>
            <c:numRef>
              <c:f>'1.5.'!$D$60:$F$60</c:f>
              <c:numCache>
                <c:formatCode>_-* #,##0_-;\-* #,##0_-;_-* "-"??_-;_-@_-</c:formatCode>
                <c:ptCount val="3"/>
                <c:pt idx="0">
                  <c:v>118992.74678016592</c:v>
                </c:pt>
                <c:pt idx="1">
                  <c:v>335368.72645694629</c:v>
                </c:pt>
                <c:pt idx="2">
                  <c:v>495823.89481325581</c:v>
                </c:pt>
              </c:numCache>
            </c:numRef>
          </c:yVal>
          <c:smooth val="1"/>
          <c:extLst>
            <c:ext xmlns:c16="http://schemas.microsoft.com/office/drawing/2014/chart" uri="{C3380CC4-5D6E-409C-BE32-E72D297353CC}">
              <c16:uniqueId val="{00000000-73B7-415A-A1F5-BC11191B2586}"/>
            </c:ext>
          </c:extLst>
        </c:ser>
        <c:ser>
          <c:idx val="1"/>
          <c:order val="1"/>
          <c:tx>
            <c:strRef>
              <c:f>'1.5.'!$G$3:$H$3</c:f>
              <c:strCache>
                <c:ptCount val="2"/>
                <c:pt idx="0">
                  <c:v>Best Estimate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'1.5.'!$G$4:$H$4</c:f>
              <c:numCache>
                <c:formatCode>General</c:formatCode>
                <c:ptCount val="2"/>
                <c:pt idx="0">
                  <c:v>2030</c:v>
                </c:pt>
                <c:pt idx="1">
                  <c:v>2040</c:v>
                </c:pt>
              </c:numCache>
            </c:numRef>
          </c:xVal>
          <c:yVal>
            <c:numRef>
              <c:f>'1.5.'!$G$60:$H$60</c:f>
              <c:numCache>
                <c:formatCode>_-* #,##0_-;\-* #,##0_-;_-* "-"??_-;_-@_-</c:formatCode>
                <c:ptCount val="2"/>
                <c:pt idx="0">
                  <c:v>118992.74678016592</c:v>
                </c:pt>
                <c:pt idx="1">
                  <c:v>335368.72645694629</c:v>
                </c:pt>
              </c:numCache>
            </c:numRef>
          </c:yVal>
          <c:smooth val="1"/>
          <c:extLst>
            <c:ext xmlns:c16="http://schemas.microsoft.com/office/drawing/2014/chart" uri="{C3380CC4-5D6E-409C-BE32-E72D297353CC}">
              <c16:uniqueId val="{00000001-73B7-415A-A1F5-BC11191B2586}"/>
            </c:ext>
          </c:extLst>
        </c:ser>
        <c:ser>
          <c:idx val="2"/>
          <c:order val="2"/>
          <c:tx>
            <c:strRef>
              <c:f>'1.5.'!$I$3:$K$3</c:f>
              <c:strCache>
                <c:ptCount val="3"/>
                <c:pt idx="0">
                  <c:v>HIGH</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'1.5.'!$I$4:$K$4</c:f>
              <c:numCache>
                <c:formatCode>General</c:formatCode>
                <c:ptCount val="3"/>
                <c:pt idx="0">
                  <c:v>2030</c:v>
                </c:pt>
                <c:pt idx="1">
                  <c:v>2040</c:v>
                </c:pt>
                <c:pt idx="2">
                  <c:v>2050</c:v>
                </c:pt>
              </c:numCache>
            </c:numRef>
          </c:xVal>
          <c:yVal>
            <c:numRef>
              <c:f>'1.5.'!$I$60:$K$60</c:f>
              <c:numCache>
                <c:formatCode>_-* #,##0_-;\-* #,##0_-;_-* "-"??_-;_-@_-</c:formatCode>
                <c:ptCount val="3"/>
                <c:pt idx="0">
                  <c:v>140432.79727398854</c:v>
                </c:pt>
                <c:pt idx="1">
                  <c:v>406678.22737514332</c:v>
                </c:pt>
                <c:pt idx="2">
                  <c:v>642685.29853731778</c:v>
                </c:pt>
              </c:numCache>
            </c:numRef>
          </c:yVal>
          <c:smooth val="1"/>
          <c:extLst>
            <c:ext xmlns:c16="http://schemas.microsoft.com/office/drawing/2014/chart" uri="{C3380CC4-5D6E-409C-BE32-E72D297353CC}">
              <c16:uniqueId val="{00000002-73B7-415A-A1F5-BC11191B2586}"/>
            </c:ext>
          </c:extLst>
        </c:ser>
        <c:dLbls>
          <c:dLblPos val="t"/>
          <c:showLegendKey val="0"/>
          <c:showVal val="1"/>
          <c:showCatName val="0"/>
          <c:showSerName val="0"/>
          <c:showPercent val="0"/>
          <c:showBubbleSize val="0"/>
        </c:dLbls>
        <c:axId val="2059560768"/>
        <c:axId val="2059561184"/>
      </c:scatterChart>
      <c:valAx>
        <c:axId val="2059560768"/>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2059561184"/>
        <c:crosses val="autoZero"/>
        <c:crossBetween val="midCat"/>
      </c:valAx>
      <c:valAx>
        <c:axId val="205956118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2059560768"/>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n-US"/>
              <a:t>Aggregated Utility Batteries Trajectories </a:t>
            </a:r>
          </a:p>
          <a:p>
            <a:pPr>
              <a:defRPr/>
            </a:pPr>
            <a:r>
              <a:rPr lang="en-US"/>
              <a:t>MWh</a:t>
            </a:r>
          </a:p>
        </c:rich>
      </c:tx>
      <c:layout>
        <c:manualLayout>
          <c:xMode val="edge"/>
          <c:yMode val="edge"/>
          <c:x val="0.24123656562544513"/>
          <c:y val="2.7797081306462822E-2"/>
        </c:manualLayout>
      </c:layout>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'1.6.'!$D$3:$F$3</c:f>
              <c:strCache>
                <c:ptCount val="3"/>
                <c:pt idx="0">
                  <c:v> LOW </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'1.6.'!$D$4:$F$4</c:f>
              <c:numCache>
                <c:formatCode>General</c:formatCode>
                <c:ptCount val="3"/>
                <c:pt idx="0">
                  <c:v>2030</c:v>
                </c:pt>
                <c:pt idx="1">
                  <c:v>2040</c:v>
                </c:pt>
                <c:pt idx="2">
                  <c:v>2050</c:v>
                </c:pt>
              </c:numCache>
            </c:numRef>
          </c:xVal>
          <c:yVal>
            <c:numRef>
              <c:f>'1.6.'!$D$60:$F$60</c:f>
              <c:numCache>
                <c:formatCode>_-* #,##0_-;\-* #,##0_-;_-* "-"??_-;_-@_-</c:formatCode>
                <c:ptCount val="3"/>
                <c:pt idx="0">
                  <c:v>143501.38321983407</c:v>
                </c:pt>
                <c:pt idx="1">
                  <c:v>386637.04752379021</c:v>
                </c:pt>
                <c:pt idx="2">
                  <c:v>545160.35916748072</c:v>
                </c:pt>
              </c:numCache>
            </c:numRef>
          </c:yVal>
          <c:smooth val="1"/>
          <c:extLst>
            <c:ext xmlns:c16="http://schemas.microsoft.com/office/drawing/2014/chart" uri="{C3380CC4-5D6E-409C-BE32-E72D297353CC}">
              <c16:uniqueId val="{00000000-505C-438E-817A-6D647FD6CE71}"/>
            </c:ext>
          </c:extLst>
        </c:ser>
        <c:ser>
          <c:idx val="1"/>
          <c:order val="1"/>
          <c:tx>
            <c:strRef>
              <c:f>'1.6.'!$G$3:$H$3</c:f>
              <c:strCache>
                <c:ptCount val="2"/>
                <c:pt idx="0">
                  <c:v> Best Estimate </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'1.6.'!$G$4:$H$4</c:f>
              <c:numCache>
                <c:formatCode>General</c:formatCode>
                <c:ptCount val="2"/>
                <c:pt idx="0">
                  <c:v>2030</c:v>
                </c:pt>
                <c:pt idx="1">
                  <c:v>2040</c:v>
                </c:pt>
              </c:numCache>
            </c:numRef>
          </c:xVal>
          <c:yVal>
            <c:numRef>
              <c:f>'1.6.'!$G$60:$H$60</c:f>
              <c:numCache>
                <c:formatCode>_-* #,##0_-;\-* #,##0_-;_-* "-"??_-;_-@_-</c:formatCode>
                <c:ptCount val="2"/>
                <c:pt idx="0">
                  <c:v>143501.38321983407</c:v>
                </c:pt>
                <c:pt idx="1">
                  <c:v>386637.04752379021</c:v>
                </c:pt>
              </c:numCache>
            </c:numRef>
          </c:yVal>
          <c:smooth val="1"/>
          <c:extLst>
            <c:ext xmlns:c16="http://schemas.microsoft.com/office/drawing/2014/chart" uri="{C3380CC4-5D6E-409C-BE32-E72D297353CC}">
              <c16:uniqueId val="{00000001-505C-438E-817A-6D647FD6CE71}"/>
            </c:ext>
          </c:extLst>
        </c:ser>
        <c:ser>
          <c:idx val="2"/>
          <c:order val="2"/>
          <c:tx>
            <c:strRef>
              <c:f>'1.6.'!$I$3:$K$3</c:f>
              <c:strCache>
                <c:ptCount val="3"/>
                <c:pt idx="0">
                  <c:v> HIGH </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'1.6.'!$I$4:$K$4</c:f>
              <c:numCache>
                <c:formatCode>General</c:formatCode>
                <c:ptCount val="3"/>
                <c:pt idx="0">
                  <c:v>2030</c:v>
                </c:pt>
                <c:pt idx="1">
                  <c:v>2040</c:v>
                </c:pt>
                <c:pt idx="2">
                  <c:v>2050</c:v>
                </c:pt>
              </c:numCache>
            </c:numRef>
          </c:xVal>
          <c:yVal>
            <c:numRef>
              <c:f>'1.6.'!$I$60:$K$60</c:f>
              <c:numCache>
                <c:formatCode>_-* #,##0_-;\-* #,##0_-;_-* "-"??_-;_-@_-</c:formatCode>
                <c:ptCount val="3"/>
                <c:pt idx="0">
                  <c:v>218806.98595220456</c:v>
                </c:pt>
                <c:pt idx="1">
                  <c:v>590764.89352960582</c:v>
                </c:pt>
                <c:pt idx="2">
                  <c:v>1009346.1047614767</c:v>
                </c:pt>
              </c:numCache>
            </c:numRef>
          </c:yVal>
          <c:smooth val="1"/>
          <c:extLst>
            <c:ext xmlns:c16="http://schemas.microsoft.com/office/drawing/2014/chart" uri="{C3380CC4-5D6E-409C-BE32-E72D297353CC}">
              <c16:uniqueId val="{00000002-505C-438E-817A-6D647FD6CE71}"/>
            </c:ext>
          </c:extLst>
        </c:ser>
        <c:dLbls>
          <c:dLblPos val="t"/>
          <c:showLegendKey val="0"/>
          <c:showVal val="1"/>
          <c:showCatName val="0"/>
          <c:showSerName val="0"/>
          <c:showPercent val="0"/>
          <c:showBubbleSize val="0"/>
        </c:dLbls>
        <c:axId val="2059560768"/>
        <c:axId val="2059561184"/>
      </c:scatterChart>
      <c:valAx>
        <c:axId val="2059560768"/>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2059561184"/>
        <c:crosses val="autoZero"/>
        <c:crossBetween val="midCat"/>
      </c:valAx>
      <c:valAx>
        <c:axId val="205956118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2059560768"/>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Rooftop PV CAPEX (only residential)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lineChart>
        <c:grouping val="standard"/>
        <c:varyColors val="0"/>
        <c:ser>
          <c:idx val="0"/>
          <c:order val="0"/>
          <c:tx>
            <c:strRef>
              <c:f>'2.1.'!$I$2:$K$2</c:f>
              <c:strCache>
                <c:ptCount val="3"/>
                <c:pt idx="0">
                  <c:v>Distributed Energy (TYNDP 2024)</c:v>
                </c:pt>
              </c:strCache>
            </c:strRef>
          </c:tx>
          <c:spPr>
            <a:ln w="28575" cap="rnd">
              <a:solidFill>
                <a:schemeClr val="accent2"/>
              </a:solidFill>
              <a:round/>
            </a:ln>
            <a:effectLst/>
          </c:spPr>
          <c:marker>
            <c:symbol val="none"/>
          </c:marker>
          <c:cat>
            <c:numRef>
              <c:f>'2.1.'!$E$3:$G$3</c:f>
              <c:numCache>
                <c:formatCode>General</c:formatCode>
                <c:ptCount val="3"/>
                <c:pt idx="0">
                  <c:v>2030</c:v>
                </c:pt>
                <c:pt idx="1">
                  <c:v>2040</c:v>
                </c:pt>
                <c:pt idx="2">
                  <c:v>2050</c:v>
                </c:pt>
              </c:numCache>
            </c:numRef>
          </c:cat>
          <c:val>
            <c:numRef>
              <c:f>'2.1.'!$I$6:$K$6</c:f>
              <c:numCache>
                <c:formatCode>_-* #,##0_-;\-* #,##0_-;_-* "-"??_-;_-@_-</c:formatCode>
                <c:ptCount val="3"/>
                <c:pt idx="0">
                  <c:v>712800</c:v>
                </c:pt>
                <c:pt idx="1">
                  <c:v>493000</c:v>
                </c:pt>
                <c:pt idx="2">
                  <c:v>416000</c:v>
                </c:pt>
              </c:numCache>
            </c:numRef>
          </c:val>
          <c:smooth val="0"/>
          <c:extLst>
            <c:ext xmlns:c16="http://schemas.microsoft.com/office/drawing/2014/chart" uri="{C3380CC4-5D6E-409C-BE32-E72D297353CC}">
              <c16:uniqueId val="{00000000-5259-4067-A51E-A12041A2D279}"/>
            </c:ext>
          </c:extLst>
        </c:ser>
        <c:ser>
          <c:idx val="1"/>
          <c:order val="1"/>
          <c:tx>
            <c:strRef>
              <c:f>'2.1.'!$E$2:$G$2</c:f>
              <c:strCache>
                <c:ptCount val="3"/>
                <c:pt idx="0">
                  <c:v>TYNDP 2024</c:v>
                </c:pt>
              </c:strCache>
            </c:strRef>
          </c:tx>
          <c:spPr>
            <a:ln w="28575" cap="rnd">
              <a:solidFill>
                <a:schemeClr val="accent1"/>
              </a:solidFill>
              <a:round/>
            </a:ln>
            <a:effectLst/>
          </c:spPr>
          <c:marker>
            <c:symbol val="none"/>
          </c:marker>
          <c:cat>
            <c:numRef>
              <c:f>'2.1.'!$E$3:$G$3</c:f>
              <c:numCache>
                <c:formatCode>General</c:formatCode>
                <c:ptCount val="3"/>
                <c:pt idx="0">
                  <c:v>2030</c:v>
                </c:pt>
                <c:pt idx="1">
                  <c:v>2040</c:v>
                </c:pt>
                <c:pt idx="2">
                  <c:v>2050</c:v>
                </c:pt>
              </c:numCache>
            </c:numRef>
          </c:cat>
          <c:val>
            <c:numRef>
              <c:f>'2.1.'!$E$6:$G$6</c:f>
              <c:numCache>
                <c:formatCode>#,##0</c:formatCode>
                <c:ptCount val="3"/>
                <c:pt idx="0">
                  <c:v>720000</c:v>
                </c:pt>
                <c:pt idx="1">
                  <c:v>580000</c:v>
                </c:pt>
                <c:pt idx="2">
                  <c:v>520000</c:v>
                </c:pt>
              </c:numCache>
            </c:numRef>
          </c:val>
          <c:smooth val="0"/>
          <c:extLst>
            <c:ext xmlns:c16="http://schemas.microsoft.com/office/drawing/2014/chart" uri="{C3380CC4-5D6E-409C-BE32-E72D297353CC}">
              <c16:uniqueId val="{00000001-5259-4067-A51E-A12041A2D279}"/>
            </c:ext>
          </c:extLst>
        </c:ser>
        <c:ser>
          <c:idx val="2"/>
          <c:order val="2"/>
          <c:tx>
            <c:strRef>
              <c:f>'2.1.'!$M$2:$O$2</c:f>
              <c:strCache>
                <c:ptCount val="3"/>
                <c:pt idx="0">
                  <c:v>Global Ambition (TYNDP 2024)</c:v>
                </c:pt>
              </c:strCache>
            </c:strRef>
          </c:tx>
          <c:spPr>
            <a:ln w="28575" cap="rnd">
              <a:solidFill>
                <a:srgbClr val="7030A0"/>
              </a:solidFill>
              <a:round/>
            </a:ln>
            <a:effectLst/>
          </c:spPr>
          <c:marker>
            <c:symbol val="none"/>
          </c:marker>
          <c:cat>
            <c:numRef>
              <c:f>'2.1.'!$E$3:$G$3</c:f>
              <c:numCache>
                <c:formatCode>General</c:formatCode>
                <c:ptCount val="3"/>
                <c:pt idx="0">
                  <c:v>2030</c:v>
                </c:pt>
                <c:pt idx="1">
                  <c:v>2040</c:v>
                </c:pt>
                <c:pt idx="2">
                  <c:v>2050</c:v>
                </c:pt>
              </c:numCache>
            </c:numRef>
          </c:cat>
          <c:val>
            <c:numRef>
              <c:f>'2.1.'!$M$6:$O$6</c:f>
              <c:numCache>
                <c:formatCode>_-* #,##0_-;\-* #,##0_-;_-* "-"??_-;_-@_-</c:formatCode>
                <c:ptCount val="3"/>
                <c:pt idx="0">
                  <c:v>727200</c:v>
                </c:pt>
                <c:pt idx="1">
                  <c:v>667000</c:v>
                </c:pt>
                <c:pt idx="2">
                  <c:v>624000</c:v>
                </c:pt>
              </c:numCache>
            </c:numRef>
          </c:val>
          <c:smooth val="0"/>
          <c:extLst>
            <c:ext xmlns:c16="http://schemas.microsoft.com/office/drawing/2014/chart" uri="{C3380CC4-5D6E-409C-BE32-E72D297353CC}">
              <c16:uniqueId val="{00000002-5259-4067-A51E-A12041A2D279}"/>
            </c:ext>
          </c:extLst>
        </c:ser>
        <c:dLbls>
          <c:showLegendKey val="0"/>
          <c:showVal val="0"/>
          <c:showCatName val="0"/>
          <c:showSerName val="0"/>
          <c:showPercent val="0"/>
          <c:showBubbleSize val="0"/>
        </c:dLbls>
        <c:smooth val="0"/>
        <c:axId val="832663951"/>
        <c:axId val="757676991"/>
      </c:lineChart>
      <c:catAx>
        <c:axId val="83266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BE"/>
          </a:p>
        </c:txPr>
        <c:crossAx val="757676991"/>
        <c:crosses val="autoZero"/>
        <c:auto val="1"/>
        <c:lblAlgn val="ctr"/>
        <c:lblOffset val="100"/>
        <c:noMultiLvlLbl val="0"/>
      </c:catAx>
      <c:valAx>
        <c:axId val="757676991"/>
        <c:scaling>
          <c:orientation val="minMax"/>
          <c:min val="300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832663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Utility-scale PV CAPEX</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lineChart>
        <c:grouping val="standard"/>
        <c:varyColors val="0"/>
        <c:ser>
          <c:idx val="0"/>
          <c:order val="0"/>
          <c:tx>
            <c:strRef>
              <c:f>'2.1.'!$I$2:$K$2</c:f>
              <c:strCache>
                <c:ptCount val="3"/>
                <c:pt idx="0">
                  <c:v>Distributed Energy (TYNDP 2024)</c:v>
                </c:pt>
              </c:strCache>
            </c:strRef>
          </c:tx>
          <c:spPr>
            <a:ln w="28575" cap="rnd">
              <a:solidFill>
                <a:schemeClr val="accent2"/>
              </a:solidFill>
              <a:round/>
            </a:ln>
            <a:effectLst/>
          </c:spPr>
          <c:marker>
            <c:symbol val="none"/>
          </c:marker>
          <c:cat>
            <c:numRef>
              <c:f>'2.1.'!$E$3:$G$3</c:f>
              <c:numCache>
                <c:formatCode>General</c:formatCode>
                <c:ptCount val="3"/>
                <c:pt idx="0">
                  <c:v>2030</c:v>
                </c:pt>
                <c:pt idx="1">
                  <c:v>2040</c:v>
                </c:pt>
                <c:pt idx="2">
                  <c:v>2050</c:v>
                </c:pt>
              </c:numCache>
            </c:numRef>
          </c:cat>
          <c:val>
            <c:numRef>
              <c:f>'2.1.'!$I$18:$K$18</c:f>
              <c:numCache>
                <c:formatCode>_-* #,##0_-;\-* #,##0_-;_-* "-"??_-;_-@_-</c:formatCode>
                <c:ptCount val="3"/>
                <c:pt idx="0">
                  <c:v>376200</c:v>
                </c:pt>
                <c:pt idx="1">
                  <c:v>280500</c:v>
                </c:pt>
                <c:pt idx="2">
                  <c:v>232000</c:v>
                </c:pt>
              </c:numCache>
            </c:numRef>
          </c:val>
          <c:smooth val="0"/>
          <c:extLst>
            <c:ext xmlns:c16="http://schemas.microsoft.com/office/drawing/2014/chart" uri="{C3380CC4-5D6E-409C-BE32-E72D297353CC}">
              <c16:uniqueId val="{00000000-D7DE-43F1-9753-F9D2259C702B}"/>
            </c:ext>
          </c:extLst>
        </c:ser>
        <c:ser>
          <c:idx val="1"/>
          <c:order val="1"/>
          <c:tx>
            <c:strRef>
              <c:f>'2.1.'!$E$2:$G$2</c:f>
              <c:strCache>
                <c:ptCount val="3"/>
                <c:pt idx="0">
                  <c:v>TYNDP 2024</c:v>
                </c:pt>
              </c:strCache>
            </c:strRef>
          </c:tx>
          <c:spPr>
            <a:ln w="28575" cap="rnd">
              <a:solidFill>
                <a:schemeClr val="accent1"/>
              </a:solidFill>
              <a:round/>
            </a:ln>
            <a:effectLst/>
          </c:spPr>
          <c:marker>
            <c:symbol val="none"/>
          </c:marker>
          <c:cat>
            <c:numRef>
              <c:f>'2.1.'!$E$3:$G$3</c:f>
              <c:numCache>
                <c:formatCode>General</c:formatCode>
                <c:ptCount val="3"/>
                <c:pt idx="0">
                  <c:v>2030</c:v>
                </c:pt>
                <c:pt idx="1">
                  <c:v>2040</c:v>
                </c:pt>
                <c:pt idx="2">
                  <c:v>2050</c:v>
                </c:pt>
              </c:numCache>
            </c:numRef>
          </c:cat>
          <c:val>
            <c:numRef>
              <c:f>'2.1.'!$E$18:$G$18</c:f>
              <c:numCache>
                <c:formatCode>#,##0</c:formatCode>
                <c:ptCount val="3"/>
                <c:pt idx="0">
                  <c:v>380000</c:v>
                </c:pt>
                <c:pt idx="1">
                  <c:v>330000</c:v>
                </c:pt>
                <c:pt idx="2">
                  <c:v>290000</c:v>
                </c:pt>
              </c:numCache>
            </c:numRef>
          </c:val>
          <c:smooth val="0"/>
          <c:extLst>
            <c:ext xmlns:c16="http://schemas.microsoft.com/office/drawing/2014/chart" uri="{C3380CC4-5D6E-409C-BE32-E72D297353CC}">
              <c16:uniqueId val="{00000001-D7DE-43F1-9753-F9D2259C702B}"/>
            </c:ext>
          </c:extLst>
        </c:ser>
        <c:ser>
          <c:idx val="2"/>
          <c:order val="2"/>
          <c:tx>
            <c:strRef>
              <c:f>'2.1.'!$M$2:$O$2</c:f>
              <c:strCache>
                <c:ptCount val="3"/>
                <c:pt idx="0">
                  <c:v>Global Ambition (TYNDP 2024)</c:v>
                </c:pt>
              </c:strCache>
            </c:strRef>
          </c:tx>
          <c:spPr>
            <a:ln w="28575" cap="rnd">
              <a:solidFill>
                <a:srgbClr val="7030A0"/>
              </a:solidFill>
              <a:round/>
            </a:ln>
            <a:effectLst/>
          </c:spPr>
          <c:marker>
            <c:symbol val="none"/>
          </c:marker>
          <c:cat>
            <c:numRef>
              <c:f>'2.1.'!$E$3:$G$3</c:f>
              <c:numCache>
                <c:formatCode>General</c:formatCode>
                <c:ptCount val="3"/>
                <c:pt idx="0">
                  <c:v>2030</c:v>
                </c:pt>
                <c:pt idx="1">
                  <c:v>2040</c:v>
                </c:pt>
                <c:pt idx="2">
                  <c:v>2050</c:v>
                </c:pt>
              </c:numCache>
            </c:numRef>
          </c:cat>
          <c:val>
            <c:numRef>
              <c:f>'2.1.'!$M$18:$O$18</c:f>
              <c:numCache>
                <c:formatCode>_-* #,##0_-;\-* #,##0_-;_-* "-"??_-;_-@_-</c:formatCode>
                <c:ptCount val="3"/>
                <c:pt idx="0">
                  <c:v>383800</c:v>
                </c:pt>
                <c:pt idx="1">
                  <c:v>379500</c:v>
                </c:pt>
                <c:pt idx="2">
                  <c:v>348000</c:v>
                </c:pt>
              </c:numCache>
            </c:numRef>
          </c:val>
          <c:smooth val="0"/>
          <c:extLst>
            <c:ext xmlns:c16="http://schemas.microsoft.com/office/drawing/2014/chart" uri="{C3380CC4-5D6E-409C-BE32-E72D297353CC}">
              <c16:uniqueId val="{00000002-D7DE-43F1-9753-F9D2259C702B}"/>
            </c:ext>
          </c:extLst>
        </c:ser>
        <c:dLbls>
          <c:showLegendKey val="0"/>
          <c:showVal val="0"/>
          <c:showCatName val="0"/>
          <c:showSerName val="0"/>
          <c:showPercent val="0"/>
          <c:showBubbleSize val="0"/>
        </c:dLbls>
        <c:smooth val="0"/>
        <c:axId val="832663951"/>
        <c:axId val="757676991"/>
      </c:lineChart>
      <c:catAx>
        <c:axId val="83266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BE"/>
          </a:p>
        </c:txPr>
        <c:crossAx val="757676991"/>
        <c:crosses val="autoZero"/>
        <c:auto val="1"/>
        <c:lblAlgn val="ctr"/>
        <c:lblOffset val="100"/>
        <c:noMultiLvlLbl val="0"/>
      </c:catAx>
      <c:valAx>
        <c:axId val="757676991"/>
        <c:scaling>
          <c:orientation val="minMax"/>
          <c:min val="200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832663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Utility-scale PV CAPEX - single</a:t>
            </a:r>
            <a:r>
              <a:rPr lang="en-GB" b="1" baseline="0"/>
              <a:t> axis tracking</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lineChart>
        <c:grouping val="standard"/>
        <c:varyColors val="0"/>
        <c:ser>
          <c:idx val="0"/>
          <c:order val="0"/>
          <c:tx>
            <c:strRef>
              <c:f>'2.1.'!$I$2:$K$2</c:f>
              <c:strCache>
                <c:ptCount val="3"/>
                <c:pt idx="0">
                  <c:v>Distributed Energy (TYNDP 2024)</c:v>
                </c:pt>
              </c:strCache>
            </c:strRef>
          </c:tx>
          <c:spPr>
            <a:ln w="28575" cap="rnd">
              <a:solidFill>
                <a:schemeClr val="accent2"/>
              </a:solidFill>
              <a:round/>
            </a:ln>
            <a:effectLst/>
          </c:spPr>
          <c:marker>
            <c:symbol val="none"/>
          </c:marker>
          <c:cat>
            <c:numRef>
              <c:f>'2.1.'!$E$3:$G$3</c:f>
              <c:numCache>
                <c:formatCode>General</c:formatCode>
                <c:ptCount val="3"/>
                <c:pt idx="0">
                  <c:v>2030</c:v>
                </c:pt>
                <c:pt idx="1">
                  <c:v>2040</c:v>
                </c:pt>
                <c:pt idx="2">
                  <c:v>2050</c:v>
                </c:pt>
              </c:numCache>
            </c:numRef>
          </c:cat>
          <c:val>
            <c:numRef>
              <c:f>'2.1.'!$I$31:$K$31</c:f>
              <c:numCache>
                <c:formatCode>_-* #,##0_-;\-* #,##0_-;_-* "-"??_-;_-@_-</c:formatCode>
                <c:ptCount val="3"/>
                <c:pt idx="0">
                  <c:v>445500</c:v>
                </c:pt>
                <c:pt idx="1">
                  <c:v>331500</c:v>
                </c:pt>
                <c:pt idx="2">
                  <c:v>280000</c:v>
                </c:pt>
              </c:numCache>
            </c:numRef>
          </c:val>
          <c:smooth val="0"/>
          <c:extLst>
            <c:ext xmlns:c16="http://schemas.microsoft.com/office/drawing/2014/chart" uri="{C3380CC4-5D6E-409C-BE32-E72D297353CC}">
              <c16:uniqueId val="{00000000-BECB-42F5-BAB6-2336DCB58512}"/>
            </c:ext>
          </c:extLst>
        </c:ser>
        <c:ser>
          <c:idx val="1"/>
          <c:order val="1"/>
          <c:tx>
            <c:strRef>
              <c:f>'2.1.'!$E$2:$G$2</c:f>
              <c:strCache>
                <c:ptCount val="3"/>
                <c:pt idx="0">
                  <c:v>TYNDP 2024</c:v>
                </c:pt>
              </c:strCache>
            </c:strRef>
          </c:tx>
          <c:spPr>
            <a:ln w="28575" cap="rnd">
              <a:solidFill>
                <a:srgbClr val="0070C0"/>
              </a:solidFill>
              <a:round/>
            </a:ln>
            <a:effectLst/>
          </c:spPr>
          <c:marker>
            <c:symbol val="none"/>
          </c:marker>
          <c:cat>
            <c:numRef>
              <c:f>'2.1.'!$E$3:$G$3</c:f>
              <c:numCache>
                <c:formatCode>General</c:formatCode>
                <c:ptCount val="3"/>
                <c:pt idx="0">
                  <c:v>2030</c:v>
                </c:pt>
                <c:pt idx="1">
                  <c:v>2040</c:v>
                </c:pt>
                <c:pt idx="2">
                  <c:v>2050</c:v>
                </c:pt>
              </c:numCache>
            </c:numRef>
          </c:cat>
          <c:val>
            <c:numRef>
              <c:f>'2.1.'!$E$31:$G$31</c:f>
              <c:numCache>
                <c:formatCode>#,##0</c:formatCode>
                <c:ptCount val="3"/>
                <c:pt idx="0">
                  <c:v>450000</c:v>
                </c:pt>
                <c:pt idx="1">
                  <c:v>390000</c:v>
                </c:pt>
                <c:pt idx="2">
                  <c:v>350000</c:v>
                </c:pt>
              </c:numCache>
            </c:numRef>
          </c:val>
          <c:smooth val="0"/>
          <c:extLst>
            <c:ext xmlns:c16="http://schemas.microsoft.com/office/drawing/2014/chart" uri="{C3380CC4-5D6E-409C-BE32-E72D297353CC}">
              <c16:uniqueId val="{00000001-BECB-42F5-BAB6-2336DCB58512}"/>
            </c:ext>
          </c:extLst>
        </c:ser>
        <c:ser>
          <c:idx val="2"/>
          <c:order val="2"/>
          <c:tx>
            <c:strRef>
              <c:f>'2.1.'!$M$2:$O$2</c:f>
              <c:strCache>
                <c:ptCount val="3"/>
                <c:pt idx="0">
                  <c:v>Global Ambition (TYNDP 2024)</c:v>
                </c:pt>
              </c:strCache>
            </c:strRef>
          </c:tx>
          <c:spPr>
            <a:ln w="28575" cap="rnd">
              <a:solidFill>
                <a:srgbClr val="7030A0"/>
              </a:solidFill>
              <a:round/>
            </a:ln>
            <a:effectLst/>
          </c:spPr>
          <c:marker>
            <c:symbol val="none"/>
          </c:marker>
          <c:cat>
            <c:numRef>
              <c:f>'2.1.'!$E$3:$G$3</c:f>
              <c:numCache>
                <c:formatCode>General</c:formatCode>
                <c:ptCount val="3"/>
                <c:pt idx="0">
                  <c:v>2030</c:v>
                </c:pt>
                <c:pt idx="1">
                  <c:v>2040</c:v>
                </c:pt>
                <c:pt idx="2">
                  <c:v>2050</c:v>
                </c:pt>
              </c:numCache>
            </c:numRef>
          </c:cat>
          <c:val>
            <c:numRef>
              <c:f>'2.1.'!$M$31:$O$31</c:f>
              <c:numCache>
                <c:formatCode>_-* #,##0_-;\-* #,##0_-;_-* "-"??_-;_-@_-</c:formatCode>
                <c:ptCount val="3"/>
                <c:pt idx="0">
                  <c:v>454500</c:v>
                </c:pt>
                <c:pt idx="1">
                  <c:v>448500</c:v>
                </c:pt>
                <c:pt idx="2">
                  <c:v>420000</c:v>
                </c:pt>
              </c:numCache>
            </c:numRef>
          </c:val>
          <c:smooth val="0"/>
          <c:extLst>
            <c:ext xmlns:c16="http://schemas.microsoft.com/office/drawing/2014/chart" uri="{C3380CC4-5D6E-409C-BE32-E72D297353CC}">
              <c16:uniqueId val="{00000002-BECB-42F5-BAB6-2336DCB58512}"/>
            </c:ext>
          </c:extLst>
        </c:ser>
        <c:dLbls>
          <c:showLegendKey val="0"/>
          <c:showVal val="0"/>
          <c:showCatName val="0"/>
          <c:showSerName val="0"/>
          <c:showPercent val="0"/>
          <c:showBubbleSize val="0"/>
        </c:dLbls>
        <c:smooth val="0"/>
        <c:axId val="832663951"/>
        <c:axId val="757676991"/>
      </c:lineChart>
      <c:catAx>
        <c:axId val="83266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BE"/>
          </a:p>
        </c:txPr>
        <c:crossAx val="757676991"/>
        <c:crosses val="autoZero"/>
        <c:auto val="1"/>
        <c:lblAlgn val="ctr"/>
        <c:lblOffset val="100"/>
        <c:noMultiLvlLbl val="0"/>
      </c:catAx>
      <c:valAx>
        <c:axId val="757676991"/>
        <c:scaling>
          <c:orientation val="minMax"/>
          <c:min val="200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832663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2</xdr:col>
      <xdr:colOff>169209</xdr:colOff>
      <xdr:row>5</xdr:row>
      <xdr:rowOff>121024</xdr:rowOff>
    </xdr:from>
    <xdr:to>
      <xdr:col>11</xdr:col>
      <xdr:colOff>341997</xdr:colOff>
      <xdr:row>23</xdr:row>
      <xdr:rowOff>120089</xdr:rowOff>
    </xdr:to>
    <xdr:pic>
      <xdr:nvPicPr>
        <xdr:cNvPr id="3" name="Picture 2">
          <a:extLst>
            <a:ext uri="{FF2B5EF4-FFF2-40B4-BE49-F238E27FC236}">
              <a16:creationId xmlns:a16="http://schemas.microsoft.com/office/drawing/2014/main" id="{1BDE17FD-8FCE-B42B-F985-9A915E0E0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9444" y="1017495"/>
          <a:ext cx="5618847" cy="32263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24</xdr:col>
      <xdr:colOff>359833</xdr:colOff>
      <xdr:row>2</xdr:row>
      <xdr:rowOff>0</xdr:rowOff>
    </xdr:from>
    <xdr:ext cx="184731" cy="264560"/>
    <xdr:sp macro="" textlink="">
      <xdr:nvSpPr>
        <xdr:cNvPr id="2" name="TextBox 1">
          <a:extLst>
            <a:ext uri="{FF2B5EF4-FFF2-40B4-BE49-F238E27FC236}">
              <a16:creationId xmlns:a16="http://schemas.microsoft.com/office/drawing/2014/main" id="{E230A03C-684C-43A8-BD94-1AD22867DC40}"/>
            </a:ext>
          </a:extLst>
        </xdr:cNvPr>
        <xdr:cNvSpPr txBox="1"/>
      </xdr:nvSpPr>
      <xdr:spPr>
        <a:xfrm>
          <a:off x="14954250" y="274425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1</xdr:col>
      <xdr:colOff>19000</xdr:colOff>
      <xdr:row>1</xdr:row>
      <xdr:rowOff>44704</xdr:rowOff>
    </xdr:from>
    <xdr:ext cx="20490161" cy="7799414"/>
    <xdr:sp macro="" textlink="">
      <xdr:nvSpPr>
        <xdr:cNvPr id="3" name="TextBox 2">
          <a:extLst>
            <a:ext uri="{FF2B5EF4-FFF2-40B4-BE49-F238E27FC236}">
              <a16:creationId xmlns:a16="http://schemas.microsoft.com/office/drawing/2014/main" id="{6489DD43-5A39-4D99-3C36-45CA916B3DBA}"/>
            </a:ext>
            <a:ext uri="{147F2762-F138-4A5C-976F-8EAC2B608ADB}">
              <a16:predDERef xmlns:a16="http://schemas.microsoft.com/office/drawing/2014/main" pred="{E230A03C-684C-43A8-BD94-1AD22867DC40}"/>
            </a:ext>
          </a:extLst>
        </xdr:cNvPr>
        <xdr:cNvSpPr txBox="1"/>
      </xdr:nvSpPr>
      <xdr:spPr>
        <a:xfrm>
          <a:off x="299147" y="336057"/>
          <a:ext cx="20490161" cy="7799414"/>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r>
            <a:rPr lang="en-US" sz="1100" b="1">
              <a:solidFill>
                <a:schemeClr val="tx1"/>
              </a:solidFill>
              <a:latin typeface="+mn-lt"/>
              <a:ea typeface="+mn-lt"/>
              <a:cs typeface="+mn-lt"/>
            </a:rPr>
            <a:t>Trajectories defines the minimum and maximum levels of capacity expansion for the RES Technologies.</a:t>
          </a:r>
        </a:p>
        <a:p>
          <a:pPr marL="0" indent="0"/>
          <a:endParaRPr lang="en-US" sz="1100" b="1">
            <a:solidFill>
              <a:schemeClr val="tx1"/>
            </a:solidFill>
            <a:latin typeface="+mn-lt"/>
            <a:ea typeface="+mn-lt"/>
            <a:cs typeface="+mn-lt"/>
          </a:endParaRPr>
        </a:p>
        <a:p>
          <a:pPr marL="0" indent="0"/>
          <a:r>
            <a:rPr lang="en-US" sz="1100" b="1">
              <a:solidFill>
                <a:schemeClr val="tx1"/>
              </a:solidFill>
              <a:latin typeface="+mn-lt"/>
              <a:ea typeface="+mn-lt"/>
              <a:cs typeface="+mn-lt"/>
            </a:rPr>
            <a:t>The LOW* and HIGH trajectories will be used as lower (minimum levels of capacity expansion) and upper (maximum levels of capacity expansion) bounds for expansion of supply technologies (RES) in 2030, 2040 and 2050, in the two deviation scenarios, i.e., Distributed Energy and Global Ambition;</a:t>
          </a:r>
        </a:p>
        <a:p>
          <a:pPr marL="0" indent="0"/>
          <a:r>
            <a:rPr lang="en-US" sz="1100" b="1">
              <a:solidFill>
                <a:schemeClr val="tx1"/>
              </a:solidFill>
              <a:latin typeface="+mn-lt"/>
              <a:ea typeface="+mn-lt"/>
              <a:cs typeface="+mn-lt"/>
            </a:rPr>
            <a:t>---&gt; The differentiation among the two deviation scenarios will happen within the boundaries set by the LOW and HIGH trajectories; according to their storylines (e.g. according to cost differentiation).</a:t>
          </a:r>
        </a:p>
        <a:p>
          <a:pPr marL="0" indent="0"/>
          <a:r>
            <a:rPr lang="en-US" sz="1100" b="1">
              <a:solidFill>
                <a:schemeClr val="tx1"/>
              </a:solidFill>
              <a:latin typeface="+mn-lt"/>
              <a:ea typeface="+mn-lt"/>
              <a:cs typeface="+mn-lt"/>
            </a:rPr>
            <a:t>---&gt; The BEST ESTIMATE data will be directly used for National Trends (+)</a:t>
          </a:r>
        </a:p>
        <a:p>
          <a:pPr marL="0" indent="0"/>
          <a:endParaRPr lang="en-US" sz="1100" b="1">
            <a:solidFill>
              <a:schemeClr val="tx1"/>
            </a:solidFill>
            <a:latin typeface="+mn-lt"/>
            <a:ea typeface="+mn-lt"/>
            <a:cs typeface="+mn-lt"/>
          </a:endParaRPr>
        </a:p>
        <a:p>
          <a:pPr marL="0" indent="0"/>
          <a:r>
            <a:rPr lang="en-US" sz="1100" b="1">
              <a:solidFill>
                <a:schemeClr val="tx1"/>
              </a:solidFill>
              <a:latin typeface="+mn-lt"/>
              <a:ea typeface="+mn-lt"/>
              <a:cs typeface="+mn-lt"/>
            </a:rPr>
            <a:t>Solar, Wind and Nuclear trajectories** are developed as following:</a:t>
          </a:r>
        </a:p>
        <a:p>
          <a:pPr marL="0" indent="0"/>
          <a:endParaRPr lang="en-US" sz="1100" b="1">
            <a:solidFill>
              <a:schemeClr val="tx1"/>
            </a:solidFill>
            <a:latin typeface="+mn-lt"/>
            <a:ea typeface="+mn-lt"/>
            <a:cs typeface="+mn-lt"/>
          </a:endParaRPr>
        </a:p>
        <a:p>
          <a:pPr marL="0" indent="0"/>
          <a:r>
            <a:rPr lang="en-US" sz="1100" b="1">
              <a:solidFill>
                <a:schemeClr val="tx1"/>
              </a:solidFill>
              <a:latin typeface="+mn-lt"/>
              <a:ea typeface="+mn-lt"/>
              <a:cs typeface="+mn-lt"/>
            </a:rPr>
            <a:t>1) WG Scenario Building creates the default trajectories based on the literature: </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RES Upper Range: </a:t>
          </a:r>
        </a:p>
        <a:p>
          <a:pPr marL="0" indent="0"/>
          <a:r>
            <a:rPr lang="en-US" sz="1100">
              <a:solidFill>
                <a:schemeClr val="tx1"/>
              </a:solidFill>
              <a:latin typeface="+mn-lt"/>
              <a:ea typeface="+mn-lt"/>
              <a:cs typeface="+mn-lt"/>
            </a:rPr>
            <a:t>The upper range has been built independently for each country by taking the maximum across a set of published study. The resulting EU aggregated level is therefore higher than in any particular study. </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2030: </a:t>
          </a:r>
        </a:p>
        <a:p>
          <a:pPr marL="0" indent="0"/>
          <a:r>
            <a:rPr lang="en-US" sz="1100">
              <a:solidFill>
                <a:schemeClr val="tx1"/>
              </a:solidFill>
              <a:latin typeface="+mn-lt"/>
              <a:ea typeface="+mn-lt"/>
              <a:cs typeface="+mn-lt"/>
            </a:rPr>
            <a:t>The same approach is used for PV, onshore and offshore wind. The upper range is the maximum between the EC Mix-CP scenario (July 2021), EC Fit-for-55 scenario (sent by EC on 26 August 2022 on confidential basis for the purpose of TYNDP 2024 scenario building process) and TSOs (TYNDP 2022 National Trends).  </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2040: </a:t>
          </a:r>
        </a:p>
        <a:p>
          <a:pPr marL="0" indent="0"/>
          <a:r>
            <a:rPr lang="en-US" sz="1100">
              <a:solidFill>
                <a:schemeClr val="tx1"/>
              </a:solidFill>
              <a:latin typeface="+mn-lt"/>
              <a:ea typeface="+mn-lt"/>
              <a:cs typeface="+mn-lt"/>
            </a:rPr>
            <a:t>The same approach is used for PV, onshore and offshore wind. The upper range is either a country (TSO or Member States) data if available for 2040 or 2037 (in such case the 2030-2037 trend is prolonged) or the average of the 2030 and 2050 data. </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2050:</a:t>
          </a:r>
        </a:p>
        <a:p>
          <a:pPr marL="0" indent="0"/>
          <a:r>
            <a:rPr lang="en-US" sz="1100">
              <a:solidFill>
                <a:schemeClr val="tx1"/>
              </a:solidFill>
              <a:latin typeface="+mn-lt"/>
              <a:ea typeface="+mn-lt"/>
              <a:cs typeface="+mn-lt"/>
            </a:rPr>
            <a:t>For 2050, the upper range is the maximum between a third-party study and the national data if available. Third party study for: </a:t>
          </a:r>
        </a:p>
        <a:p>
          <a:pPr marL="0" indent="0"/>
          <a:r>
            <a:rPr lang="en-US" sz="1100">
              <a:solidFill>
                <a:schemeClr val="tx1"/>
              </a:solidFill>
              <a:latin typeface="+mn-lt"/>
              <a:ea typeface="+mn-lt"/>
              <a:cs typeface="+mn-lt"/>
            </a:rPr>
            <a:t>- Solar, PAC Scenario [1] using the relative country breakdown of the SolarPower Europe/LUT Moderate scenario [2] </a:t>
          </a:r>
        </a:p>
        <a:p>
          <a:pPr marL="0" indent="0"/>
          <a:r>
            <a:rPr lang="en-US" sz="1100">
              <a:solidFill>
                <a:schemeClr val="tx1"/>
              </a:solidFill>
              <a:latin typeface="+mn-lt"/>
              <a:ea typeface="+mn-lt"/>
              <a:cs typeface="+mn-lt"/>
            </a:rPr>
            <a:t>- Onshore wind, EC CPRICE [3] scenario using the relative country breakdown of the JRC Low potential from the ENSPRESO database [4]</a:t>
          </a:r>
        </a:p>
        <a:p>
          <a:pPr marL="0" indent="0"/>
          <a:r>
            <a:rPr lang="en-US" sz="1100">
              <a:solidFill>
                <a:schemeClr val="tx1"/>
              </a:solidFill>
              <a:latin typeface="+mn-lt"/>
              <a:ea typeface="+mn-lt"/>
              <a:cs typeface="+mn-lt"/>
            </a:rPr>
            <a:t>- Offshore wind, Wind Europe 450 GW scenario [5] for most of the countries, the Guidehouse study on the offshore grid potential in the Mediterranean region [6] for Greece, Spain, Croatia, Italy and Slovenia. For Romania and Bulgaria, the upper offshore wind range is based on the EU27 300 GW target and the country share in the JRC medium potential. </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RES lower range</a:t>
          </a:r>
        </a:p>
        <a:p>
          <a:pPr marL="0" indent="0"/>
          <a:r>
            <a:rPr lang="en-US" sz="1100">
              <a:solidFill>
                <a:schemeClr val="tx1"/>
              </a:solidFill>
              <a:latin typeface="+mn-lt"/>
              <a:ea typeface="+mn-lt"/>
              <a:cs typeface="+mn-lt"/>
            </a:rPr>
            <a:t>For sake of simplicity a percentage discount has been applied to the upper range for each time horizon. The percentage increases over the time to give more flexibility to the model to build differentiated scenarios:</a:t>
          </a:r>
        </a:p>
        <a:p>
          <a:pPr marL="0" indent="0"/>
          <a:r>
            <a:rPr lang="en-US" sz="1100">
              <a:solidFill>
                <a:schemeClr val="tx1"/>
              </a:solidFill>
              <a:latin typeface="+mn-lt"/>
              <a:ea typeface="+mn-lt"/>
              <a:cs typeface="+mn-lt"/>
            </a:rPr>
            <a:t>- 2030: -15%</a:t>
          </a:r>
        </a:p>
        <a:p>
          <a:pPr marL="0" indent="0"/>
          <a:r>
            <a:rPr lang="en-US" sz="1100">
              <a:solidFill>
                <a:schemeClr val="tx1"/>
              </a:solidFill>
              <a:latin typeface="+mn-lt"/>
              <a:ea typeface="+mn-lt"/>
              <a:cs typeface="+mn-lt"/>
            </a:rPr>
            <a:t>- 2040: -30%</a:t>
          </a:r>
        </a:p>
        <a:p>
          <a:pPr marL="0" indent="0"/>
          <a:r>
            <a:rPr lang="en-US" sz="1100">
              <a:solidFill>
                <a:schemeClr val="tx1"/>
              </a:solidFill>
              <a:latin typeface="+mn-lt"/>
              <a:ea typeface="+mn-lt"/>
              <a:cs typeface="+mn-lt"/>
            </a:rPr>
            <a:t>- 2050: -45%</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Nuclear range </a:t>
          </a:r>
        </a:p>
        <a:p>
          <a:pPr marL="0" indent="0"/>
          <a:r>
            <a:rPr lang="en-US" sz="1100">
              <a:solidFill>
                <a:schemeClr val="tx1"/>
              </a:solidFill>
              <a:latin typeface="+mn-lt"/>
              <a:ea typeface="+mn-lt"/>
              <a:cs typeface="+mn-lt"/>
            </a:rPr>
            <a:t>As in 2022 edition, nuclear capacity will be defined ex-ante based on storyline and national policies as nuclear is not an investment option within the model. The default values to be adjusted by TSOs are based on the TYNDP 2022 DE and GA scenarios. </a:t>
          </a:r>
        </a:p>
        <a:p>
          <a:pPr marL="0" indent="0"/>
          <a:endParaRPr lang="en-US" sz="1100" b="1">
            <a:solidFill>
              <a:schemeClr val="tx1"/>
            </a:solidFill>
            <a:latin typeface="+mn-lt"/>
            <a:ea typeface="+mn-lt"/>
            <a:cs typeface="+mn-lt"/>
          </a:endParaRPr>
        </a:p>
        <a:p>
          <a:pPr marL="0" indent="0"/>
          <a:r>
            <a:rPr lang="en-US" sz="1100" b="1">
              <a:solidFill>
                <a:schemeClr val="tx1"/>
              </a:solidFill>
              <a:latin typeface="+mn-lt"/>
              <a:ea typeface="+mn-lt"/>
              <a:cs typeface="+mn-lt"/>
            </a:rPr>
            <a:t>2) Electricity TSOs reviewed their country specific trajectories and updated them (if necessary) based on their national expertise / knowledge.</a:t>
          </a:r>
        </a:p>
        <a:p>
          <a:pPr marL="0" indent="0"/>
          <a:endParaRPr lang="en-US" sz="1100" b="1">
            <a:solidFill>
              <a:schemeClr val="tx1"/>
            </a:solidFill>
            <a:latin typeface="+mn-lt"/>
            <a:ea typeface="+mn-lt"/>
            <a:cs typeface="+mn-lt"/>
          </a:endParaRPr>
        </a:p>
        <a:p>
          <a:pPr marL="0" indent="0"/>
          <a:r>
            <a:rPr lang="en-US" sz="1100" b="1">
              <a:solidFill>
                <a:schemeClr val="tx1"/>
              </a:solidFill>
              <a:latin typeface="+mn-lt"/>
              <a:ea typeface="+mn-lt"/>
              <a:cs typeface="+mn-lt"/>
            </a:rPr>
            <a:t>3) Reviewing the trajectories after the public consultation feedbacks.</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The Batteries trajectories are developed as following and reviewed after consultation feedbacks:</a:t>
          </a:r>
        </a:p>
        <a:p>
          <a:pPr marL="0" indent="0"/>
          <a:r>
            <a:rPr lang="en-US" sz="1100">
              <a:solidFill>
                <a:schemeClr val="tx1"/>
              </a:solidFill>
              <a:latin typeface="+mn-lt"/>
              <a:ea typeface="+mn-lt"/>
              <a:cs typeface="+mn-lt"/>
            </a:rPr>
            <a:t>• LOW is equal to BE (Best Estimate) as collected by the TSOs.</a:t>
          </a:r>
        </a:p>
        <a:p>
          <a:pPr marL="0" indent="0"/>
          <a:r>
            <a:rPr lang="en-US" sz="1100">
              <a:solidFill>
                <a:schemeClr val="tx1"/>
              </a:solidFill>
              <a:latin typeface="+mn-lt"/>
              <a:ea typeface="+mn-lt"/>
              <a:cs typeface="+mn-lt"/>
            </a:rPr>
            <a:t>• HIGH is linked with Solar PV - HIGH trajectories:</a:t>
          </a:r>
        </a:p>
        <a:p>
          <a:pPr marL="0" indent="0"/>
          <a:r>
            <a:rPr lang="en-US" sz="1100">
              <a:solidFill>
                <a:schemeClr val="tx1"/>
              </a:solidFill>
              <a:latin typeface="+mn-lt"/>
              <a:ea typeface="+mn-lt"/>
              <a:cs typeface="+mn-lt"/>
            </a:rPr>
            <a:t>---&gt; Non-Market batteries are linked with Solar PV Rooftop. Market batteries are linked with Solar PV Farms.</a:t>
          </a:r>
        </a:p>
        <a:p>
          <a:pPr marL="0" indent="0"/>
          <a:r>
            <a:rPr lang="en-US" sz="1100">
              <a:solidFill>
                <a:schemeClr val="tx1"/>
              </a:solidFill>
              <a:latin typeface="+mn-lt"/>
              <a:ea typeface="+mn-lt"/>
              <a:cs typeface="+mn-lt"/>
            </a:rPr>
            <a:t>---&gt; Ratio (European mean) computed from PEMMDBs: Non-market/rooftop: the share is calculated as European Mean, Market/utility PV: the shares are calculated for each region (Central, Nordic-Baltic, North, South)</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15</xdr:col>
      <xdr:colOff>47625</xdr:colOff>
      <xdr:row>2</xdr:row>
      <xdr:rowOff>104775</xdr:rowOff>
    </xdr:from>
    <xdr:to>
      <xdr:col>20</xdr:col>
      <xdr:colOff>721659</xdr:colOff>
      <xdr:row>17</xdr:row>
      <xdr:rowOff>45944</xdr:rowOff>
    </xdr:to>
    <xdr:graphicFrame macro="">
      <xdr:nvGraphicFramePr>
        <xdr:cNvPr id="3" name="Gráfico 1">
          <a:extLst>
            <a:ext uri="{FF2B5EF4-FFF2-40B4-BE49-F238E27FC236}">
              <a16:creationId xmlns:a16="http://schemas.microsoft.com/office/drawing/2014/main" id="{940ECD24-601B-49C6-802E-2AEC6A3E32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47625</xdr:colOff>
      <xdr:row>21</xdr:row>
      <xdr:rowOff>19050</xdr:rowOff>
    </xdr:from>
    <xdr:to>
      <xdr:col>20</xdr:col>
      <xdr:colOff>733425</xdr:colOff>
      <xdr:row>36</xdr:row>
      <xdr:rowOff>104775</xdr:rowOff>
    </xdr:to>
    <xdr:graphicFrame macro="">
      <xdr:nvGraphicFramePr>
        <xdr:cNvPr id="2" name="Gráfico 1">
          <a:extLst>
            <a:ext uri="{FF2B5EF4-FFF2-40B4-BE49-F238E27FC236}">
              <a16:creationId xmlns:a16="http://schemas.microsoft.com/office/drawing/2014/main" id="{7DBCCD2E-88B5-4EC8-9FF3-FD48D5A435D9}"/>
            </a:ext>
            <a:ext uri="{147F2762-F138-4A5C-976F-8EAC2B608ADB}">
              <a16:predDERef xmlns:a16="http://schemas.microsoft.com/office/drawing/2014/main" pred="{940ECD24-601B-49C6-802E-2AEC6A3E32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46672</xdr:colOff>
      <xdr:row>5</xdr:row>
      <xdr:rowOff>66357</xdr:rowOff>
    </xdr:from>
    <xdr:to>
      <xdr:col>16</xdr:col>
      <xdr:colOff>684847</xdr:colOff>
      <xdr:row>20</xdr:row>
      <xdr:rowOff>126047</xdr:rowOff>
    </xdr:to>
    <xdr:graphicFrame macro="">
      <xdr:nvGraphicFramePr>
        <xdr:cNvPr id="2" name="Gráfico 1">
          <a:extLst>
            <a:ext uri="{FF2B5EF4-FFF2-40B4-BE49-F238E27FC236}">
              <a16:creationId xmlns:a16="http://schemas.microsoft.com/office/drawing/2014/main" id="{ADA5319E-ABAA-45A2-9354-C43C07BD55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47625</xdr:colOff>
      <xdr:row>23</xdr:row>
      <xdr:rowOff>28575</xdr:rowOff>
    </xdr:from>
    <xdr:to>
      <xdr:col>16</xdr:col>
      <xdr:colOff>685800</xdr:colOff>
      <xdr:row>38</xdr:row>
      <xdr:rowOff>78740</xdr:rowOff>
    </xdr:to>
    <xdr:graphicFrame macro="">
      <xdr:nvGraphicFramePr>
        <xdr:cNvPr id="3" name="Gráfico 1">
          <a:extLst>
            <a:ext uri="{FF2B5EF4-FFF2-40B4-BE49-F238E27FC236}">
              <a16:creationId xmlns:a16="http://schemas.microsoft.com/office/drawing/2014/main" id="{66756B47-A0AE-48FF-B9F5-ADF9448CE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15993</xdr:colOff>
      <xdr:row>3</xdr:row>
      <xdr:rowOff>27047</xdr:rowOff>
    </xdr:from>
    <xdr:to>
      <xdr:col>21</xdr:col>
      <xdr:colOff>627497</xdr:colOff>
      <xdr:row>18</xdr:row>
      <xdr:rowOff>58797</xdr:rowOff>
    </xdr:to>
    <xdr:graphicFrame macro="">
      <xdr:nvGraphicFramePr>
        <xdr:cNvPr id="2" name="Gráfico 3">
          <a:extLst>
            <a:ext uri="{FF2B5EF4-FFF2-40B4-BE49-F238E27FC236}">
              <a16:creationId xmlns:a16="http://schemas.microsoft.com/office/drawing/2014/main" id="{649F6349-E658-40BE-B4D0-2C077CB54F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28575</xdr:colOff>
      <xdr:row>26</xdr:row>
      <xdr:rowOff>15875</xdr:rowOff>
    </xdr:from>
    <xdr:to>
      <xdr:col>21</xdr:col>
      <xdr:colOff>640079</xdr:colOff>
      <xdr:row>41</xdr:row>
      <xdr:rowOff>44450</xdr:rowOff>
    </xdr:to>
    <xdr:graphicFrame macro="">
      <xdr:nvGraphicFramePr>
        <xdr:cNvPr id="3" name="Gráfico 3">
          <a:extLst>
            <a:ext uri="{FF2B5EF4-FFF2-40B4-BE49-F238E27FC236}">
              <a16:creationId xmlns:a16="http://schemas.microsoft.com/office/drawing/2014/main" id="{FE71F19B-EB48-41B5-9FFF-5C0C29939A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54927</xdr:colOff>
      <xdr:row>2</xdr:row>
      <xdr:rowOff>21907</xdr:rowOff>
    </xdr:from>
    <xdr:to>
      <xdr:col>16</xdr:col>
      <xdr:colOff>721677</xdr:colOff>
      <xdr:row>17</xdr:row>
      <xdr:rowOff>54292</xdr:rowOff>
    </xdr:to>
    <xdr:graphicFrame macro="">
      <xdr:nvGraphicFramePr>
        <xdr:cNvPr id="2" name="Gráfico 1">
          <a:extLst>
            <a:ext uri="{FF2B5EF4-FFF2-40B4-BE49-F238E27FC236}">
              <a16:creationId xmlns:a16="http://schemas.microsoft.com/office/drawing/2014/main" id="{1451F9C5-A218-48BE-BCA1-B95954E01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76200</xdr:colOff>
      <xdr:row>20</xdr:row>
      <xdr:rowOff>38100</xdr:rowOff>
    </xdr:from>
    <xdr:to>
      <xdr:col>16</xdr:col>
      <xdr:colOff>742950</xdr:colOff>
      <xdr:row>35</xdr:row>
      <xdr:rowOff>67310</xdr:rowOff>
    </xdr:to>
    <xdr:graphicFrame macro="">
      <xdr:nvGraphicFramePr>
        <xdr:cNvPr id="3" name="Gráfico 1">
          <a:extLst>
            <a:ext uri="{FF2B5EF4-FFF2-40B4-BE49-F238E27FC236}">
              <a16:creationId xmlns:a16="http://schemas.microsoft.com/office/drawing/2014/main" id="{1A9B8426-CD49-47A3-9106-F5D6FDC432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26670</xdr:colOff>
      <xdr:row>3</xdr:row>
      <xdr:rowOff>21272</xdr:rowOff>
    </xdr:from>
    <xdr:to>
      <xdr:col>17</xdr:col>
      <xdr:colOff>649605</xdr:colOff>
      <xdr:row>18</xdr:row>
      <xdr:rowOff>45402</xdr:rowOff>
    </xdr:to>
    <xdr:graphicFrame macro="">
      <xdr:nvGraphicFramePr>
        <xdr:cNvPr id="2" name="Gráfico 1">
          <a:extLst>
            <a:ext uri="{FF2B5EF4-FFF2-40B4-BE49-F238E27FC236}">
              <a16:creationId xmlns:a16="http://schemas.microsoft.com/office/drawing/2014/main" id="{F1D15288-0A9A-4FC2-A815-62E77B3B5F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12</xdr:col>
      <xdr:colOff>85725</xdr:colOff>
      <xdr:row>4</xdr:row>
      <xdr:rowOff>161925</xdr:rowOff>
    </xdr:from>
    <xdr:to>
      <xdr:col>17</xdr:col>
      <xdr:colOff>716280</xdr:colOff>
      <xdr:row>20</xdr:row>
      <xdr:rowOff>7620</xdr:rowOff>
    </xdr:to>
    <xdr:graphicFrame macro="">
      <xdr:nvGraphicFramePr>
        <xdr:cNvPr id="2" name="Gráfico 1">
          <a:extLst>
            <a:ext uri="{FF2B5EF4-FFF2-40B4-BE49-F238E27FC236}">
              <a16:creationId xmlns:a16="http://schemas.microsoft.com/office/drawing/2014/main" id="{E35F9857-0616-45D7-B5DC-5387DBD80A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457200</xdr:colOff>
      <xdr:row>15</xdr:row>
      <xdr:rowOff>121094</xdr:rowOff>
    </xdr:from>
    <xdr:to>
      <xdr:col>2</xdr:col>
      <xdr:colOff>466725</xdr:colOff>
      <xdr:row>29</xdr:row>
      <xdr:rowOff>78896</xdr:rowOff>
    </xdr:to>
    <xdr:pic>
      <xdr:nvPicPr>
        <xdr:cNvPr id="2" name="Picture 1">
          <a:extLst>
            <a:ext uri="{FF2B5EF4-FFF2-40B4-BE49-F238E27FC236}">
              <a16:creationId xmlns:a16="http://schemas.microsoft.com/office/drawing/2014/main" id="{8D5F1B77-D809-A300-F9AA-CFAC4C0FB552}"/>
            </a:ext>
          </a:extLst>
        </xdr:cNvPr>
        <xdr:cNvPicPr>
          <a:picLocks noChangeAspect="1"/>
        </xdr:cNvPicPr>
      </xdr:nvPicPr>
      <xdr:blipFill>
        <a:blip xmlns:r="http://schemas.openxmlformats.org/officeDocument/2006/relationships" r:embed="rId1"/>
        <a:stretch>
          <a:fillRect/>
        </a:stretch>
      </xdr:blipFill>
      <xdr:spPr>
        <a:xfrm>
          <a:off x="981075" y="2473769"/>
          <a:ext cx="6248400" cy="2491452"/>
        </a:xfrm>
        <a:prstGeom prst="rect">
          <a:avLst/>
        </a:prstGeom>
      </xdr:spPr>
    </xdr:pic>
    <xdr:clientData/>
  </xdr:twoCellAnchor>
  <xdr:twoCellAnchor editAs="oneCell">
    <xdr:from>
      <xdr:col>1</xdr:col>
      <xdr:colOff>419100</xdr:colOff>
      <xdr:row>31</xdr:row>
      <xdr:rowOff>95250</xdr:rowOff>
    </xdr:from>
    <xdr:to>
      <xdr:col>3</xdr:col>
      <xdr:colOff>1139825</xdr:colOff>
      <xdr:row>54</xdr:row>
      <xdr:rowOff>96671</xdr:rowOff>
    </xdr:to>
    <xdr:pic>
      <xdr:nvPicPr>
        <xdr:cNvPr id="3" name="Picture 2">
          <a:extLst>
            <a:ext uri="{FF2B5EF4-FFF2-40B4-BE49-F238E27FC236}">
              <a16:creationId xmlns:a16="http://schemas.microsoft.com/office/drawing/2014/main" id="{2D17F0E0-F286-F874-DF65-689AE48885C6}"/>
            </a:ext>
          </a:extLst>
        </xdr:cNvPr>
        <xdr:cNvPicPr>
          <a:picLocks noChangeAspect="1"/>
        </xdr:cNvPicPr>
      </xdr:nvPicPr>
      <xdr:blipFill>
        <a:blip xmlns:r="http://schemas.openxmlformats.org/officeDocument/2006/relationships" r:embed="rId2"/>
        <a:stretch>
          <a:fillRect/>
        </a:stretch>
      </xdr:blipFill>
      <xdr:spPr>
        <a:xfrm>
          <a:off x="942975" y="5343525"/>
          <a:ext cx="9474200" cy="4163846"/>
        </a:xfrm>
        <a:prstGeom prst="rect">
          <a:avLst/>
        </a:prstGeom>
      </xdr:spPr>
    </xdr:pic>
    <xdr:clientData/>
  </xdr:twoCellAnchor>
  <xdr:oneCellAnchor>
    <xdr:from>
      <xdr:col>2</xdr:col>
      <xdr:colOff>1285874</xdr:colOff>
      <xdr:row>18</xdr:row>
      <xdr:rowOff>82550</xdr:rowOff>
    </xdr:from>
    <xdr:ext cx="4562476" cy="953466"/>
    <xdr:sp macro="" textlink="">
      <xdr:nvSpPr>
        <xdr:cNvPr id="4" name="TextBox 3">
          <a:extLst>
            <a:ext uri="{FF2B5EF4-FFF2-40B4-BE49-F238E27FC236}">
              <a16:creationId xmlns:a16="http://schemas.microsoft.com/office/drawing/2014/main" id="{CD42FCD8-BB47-63E5-4613-98A52351709E}"/>
            </a:ext>
          </a:extLst>
        </xdr:cNvPr>
        <xdr:cNvSpPr txBox="1"/>
      </xdr:nvSpPr>
      <xdr:spPr>
        <a:xfrm>
          <a:off x="8048624" y="3454400"/>
          <a:ext cx="4562476" cy="953466"/>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spAutoFit/>
        </a:bodyPr>
        <a:lstStyle/>
        <a:p>
          <a:pPr algn="l"/>
          <a:r>
            <a:rPr lang="en-GB" sz="1100" b="1" u="sng"/>
            <a:t>Update after public</a:t>
          </a:r>
          <a:r>
            <a:rPr lang="en-GB" sz="1100" b="1" u="sng" baseline="0"/>
            <a:t> consultation:</a:t>
          </a:r>
          <a:endParaRPr lang="en-GB" sz="1100" b="1" u="sng"/>
        </a:p>
        <a:p>
          <a:pPr algn="l"/>
          <a:r>
            <a:rPr lang="en-GB" sz="1100"/>
            <a:t>To capture the trend of baseline cost better, 1% of cost differentiation introduced in 2030. If the differentiation between i) 2030 to 2040 is less than 15% and ii) 2030 to 2050 is less than 20%, the differentiotion is adjusted accordingly i) ratio(2040/2030) ± 0.1 and ii) ratio(2050/2030) ± 0.1</a:t>
          </a:r>
        </a:p>
      </xdr:txBody>
    </xdr:sp>
    <xdr:clientData/>
  </xdr:oneCellAnchor>
  <xdr:twoCellAnchor>
    <xdr:from>
      <xdr:col>2</xdr:col>
      <xdr:colOff>609600</xdr:colOff>
      <xdr:row>19</xdr:row>
      <xdr:rowOff>171450</xdr:rowOff>
    </xdr:from>
    <xdr:to>
      <xdr:col>2</xdr:col>
      <xdr:colOff>1085850</xdr:colOff>
      <xdr:row>22</xdr:row>
      <xdr:rowOff>47625</xdr:rowOff>
    </xdr:to>
    <xdr:sp macro="" textlink="">
      <xdr:nvSpPr>
        <xdr:cNvPr id="5" name="Arrow: Right 4">
          <a:extLst>
            <a:ext uri="{FF2B5EF4-FFF2-40B4-BE49-F238E27FC236}">
              <a16:creationId xmlns:a16="http://schemas.microsoft.com/office/drawing/2014/main" id="{594E4D02-F62E-F6E6-5870-A8CFFDB87AA7}"/>
            </a:ext>
          </a:extLst>
        </xdr:cNvPr>
        <xdr:cNvSpPr/>
      </xdr:nvSpPr>
      <xdr:spPr>
        <a:xfrm>
          <a:off x="7372350" y="3724275"/>
          <a:ext cx="476250" cy="419100"/>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15</xdr:col>
      <xdr:colOff>120650</xdr:colOff>
      <xdr:row>4</xdr:row>
      <xdr:rowOff>57150</xdr:rowOff>
    </xdr:from>
    <xdr:to>
      <xdr:col>22</xdr:col>
      <xdr:colOff>457200</xdr:colOff>
      <xdr:row>15</xdr:row>
      <xdr:rowOff>19050</xdr:rowOff>
    </xdr:to>
    <xdr:graphicFrame macro="">
      <xdr:nvGraphicFramePr>
        <xdr:cNvPr id="2" name="Chart 1">
          <a:extLst>
            <a:ext uri="{FF2B5EF4-FFF2-40B4-BE49-F238E27FC236}">
              <a16:creationId xmlns:a16="http://schemas.microsoft.com/office/drawing/2014/main" id="{A14FD8BA-2B05-328A-041C-9359A500DB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139700</xdr:colOff>
      <xdr:row>16</xdr:row>
      <xdr:rowOff>101600</xdr:rowOff>
    </xdr:from>
    <xdr:to>
      <xdr:col>22</xdr:col>
      <xdr:colOff>473075</xdr:colOff>
      <xdr:row>27</xdr:row>
      <xdr:rowOff>66675</xdr:rowOff>
    </xdr:to>
    <xdr:graphicFrame macro="">
      <xdr:nvGraphicFramePr>
        <xdr:cNvPr id="3" name="Chart 2">
          <a:extLst>
            <a:ext uri="{FF2B5EF4-FFF2-40B4-BE49-F238E27FC236}">
              <a16:creationId xmlns:a16="http://schemas.microsoft.com/office/drawing/2014/main" id="{21CC1DBF-F9B1-4B8F-935D-B9C2A84FA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120650</xdr:colOff>
      <xdr:row>29</xdr:row>
      <xdr:rowOff>85725</xdr:rowOff>
    </xdr:from>
    <xdr:to>
      <xdr:col>22</xdr:col>
      <xdr:colOff>457200</xdr:colOff>
      <xdr:row>40</xdr:row>
      <xdr:rowOff>47625</xdr:rowOff>
    </xdr:to>
    <xdr:graphicFrame macro="">
      <xdr:nvGraphicFramePr>
        <xdr:cNvPr id="4" name="Chart 3">
          <a:extLst>
            <a:ext uri="{FF2B5EF4-FFF2-40B4-BE49-F238E27FC236}">
              <a16:creationId xmlns:a16="http://schemas.microsoft.com/office/drawing/2014/main" id="{7E021B5B-D09E-4125-BFDE-0626BB941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552450</xdr:colOff>
      <xdr:row>3</xdr:row>
      <xdr:rowOff>19049</xdr:rowOff>
    </xdr:from>
    <xdr:to>
      <xdr:col>15</xdr:col>
      <xdr:colOff>276225</xdr:colOff>
      <xdr:row>51</xdr:row>
      <xdr:rowOff>100853</xdr:rowOff>
    </xdr:to>
    <xdr:sp macro="" textlink="">
      <xdr:nvSpPr>
        <xdr:cNvPr id="7" name="TextBox 1">
          <a:extLst>
            <a:ext uri="{FF2B5EF4-FFF2-40B4-BE49-F238E27FC236}">
              <a16:creationId xmlns:a16="http://schemas.microsoft.com/office/drawing/2014/main" id="{D5A59655-012A-4BF4-81DE-FF2756297D55}"/>
            </a:ext>
          </a:extLst>
        </xdr:cNvPr>
        <xdr:cNvSpPr txBox="1"/>
      </xdr:nvSpPr>
      <xdr:spPr>
        <a:xfrm>
          <a:off x="552450" y="668990"/>
          <a:ext cx="9304804" cy="86879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400" b="1"/>
            <a:t>Commodity prices</a:t>
          </a:r>
        </a:p>
        <a:p>
          <a:r>
            <a:rPr lang="en-GB" sz="1400" i="0">
              <a:solidFill>
                <a:schemeClr val="dk1"/>
              </a:solidFill>
              <a:effectLst/>
              <a:latin typeface="+mn-lt"/>
              <a:ea typeface="+mn-ea"/>
              <a:cs typeface="+mn-cs"/>
            </a:rPr>
            <a:t>It has been prioritized to have as few sources for commodity prices as possible. Commodity prices for different energy carriers are typically related, and therefore it is seen essential to collect them from the same source, as it represents one whole picture of the future price level. Must of the prises used for TYNDP 2024 is collected from EIAs report World Energy Outlook 2022. However, a few prices has to be found in other sources. These are the prices for lignite, biomethane, oil shale and imported ammonia. The prices used in this cycle, is shown in the tab “3.1. (</a:t>
          </a:r>
          <a:r>
            <a:rPr lang="en-GB" sz="1400" b="0" i="0">
              <a:solidFill>
                <a:schemeClr val="dk1"/>
              </a:solidFill>
              <a:effectLst/>
              <a:latin typeface="+mn-lt"/>
              <a:ea typeface="+mn-ea"/>
              <a:cs typeface="+mn-cs"/>
            </a:rPr>
            <a:t>price matrix 2024)</a:t>
          </a:r>
          <a:r>
            <a:rPr lang="en-GB" sz="1400" i="0">
              <a:solidFill>
                <a:schemeClr val="dk1"/>
              </a:solidFill>
              <a:effectLst/>
              <a:latin typeface="+mn-lt"/>
              <a:ea typeface="+mn-ea"/>
              <a:cs typeface="+mn-cs"/>
            </a:rPr>
            <a:t>”. For each price the respective source is given.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p>
        <a:p>
          <a:r>
            <a:rPr lang="da-DK" sz="1400" b="1">
              <a:solidFill>
                <a:schemeClr val="dk1"/>
              </a:solidFill>
              <a:effectLst/>
              <a:latin typeface="+mn-lt"/>
              <a:ea typeface="+mn-ea"/>
              <a:cs typeface="+mn-cs"/>
            </a:rPr>
            <a:t>Notes and explanations</a:t>
          </a:r>
        </a:p>
        <a:p>
          <a:endParaRPr lang="da-DK" sz="1400" b="1">
            <a:solidFill>
              <a:schemeClr val="dk1"/>
            </a:solidFill>
            <a:effectLst/>
            <a:latin typeface="+mn-lt"/>
            <a:ea typeface="+mn-ea"/>
            <a:cs typeface="+mn-cs"/>
          </a:endParaRPr>
        </a:p>
        <a:p>
          <a:r>
            <a:rPr lang="da-DK" sz="1400" b="1">
              <a:solidFill>
                <a:schemeClr val="dk1"/>
              </a:solidFill>
              <a:effectLst/>
              <a:latin typeface="+mn-lt"/>
              <a:ea typeface="+mn-ea"/>
              <a:cs typeface="+mn-cs"/>
            </a:rPr>
            <a:t>Prices</a:t>
          </a:r>
          <a:r>
            <a:rPr lang="da-DK" sz="1400" b="1" baseline="0">
              <a:solidFill>
                <a:schemeClr val="dk1"/>
              </a:solidFill>
              <a:effectLst/>
              <a:latin typeface="+mn-lt"/>
              <a:ea typeface="+mn-ea"/>
              <a:cs typeface="+mn-cs"/>
            </a:rPr>
            <a:t> from WEO</a:t>
          </a:r>
          <a:endParaRPr lang="en-BE" sz="1400" b="1">
            <a:solidFill>
              <a:schemeClr val="dk1"/>
            </a:solidFill>
            <a:effectLst/>
            <a:latin typeface="+mn-lt"/>
            <a:ea typeface="+mn-ea"/>
            <a:cs typeface="+mn-cs"/>
          </a:endParaRPr>
        </a:p>
        <a:p>
          <a:r>
            <a:rPr lang="en-GB" sz="1400" i="0">
              <a:solidFill>
                <a:schemeClr val="dk1"/>
              </a:solidFill>
              <a:effectLst/>
              <a:latin typeface="+mn-lt"/>
              <a:ea typeface="+mn-ea"/>
              <a:cs typeface="+mn-cs"/>
            </a:rPr>
            <a:t>IEA has only provided prices for 2030 and 2050. Therefore interpolation has been used for the prices in 2040. IEA has not provided prices for “light oil” and “heavy oil”. These prices has ben derived from the “crude oil” price.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endParaRPr lang="en-BE" sz="1400">
            <a:solidFill>
              <a:schemeClr val="dk1"/>
            </a:solidFill>
            <a:effectLst/>
            <a:latin typeface="+mn-lt"/>
            <a:ea typeface="+mn-ea"/>
            <a:cs typeface="+mn-cs"/>
          </a:endParaRPr>
        </a:p>
        <a:p>
          <a:r>
            <a:rPr lang="en-GB" sz="1400" b="1" i="0">
              <a:solidFill>
                <a:schemeClr val="dk1"/>
              </a:solidFill>
              <a:effectLst/>
              <a:latin typeface="+mn-lt"/>
              <a:ea typeface="+mn-ea"/>
              <a:cs typeface="+mn-cs"/>
            </a:rPr>
            <a:t>Biomethane</a:t>
          </a:r>
        </a:p>
        <a:p>
          <a:r>
            <a:rPr lang="en-GB" sz="1400" i="0">
              <a:solidFill>
                <a:schemeClr val="dk1"/>
              </a:solidFill>
              <a:effectLst/>
              <a:latin typeface="+mn-lt"/>
              <a:ea typeface="+mn-ea"/>
              <a:cs typeface="+mn-cs"/>
            </a:rPr>
            <a:t>The price for biomethane is calculated based on CAPEX and OPEX numbers from the Danish technology catalogue. The calculation and assumptions are shown in the two tabs “3.6. (biogas + upgrade)” and “3.7. (Thermal gasification)”. it is calculated as discounted cash flows with a 5% discount rate. The final price for biomethane is considered as a blend of these two gasses, based on the respective shares of the potentials for each in EU. The final price is calculated in the tab “3.5. </a:t>
          </a:r>
        </a:p>
        <a:p>
          <a:r>
            <a:rPr lang="en-GB" sz="1400" i="0">
              <a:solidFill>
                <a:schemeClr val="dk1"/>
              </a:solidFill>
              <a:effectLst/>
              <a:latin typeface="+mn-lt"/>
              <a:ea typeface="+mn-ea"/>
              <a:cs typeface="+mn-cs"/>
            </a:rPr>
            <a:t>(biomethane cost overview)”.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p>
        <a:p>
          <a:r>
            <a:rPr lang="en-GB" sz="1400" b="1" i="0">
              <a:solidFill>
                <a:schemeClr val="dk1"/>
              </a:solidFill>
              <a:effectLst/>
              <a:latin typeface="+mn-lt"/>
              <a:ea typeface="+mn-ea"/>
              <a:cs typeface="+mn-cs"/>
            </a:rPr>
            <a:t>Amonia</a:t>
          </a:r>
          <a:endParaRPr lang="en-BE" sz="1400" b="1">
            <a:solidFill>
              <a:schemeClr val="dk1"/>
            </a:solidFill>
            <a:effectLst/>
            <a:latin typeface="+mn-lt"/>
            <a:ea typeface="+mn-ea"/>
            <a:cs typeface="+mn-cs"/>
          </a:endParaRPr>
        </a:p>
        <a:p>
          <a:r>
            <a:rPr lang="en-GB" sz="1400" i="0">
              <a:solidFill>
                <a:schemeClr val="dk1"/>
              </a:solidFill>
              <a:effectLst/>
              <a:latin typeface="+mn-lt"/>
              <a:ea typeface="+mn-ea"/>
              <a:cs typeface="+mn-cs"/>
            </a:rPr>
            <a:t>For ammonia a tool developed by EWI is used to calculate the price. The assumptions for the tool input and the source is shown in the tab “3.3.</a:t>
          </a:r>
          <a:r>
            <a:rPr lang="en-GB" sz="1400" i="0" baseline="0">
              <a:solidFill>
                <a:schemeClr val="dk1"/>
              </a:solidFill>
              <a:effectLst/>
              <a:latin typeface="+mn-lt"/>
              <a:ea typeface="+mn-ea"/>
              <a:cs typeface="+mn-cs"/>
            </a:rPr>
            <a:t> (</a:t>
          </a:r>
          <a:r>
            <a:rPr lang="en-GB" sz="1400" i="0">
              <a:solidFill>
                <a:schemeClr val="dk1"/>
              </a:solidFill>
              <a:effectLst/>
              <a:latin typeface="+mn-lt"/>
              <a:ea typeface="+mn-ea"/>
              <a:cs typeface="+mn-cs"/>
            </a:rPr>
            <a:t>Import costs of Amonia)”.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endParaRPr lang="en-BE" sz="1400">
            <a:solidFill>
              <a:schemeClr val="dk1"/>
            </a:solidFill>
            <a:effectLst/>
            <a:latin typeface="+mn-lt"/>
            <a:ea typeface="+mn-ea"/>
            <a:cs typeface="+mn-cs"/>
          </a:endParaRPr>
        </a:p>
        <a:p>
          <a:r>
            <a:rPr lang="en-GB" sz="1400" b="1" i="0">
              <a:solidFill>
                <a:schemeClr val="dk1"/>
              </a:solidFill>
              <a:effectLst/>
              <a:latin typeface="+mn-lt"/>
              <a:ea typeface="+mn-ea"/>
              <a:cs typeface="+mn-cs"/>
            </a:rPr>
            <a:t>Lignite</a:t>
          </a:r>
        </a:p>
        <a:p>
          <a:r>
            <a:rPr lang="en-GB" sz="1400" i="0">
              <a:solidFill>
                <a:schemeClr val="dk1"/>
              </a:solidFill>
              <a:effectLst/>
              <a:latin typeface="+mn-lt"/>
              <a:ea typeface="+mn-ea"/>
              <a:cs typeface="+mn-cs"/>
            </a:rPr>
            <a:t>There is</a:t>
          </a:r>
          <a:r>
            <a:rPr lang="en-GB" sz="1400" i="0" baseline="0">
              <a:solidFill>
                <a:schemeClr val="dk1"/>
              </a:solidFill>
              <a:effectLst/>
              <a:latin typeface="+mn-lt"/>
              <a:ea typeface="+mn-ea"/>
              <a:cs typeface="+mn-cs"/>
            </a:rPr>
            <a:t> no price given for lignite in the WEO. </a:t>
          </a:r>
          <a:r>
            <a:rPr lang="en-GB" sz="1400" i="0">
              <a:solidFill>
                <a:schemeClr val="dk1"/>
              </a:solidFill>
              <a:effectLst/>
              <a:latin typeface="+mn-lt"/>
              <a:ea typeface="+mn-ea"/>
              <a:cs typeface="+mn-cs"/>
            </a:rPr>
            <a:t>For lignite is used same price as in the TYNDP 2022 cycle. The source for lighnite is available in the price matrix.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p>
        <a:p>
          <a:r>
            <a:rPr lang="en-GB" sz="1400" b="1" i="0">
              <a:solidFill>
                <a:schemeClr val="dk1"/>
              </a:solidFill>
              <a:effectLst/>
              <a:latin typeface="+mn-lt"/>
              <a:ea typeface="+mn-ea"/>
              <a:cs typeface="+mn-cs"/>
            </a:rPr>
            <a:t>Shale oil</a:t>
          </a:r>
          <a:endParaRPr lang="en-BE" sz="1400" b="1">
            <a:solidFill>
              <a:schemeClr val="dk1"/>
            </a:solidFill>
            <a:effectLst/>
            <a:latin typeface="+mn-lt"/>
            <a:ea typeface="+mn-ea"/>
            <a:cs typeface="+mn-cs"/>
          </a:endParaRPr>
        </a:p>
        <a:p>
          <a:r>
            <a:rPr lang="en-GB" sz="1400" i="0">
              <a:solidFill>
                <a:schemeClr val="dk1"/>
              </a:solidFill>
              <a:effectLst/>
              <a:latin typeface="+mn-lt"/>
              <a:ea typeface="+mn-ea"/>
              <a:cs typeface="+mn-cs"/>
            </a:rPr>
            <a:t>The use of Oil shale is minimal in EU. There is no world price on oil shale. The TSOs has provided the price. In 2024 oil shale price is considered to have the same price as in last cycle.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p>
        <a:p>
          <a:r>
            <a:rPr lang="en-GB" sz="1400" b="1" i="0">
              <a:solidFill>
                <a:schemeClr val="dk1"/>
              </a:solidFill>
              <a:effectLst/>
              <a:latin typeface="+mn-lt"/>
              <a:ea typeface="+mn-ea"/>
              <a:cs typeface="+mn-cs"/>
            </a:rPr>
            <a:t>Price for blended gas</a:t>
          </a:r>
          <a:endParaRPr lang="en-BE" sz="1400" b="1">
            <a:solidFill>
              <a:schemeClr val="dk1"/>
            </a:solidFill>
            <a:effectLst/>
            <a:latin typeface="+mn-lt"/>
            <a:ea typeface="+mn-ea"/>
            <a:cs typeface="+mn-cs"/>
          </a:endParaRPr>
        </a:p>
        <a:p>
          <a:r>
            <a:rPr lang="en-GB" sz="1400" i="0">
              <a:solidFill>
                <a:schemeClr val="dk1"/>
              </a:solidFill>
              <a:effectLst/>
              <a:latin typeface="+mn-lt"/>
              <a:ea typeface="+mn-ea"/>
              <a:cs typeface="+mn-cs"/>
            </a:rPr>
            <a:t>A blended gas price is used in the modeling. The blended price is calculated by the supply shares of methane, biomethane and synthetic methane, multiplied with the respectively prices for the gases. These calculation is shown in the tab “gas blends”. The blended gasprice will </a:t>
          </a:r>
          <a:r>
            <a:rPr lang="en-GB" sz="1400" i="0">
              <a:solidFill>
                <a:sysClr val="windowText" lastClr="000000"/>
              </a:solidFill>
              <a:effectLst/>
              <a:latin typeface="+mn-lt"/>
              <a:ea typeface="+mn-ea"/>
              <a:cs typeface="+mn-cs"/>
            </a:rPr>
            <a:t>deffer</a:t>
          </a:r>
          <a:r>
            <a:rPr lang="en-GB" sz="1400" i="0" baseline="0">
              <a:solidFill>
                <a:sysClr val="windowText" lastClr="000000"/>
              </a:solidFill>
              <a:effectLst/>
              <a:latin typeface="+mn-lt"/>
              <a:ea typeface="+mn-ea"/>
              <a:cs typeface="+mn-cs"/>
            </a:rPr>
            <a:t> between the scenarios. </a:t>
          </a:r>
          <a:r>
            <a:rPr lang="en-GB" sz="1400" i="0">
              <a:solidFill>
                <a:sysClr val="windowText" lastClr="000000"/>
              </a:solidFill>
              <a:effectLst/>
              <a:latin typeface="+mn-lt"/>
              <a:ea typeface="+mn-ea"/>
              <a:cs typeface="+mn-cs"/>
            </a:rPr>
            <a:t>   </a:t>
          </a:r>
        </a:p>
        <a:p>
          <a:endParaRPr lang="en-GB" sz="1400" i="0">
            <a:solidFill>
              <a:schemeClr val="dk1"/>
            </a:solidFill>
            <a:effectLst/>
            <a:latin typeface="+mn-lt"/>
            <a:ea typeface="+mn-ea"/>
            <a:cs typeface="+mn-cs"/>
          </a:endParaRPr>
        </a:p>
        <a:p>
          <a:endParaRPr lang="da-DK" sz="1100" b="1"/>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22224</xdr:colOff>
      <xdr:row>34</xdr:row>
      <xdr:rowOff>120651</xdr:rowOff>
    </xdr:from>
    <xdr:to>
      <xdr:col>17</xdr:col>
      <xdr:colOff>225425</xdr:colOff>
      <xdr:row>49</xdr:row>
      <xdr:rowOff>168276</xdr:rowOff>
    </xdr:to>
    <xdr:sp macro="" textlink="">
      <xdr:nvSpPr>
        <xdr:cNvPr id="2" name="TextBox 1">
          <a:extLst>
            <a:ext uri="{FF2B5EF4-FFF2-40B4-BE49-F238E27FC236}">
              <a16:creationId xmlns:a16="http://schemas.microsoft.com/office/drawing/2014/main" id="{EFB14723-7FBC-4AD8-9048-39FD7DC8F8AD}"/>
            </a:ext>
          </a:extLst>
        </xdr:cNvPr>
        <xdr:cNvSpPr txBox="1"/>
      </xdr:nvSpPr>
      <xdr:spPr>
        <a:xfrm>
          <a:off x="612774" y="6702426"/>
          <a:ext cx="9652001" cy="290512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400" b="1"/>
            <a:t>Import potentials for Hydrogen</a:t>
          </a:r>
        </a:p>
        <a:p>
          <a:r>
            <a:rPr lang="da-DK" sz="1400"/>
            <a:t>- To make a total picture of the hydrogen import</a:t>
          </a:r>
          <a:r>
            <a:rPr lang="da-DK" sz="1400" baseline="0"/>
            <a:t> potentials to EU, data from several studies has been used. The reason so many studies are needed, is that the studies has a different focus. PCI project has e.g. focus on the near </a:t>
          </a:r>
          <a:r>
            <a:rPr lang="da-DK" sz="1400" baseline="0">
              <a:solidFill>
                <a:schemeClr val="dk1"/>
              </a:solidFill>
              <a:effectLst/>
              <a:latin typeface="+mn-lt"/>
              <a:ea typeface="+mn-ea"/>
              <a:cs typeface="+mn-cs"/>
            </a:rPr>
            <a:t> future </a:t>
          </a:r>
          <a:r>
            <a:rPr lang="da-DK" sz="1400" baseline="0"/>
            <a:t>(next ten years) while the IRENA study has foucus on supplies for 2050. The final potential is made by taking the maximum value from each region for 2030, 2040 and 2050. By doing this, the potential shall be seen as the absolut maximum potential. </a:t>
          </a:r>
        </a:p>
        <a:p>
          <a:r>
            <a:rPr lang="da-DK" sz="1400" baseline="0"/>
            <a:t>Only deviation from this methodology is that interpolation between 2030 and 2040 values has been used for shipped H2 in 2040. This has been done, since no relevant value was available, and to create a logical shape of the import potential for shipped H2.</a:t>
          </a:r>
          <a:br>
            <a:rPr lang="da-DK" sz="1400" baseline="0"/>
          </a:br>
          <a:br>
            <a:rPr lang="da-DK" sz="1400" baseline="0"/>
          </a:br>
          <a:r>
            <a:rPr lang="da-DK" sz="1400" baseline="0"/>
            <a:t>- The H2 imports will be modelled with ex-ante capacities (import potentials) &amp; costs for each importer country:</a:t>
          </a:r>
          <a:br>
            <a:rPr lang="da-DK" sz="1400" baseline="0"/>
          </a:br>
          <a:r>
            <a:rPr lang="da-DK" sz="1400" baseline="0"/>
            <a:t>----&gt; The H2 import potentials will be same for both deviation scenario (4.1.).</a:t>
          </a:r>
        </a:p>
        <a:p>
          <a:r>
            <a:rPr lang="da-DK" sz="1400" baseline="0"/>
            <a:t>----&gt; The H2 import costs will be differentiated among deviation scenairo (4.3.). </a:t>
          </a:r>
          <a:endParaRPr lang="da-DK" sz="1400" baseline="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476250</xdr:colOff>
      <xdr:row>4</xdr:row>
      <xdr:rowOff>76201</xdr:rowOff>
    </xdr:from>
    <xdr:to>
      <xdr:col>14</xdr:col>
      <xdr:colOff>219075</xdr:colOff>
      <xdr:row>47</xdr:row>
      <xdr:rowOff>73025</xdr:rowOff>
    </xdr:to>
    <xdr:sp macro="" textlink="">
      <xdr:nvSpPr>
        <xdr:cNvPr id="82" name="TextBox 1">
          <a:extLst>
            <a:ext uri="{FF2B5EF4-FFF2-40B4-BE49-F238E27FC236}">
              <a16:creationId xmlns:a16="http://schemas.microsoft.com/office/drawing/2014/main" id="{520238FC-FF7C-1D54-58B1-788A2CD7A406}"/>
            </a:ext>
          </a:extLst>
        </xdr:cNvPr>
        <xdr:cNvSpPr txBox="1"/>
      </xdr:nvSpPr>
      <xdr:spPr>
        <a:xfrm>
          <a:off x="5029200" y="914401"/>
          <a:ext cx="5267325" cy="7807324"/>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a:solidFill>
                <a:schemeClr val="bg1"/>
              </a:solidFill>
              <a:effectLst/>
              <a:latin typeface="+mn-lt"/>
              <a:ea typeface="+mn-ea"/>
              <a:cs typeface="+mn-cs"/>
            </a:rPr>
            <a:t>Methodology price and potentials:</a:t>
          </a:r>
          <a:r>
            <a:rPr lang="en-US" sz="1400">
              <a:solidFill>
                <a:schemeClr val="bg1"/>
              </a:solidFill>
            </a:rPr>
            <a:t> </a:t>
          </a:r>
        </a:p>
        <a:p>
          <a:endParaRPr lang="en-US" sz="1100">
            <a:solidFill>
              <a:schemeClr val="bg1"/>
            </a:solidFill>
          </a:endParaRPr>
        </a:p>
        <a:p>
          <a:r>
            <a:rPr lang="en-US" sz="1100" b="1">
              <a:solidFill>
                <a:schemeClr val="bg1"/>
              </a:solidFill>
            </a:rPr>
            <a:t>The base prices for H2 shown in the table to the left </a:t>
          </a:r>
          <a:r>
            <a:rPr lang="en-BE" sz="1100" b="1">
              <a:solidFill>
                <a:schemeClr val="bg1"/>
              </a:solidFill>
            </a:rPr>
            <a:t>are</a:t>
          </a:r>
          <a:r>
            <a:rPr lang="en-US" sz="1100" b="1">
              <a:solidFill>
                <a:schemeClr val="bg1"/>
              </a:solidFill>
            </a:rPr>
            <a:t> </a:t>
          </a:r>
          <a:r>
            <a:rPr lang="en-BE" sz="1100" b="1">
              <a:solidFill>
                <a:schemeClr val="bg1"/>
              </a:solidFill>
            </a:rPr>
            <a:t>based on</a:t>
          </a:r>
          <a:r>
            <a:rPr lang="en-US" sz="1100" b="1">
              <a:solidFill>
                <a:schemeClr val="bg1"/>
              </a:solidFill>
            </a:rPr>
            <a:t> the EHB study. Source: https://ehb.eu/files/downloads/EHB-Supply-corridor-presentation-Full-version.pdf</a:t>
          </a:r>
          <a:r>
            <a:rPr lang="en-BE" sz="1100" b="1">
              <a:solidFill>
                <a:schemeClr val="bg1"/>
              </a:solidFill>
            </a:rPr>
            <a:t>. The</a:t>
          </a:r>
          <a:r>
            <a:rPr lang="en-US" sz="1100" b="1">
              <a:solidFill>
                <a:schemeClr val="bg1"/>
              </a:solidFill>
            </a:rPr>
            <a:t> ammonia price</a:t>
          </a:r>
          <a:r>
            <a:rPr lang="en-BE" sz="1100" b="1">
              <a:solidFill>
                <a:schemeClr val="bg1"/>
              </a:solidFill>
            </a:rPr>
            <a:t>s are</a:t>
          </a:r>
          <a:r>
            <a:rPr lang="en-US" sz="1100" b="1">
              <a:solidFill>
                <a:schemeClr val="bg1"/>
              </a:solidFill>
            </a:rPr>
            <a:t> shown in sheet</a:t>
          </a:r>
          <a:r>
            <a:rPr lang="en-US" sz="1100" b="1" baseline="0">
              <a:solidFill>
                <a:schemeClr val="bg1"/>
              </a:solidFill>
            </a:rPr>
            <a:t> 3.3</a:t>
          </a:r>
          <a:endParaRPr lang="en-US" sz="1100" b="1">
            <a:solidFill>
              <a:schemeClr val="bg1"/>
            </a:solidFill>
          </a:endParaRPr>
        </a:p>
        <a:p>
          <a:r>
            <a:rPr lang="en-US" sz="1100" b="1">
              <a:solidFill>
                <a:schemeClr val="bg1"/>
              </a:solidFill>
            </a:rPr>
            <a:t> </a:t>
          </a:r>
        </a:p>
        <a:p>
          <a:r>
            <a:rPr lang="en-US" sz="1100" b="1">
              <a:solidFill>
                <a:schemeClr val="bg1"/>
              </a:solidFill>
            </a:rPr>
            <a:t>The base prices ha</a:t>
          </a:r>
          <a:r>
            <a:rPr lang="en-BE" sz="1100" b="1">
              <a:solidFill>
                <a:schemeClr val="bg1"/>
              </a:solidFill>
            </a:rPr>
            <a:t>ve</a:t>
          </a:r>
          <a:r>
            <a:rPr lang="en-US" sz="1100" b="1">
              <a:solidFill>
                <a:schemeClr val="bg1"/>
              </a:solidFill>
            </a:rPr>
            <a:t> </a:t>
          </a:r>
          <a:r>
            <a:rPr lang="en-BE" sz="1100" b="1">
              <a:solidFill>
                <a:schemeClr val="bg1"/>
              </a:solidFill>
            </a:rPr>
            <a:t>f</a:t>
          </a:r>
          <a:r>
            <a:rPr lang="en-US" sz="1100" b="1">
              <a:solidFill>
                <a:schemeClr val="bg1"/>
              </a:solidFill>
            </a:rPr>
            <a:t>urther been di</a:t>
          </a:r>
          <a:r>
            <a:rPr lang="en-BE" sz="1100" b="1">
              <a:solidFill>
                <a:schemeClr val="bg1"/>
              </a:solidFill>
            </a:rPr>
            <a:t>fferentiated</a:t>
          </a:r>
          <a:r>
            <a:rPr lang="en-US" sz="1100" b="1">
              <a:solidFill>
                <a:schemeClr val="bg1"/>
              </a:solidFill>
            </a:rPr>
            <a:t> between the three scenarios. </a:t>
          </a:r>
          <a:r>
            <a:rPr lang="en-US" sz="1100" baseline="0">
              <a:solidFill>
                <a:schemeClr val="bg1"/>
              </a:solidFill>
              <a:effectLst/>
              <a:latin typeface="+mn-lt"/>
              <a:ea typeface="+mn-ea"/>
              <a:cs typeface="+mn-cs"/>
            </a:rPr>
            <a:t>All price differentiations ha</a:t>
          </a:r>
          <a:r>
            <a:rPr lang="en-BE" sz="1100" baseline="0">
              <a:solidFill>
                <a:schemeClr val="bg1"/>
              </a:solidFill>
              <a:effectLst/>
              <a:latin typeface="+mn-lt"/>
              <a:ea typeface="+mn-ea"/>
              <a:cs typeface="+mn-cs"/>
            </a:rPr>
            <a:t>ve</a:t>
          </a:r>
          <a:r>
            <a:rPr lang="en-US" sz="1100" baseline="0">
              <a:solidFill>
                <a:schemeClr val="bg1"/>
              </a:solidFill>
              <a:effectLst/>
              <a:latin typeface="+mn-lt"/>
              <a:ea typeface="+mn-ea"/>
              <a:cs typeface="+mn-cs"/>
            </a:rPr>
            <a:t> been done to:</a:t>
          </a:r>
          <a:endParaRPr lang="en-BE">
            <a:solidFill>
              <a:schemeClr val="bg1"/>
            </a:solidFill>
            <a:effectLst/>
          </a:endParaRPr>
        </a:p>
        <a:p>
          <a:r>
            <a:rPr lang="en-US" sz="1100" baseline="0">
              <a:solidFill>
                <a:schemeClr val="bg1"/>
              </a:solidFill>
              <a:effectLst/>
              <a:latin typeface="+mn-lt"/>
              <a:ea typeface="+mn-ea"/>
              <a:cs typeface="+mn-cs"/>
            </a:rPr>
            <a:t>- Differentiate the scenarios </a:t>
          </a:r>
          <a:r>
            <a:rPr lang="en-BE" sz="1100" baseline="0">
              <a:solidFill>
                <a:schemeClr val="bg1"/>
              </a:solidFill>
              <a:effectLst/>
              <a:latin typeface="+mn-lt"/>
              <a:ea typeface="+mn-ea"/>
              <a:cs typeface="+mn-cs"/>
            </a:rPr>
            <a:t>regarding</a:t>
          </a:r>
          <a:r>
            <a:rPr lang="en-US" sz="1100" baseline="0">
              <a:solidFill>
                <a:schemeClr val="bg1"/>
              </a:solidFill>
              <a:effectLst/>
              <a:latin typeface="+mn-lt"/>
              <a:ea typeface="+mn-ea"/>
              <a:cs typeface="+mn-cs"/>
            </a:rPr>
            <a:t> H2 import</a:t>
          </a:r>
          <a:endParaRPr lang="en-BE">
            <a:solidFill>
              <a:schemeClr val="bg1"/>
            </a:solidFill>
            <a:effectLst/>
          </a:endParaRPr>
        </a:p>
        <a:p>
          <a:r>
            <a:rPr lang="en-US" sz="1100" baseline="0">
              <a:solidFill>
                <a:schemeClr val="bg1"/>
              </a:solidFill>
              <a:effectLst/>
              <a:latin typeface="+mn-lt"/>
              <a:ea typeface="+mn-ea"/>
              <a:cs typeface="+mn-cs"/>
            </a:rPr>
            <a:t>- Secure some linkage to the current NECPs</a:t>
          </a:r>
          <a:endParaRPr lang="en-BE">
            <a:solidFill>
              <a:schemeClr val="bg1"/>
            </a:solidFill>
            <a:effectLst/>
          </a:endParaRPr>
        </a:p>
        <a:p>
          <a:r>
            <a:rPr lang="en-US" sz="1100" baseline="0">
              <a:solidFill>
                <a:schemeClr val="bg1"/>
              </a:solidFill>
              <a:effectLst/>
              <a:latin typeface="+mn-lt"/>
              <a:ea typeface="+mn-ea"/>
              <a:cs typeface="+mn-cs"/>
            </a:rPr>
            <a:t>- Secure a balanced import scenario (</a:t>
          </a:r>
          <a:r>
            <a:rPr lang="en-BE" sz="1100" baseline="0">
              <a:solidFill>
                <a:schemeClr val="bg1"/>
              </a:solidFill>
              <a:effectLst/>
              <a:latin typeface="+mn-lt"/>
              <a:ea typeface="+mn-ea"/>
              <a:cs typeface="+mn-cs"/>
            </a:rPr>
            <a:t>preventing</a:t>
          </a:r>
          <a:r>
            <a:rPr lang="en-US" sz="1100" baseline="0">
              <a:solidFill>
                <a:schemeClr val="bg1"/>
              </a:solidFill>
              <a:effectLst/>
              <a:latin typeface="+mn-lt"/>
              <a:ea typeface="+mn-ea"/>
              <a:cs typeface="+mn-cs"/>
            </a:rPr>
            <a:t> the model </a:t>
          </a:r>
          <a:r>
            <a:rPr lang="en-BE" sz="1100" baseline="0">
              <a:solidFill>
                <a:schemeClr val="bg1"/>
              </a:solidFill>
              <a:effectLst/>
              <a:latin typeface="+mn-lt"/>
              <a:ea typeface="+mn-ea"/>
              <a:cs typeface="+mn-cs"/>
            </a:rPr>
            <a:t>from</a:t>
          </a:r>
          <a:r>
            <a:rPr lang="en-US" sz="1100" baseline="0">
              <a:solidFill>
                <a:schemeClr val="bg1"/>
              </a:solidFill>
              <a:effectLst/>
              <a:latin typeface="+mn-lt"/>
              <a:ea typeface="+mn-ea"/>
              <a:cs typeface="+mn-cs"/>
            </a:rPr>
            <a:t> exhaust</a:t>
          </a:r>
          <a:r>
            <a:rPr lang="en-BE" sz="1100" baseline="0">
              <a:solidFill>
                <a:schemeClr val="bg1"/>
              </a:solidFill>
              <a:effectLst/>
              <a:latin typeface="+mn-lt"/>
              <a:ea typeface="+mn-ea"/>
              <a:cs typeface="+mn-cs"/>
            </a:rPr>
            <a:t>ing</a:t>
          </a:r>
          <a:r>
            <a:rPr lang="en-US" sz="1100" baseline="0">
              <a:solidFill>
                <a:schemeClr val="bg1"/>
              </a:solidFill>
              <a:effectLst/>
              <a:latin typeface="+mn-lt"/>
              <a:ea typeface="+mn-ea"/>
              <a:cs typeface="+mn-cs"/>
            </a:rPr>
            <a:t> one </a:t>
          </a:r>
          <a:r>
            <a:rPr lang="en-BE" sz="1100" baseline="0">
              <a:solidFill>
                <a:schemeClr val="bg1"/>
              </a:solidFill>
              <a:effectLst/>
              <a:latin typeface="+mn-lt"/>
              <a:ea typeface="+mn-ea"/>
              <a:cs typeface="+mn-cs"/>
            </a:rPr>
            <a:t>import source entirely</a:t>
          </a:r>
          <a:r>
            <a:rPr lang="en-US" sz="1100" baseline="0">
              <a:solidFill>
                <a:schemeClr val="bg1"/>
              </a:solidFill>
              <a:effectLst/>
              <a:latin typeface="+mn-lt"/>
              <a:ea typeface="+mn-ea"/>
              <a:cs typeface="+mn-cs"/>
            </a:rPr>
            <a:t> </a:t>
          </a:r>
          <a:r>
            <a:rPr lang="en-BE" sz="1100" baseline="0">
              <a:solidFill>
                <a:schemeClr val="bg1"/>
              </a:solidFill>
              <a:effectLst/>
              <a:latin typeface="+mn-lt"/>
              <a:ea typeface="+mn-ea"/>
              <a:cs typeface="+mn-cs"/>
            </a:rPr>
            <a:t>before starting using the next source. From a security of supply reason, the import shouldn't rely on solely one import source</a:t>
          </a:r>
          <a:r>
            <a:rPr lang="en-US" sz="1100" baseline="0">
              <a:solidFill>
                <a:schemeClr val="bg1"/>
              </a:solidFill>
              <a:effectLst/>
              <a:latin typeface="+mn-lt"/>
              <a:ea typeface="+mn-ea"/>
              <a:cs typeface="+mn-cs"/>
            </a:rPr>
            <a:t>). </a:t>
          </a:r>
          <a:endParaRPr lang="en-BE">
            <a:solidFill>
              <a:schemeClr val="bg1"/>
            </a:solidFill>
            <a:effectLst/>
          </a:endParaRPr>
        </a:p>
        <a:p>
          <a:r>
            <a:rPr lang="en-US" sz="1100" baseline="0">
              <a:solidFill>
                <a:schemeClr val="bg1"/>
              </a:solidFill>
              <a:effectLst/>
              <a:latin typeface="+mn-lt"/>
              <a:ea typeface="+mn-ea"/>
              <a:cs typeface="+mn-cs"/>
            </a:rPr>
            <a:t>- Put a soft reduction into the potentials, </a:t>
          </a:r>
          <a:r>
            <a:rPr lang="en-BE" sz="1100" baseline="0">
              <a:solidFill>
                <a:schemeClr val="bg1"/>
              </a:solidFill>
              <a:effectLst/>
              <a:latin typeface="+mn-lt"/>
              <a:ea typeface="+mn-ea"/>
              <a:cs typeface="+mn-cs"/>
            </a:rPr>
            <a:t>as they represent</a:t>
          </a:r>
          <a:r>
            <a:rPr lang="en-US" sz="1100" baseline="0">
              <a:solidFill>
                <a:schemeClr val="bg1"/>
              </a:solidFill>
              <a:effectLst/>
              <a:latin typeface="+mn-lt"/>
              <a:ea typeface="+mn-ea"/>
              <a:cs typeface="+mn-cs"/>
            </a:rPr>
            <a:t> the</a:t>
          </a:r>
          <a:r>
            <a:rPr lang="en-BE" sz="1100" baseline="0">
              <a:solidFill>
                <a:schemeClr val="bg1"/>
              </a:solidFill>
              <a:effectLst/>
              <a:latin typeface="+mn-lt"/>
              <a:ea typeface="+mn-ea"/>
              <a:cs typeface="+mn-cs"/>
            </a:rPr>
            <a:t> upper limit of possible imports</a:t>
          </a:r>
          <a:endParaRPr lang="en-BE">
            <a:solidFill>
              <a:schemeClr val="bg1"/>
            </a:solidFill>
            <a:effectLst/>
          </a:endParaRPr>
        </a:p>
        <a:p>
          <a:r>
            <a:rPr lang="en-US" sz="1100" baseline="0">
              <a:solidFill>
                <a:schemeClr val="dk1"/>
              </a:solidFill>
              <a:effectLst/>
              <a:latin typeface="+mn-lt"/>
              <a:ea typeface="+mn-ea"/>
              <a:cs typeface="+mn-cs"/>
            </a:rPr>
            <a:t> </a:t>
          </a:r>
        </a:p>
        <a:p>
          <a:r>
            <a:rPr lang="en-US" sz="1100" b="0" baseline="0">
              <a:solidFill>
                <a:schemeClr val="bg1"/>
              </a:solidFill>
              <a:effectLst/>
              <a:latin typeface="+mn-lt"/>
              <a:ea typeface="+mn-ea"/>
              <a:cs typeface="+mn-cs"/>
            </a:rPr>
            <a:t>The price differentiation in each scenario is described below:</a:t>
          </a:r>
          <a:endParaRPr lang="en-US" sz="1100" b="0">
            <a:solidFill>
              <a:schemeClr val="bg1"/>
            </a:solidFill>
          </a:endParaRPr>
        </a:p>
        <a:p>
          <a:endParaRPr lang="en-US" sz="1100" b="1">
            <a:solidFill>
              <a:schemeClr val="bg1"/>
            </a:solidFill>
          </a:endParaRPr>
        </a:p>
        <a:p>
          <a:r>
            <a:rPr lang="en-US" sz="1100" b="1">
              <a:solidFill>
                <a:schemeClr val="bg1"/>
              </a:solidFill>
            </a:rPr>
            <a:t>For National trends</a:t>
          </a:r>
        </a:p>
        <a:p>
          <a:r>
            <a:rPr lang="en-US" sz="1100">
              <a:solidFill>
                <a:schemeClr val="bg1"/>
              </a:solidFill>
            </a:rPr>
            <a:t>Fixed imports ha</a:t>
          </a:r>
          <a:r>
            <a:rPr lang="en-BE" sz="1100">
              <a:solidFill>
                <a:schemeClr val="bg1"/>
              </a:solidFill>
            </a:rPr>
            <a:t>ve</a:t>
          </a:r>
          <a:r>
            <a:rPr lang="en-US" sz="1100">
              <a:solidFill>
                <a:schemeClr val="bg1"/>
              </a:solidFill>
            </a:rPr>
            <a:t> been set up for the import corridors for 2030 and 2035, to be sure the </a:t>
          </a:r>
          <a:r>
            <a:rPr lang="en-BE" sz="1100">
              <a:solidFill>
                <a:schemeClr val="bg1"/>
              </a:solidFill>
            </a:rPr>
            <a:t>H2 </a:t>
          </a:r>
          <a:r>
            <a:rPr lang="en-US" sz="1100">
              <a:solidFill>
                <a:schemeClr val="bg1"/>
              </a:solidFill>
            </a:rPr>
            <a:t>import </a:t>
          </a:r>
          <a:r>
            <a:rPr lang="en-BE" sz="1100">
              <a:solidFill>
                <a:schemeClr val="bg1"/>
              </a:solidFill>
            </a:rPr>
            <a:t>pattern </a:t>
          </a:r>
          <a:r>
            <a:rPr lang="en-US" sz="1100">
              <a:solidFill>
                <a:schemeClr val="bg1"/>
              </a:solidFill>
            </a:rPr>
            <a:t>is reflecting the NECPs</a:t>
          </a:r>
          <a:r>
            <a:rPr lang="en-US" sz="1100" baseline="0">
              <a:solidFill>
                <a:schemeClr val="bg1"/>
              </a:solidFill>
            </a:rPr>
            <a:t>. These imports have no prices and</a:t>
          </a:r>
          <a:r>
            <a:rPr lang="en-BE" sz="1100" baseline="0">
              <a:solidFill>
                <a:schemeClr val="bg1"/>
              </a:solidFill>
            </a:rPr>
            <a:t> are limited</a:t>
          </a:r>
          <a:r>
            <a:rPr lang="en-US" sz="1100" baseline="0">
              <a:solidFill>
                <a:schemeClr val="bg1"/>
              </a:solidFill>
            </a:rPr>
            <a:t> to 30% of the import potential</a:t>
          </a:r>
          <a:r>
            <a:rPr lang="en-BE" sz="1100" baseline="0">
              <a:solidFill>
                <a:schemeClr val="bg1"/>
              </a:solidFill>
            </a:rPr>
            <a:t> (only the DZ--&gt;IT import route uses a higher limit)</a:t>
          </a:r>
          <a:r>
            <a:rPr lang="en-US" sz="1100" baseline="0">
              <a:solidFill>
                <a:schemeClr val="bg1"/>
              </a:solidFill>
            </a:rPr>
            <a:t>. The same has been done for the liquified </a:t>
          </a:r>
          <a:r>
            <a:rPr lang="en-BE" sz="1100" baseline="0">
              <a:solidFill>
                <a:schemeClr val="bg1"/>
              </a:solidFill>
            </a:rPr>
            <a:t>import </a:t>
          </a:r>
          <a:r>
            <a:rPr lang="en-US" sz="1100" baseline="0">
              <a:solidFill>
                <a:schemeClr val="bg1"/>
              </a:solidFill>
            </a:rPr>
            <a:t>part. However, this part has also been adjusted directly to meet the numbers in the involved countries NECPs. </a:t>
          </a:r>
          <a:r>
            <a:rPr lang="en-US" sz="1100">
              <a:solidFill>
                <a:schemeClr val="bg1"/>
              </a:solidFill>
              <a:effectLst/>
              <a:latin typeface="+mn-lt"/>
              <a:ea typeface="+mn-ea"/>
              <a:cs typeface="+mn-cs"/>
            </a:rPr>
            <a:t>In Nati</a:t>
          </a:r>
          <a:r>
            <a:rPr lang="en-BE" sz="1100">
              <a:solidFill>
                <a:schemeClr val="bg1"/>
              </a:solidFill>
              <a:effectLst/>
              <a:latin typeface="+mn-lt"/>
              <a:ea typeface="+mn-ea"/>
              <a:cs typeface="+mn-cs"/>
            </a:rPr>
            <a:t>onal</a:t>
          </a:r>
          <a:r>
            <a:rPr lang="en-US" sz="1100">
              <a:solidFill>
                <a:schemeClr val="bg1"/>
              </a:solidFill>
              <a:effectLst/>
              <a:latin typeface="+mn-lt"/>
              <a:ea typeface="+mn-ea"/>
              <a:cs typeface="+mn-cs"/>
            </a:rPr>
            <a:t> trend</a:t>
          </a:r>
          <a:r>
            <a:rPr lang="en-BE" sz="1100">
              <a:solidFill>
                <a:schemeClr val="bg1"/>
              </a:solidFill>
              <a:effectLst/>
              <a:latin typeface="+mn-lt"/>
              <a:ea typeface="+mn-ea"/>
              <a:cs typeface="+mn-cs"/>
            </a:rPr>
            <a:t>s</a:t>
          </a:r>
          <a:r>
            <a:rPr lang="en-US" sz="1100">
              <a:solidFill>
                <a:schemeClr val="bg1"/>
              </a:solidFill>
              <a:effectLst/>
              <a:latin typeface="+mn-lt"/>
              <a:ea typeface="+mn-ea"/>
              <a:cs typeface="+mn-cs"/>
            </a:rPr>
            <a:t> the model can't import more than these shares in 2030</a:t>
          </a:r>
          <a:r>
            <a:rPr lang="en-US" sz="1100" baseline="0">
              <a:solidFill>
                <a:schemeClr val="bg1"/>
              </a:solidFill>
              <a:effectLst/>
              <a:latin typeface="+mn-lt"/>
              <a:ea typeface="+mn-ea"/>
              <a:cs typeface="+mn-cs"/>
            </a:rPr>
            <a:t> and 2035, while in 2040 the </a:t>
          </a:r>
          <a:r>
            <a:rPr lang="en-BE" sz="1100" baseline="0">
              <a:solidFill>
                <a:schemeClr val="bg1"/>
              </a:solidFill>
              <a:effectLst/>
              <a:latin typeface="+mn-lt"/>
              <a:ea typeface="+mn-ea"/>
              <a:cs typeface="+mn-cs"/>
            </a:rPr>
            <a:t>residual H2 import figures (supply potential minus the fixed part of the imports) are</a:t>
          </a:r>
          <a:r>
            <a:rPr lang="en-US" sz="1100" baseline="0">
              <a:solidFill>
                <a:schemeClr val="bg1"/>
              </a:solidFill>
              <a:effectLst/>
              <a:latin typeface="+mn-lt"/>
              <a:ea typeface="+mn-ea"/>
              <a:cs typeface="+mn-cs"/>
            </a:rPr>
            <a:t> available to an increased price 25% above the base prices.</a:t>
          </a:r>
          <a:r>
            <a:rPr lang="en-US" sz="1100">
              <a:solidFill>
                <a:schemeClr val="bg1"/>
              </a:solidFill>
              <a:effectLst/>
              <a:latin typeface="+mn-lt"/>
              <a:ea typeface="+mn-ea"/>
              <a:cs typeface="+mn-cs"/>
            </a:rPr>
            <a:t> </a:t>
          </a:r>
          <a:endParaRPr lang="en-BE">
            <a:solidFill>
              <a:schemeClr val="bg1"/>
            </a:solidFill>
            <a:effectLst/>
          </a:endParaRPr>
        </a:p>
        <a:p>
          <a:endParaRPr lang="en-US" sz="1100" baseline="0">
            <a:solidFill>
              <a:schemeClr val="bg1"/>
            </a:solidFill>
          </a:endParaRPr>
        </a:p>
        <a:p>
          <a:r>
            <a:rPr lang="en-US" sz="1100" b="1" baseline="0">
              <a:solidFill>
                <a:schemeClr val="bg1"/>
              </a:solidFill>
            </a:rPr>
            <a:t>For GA </a:t>
          </a:r>
        </a:p>
        <a:p>
          <a:r>
            <a:rPr lang="en-US" sz="1100" baseline="0">
              <a:solidFill>
                <a:schemeClr val="bg1"/>
              </a:solidFill>
            </a:rPr>
            <a:t>The </a:t>
          </a:r>
          <a:r>
            <a:rPr lang="en-BE" sz="1100" baseline="0">
              <a:solidFill>
                <a:schemeClr val="bg1"/>
              </a:solidFill>
            </a:rPr>
            <a:t>overall </a:t>
          </a:r>
          <a:r>
            <a:rPr lang="en-US" sz="1100" baseline="0">
              <a:solidFill>
                <a:schemeClr val="bg1"/>
              </a:solidFill>
            </a:rPr>
            <a:t>price for H2 </a:t>
          </a:r>
          <a:r>
            <a:rPr lang="en-BE" sz="1100" baseline="0">
              <a:solidFill>
                <a:schemeClr val="bg1"/>
              </a:solidFill>
            </a:rPr>
            <a:t>imports </a:t>
          </a:r>
          <a:r>
            <a:rPr lang="en-US" sz="1100" baseline="0">
              <a:solidFill>
                <a:schemeClr val="bg1"/>
              </a:solidFill>
            </a:rPr>
            <a:t>ha</a:t>
          </a:r>
          <a:r>
            <a:rPr lang="en-BE" sz="1100" baseline="0">
              <a:solidFill>
                <a:schemeClr val="bg1"/>
              </a:solidFill>
            </a:rPr>
            <a:t>ve</a:t>
          </a:r>
          <a:r>
            <a:rPr lang="en-US" sz="1100" baseline="0">
              <a:solidFill>
                <a:schemeClr val="bg1"/>
              </a:solidFill>
            </a:rPr>
            <a:t> been decreased </a:t>
          </a:r>
          <a:r>
            <a:rPr lang="en-BE" sz="1100" baseline="0">
              <a:solidFill>
                <a:schemeClr val="bg1"/>
              </a:solidFill>
            </a:rPr>
            <a:t>by </a:t>
          </a:r>
          <a:r>
            <a:rPr lang="en-US" sz="1100" baseline="0">
              <a:solidFill>
                <a:schemeClr val="bg1"/>
              </a:solidFill>
            </a:rPr>
            <a:t>15% in 2040 and </a:t>
          </a:r>
          <a:r>
            <a:rPr lang="en-BE" sz="1100" baseline="0">
              <a:solidFill>
                <a:schemeClr val="bg1"/>
              </a:solidFill>
            </a:rPr>
            <a:t>by </a:t>
          </a:r>
          <a:r>
            <a:rPr lang="en-US" sz="1100" baseline="0">
              <a:solidFill>
                <a:schemeClr val="bg1"/>
              </a:solidFill>
            </a:rPr>
            <a:t>20% in 2050 compared to the </a:t>
          </a:r>
          <a:r>
            <a:rPr lang="en-BE" sz="1100" baseline="0">
              <a:solidFill>
                <a:schemeClr val="bg1"/>
              </a:solidFill>
            </a:rPr>
            <a:t>base </a:t>
          </a:r>
          <a:r>
            <a:rPr lang="en-US" sz="1100" baseline="0">
              <a:solidFill>
                <a:schemeClr val="bg1"/>
              </a:solidFill>
            </a:rPr>
            <a:t>prices</a:t>
          </a:r>
          <a:r>
            <a:rPr lang="en-BE" sz="1100" baseline="0">
              <a:solidFill>
                <a:schemeClr val="bg1"/>
              </a:solidFill>
            </a:rPr>
            <a:t> to be compliant with the scenario storylines.</a:t>
          </a:r>
          <a:endParaRPr lang="en-US" sz="1100" baseline="0">
            <a:solidFill>
              <a:schemeClr val="bg1"/>
            </a:solidFill>
          </a:endParaRPr>
        </a:p>
        <a:p>
          <a:r>
            <a:rPr lang="en-US" sz="1100" baseline="0">
              <a:solidFill>
                <a:schemeClr val="bg1"/>
              </a:solidFill>
            </a:rPr>
            <a:t>These adjusted</a:t>
          </a:r>
          <a:r>
            <a:rPr lang="en-BE" sz="1100" baseline="0">
              <a:solidFill>
                <a:schemeClr val="bg1"/>
              </a:solidFill>
            </a:rPr>
            <a:t> H2</a:t>
          </a:r>
          <a:r>
            <a:rPr lang="en-US" sz="1100" baseline="0">
              <a:solidFill>
                <a:schemeClr val="bg1"/>
              </a:solidFill>
            </a:rPr>
            <a:t> prices</a:t>
          </a:r>
          <a:r>
            <a:rPr lang="en-BE" sz="1100" baseline="0">
              <a:solidFill>
                <a:schemeClr val="bg1"/>
              </a:solidFill>
            </a:rPr>
            <a:t> are split for</a:t>
          </a:r>
          <a:r>
            <a:rPr lang="en-US" sz="1100" baseline="0">
              <a:solidFill>
                <a:schemeClr val="bg1"/>
              </a:solidFill>
            </a:rPr>
            <a:t> each import coridor in a low price part (50% of the import potential) and a high price part </a:t>
          </a:r>
          <a:r>
            <a:rPr lang="en-US" sz="1100" baseline="0">
              <a:solidFill>
                <a:schemeClr val="bg1"/>
              </a:solidFill>
              <a:effectLst/>
              <a:latin typeface="+mn-lt"/>
              <a:ea typeface="+mn-ea"/>
              <a:cs typeface="+mn-cs"/>
            </a:rPr>
            <a:t>(50% of the import potential)</a:t>
          </a:r>
          <a:r>
            <a:rPr lang="en-US" sz="1100" baseline="0">
              <a:solidFill>
                <a:schemeClr val="bg1"/>
              </a:solidFill>
            </a:rPr>
            <a:t>. </a:t>
          </a:r>
        </a:p>
        <a:p>
          <a:r>
            <a:rPr lang="en-US" sz="1100" baseline="0">
              <a:solidFill>
                <a:schemeClr val="bg1"/>
              </a:solidFill>
            </a:rPr>
            <a:t>The prices in the low price part </a:t>
          </a:r>
          <a:r>
            <a:rPr lang="en-BE" sz="1100" baseline="0">
              <a:solidFill>
                <a:schemeClr val="bg1"/>
              </a:solidFill>
            </a:rPr>
            <a:t>are </a:t>
          </a:r>
          <a:r>
            <a:rPr lang="en-US" sz="1100" baseline="0">
              <a:solidFill>
                <a:schemeClr val="bg1"/>
              </a:solidFill>
            </a:rPr>
            <a:t>reduced 25% where as the prices in the high price part </a:t>
          </a:r>
          <a:r>
            <a:rPr lang="en-BE" sz="1100" baseline="0">
              <a:solidFill>
                <a:schemeClr val="bg1"/>
              </a:solidFill>
            </a:rPr>
            <a:t>are</a:t>
          </a:r>
          <a:r>
            <a:rPr lang="en-US" sz="1100" baseline="0">
              <a:solidFill>
                <a:schemeClr val="bg1"/>
              </a:solidFill>
            </a:rPr>
            <a:t> increased </a:t>
          </a:r>
          <a:r>
            <a:rPr lang="en-BE" sz="1100" baseline="0">
              <a:solidFill>
                <a:schemeClr val="bg1"/>
              </a:solidFill>
            </a:rPr>
            <a:t>by </a:t>
          </a:r>
          <a:r>
            <a:rPr lang="en-US" sz="1100" baseline="0">
              <a:solidFill>
                <a:schemeClr val="bg1"/>
              </a:solidFill>
            </a:rPr>
            <a:t>25%. For the shipped hydrogen carriers a zero price is used for low price band. For the high price band 25% </a:t>
          </a:r>
          <a:r>
            <a:rPr lang="en-BE" sz="1100" baseline="0">
              <a:solidFill>
                <a:schemeClr val="bg1"/>
              </a:solidFill>
            </a:rPr>
            <a:t>is added </a:t>
          </a:r>
          <a:r>
            <a:rPr lang="en-US" sz="1100" baseline="0">
              <a:solidFill>
                <a:schemeClr val="bg1"/>
              </a:solidFill>
            </a:rPr>
            <a:t>to the adjusted base prices.  </a:t>
          </a:r>
        </a:p>
        <a:p>
          <a:endParaRPr lang="en-US" sz="1100" baseline="0">
            <a:solidFill>
              <a:schemeClr val="bg1"/>
            </a:solidFill>
          </a:endParaRPr>
        </a:p>
        <a:p>
          <a:r>
            <a:rPr lang="en-US" sz="1100" b="1" baseline="0">
              <a:solidFill>
                <a:schemeClr val="bg1"/>
              </a:solidFill>
              <a:effectLst/>
              <a:latin typeface="+mn-lt"/>
              <a:ea typeface="+mn-ea"/>
              <a:cs typeface="+mn-cs"/>
            </a:rPr>
            <a:t>For DE</a:t>
          </a:r>
          <a:endParaRPr lang="en-BE">
            <a:solidFill>
              <a:schemeClr val="bg1"/>
            </a:solidFill>
            <a:effectLst/>
          </a:endParaRPr>
        </a:p>
        <a:p>
          <a:r>
            <a:rPr lang="en-US" sz="1100" baseline="0">
              <a:solidFill>
                <a:schemeClr val="bg1"/>
              </a:solidFill>
              <a:effectLst/>
              <a:latin typeface="+mn-lt"/>
              <a:ea typeface="+mn-ea"/>
              <a:cs typeface="+mn-cs"/>
            </a:rPr>
            <a:t>The </a:t>
          </a:r>
          <a:r>
            <a:rPr lang="en-BE" sz="1100" baseline="0">
              <a:solidFill>
                <a:schemeClr val="bg1"/>
              </a:solidFill>
              <a:effectLst/>
              <a:latin typeface="+mn-lt"/>
              <a:ea typeface="+mn-ea"/>
              <a:cs typeface="+mn-cs"/>
            </a:rPr>
            <a:t>overall </a:t>
          </a:r>
          <a:r>
            <a:rPr lang="en-US" sz="1100" baseline="0">
              <a:solidFill>
                <a:schemeClr val="bg1"/>
              </a:solidFill>
              <a:effectLst/>
              <a:latin typeface="+mn-lt"/>
              <a:ea typeface="+mn-ea"/>
              <a:cs typeface="+mn-cs"/>
            </a:rPr>
            <a:t>price for H2 </a:t>
          </a:r>
          <a:r>
            <a:rPr lang="en-BE" sz="1100" baseline="0">
              <a:solidFill>
                <a:schemeClr val="bg1"/>
              </a:solidFill>
              <a:effectLst/>
              <a:latin typeface="+mn-lt"/>
              <a:ea typeface="+mn-ea"/>
              <a:cs typeface="+mn-cs"/>
            </a:rPr>
            <a:t>imports have </a:t>
          </a:r>
          <a:r>
            <a:rPr lang="en-US" sz="1100" baseline="0">
              <a:solidFill>
                <a:schemeClr val="bg1"/>
              </a:solidFill>
              <a:effectLst/>
              <a:latin typeface="+mn-lt"/>
              <a:ea typeface="+mn-ea"/>
              <a:cs typeface="+mn-cs"/>
            </a:rPr>
            <a:t>been increased 15% in 2040 compared to the base prices. The same prices ha</a:t>
          </a:r>
          <a:r>
            <a:rPr lang="en-BE" sz="1100" baseline="0">
              <a:solidFill>
                <a:schemeClr val="bg1"/>
              </a:solidFill>
              <a:effectLst/>
              <a:latin typeface="+mn-lt"/>
              <a:ea typeface="+mn-ea"/>
              <a:cs typeface="+mn-cs"/>
            </a:rPr>
            <a:t>ve</a:t>
          </a:r>
          <a:r>
            <a:rPr lang="en-US" sz="1100" baseline="0">
              <a:solidFill>
                <a:schemeClr val="bg1"/>
              </a:solidFill>
              <a:effectLst/>
              <a:latin typeface="+mn-lt"/>
              <a:ea typeface="+mn-ea"/>
              <a:cs typeface="+mn-cs"/>
            </a:rPr>
            <a:t> also been app</a:t>
          </a:r>
          <a:r>
            <a:rPr lang="en-BE" sz="1100" baseline="0">
              <a:solidFill>
                <a:schemeClr val="bg1"/>
              </a:solidFill>
              <a:effectLst/>
              <a:latin typeface="+mn-lt"/>
              <a:ea typeface="+mn-ea"/>
              <a:cs typeface="+mn-cs"/>
            </a:rPr>
            <a:t>lied</a:t>
          </a:r>
          <a:r>
            <a:rPr lang="en-US" sz="1100" baseline="0">
              <a:solidFill>
                <a:schemeClr val="bg1"/>
              </a:solidFill>
              <a:effectLst/>
              <a:latin typeface="+mn-lt"/>
              <a:ea typeface="+mn-ea"/>
              <a:cs typeface="+mn-cs"/>
            </a:rPr>
            <a:t> for 2045 and 2050. These adjusted base prices is again differentiated for each import coridor in a low price part (30% of the import potential) and a high price part (70% of the import potential). The prices in the low price part </a:t>
          </a:r>
          <a:r>
            <a:rPr lang="en-BE" sz="1100" baseline="0">
              <a:solidFill>
                <a:schemeClr val="bg1"/>
              </a:solidFill>
              <a:effectLst/>
              <a:latin typeface="+mn-lt"/>
              <a:ea typeface="+mn-ea"/>
              <a:cs typeface="+mn-cs"/>
            </a:rPr>
            <a:t>are</a:t>
          </a:r>
          <a:r>
            <a:rPr lang="en-US" sz="1100" baseline="0">
              <a:solidFill>
                <a:schemeClr val="bg1"/>
              </a:solidFill>
              <a:effectLst/>
              <a:latin typeface="+mn-lt"/>
              <a:ea typeface="+mn-ea"/>
              <a:cs typeface="+mn-cs"/>
            </a:rPr>
            <a:t> reduced </a:t>
          </a:r>
          <a:r>
            <a:rPr lang="en-BE" sz="1100" baseline="0">
              <a:solidFill>
                <a:schemeClr val="bg1"/>
              </a:solidFill>
              <a:effectLst/>
              <a:latin typeface="+mn-lt"/>
              <a:ea typeface="+mn-ea"/>
              <a:cs typeface="+mn-cs"/>
            </a:rPr>
            <a:t>by </a:t>
          </a:r>
          <a:r>
            <a:rPr lang="en-US" sz="1100" baseline="0">
              <a:solidFill>
                <a:schemeClr val="bg1"/>
              </a:solidFill>
              <a:effectLst/>
              <a:latin typeface="+mn-lt"/>
              <a:ea typeface="+mn-ea"/>
              <a:cs typeface="+mn-cs"/>
            </a:rPr>
            <a:t>25%, wh</a:t>
          </a:r>
          <a:r>
            <a:rPr lang="en-BE" sz="1100" baseline="0">
              <a:solidFill>
                <a:schemeClr val="bg1"/>
              </a:solidFill>
              <a:effectLst/>
              <a:latin typeface="+mn-lt"/>
              <a:ea typeface="+mn-ea"/>
              <a:cs typeface="+mn-cs"/>
            </a:rPr>
            <a:t>ile </a:t>
          </a:r>
          <a:r>
            <a:rPr lang="en-US" sz="1100" baseline="0">
              <a:solidFill>
                <a:schemeClr val="bg1"/>
              </a:solidFill>
              <a:effectLst/>
              <a:latin typeface="+mn-lt"/>
              <a:ea typeface="+mn-ea"/>
              <a:cs typeface="+mn-cs"/>
            </a:rPr>
            <a:t>the prices in the high price part </a:t>
          </a:r>
          <a:r>
            <a:rPr lang="en-BE" sz="1100" baseline="0">
              <a:solidFill>
                <a:schemeClr val="bg1"/>
              </a:solidFill>
              <a:effectLst/>
              <a:latin typeface="+mn-lt"/>
              <a:ea typeface="+mn-ea"/>
              <a:cs typeface="+mn-cs"/>
            </a:rPr>
            <a:t>are </a:t>
          </a:r>
          <a:r>
            <a:rPr lang="en-US" sz="1100" baseline="0">
              <a:solidFill>
                <a:schemeClr val="bg1"/>
              </a:solidFill>
              <a:effectLst/>
              <a:latin typeface="+mn-lt"/>
              <a:ea typeface="+mn-ea"/>
              <a:cs typeface="+mn-cs"/>
            </a:rPr>
            <a:t>increased </a:t>
          </a:r>
          <a:r>
            <a:rPr lang="en-BE" sz="1100" baseline="0">
              <a:solidFill>
                <a:schemeClr val="bg1"/>
              </a:solidFill>
              <a:effectLst/>
              <a:latin typeface="+mn-lt"/>
              <a:ea typeface="+mn-ea"/>
              <a:cs typeface="+mn-cs"/>
            </a:rPr>
            <a:t>by </a:t>
          </a:r>
          <a:r>
            <a:rPr lang="en-US" sz="1100" baseline="0">
              <a:solidFill>
                <a:schemeClr val="bg1"/>
              </a:solidFill>
              <a:effectLst/>
              <a:latin typeface="+mn-lt"/>
              <a:ea typeface="+mn-ea"/>
              <a:cs typeface="+mn-cs"/>
            </a:rPr>
            <a:t>25%. For the shipped hydrogen carriers, a zero price is used for the low price band. For the high price band 25% </a:t>
          </a:r>
          <a:r>
            <a:rPr lang="en-BE" sz="1100" baseline="0">
              <a:solidFill>
                <a:schemeClr val="bg1"/>
              </a:solidFill>
              <a:effectLst/>
              <a:latin typeface="+mn-lt"/>
              <a:ea typeface="+mn-ea"/>
              <a:cs typeface="+mn-cs"/>
            </a:rPr>
            <a:t>is added </a:t>
          </a:r>
          <a:r>
            <a:rPr lang="en-US" sz="1100" baseline="0">
              <a:solidFill>
                <a:schemeClr val="bg1"/>
              </a:solidFill>
              <a:effectLst/>
              <a:latin typeface="+mn-lt"/>
              <a:ea typeface="+mn-ea"/>
              <a:cs typeface="+mn-cs"/>
            </a:rPr>
            <a:t>to the adjusted base prices.  </a:t>
          </a:r>
          <a:endParaRPr lang="en-BE">
            <a:solidFill>
              <a:schemeClr val="bg1"/>
            </a:solidFill>
            <a:effectLst/>
          </a:endParaRPr>
        </a:p>
        <a:p>
          <a:endParaRPr lang="en-US" sz="1100" baseline="0"/>
        </a:p>
        <a:p>
          <a:endParaRPr lang="en-US" sz="1100" baseline="0"/>
        </a:p>
        <a:p>
          <a:r>
            <a:rPr lang="en-US" sz="1100" baseline="0"/>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ia.fernandez/Downloads/200608_Ambition%20Tool_v2.1_propsoal%20for%20input%20parameter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aster/Excel/COST%20SCENARIO_v3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xtra.entsoe.eu/SDC/StudyTeam/InputDataForStudies/Fuel%20and%20CO2%20Prices/Price%20proposal_TYNDP2020_WEO2018_v6%20with%20EUCO_neweffCCG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xtra.entsoe.eu/SDC/TYNDP2016TFSB/Project%20Documents/160810%20Belfast%20Workshop/OT3_fuel_prices_v1.5_WEO2014_CERA20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buzz.grid.ie/sites/FG/ESA/Temporary%20File%20Store/TYNDP%202020/PEMMDB%20Work%20in%20Progress/ERAA%20TYNDP%20and%20Scenario%20Building%20Jan%202021/IE00/PEMMDB_IE00_NationalTrends_Batteries_and_Demand.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Common%20Reporting%20Format%20V1.01.xls?5C0A3F05" TargetMode="External"/><Relationship Id="rId1" Type="http://schemas.openxmlformats.org/officeDocument/2006/relationships/externalLinkPath" Target="file:///\\5C0A3F05\Common%20Reporting%20Format%20V1.01.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Mappe1"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thales.entsoe.eu/sites/tyndp2018/TF%20SB%202020/Ambition%20Tool/Finalisation%20of%20Scenarios%20in%20AT/190924_Finalisation_GA_v5_editabl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newclimate-my.sharepoint.com/Users/ymonschauer/AppData/Local/Box/Box%20Edit/Documents/HtdYOCZNg0mBeozVIHB1IQ==/CAT_GraphUploads.xlsm"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BALAN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version Factors"/>
      <sheetName val="Reference Year 2018 - Input"/>
      <sheetName val="1) Sector Final Use Input Sheet"/>
      <sheetName val="Industrial Demand"/>
      <sheetName val="Residential Demand"/>
      <sheetName val="New Tertiary Demand"/>
      <sheetName val="Transport"/>
      <sheetName val="EUROSTAT (2015 TWh)"/>
      <sheetName val="How to Guide"/>
      <sheetName val="Countries"/>
      <sheetName val="2)Electricity &amp; Gas input sheet"/>
      <sheetName val="4) Sankey output"/>
      <sheetName val="3) Storyline Summary"/>
      <sheetName val="Generation"/>
      <sheetName val="Gas Supply"/>
      <sheetName val="Emissions (Comparison)"/>
      <sheetName val="EU28"/>
      <sheetName val="Austria"/>
      <sheetName val="Belgium"/>
      <sheetName val="Bosnia"/>
      <sheetName val="Bulgaria"/>
      <sheetName val="Croatia"/>
      <sheetName val="Cyprus"/>
      <sheetName val="CzechRepublic"/>
      <sheetName val="Denmark"/>
      <sheetName val="Estonia"/>
      <sheetName val="Finland"/>
      <sheetName val="France"/>
      <sheetName val="FYROM"/>
      <sheetName val="Germany"/>
      <sheetName val="Greece"/>
      <sheetName val="Hungary"/>
      <sheetName val="Iceland"/>
      <sheetName val="Ireland"/>
      <sheetName val="Italy"/>
      <sheetName val="Kosovo"/>
      <sheetName val="Latvia"/>
      <sheetName val="Lithuania"/>
      <sheetName val="Luxembourg"/>
      <sheetName val="Malta"/>
      <sheetName val="Moldova"/>
      <sheetName val="Montenegro"/>
      <sheetName val="Netherlands"/>
      <sheetName val="NorthernIreland"/>
      <sheetName val="Norway"/>
      <sheetName val="Poland"/>
      <sheetName val="Portugal"/>
      <sheetName val="Romania"/>
      <sheetName val="Serbia"/>
      <sheetName val="Slovakia"/>
      <sheetName val="Slovenia"/>
      <sheetName val="Spain"/>
      <sheetName val="Sweden"/>
      <sheetName val="Turkey"/>
      <sheetName val="Ukraine"/>
      <sheetName val="UnitedKingdo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umptions"/>
      <sheetName val="COLUMBUS INPUT &gt;&gt;"/>
      <sheetName val="CAPEX"/>
      <sheetName val="OPEX"/>
      <sheetName val="CAPEX OPEX blue"/>
      <sheetName val="CO2 Price"/>
      <sheetName val="CCS"/>
      <sheetName val="El_Choice"/>
      <sheetName val="Results &gt;&gt;"/>
      <sheetName val="Supply Curve"/>
      <sheetName val="Comparison"/>
      <sheetName val="Blue H2 &gt;&gt;"/>
      <sheetName val="Blue LCOH"/>
      <sheetName val="CCS cost"/>
      <sheetName val="Natural gas price"/>
      <sheetName val="Raw Data"/>
      <sheetName val="Green H2 &gt;&gt;"/>
      <sheetName val="Green LCOH"/>
      <sheetName val="Electrolyzer assumptions"/>
      <sheetName val="RES Costs &gt;&gt;"/>
      <sheetName val="LCOE"/>
      <sheetName val="Learning Rates"/>
      <sheetName val="IRENA Raw Data"/>
      <sheetName val="RES_CAPEX"/>
      <sheetName val="CAPEX_Hydro"/>
      <sheetName val="GEOTHERMAL"/>
      <sheetName val="Potentials and CFs &gt;&gt;&gt;"/>
      <sheetName val="Overview"/>
      <sheetName val="Pot_CF_HYDRO"/>
      <sheetName val="Pot_CF_Onshore"/>
      <sheetName val="Pot_CF_PV"/>
      <sheetName val="CapFactor_Offshore"/>
      <sheetName val="CAPEX RAW Data &gt;&gt;&gt;"/>
      <sheetName val="IRENA 2018"/>
      <sheetName val="WEO 2019"/>
      <sheetName val="OTHER &gt;&gt;"/>
      <sheetName val="Electricity Consumpti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refreshError="1"/>
      <sheetData sheetId="12" refreshError="1"/>
      <sheetData sheetId="13" refreshError="1"/>
      <sheetData sheetId="14" refreshError="1"/>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al Fuel Prices All Scenarios"/>
      <sheetName val="Proposal_TYNDP2020"/>
      <sheetName val="calculations"/>
      <sheetName val="installed_summary"/>
      <sheetName val="WEO2018_Fuel_CO2_prices"/>
      <sheetName val="Merit_order_comparison"/>
      <sheetName val="mapping"/>
      <sheetName val="old&gt;"/>
      <sheetName val="Proposal"/>
      <sheetName val="installed capacity_2040"/>
      <sheetName val="installed_2030"/>
      <sheetName val="installed_2020"/>
      <sheetName val="installed_2025"/>
      <sheetName val="WEO2015_Fuel_CO2_prices"/>
      <sheetName val="WEO2016_Fuel_CO2_prices"/>
      <sheetName val="WEO2017_Fuel_CO2_pr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Scenarios_proposal"/>
      <sheetName val="Input_prices"/>
      <sheetName val="OT3_Data"/>
      <sheetName val="same_currency"/>
      <sheetName val="charts"/>
      <sheetName val="conversions"/>
      <sheetName val="Merit_order"/>
      <sheetName val="Sources links"/>
      <sheetName val="mapping"/>
      <sheetName val="Sheet1"/>
      <sheetName val="NUCLEAR_calculations"/>
      <sheetName val="BIOMASS"/>
      <sheetName val="LIGNITE"/>
      <sheetName val="Deliverabl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values"/>
      <sheetName val="ZoneList"/>
      <sheetName val="Common Data"/>
      <sheetName val="Info &amp; General"/>
      <sheetName val="MarketNodeSummary"/>
      <sheetName val="Demand"/>
      <sheetName val="Batteries"/>
      <sheetName val="DSR"/>
      <sheetName val="Trajectories Demand Flexibility"/>
      <sheetName val="Trajectory Technologi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arbon Budget"/>
      <sheetName val="SUPPLY"/>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2(I)s1"/>
      <sheetName val="Table2(I)s2"/>
      <sheetName val="Table2(I).A-Gs1"/>
      <sheetName val="Table2(I).A-Gs2"/>
      <sheetName val="Table2(II)s1"/>
      <sheetName val="Table2(II)s2"/>
      <sheetName val="Table2(II).C,E"/>
      <sheetName val="Table2(II).Fs1"/>
      <sheetName val="Table2(II).Fs2"/>
      <sheetName val="Table3"/>
      <sheetName val="Table3.A-D"/>
      <sheetName val="Table4s1"/>
      <sheetName val="Table4s2"/>
      <sheetName val="Table4.A"/>
      <sheetName val="Table4.B(a)"/>
      <sheetName val="Table4.B(b)"/>
      <sheetName val="Table4.C"/>
      <sheetName val="Table4.D"/>
      <sheetName val="Table4.E"/>
      <sheetName val="Table4.F"/>
      <sheetName val="Table5"/>
      <sheetName val="Table5.A"/>
      <sheetName val="Table5.B"/>
      <sheetName val="Table5.C"/>
      <sheetName val="Table5.D"/>
      <sheetName val="Table6"/>
      <sheetName val="Table6.A,C"/>
      <sheetName val="Table6.B"/>
      <sheetName val="Summary1.As1"/>
      <sheetName val="Summary1.As2"/>
      <sheetName val="Summary1.As3"/>
      <sheetName val="Summary1.B"/>
      <sheetName val="Summary2"/>
      <sheetName val="Summary3s1"/>
      <sheetName val="Summary3s2"/>
      <sheetName val="Table7s1"/>
      <sheetName val="Table7s2"/>
      <sheetName val="Table7s3"/>
      <sheetName val="Table8(a)s1"/>
      <sheetName val="Table8(a)s2"/>
      <sheetName val="Table8(b)"/>
      <sheetName val="Table9s1"/>
      <sheetName val="Table9s2"/>
      <sheetName val="Table10s1"/>
      <sheetName val="Table10s2"/>
      <sheetName val="Table10s3"/>
      <sheetName val="Table10s4"/>
      <sheetName val="Table10s5"/>
      <sheetName val="Table11"/>
    </sheetNames>
    <sheetDataSet>
      <sheetData sheetId="0" refreshError="1"/>
      <sheetData sheetId="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_pipelines"/>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missions_Summary"/>
      <sheetName val="TOTAL"/>
      <sheetName val="2)Electricity &amp; Gas input sheet"/>
      <sheetName val="SUPPLY"/>
      <sheetName val="GENERATION"/>
      <sheetName val="Conversion Factors"/>
      <sheetName val="EUROSTAT (2015 TWh)"/>
      <sheetName val="EU28"/>
      <sheetName val="Estonia"/>
      <sheetName val="Finland"/>
      <sheetName val="Latvia"/>
      <sheetName val="Lithuania"/>
      <sheetName val="Sweden"/>
      <sheetName val="Croatia"/>
      <sheetName val="Czechia"/>
      <sheetName val="Germany"/>
      <sheetName val="Hungary"/>
      <sheetName val="Poland"/>
      <sheetName val="Slovakia"/>
      <sheetName val="Italy"/>
      <sheetName val="Austria"/>
      <sheetName val="Malta"/>
      <sheetName val="Slovenia"/>
      <sheetName val="Bulgaria"/>
      <sheetName val="Cyprus"/>
      <sheetName val="Greece"/>
      <sheetName val="Romania"/>
      <sheetName val="France"/>
      <sheetName val="Portugal"/>
      <sheetName val="Spain"/>
      <sheetName val="Belgium"/>
      <sheetName val="Ireland"/>
      <sheetName val="Denmark"/>
      <sheetName val="Luxembourg"/>
      <sheetName val="United Kingdom"/>
      <sheetName val="Netherlands"/>
      <sheetName val="Generation_EE"/>
      <sheetName val="Generation_FI"/>
      <sheetName val="Generation_LV"/>
      <sheetName val="Generation_LT"/>
      <sheetName val="Generation_SE"/>
      <sheetName val="Generation_HR"/>
      <sheetName val="Generation_CZ"/>
      <sheetName val="Generation_DE"/>
      <sheetName val="Generation_HU"/>
      <sheetName val="Generation_PL"/>
      <sheetName val="Generation_SK"/>
      <sheetName val="Generation_IT"/>
      <sheetName val="Generation_AT"/>
      <sheetName val="Generation_MT"/>
      <sheetName val="Generation_SI"/>
      <sheetName val="Generation_BG"/>
      <sheetName val="Generation_CY"/>
      <sheetName val="Generation_GR"/>
      <sheetName val="Generation_RO"/>
      <sheetName val="Generation_FR"/>
      <sheetName val="Generation_PT"/>
      <sheetName val="Generation_ES"/>
      <sheetName val="Generation_BE"/>
      <sheetName val="Generation_IE"/>
      <sheetName val="Generation_DK"/>
      <sheetName val="Generation_LU"/>
      <sheetName val="Generation_UK"/>
      <sheetName val="Generation_NL"/>
      <sheetName val="Supply_EE"/>
      <sheetName val="Supply_FI"/>
      <sheetName val="Supply_LV"/>
      <sheetName val="Supply_LT"/>
      <sheetName val="Supply_SE"/>
      <sheetName val="Supply_HR"/>
      <sheetName val="Supply_CZ"/>
      <sheetName val="Supply_DE"/>
      <sheetName val="Supply_HU"/>
      <sheetName val="Supply_PL"/>
      <sheetName val="Supply_SK"/>
      <sheetName val="Supply_IT"/>
      <sheetName val="Supply_AT"/>
      <sheetName val="Supply_MT"/>
      <sheetName val="Supply_SI"/>
      <sheetName val="Supply_BG"/>
      <sheetName val="Supply_CY"/>
      <sheetName val="Supply_GR"/>
      <sheetName val="Supply_RO"/>
      <sheetName val="Supply_FR"/>
      <sheetName val="Supply_PT"/>
      <sheetName val="Supply_ES"/>
      <sheetName val="Supply_BE"/>
      <sheetName val="Supply_IE"/>
      <sheetName val="Supply_DK"/>
      <sheetName val="Supply_LU"/>
      <sheetName val="Supply_UK"/>
      <sheetName val="Supply_NL"/>
      <sheetName val="190924_Finalisation_GA_v5_edi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tchProcess"/>
      <sheetName val="Input_Tool"/>
      <sheetName val="Input_EffortSharing"/>
      <sheetName val="Mapping"/>
      <sheetName val="Table_NotRounded"/>
      <sheetName val="Output_ForGraphUpload"/>
      <sheetName val="Output_ForAsssementData"/>
      <sheetName val="Output_ForESData"/>
      <sheetName val="Admin"/>
      <sheetName val="Styl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cro1"/>
      <sheetName val="Carbon Budget"/>
    </sheetNames>
    <sheetDataSet>
      <sheetData sheetId="0"/>
      <sheetData sheetId="1"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eur-lex.europa.eu/resource.html?uri=cellar:749e04bb-f8c5-11ea-991b-01aa75ed71a1.0001.02/DOC_2&amp;format=PDF" TargetMode="External"/><Relationship Id="rId7" Type="http://schemas.openxmlformats.org/officeDocument/2006/relationships/printerSettings" Target="../printerSettings/printerSettings2.bin"/><Relationship Id="rId2" Type="http://schemas.openxmlformats.org/officeDocument/2006/relationships/hyperlink" Target="https://www.solarpowereurope.org/insights/market-outlooks/100-renewable-europe-study" TargetMode="External"/><Relationship Id="rId1" Type="http://schemas.openxmlformats.org/officeDocument/2006/relationships/hyperlink" Target="https://www.pac-scenarios.eu/fileadmin/user_upload/PAC_C2.7_Energy_supply_-_Mobilising_solar_energy.pdf" TargetMode="External"/><Relationship Id="rId6" Type="http://schemas.openxmlformats.org/officeDocument/2006/relationships/hyperlink" Target="https://op.europa.eu/en/publication-detail/-/publication/91d2091a-27bf-11eb-9d7e-01aa75ed71a1/language-en" TargetMode="External"/><Relationship Id="rId5" Type="http://schemas.openxmlformats.org/officeDocument/2006/relationships/hyperlink" Target="https://windeurope.org/intelligence-platform/product/our-energy-our-future/" TargetMode="External"/><Relationship Id="rId4" Type="http://schemas.openxmlformats.org/officeDocument/2006/relationships/hyperlink" Target="https://data.jrc.ec.europa.eu/collection/id-00138"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8" Type="http://schemas.openxmlformats.org/officeDocument/2006/relationships/hyperlink" Target="https://ens.dk/sites/ens.dk/files/Energioer/cost_performance_data_offshore_hydrogen_production.pdf" TargetMode="External"/><Relationship Id="rId3" Type="http://schemas.openxmlformats.org/officeDocument/2006/relationships/hyperlink" Target="https://ens.dk/sites/ens.dk/files/Vindenergi/final_report_-_screening_of_possible_hub_concepts_to_integrate_offshore_wind_capacity_in_the_north_sea.pdf" TargetMode="External"/><Relationship Id="rId7" Type="http://schemas.openxmlformats.org/officeDocument/2006/relationships/hyperlink" Target="https://ehb.eu/files/downloads/EHB-Analysing-the-future-demand-supply-and-transport-of-hydrogen-June-2021-v3.pdf" TargetMode="External"/><Relationship Id="rId2" Type="http://schemas.openxmlformats.org/officeDocument/2006/relationships/hyperlink" Target="https://ens.dk/en/our-services/projections-and-models/technology-data/technology-catalogue-transport-energy" TargetMode="External"/><Relationship Id="rId1" Type="http://schemas.openxmlformats.org/officeDocument/2006/relationships/hyperlink" Target="https://ens.dk/en/our-services/projections-and-models/technology-data/technology-data-generation-electricity-and" TargetMode="External"/><Relationship Id="rId6" Type="http://schemas.openxmlformats.org/officeDocument/2006/relationships/hyperlink" Target="https://ehb.eu/files/downloads/ehb-report-220428-17h00-interactive-1.pdf" TargetMode="External"/><Relationship Id="rId11" Type="http://schemas.openxmlformats.org/officeDocument/2006/relationships/drawing" Target="../drawings/drawing9.xml"/><Relationship Id="rId5" Type="http://schemas.openxmlformats.org/officeDocument/2006/relationships/hyperlink" Target="https://ens.dk/en/our-services/projections-and-models/technology-data/technology-data-renewable-fuels" TargetMode="External"/><Relationship Id="rId10" Type="http://schemas.openxmlformats.org/officeDocument/2006/relationships/printerSettings" Target="../printerSettings/printerSettings6.bin"/><Relationship Id="rId4" Type="http://schemas.openxmlformats.org/officeDocument/2006/relationships/hyperlink" Target="https://www.netzentwicklungsplan.de/sites/default/files/paragraphs-files/NEP_2035_V2021_2_Entwurf_Teil1.pdf" TargetMode="External"/><Relationship Id="rId9" Type="http://schemas.openxmlformats.org/officeDocument/2006/relationships/hyperlink" Target="https://atb.nrel.gov/electricity/2022/technologies"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hyperlink" Target="https://www.eia.gov/electricity/annual/html/epa_08_04.html"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2AD7-20F7-42F5-8C63-2CE9847CDEE6}">
  <sheetPr>
    <tabColor theme="9"/>
  </sheetPr>
  <dimension ref="B1:E27"/>
  <sheetViews>
    <sheetView topLeftCell="B5" workbookViewId="0">
      <selection activeCell="C14" sqref="C14"/>
    </sheetView>
  </sheetViews>
  <sheetFormatPr defaultColWidth="8.85546875" defaultRowHeight="15"/>
  <cols>
    <col min="1" max="1" width="3.140625" customWidth="1"/>
    <col min="2" max="2" width="3.5703125" customWidth="1"/>
    <col min="3" max="3" width="61" customWidth="1"/>
    <col min="4" max="4" width="7.140625" bestFit="1" customWidth="1"/>
    <col min="5" max="5" width="11.42578125" customWidth="1"/>
  </cols>
  <sheetData>
    <row r="1" spans="2:5">
      <c r="C1" s="570" t="s">
        <v>0</v>
      </c>
    </row>
    <row r="2" spans="2:5">
      <c r="C2" s="570"/>
    </row>
    <row r="3" spans="2:5">
      <c r="C3" s="570"/>
    </row>
    <row r="5" spans="2:5">
      <c r="B5" s="8" t="s">
        <v>1</v>
      </c>
      <c r="C5" s="8" t="s">
        <v>2</v>
      </c>
      <c r="D5" s="8" t="s">
        <v>3</v>
      </c>
      <c r="E5" s="8" t="s">
        <v>4</v>
      </c>
    </row>
    <row r="6" spans="2:5">
      <c r="B6" s="8">
        <v>1</v>
      </c>
      <c r="C6" s="8" t="s">
        <v>5</v>
      </c>
    </row>
    <row r="7" spans="2:5">
      <c r="B7" s="8"/>
      <c r="C7" s="18" t="s">
        <v>6</v>
      </c>
      <c r="D7" t="s">
        <v>7</v>
      </c>
      <c r="E7" t="s">
        <v>8</v>
      </c>
    </row>
    <row r="8" spans="2:5">
      <c r="B8" s="8"/>
      <c r="C8" s="18" t="s">
        <v>9</v>
      </c>
      <c r="D8" t="s">
        <v>7</v>
      </c>
      <c r="E8" t="s">
        <v>10</v>
      </c>
    </row>
    <row r="9" spans="2:5">
      <c r="B9" s="8"/>
      <c r="C9" s="18" t="s">
        <v>11</v>
      </c>
      <c r="D9" t="s">
        <v>7</v>
      </c>
      <c r="E9" t="s">
        <v>12</v>
      </c>
    </row>
    <row r="10" spans="2:5">
      <c r="B10" s="8"/>
      <c r="C10" s="18" t="s">
        <v>13</v>
      </c>
      <c r="D10" t="s">
        <v>7</v>
      </c>
      <c r="E10" t="s">
        <v>14</v>
      </c>
    </row>
    <row r="11" spans="2:5">
      <c r="B11" s="8"/>
      <c r="C11" s="18" t="s">
        <v>15</v>
      </c>
      <c r="D11" t="s">
        <v>7</v>
      </c>
      <c r="E11" t="s">
        <v>16</v>
      </c>
    </row>
    <row r="12" spans="2:5">
      <c r="B12" s="8"/>
      <c r="C12" s="18" t="s">
        <v>17</v>
      </c>
      <c r="D12" t="s">
        <v>7</v>
      </c>
      <c r="E12" t="s">
        <v>18</v>
      </c>
    </row>
    <row r="13" spans="2:5">
      <c r="B13" s="8">
        <v>2</v>
      </c>
      <c r="C13" s="8" t="s">
        <v>19</v>
      </c>
    </row>
    <row r="14" spans="2:5">
      <c r="B14" s="8"/>
      <c r="C14" s="18" t="s">
        <v>20</v>
      </c>
      <c r="D14" t="s">
        <v>7</v>
      </c>
      <c r="E14" s="110" t="s">
        <v>21</v>
      </c>
    </row>
    <row r="15" spans="2:5">
      <c r="B15" s="8"/>
      <c r="C15" s="18" t="s">
        <v>22</v>
      </c>
      <c r="D15" t="s">
        <v>23</v>
      </c>
    </row>
    <row r="16" spans="2:5">
      <c r="B16" s="8">
        <v>3</v>
      </c>
      <c r="C16" s="8" t="s">
        <v>24</v>
      </c>
    </row>
    <row r="17" spans="2:5">
      <c r="B17" s="8"/>
      <c r="C17" t="s">
        <v>25</v>
      </c>
      <c r="D17" t="s">
        <v>7</v>
      </c>
      <c r="E17" t="s">
        <v>26</v>
      </c>
    </row>
    <row r="18" spans="2:5">
      <c r="B18" s="8"/>
      <c r="C18" t="s">
        <v>27</v>
      </c>
      <c r="D18" s="5" t="s">
        <v>7</v>
      </c>
      <c r="E18" s="5" t="s">
        <v>28</v>
      </c>
    </row>
    <row r="19" spans="2:5">
      <c r="B19" s="8"/>
      <c r="C19" t="s">
        <v>29</v>
      </c>
      <c r="D19" s="5" t="s">
        <v>23</v>
      </c>
      <c r="E19" s="394"/>
    </row>
    <row r="20" spans="2:5">
      <c r="B20" s="101"/>
      <c r="C20" s="110" t="s">
        <v>30</v>
      </c>
      <c r="D20" t="s">
        <v>23</v>
      </c>
    </row>
    <row r="21" spans="2:5">
      <c r="B21" s="101"/>
      <c r="C21" s="110" t="s">
        <v>31</v>
      </c>
      <c r="D21" s="5" t="s">
        <v>23</v>
      </c>
    </row>
    <row r="22" spans="2:5">
      <c r="B22" s="101"/>
      <c r="C22" s="110" t="s">
        <v>32</v>
      </c>
      <c r="D22" s="5" t="s">
        <v>23</v>
      </c>
    </row>
    <row r="23" spans="2:5">
      <c r="B23" s="101"/>
      <c r="C23" s="110" t="s">
        <v>33</v>
      </c>
      <c r="D23" s="5" t="s">
        <v>23</v>
      </c>
    </row>
    <row r="24" spans="2:5">
      <c r="B24" s="101">
        <v>4</v>
      </c>
      <c r="C24" s="101" t="s">
        <v>34</v>
      </c>
      <c r="D24" s="383"/>
    </row>
    <row r="25" spans="2:5">
      <c r="B25" s="101"/>
      <c r="C25" s="110" t="s">
        <v>35</v>
      </c>
      <c r="D25" s="5" t="s">
        <v>23</v>
      </c>
    </row>
    <row r="26" spans="2:5">
      <c r="B26" s="101"/>
      <c r="C26" s="110" t="s">
        <v>36</v>
      </c>
      <c r="D26" s="5" t="s">
        <v>23</v>
      </c>
    </row>
    <row r="27" spans="2:5">
      <c r="B27" s="110"/>
      <c r="C27" s="110" t="s">
        <v>37</v>
      </c>
      <c r="D27" s="5" t="s">
        <v>23</v>
      </c>
    </row>
  </sheetData>
  <mergeCells count="1">
    <mergeCell ref="C1:C3"/>
  </mergeCells>
  <pageMargins left="0.7" right="0.7" top="0.75" bottom="0.75" header="0.3" footer="0.3"/>
  <pageSetup paperSize="9" orientation="portrait" r:id="rId1"/>
  <headerFooter>
    <oddFooter>&amp;C_x000D_&amp;1#&amp;"Calibri"&amp;10&amp;K000000 ISC - Uso INTERNO / 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835EF-4B01-4A06-949D-1CC766B478B9}">
  <sheetPr>
    <tabColor theme="4"/>
  </sheetPr>
  <dimension ref="B3:Q37"/>
  <sheetViews>
    <sheetView topLeftCell="A13" zoomScaleNormal="100" workbookViewId="0">
      <selection activeCell="H27" sqref="H27"/>
    </sheetView>
  </sheetViews>
  <sheetFormatPr defaultColWidth="8.85546875" defaultRowHeight="15"/>
  <sheetData>
    <row r="3" spans="2:17">
      <c r="B3" s="571" t="s">
        <v>38</v>
      </c>
      <c r="C3" s="571"/>
      <c r="D3" s="571"/>
      <c r="E3" s="571"/>
      <c r="F3" s="571"/>
      <c r="G3" s="571"/>
      <c r="H3" s="571"/>
      <c r="I3" s="571"/>
      <c r="J3" s="571"/>
      <c r="K3" s="571"/>
      <c r="L3" s="571"/>
      <c r="M3" s="571"/>
    </row>
    <row r="4" spans="2:17">
      <c r="B4" s="571"/>
      <c r="C4" s="571"/>
      <c r="D4" s="571"/>
      <c r="E4" s="571"/>
      <c r="F4" s="571"/>
      <c r="G4" s="571"/>
      <c r="H4" s="571"/>
      <c r="I4" s="571"/>
      <c r="J4" s="571"/>
      <c r="K4" s="571"/>
      <c r="L4" s="571"/>
      <c r="M4" s="571"/>
    </row>
    <row r="5" spans="2:17">
      <c r="B5" s="571"/>
      <c r="C5" s="571"/>
      <c r="D5" s="571"/>
      <c r="E5" s="571"/>
      <c r="F5" s="571"/>
      <c r="G5" s="571"/>
      <c r="H5" s="571"/>
      <c r="I5" s="571"/>
      <c r="J5" s="571"/>
      <c r="K5" s="571"/>
      <c r="L5" s="571"/>
      <c r="M5" s="571"/>
    </row>
    <row r="6" spans="2:17">
      <c r="B6" s="571"/>
      <c r="C6" s="571"/>
      <c r="D6" s="571"/>
      <c r="E6" s="571"/>
      <c r="F6" s="571"/>
      <c r="G6" s="571"/>
      <c r="H6" s="571"/>
      <c r="I6" s="571"/>
      <c r="J6" s="571"/>
      <c r="K6" s="571"/>
      <c r="L6" s="571"/>
      <c r="M6" s="571"/>
    </row>
    <row r="7" spans="2:17">
      <c r="B7" s="571"/>
      <c r="C7" s="571"/>
      <c r="D7" s="571"/>
      <c r="E7" s="571"/>
      <c r="F7" s="571"/>
      <c r="G7" s="571"/>
      <c r="H7" s="571"/>
      <c r="I7" s="571"/>
      <c r="J7" s="571"/>
      <c r="K7" s="571"/>
      <c r="L7" s="571"/>
      <c r="M7" s="571"/>
    </row>
    <row r="8" spans="2:17">
      <c r="B8" s="571"/>
      <c r="C8" s="571"/>
      <c r="D8" s="571"/>
      <c r="E8" s="571"/>
      <c r="F8" s="571"/>
      <c r="G8" s="571"/>
      <c r="H8" s="571"/>
      <c r="I8" s="571"/>
      <c r="J8" s="571"/>
      <c r="K8" s="571"/>
      <c r="L8" s="571"/>
      <c r="M8" s="571"/>
      <c r="Q8" s="5"/>
    </row>
    <row r="9" spans="2:17">
      <c r="B9" s="571"/>
      <c r="C9" s="571"/>
      <c r="D9" s="571"/>
      <c r="E9" s="571"/>
      <c r="F9" s="571"/>
      <c r="G9" s="571"/>
      <c r="H9" s="571"/>
      <c r="I9" s="571"/>
      <c r="J9" s="571"/>
      <c r="K9" s="571"/>
      <c r="L9" s="571"/>
      <c r="M9" s="571"/>
    </row>
    <row r="10" spans="2:17">
      <c r="B10" s="571"/>
      <c r="C10" s="571"/>
      <c r="D10" s="571"/>
      <c r="E10" s="571"/>
      <c r="F10" s="571"/>
      <c r="G10" s="571"/>
      <c r="H10" s="571"/>
      <c r="I10" s="571"/>
      <c r="J10" s="571"/>
      <c r="K10" s="571"/>
      <c r="L10" s="571"/>
      <c r="M10" s="571"/>
    </row>
    <row r="11" spans="2:17">
      <c r="B11" s="571"/>
      <c r="C11" s="571"/>
      <c r="D11" s="571"/>
      <c r="E11" s="571"/>
      <c r="F11" s="571"/>
      <c r="G11" s="571"/>
      <c r="H11" s="571"/>
      <c r="I11" s="571"/>
      <c r="J11" s="571"/>
      <c r="K11" s="571"/>
      <c r="L11" s="571"/>
      <c r="M11" s="571"/>
    </row>
    <row r="12" spans="2:17">
      <c r="B12" s="571"/>
      <c r="C12" s="571"/>
      <c r="D12" s="571"/>
      <c r="E12" s="571"/>
      <c r="F12" s="571"/>
      <c r="G12" s="571"/>
      <c r="H12" s="571"/>
      <c r="I12" s="571"/>
      <c r="J12" s="571"/>
      <c r="K12" s="571"/>
      <c r="L12" s="571"/>
      <c r="M12" s="571"/>
    </row>
    <row r="13" spans="2:17">
      <c r="B13" s="571"/>
      <c r="C13" s="571"/>
      <c r="D13" s="571"/>
      <c r="E13" s="571"/>
      <c r="F13" s="571"/>
      <c r="G13" s="571"/>
      <c r="H13" s="571"/>
      <c r="I13" s="571"/>
      <c r="J13" s="571"/>
      <c r="K13" s="571"/>
      <c r="L13" s="571"/>
      <c r="M13" s="571"/>
    </row>
    <row r="14" spans="2:17">
      <c r="B14" s="571"/>
      <c r="C14" s="571"/>
      <c r="D14" s="571"/>
      <c r="E14" s="571"/>
      <c r="F14" s="571"/>
      <c r="G14" s="571"/>
      <c r="H14" s="571"/>
      <c r="I14" s="571"/>
      <c r="J14" s="571"/>
      <c r="K14" s="571"/>
      <c r="L14" s="571"/>
      <c r="M14" s="571"/>
    </row>
    <row r="15" spans="2:17">
      <c r="B15" s="571"/>
      <c r="C15" s="571"/>
      <c r="D15" s="571"/>
      <c r="E15" s="571"/>
      <c r="F15" s="571"/>
      <c r="G15" s="571"/>
      <c r="H15" s="571"/>
      <c r="I15" s="571"/>
      <c r="J15" s="571"/>
      <c r="K15" s="571"/>
      <c r="L15" s="571"/>
      <c r="M15" s="571"/>
    </row>
    <row r="16" spans="2:17">
      <c r="B16" s="571"/>
      <c r="C16" s="571"/>
      <c r="D16" s="571"/>
      <c r="E16" s="571"/>
      <c r="F16" s="571"/>
      <c r="G16" s="571"/>
      <c r="H16" s="571"/>
      <c r="I16" s="571"/>
      <c r="J16" s="571"/>
      <c r="K16" s="571"/>
      <c r="L16" s="571"/>
      <c r="M16" s="571"/>
    </row>
    <row r="17" spans="2:13">
      <c r="B17" s="571"/>
      <c r="C17" s="571"/>
      <c r="D17" s="571"/>
      <c r="E17" s="571"/>
      <c r="F17" s="571"/>
      <c r="G17" s="571"/>
      <c r="H17" s="571"/>
      <c r="I17" s="571"/>
      <c r="J17" s="571"/>
      <c r="K17" s="571"/>
      <c r="L17" s="571"/>
      <c r="M17" s="571"/>
    </row>
    <row r="18" spans="2:13">
      <c r="B18" s="571"/>
      <c r="C18" s="571"/>
      <c r="D18" s="571"/>
      <c r="E18" s="571"/>
      <c r="F18" s="571"/>
      <c r="G18" s="571"/>
      <c r="H18" s="571"/>
      <c r="I18" s="571"/>
      <c r="J18" s="571"/>
      <c r="K18" s="571"/>
      <c r="L18" s="571"/>
      <c r="M18" s="571"/>
    </row>
    <row r="19" spans="2:13">
      <c r="B19" s="571"/>
      <c r="C19" s="571"/>
      <c r="D19" s="571"/>
      <c r="E19" s="571"/>
      <c r="F19" s="571"/>
      <c r="G19" s="571"/>
      <c r="H19" s="571"/>
      <c r="I19" s="571"/>
      <c r="J19" s="571"/>
      <c r="K19" s="571"/>
      <c r="L19" s="571"/>
      <c r="M19" s="571"/>
    </row>
    <row r="20" spans="2:13">
      <c r="B20" s="571"/>
      <c r="C20" s="571"/>
      <c r="D20" s="571"/>
      <c r="E20" s="571"/>
      <c r="F20" s="571"/>
      <c r="G20" s="571"/>
      <c r="H20" s="571"/>
      <c r="I20" s="571"/>
      <c r="J20" s="571"/>
      <c r="K20" s="571"/>
      <c r="L20" s="571"/>
      <c r="M20" s="571"/>
    </row>
    <row r="21" spans="2:13">
      <c r="B21" s="571"/>
      <c r="C21" s="571"/>
      <c r="D21" s="571"/>
      <c r="E21" s="571"/>
      <c r="F21" s="571"/>
      <c r="G21" s="571"/>
      <c r="H21" s="571"/>
      <c r="I21" s="571"/>
      <c r="J21" s="571"/>
      <c r="K21" s="571"/>
      <c r="L21" s="571"/>
      <c r="M21" s="571"/>
    </row>
    <row r="22" spans="2:13">
      <c r="B22" s="571"/>
      <c r="C22" s="571"/>
      <c r="D22" s="571"/>
      <c r="E22" s="571"/>
      <c r="F22" s="571"/>
      <c r="G22" s="571"/>
      <c r="H22" s="571"/>
      <c r="I22" s="571"/>
      <c r="J22" s="571"/>
      <c r="K22" s="571"/>
      <c r="L22" s="571"/>
      <c r="M22" s="571"/>
    </row>
    <row r="23" spans="2:13">
      <c r="B23" s="571"/>
      <c r="C23" s="571"/>
      <c r="D23" s="571"/>
      <c r="E23" s="571"/>
      <c r="F23" s="571"/>
      <c r="G23" s="571"/>
      <c r="H23" s="571"/>
      <c r="I23" s="571"/>
      <c r="J23" s="571"/>
      <c r="K23" s="571"/>
      <c r="L23" s="571"/>
      <c r="M23" s="571"/>
    </row>
    <row r="24" spans="2:13">
      <c r="B24" s="571"/>
      <c r="C24" s="571"/>
      <c r="D24" s="571"/>
      <c r="E24" s="571"/>
      <c r="F24" s="571"/>
      <c r="G24" s="571"/>
      <c r="H24" s="571"/>
      <c r="I24" s="571"/>
      <c r="J24" s="571"/>
      <c r="K24" s="571"/>
      <c r="L24" s="571"/>
      <c r="M24" s="571"/>
    </row>
    <row r="25" spans="2:13">
      <c r="B25" s="571"/>
      <c r="C25" s="571"/>
      <c r="D25" s="571"/>
      <c r="E25" s="571"/>
      <c r="F25" s="571"/>
      <c r="G25" s="571"/>
      <c r="H25" s="571"/>
      <c r="I25" s="571"/>
      <c r="J25" s="571"/>
      <c r="K25" s="571"/>
      <c r="L25" s="571"/>
      <c r="M25" s="571"/>
    </row>
    <row r="26" spans="2:13">
      <c r="B26" s="572" t="s">
        <v>39</v>
      </c>
      <c r="C26" s="572"/>
      <c r="D26" s="572"/>
      <c r="E26" s="572"/>
      <c r="F26" s="572"/>
      <c r="G26" s="572"/>
      <c r="H26" s="573" t="s">
        <v>40</v>
      </c>
      <c r="I26" s="573"/>
      <c r="J26" s="573"/>
      <c r="K26" s="573"/>
      <c r="L26" s="573"/>
      <c r="M26" s="573"/>
    </row>
    <row r="27" spans="2:13">
      <c r="B27" s="574" t="s">
        <v>41</v>
      </c>
      <c r="C27" s="575"/>
      <c r="D27" s="575"/>
      <c r="E27" s="575"/>
      <c r="F27" s="575"/>
      <c r="G27" s="575"/>
      <c r="H27" s="576" t="s">
        <v>42</v>
      </c>
      <c r="I27" s="577"/>
      <c r="J27" s="577"/>
      <c r="K27" s="577"/>
      <c r="L27" s="577"/>
      <c r="M27" s="577"/>
    </row>
    <row r="28" spans="2:13">
      <c r="B28" s="575"/>
      <c r="C28" s="575"/>
      <c r="D28" s="575"/>
      <c r="E28" s="575"/>
      <c r="F28" s="575"/>
      <c r="G28" s="575"/>
      <c r="H28" s="577"/>
      <c r="I28" s="577"/>
      <c r="J28" s="577"/>
      <c r="K28" s="577"/>
      <c r="L28" s="577"/>
      <c r="M28" s="577"/>
    </row>
    <row r="29" spans="2:13">
      <c r="B29" s="575"/>
      <c r="C29" s="575"/>
      <c r="D29" s="575"/>
      <c r="E29" s="575"/>
      <c r="F29" s="575"/>
      <c r="G29" s="575"/>
      <c r="H29" s="577"/>
      <c r="I29" s="577"/>
      <c r="J29" s="577"/>
      <c r="K29" s="577"/>
      <c r="L29" s="577"/>
      <c r="M29" s="577"/>
    </row>
    <row r="30" spans="2:13">
      <c r="B30" s="575"/>
      <c r="C30" s="575"/>
      <c r="D30" s="575"/>
      <c r="E30" s="575"/>
      <c r="F30" s="575"/>
      <c r="G30" s="575"/>
      <c r="H30" s="577"/>
      <c r="I30" s="577"/>
      <c r="J30" s="577"/>
      <c r="K30" s="577"/>
      <c r="L30" s="577"/>
      <c r="M30" s="577"/>
    </row>
    <row r="31" spans="2:13">
      <c r="B31" s="575"/>
      <c r="C31" s="575"/>
      <c r="D31" s="575"/>
      <c r="E31" s="575"/>
      <c r="F31" s="575"/>
      <c r="G31" s="575"/>
      <c r="H31" s="577"/>
      <c r="I31" s="577"/>
      <c r="J31" s="577"/>
      <c r="K31" s="577"/>
      <c r="L31" s="577"/>
      <c r="M31" s="577"/>
    </row>
    <row r="32" spans="2:13">
      <c r="B32" s="575"/>
      <c r="C32" s="575"/>
      <c r="D32" s="575"/>
      <c r="E32" s="575"/>
      <c r="F32" s="575"/>
      <c r="G32" s="575"/>
      <c r="H32" s="577"/>
      <c r="I32" s="577"/>
      <c r="J32" s="577"/>
      <c r="K32" s="577"/>
      <c r="L32" s="577"/>
      <c r="M32" s="577"/>
    </row>
    <row r="33" spans="2:13">
      <c r="B33" s="575"/>
      <c r="C33" s="575"/>
      <c r="D33" s="575"/>
      <c r="E33" s="575"/>
      <c r="F33" s="575"/>
      <c r="G33" s="575"/>
      <c r="H33" s="577"/>
      <c r="I33" s="577"/>
      <c r="J33" s="577"/>
      <c r="K33" s="577"/>
      <c r="L33" s="577"/>
      <c r="M33" s="577"/>
    </row>
    <row r="34" spans="2:13">
      <c r="B34" s="575"/>
      <c r="C34" s="575"/>
      <c r="D34" s="575"/>
      <c r="E34" s="575"/>
      <c r="F34" s="575"/>
      <c r="G34" s="575"/>
      <c r="H34" s="577"/>
      <c r="I34" s="577"/>
      <c r="J34" s="577"/>
      <c r="K34" s="577"/>
      <c r="L34" s="577"/>
      <c r="M34" s="577"/>
    </row>
    <row r="35" spans="2:13">
      <c r="B35" s="575"/>
      <c r="C35" s="575"/>
      <c r="D35" s="575"/>
      <c r="E35" s="575"/>
      <c r="F35" s="575"/>
      <c r="G35" s="575"/>
      <c r="H35" s="577"/>
      <c r="I35" s="577"/>
      <c r="J35" s="577"/>
      <c r="K35" s="577"/>
      <c r="L35" s="577"/>
      <c r="M35" s="577"/>
    </row>
    <row r="36" spans="2:13">
      <c r="B36" s="575"/>
      <c r="C36" s="575"/>
      <c r="D36" s="575"/>
      <c r="E36" s="575"/>
      <c r="F36" s="575"/>
      <c r="G36" s="575"/>
      <c r="H36" s="577"/>
      <c r="I36" s="577"/>
      <c r="J36" s="577"/>
      <c r="K36" s="577"/>
      <c r="L36" s="577"/>
      <c r="M36" s="577"/>
    </row>
    <row r="37" spans="2:13">
      <c r="B37" s="575"/>
      <c r="C37" s="575"/>
      <c r="D37" s="575"/>
      <c r="E37" s="575"/>
      <c r="F37" s="575"/>
      <c r="G37" s="575"/>
      <c r="H37" s="577"/>
      <c r="I37" s="577"/>
      <c r="J37" s="577"/>
      <c r="K37" s="577"/>
      <c r="L37" s="577"/>
      <c r="M37" s="577"/>
    </row>
  </sheetData>
  <mergeCells count="5">
    <mergeCell ref="B3:M25"/>
    <mergeCell ref="B26:G26"/>
    <mergeCell ref="H26:M26"/>
    <mergeCell ref="B27:G37"/>
    <mergeCell ref="H27:M37"/>
  </mergeCells>
  <pageMargins left="0.7" right="0.7" top="0.75" bottom="0.75" header="0.3" footer="0.3"/>
  <headerFooter>
    <oddFooter>&amp;C_x000D_&amp;1#&amp;"Calibri"&amp;10&amp;K000000 ISC - Uso INTERNO / INTERNAL Use</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658E1-E895-49CB-93ED-C358E74E76AB}">
  <sheetPr>
    <tabColor theme="5"/>
  </sheetPr>
  <dimension ref="B1:S54"/>
  <sheetViews>
    <sheetView zoomScale="85" zoomScaleNormal="85" workbookViewId="0">
      <selection activeCell="B47" sqref="B47"/>
    </sheetView>
  </sheetViews>
  <sheetFormatPr defaultColWidth="8.85546875" defaultRowHeight="15"/>
  <cols>
    <col min="1" max="1" width="3.85546875" customWidth="1"/>
    <col min="2" max="2" width="8.42578125" customWidth="1"/>
  </cols>
  <sheetData>
    <row r="1" spans="2:19" ht="23.25">
      <c r="B1" s="381" t="s">
        <v>43</v>
      </c>
    </row>
    <row r="3" spans="2:19" ht="5.0999999999999996" customHeight="1">
      <c r="B3" s="2"/>
      <c r="C3" s="2"/>
      <c r="D3" s="2"/>
      <c r="E3" s="2"/>
      <c r="F3" s="2"/>
      <c r="G3" s="2"/>
      <c r="H3" s="2"/>
      <c r="I3" s="2"/>
      <c r="J3" s="2"/>
      <c r="K3" s="2"/>
      <c r="L3" s="2"/>
      <c r="M3" s="2"/>
      <c r="N3" s="2"/>
      <c r="O3" s="2"/>
      <c r="P3" s="2"/>
      <c r="Q3" s="2"/>
      <c r="R3" s="2"/>
      <c r="S3" s="2"/>
    </row>
    <row r="47" spans="2:2">
      <c r="B47" t="s">
        <v>44</v>
      </c>
    </row>
    <row r="48" spans="2:2">
      <c r="B48" t="s">
        <v>45</v>
      </c>
    </row>
    <row r="49" spans="2:2">
      <c r="B49" s="4" t="s">
        <v>46</v>
      </c>
    </row>
    <row r="50" spans="2:2">
      <c r="B50" s="4" t="s">
        <v>47</v>
      </c>
    </row>
    <row r="51" spans="2:2">
      <c r="B51" s="4" t="s">
        <v>48</v>
      </c>
    </row>
    <row r="52" spans="2:2">
      <c r="B52" s="4" t="s">
        <v>49</v>
      </c>
    </row>
    <row r="53" spans="2:2">
      <c r="B53" s="4" t="s">
        <v>50</v>
      </c>
    </row>
    <row r="54" spans="2:2">
      <c r="B54" s="3" t="s">
        <v>51</v>
      </c>
    </row>
  </sheetData>
  <hyperlinks>
    <hyperlink ref="B49" r:id="rId1" display="https://www.pac-scenarios.eu/fileadmin/user_upload/PAC_C2.7_Energy_supply_-_Mobilising_solar_energy.pdf" xr:uid="{A20BEAD6-92D6-4B07-B7E2-619A2230D6BA}"/>
    <hyperlink ref="B50" r:id="rId2" display="https://www.solarpowereurope.org/insights/market-outlooks/100-renewable-europe-study" xr:uid="{F9C2A671-56F7-4012-B54B-60C16B271AB8}"/>
    <hyperlink ref="B51" r:id="rId3" display="https://eur-lex.europa.eu/resource.html?uri=cellar:749e04bb-f8c5-11ea-991b-01aa75ed71a1.0001.02/DOC_2&amp;format=PDF" xr:uid="{C01D9A2D-23F2-4E70-BFB7-B34E2FB09638}"/>
    <hyperlink ref="B52" r:id="rId4" display="https://data.jrc.ec.europa.eu/collection/id-00138" xr:uid="{EF3E58B4-D07B-401D-B942-20BF24AC6E18}"/>
    <hyperlink ref="B53" r:id="rId5" display="https://windeurope.org/intelligence-platform/product/our-energy-our-future/" xr:uid="{E6DFA301-65B2-4943-ABF8-226FA99CFAE1}"/>
    <hyperlink ref="B54" r:id="rId6" display="https://op.europa.eu/en/publication-detail/-/publication/91d2091a-27bf-11eb-9d7e-01aa75ed71a1/language-en" xr:uid="{C49301E0-6B32-451A-9DB6-457E4064B799}"/>
  </hyperlinks>
  <pageMargins left="0.7" right="0.7" top="0.75" bottom="0.75" header="0.3" footer="0.3"/>
  <pageSetup paperSize="9" orientation="portrait" r:id="rId7"/>
  <headerFooter>
    <oddFooter>&amp;C_x000D_&amp;1#&amp;"Calibri"&amp;10&amp;K000000 ISC - Uso INTERNO / INTERNAL Use</oddFooter>
  </headerFooter>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BDB8E-621E-4BA1-A402-BA09DD136D2C}">
  <sheetPr codeName="Hoja7">
    <tabColor rgb="FFFFC000"/>
  </sheetPr>
  <dimension ref="B1:W61"/>
  <sheetViews>
    <sheetView workbookViewId="0">
      <selection activeCell="G8" sqref="G8"/>
    </sheetView>
  </sheetViews>
  <sheetFormatPr defaultColWidth="11.42578125" defaultRowHeight="15"/>
  <cols>
    <col min="1" max="1" width="2.5703125" customWidth="1"/>
    <col min="2" max="2" width="10.42578125" style="1" customWidth="1"/>
    <col min="3" max="4" width="9.42578125" style="1" bestFit="1" customWidth="1"/>
    <col min="5" max="5" width="10.85546875" style="1" bestFit="1" customWidth="1"/>
    <col min="6" max="6" width="9.140625" bestFit="1" customWidth="1"/>
    <col min="7" max="7" width="10.7109375" bestFit="1" customWidth="1"/>
    <col min="8" max="8" width="12" bestFit="1" customWidth="1"/>
    <col min="9" max="9" width="12.5703125" bestFit="1" customWidth="1"/>
    <col min="10" max="10" width="10.140625" bestFit="1" customWidth="1"/>
    <col min="11" max="11" width="3.85546875" customWidth="1"/>
    <col min="15" max="15" width="3.5703125" customWidth="1"/>
  </cols>
  <sheetData>
    <row r="1" spans="2:14" ht="23.25">
      <c r="B1" s="381" t="s">
        <v>52</v>
      </c>
    </row>
    <row r="2" spans="2:14" ht="15.75" thickBot="1"/>
    <row r="3" spans="2:14">
      <c r="B3" s="6" t="s">
        <v>53</v>
      </c>
      <c r="C3" s="581" t="s">
        <v>54</v>
      </c>
      <c r="D3" s="582"/>
      <c r="E3" s="582"/>
      <c r="F3" s="583" t="s">
        <v>55</v>
      </c>
      <c r="G3" s="583"/>
      <c r="H3" s="578" t="s">
        <v>56</v>
      </c>
      <c r="I3" s="578"/>
      <c r="J3" s="579"/>
      <c r="L3" s="580" t="s">
        <v>57</v>
      </c>
      <c r="M3" s="580"/>
      <c r="N3" s="580"/>
    </row>
    <row r="4" spans="2:14">
      <c r="B4" s="6" t="s">
        <v>58</v>
      </c>
      <c r="C4" s="420">
        <v>2030</v>
      </c>
      <c r="D4" s="409">
        <v>2040</v>
      </c>
      <c r="E4" s="409">
        <v>2050</v>
      </c>
      <c r="F4" s="408">
        <v>2030</v>
      </c>
      <c r="G4" s="408">
        <v>2040</v>
      </c>
      <c r="H4" s="407">
        <v>2030</v>
      </c>
      <c r="I4" s="407">
        <v>2040</v>
      </c>
      <c r="J4" s="411">
        <v>2050</v>
      </c>
      <c r="L4" s="410">
        <v>2030</v>
      </c>
      <c r="M4" s="410">
        <v>2040</v>
      </c>
      <c r="N4" s="410">
        <v>2050</v>
      </c>
    </row>
    <row r="5" spans="2:14">
      <c r="B5" s="6" t="s">
        <v>59</v>
      </c>
      <c r="C5" s="421">
        <v>600</v>
      </c>
      <c r="D5" s="399">
        <v>1200</v>
      </c>
      <c r="E5" s="399">
        <v>1200</v>
      </c>
      <c r="F5" s="431">
        <v>600</v>
      </c>
      <c r="G5" s="431">
        <v>1200</v>
      </c>
      <c r="H5" s="396">
        <v>600</v>
      </c>
      <c r="I5" s="396">
        <v>1200</v>
      </c>
      <c r="J5" s="412">
        <v>1200</v>
      </c>
      <c r="L5" s="402">
        <v>0</v>
      </c>
      <c r="M5" s="402">
        <v>0</v>
      </c>
      <c r="N5" s="402">
        <v>0</v>
      </c>
    </row>
    <row r="6" spans="2:14">
      <c r="B6" s="6" t="s">
        <v>60</v>
      </c>
      <c r="C6" s="421">
        <v>12000</v>
      </c>
      <c r="D6" s="399">
        <v>12000</v>
      </c>
      <c r="E6" s="399">
        <v>12000</v>
      </c>
      <c r="F6" s="431">
        <v>12000.257000000001</v>
      </c>
      <c r="G6" s="431">
        <v>30000.257000000009</v>
      </c>
      <c r="H6" s="396">
        <v>30000</v>
      </c>
      <c r="I6" s="396">
        <v>52000</v>
      </c>
      <c r="J6" s="412">
        <v>102000</v>
      </c>
      <c r="L6" s="402">
        <v>0.55131405380179221</v>
      </c>
      <c r="M6" s="402">
        <v>0.51652591953906679</v>
      </c>
      <c r="N6" s="402">
        <v>0.52519929591755055</v>
      </c>
    </row>
    <row r="7" spans="2:14">
      <c r="B7" s="6" t="s">
        <v>61</v>
      </c>
      <c r="C7" s="421">
        <v>454.79999999999995</v>
      </c>
      <c r="D7" s="399">
        <v>1309.8000000000002</v>
      </c>
      <c r="E7" s="399">
        <v>1809.8000000000002</v>
      </c>
      <c r="F7" s="431">
        <v>454.79999999999995</v>
      </c>
      <c r="G7" s="431">
        <v>1309.8000000000002</v>
      </c>
      <c r="H7" s="396">
        <v>454.79999999999995</v>
      </c>
      <c r="I7" s="396">
        <v>1309.8000000000002</v>
      </c>
      <c r="J7" s="412">
        <v>1809.8000000000002</v>
      </c>
      <c r="L7" s="402">
        <v>0</v>
      </c>
      <c r="M7" s="402">
        <v>0</v>
      </c>
      <c r="N7" s="402">
        <v>0</v>
      </c>
    </row>
    <row r="8" spans="2:14">
      <c r="B8" s="6" t="s">
        <v>62</v>
      </c>
      <c r="C8" s="421">
        <v>11000</v>
      </c>
      <c r="D8" s="399">
        <v>20000</v>
      </c>
      <c r="E8" s="400">
        <v>29000</v>
      </c>
      <c r="F8" s="431">
        <v>13610</v>
      </c>
      <c r="G8" s="431">
        <v>26285.273531521198</v>
      </c>
      <c r="H8" s="396">
        <v>15000</v>
      </c>
      <c r="I8" s="397">
        <v>35000</v>
      </c>
      <c r="J8" s="412">
        <v>55000</v>
      </c>
      <c r="L8" s="402">
        <v>1</v>
      </c>
      <c r="M8" s="402">
        <v>1</v>
      </c>
      <c r="N8" s="402">
        <v>1</v>
      </c>
    </row>
    <row r="9" spans="2:14">
      <c r="B9" s="6" t="s">
        <v>63</v>
      </c>
      <c r="C9" s="421">
        <v>2500</v>
      </c>
      <c r="D9" s="399">
        <v>3000</v>
      </c>
      <c r="E9" s="399">
        <v>4000</v>
      </c>
      <c r="F9" s="431">
        <v>3458.2370000000001</v>
      </c>
      <c r="G9" s="431">
        <v>4007.2370000000001</v>
      </c>
      <c r="H9" s="396">
        <v>6915</v>
      </c>
      <c r="I9" s="396">
        <v>8015</v>
      </c>
      <c r="J9" s="412">
        <v>9110</v>
      </c>
      <c r="L9" s="402">
        <v>0.17957126709360868</v>
      </c>
      <c r="M9" s="402">
        <v>0.26477096313494808</v>
      </c>
      <c r="N9" s="402">
        <v>0.33631620045235849</v>
      </c>
    </row>
    <row r="10" spans="2:14">
      <c r="B10" s="6" t="s">
        <v>64</v>
      </c>
      <c r="C10" s="421">
        <v>7650</v>
      </c>
      <c r="D10" s="399">
        <v>10100</v>
      </c>
      <c r="E10" s="399">
        <v>13312</v>
      </c>
      <c r="F10" s="431">
        <v>9770.2685714285708</v>
      </c>
      <c r="G10" s="431">
        <v>24071.130974802378</v>
      </c>
      <c r="H10" s="396">
        <v>12210</v>
      </c>
      <c r="I10" s="396">
        <v>30090</v>
      </c>
      <c r="J10" s="412">
        <v>44567</v>
      </c>
      <c r="L10" s="402">
        <v>1</v>
      </c>
      <c r="M10" s="402">
        <v>1</v>
      </c>
      <c r="N10" s="402">
        <v>1</v>
      </c>
    </row>
    <row r="11" spans="2:14">
      <c r="B11" s="6" t="s">
        <v>65</v>
      </c>
      <c r="C11" s="421">
        <v>804</v>
      </c>
      <c r="D11" s="399">
        <v>1540</v>
      </c>
      <c r="E11" s="399">
        <v>1210</v>
      </c>
      <c r="F11" s="431">
        <v>852</v>
      </c>
      <c r="G11" s="431">
        <v>1892</v>
      </c>
      <c r="H11" s="396">
        <v>1070</v>
      </c>
      <c r="I11" s="396">
        <v>2200</v>
      </c>
      <c r="J11" s="412">
        <v>2200</v>
      </c>
      <c r="L11" s="402">
        <v>0.48122065727699531</v>
      </c>
      <c r="M11" s="402">
        <v>0.27061310782241016</v>
      </c>
      <c r="N11" s="402">
        <v>0.30367734282325032</v>
      </c>
    </row>
    <row r="12" spans="2:14">
      <c r="B12" s="6" t="s">
        <v>66</v>
      </c>
      <c r="C12" s="422">
        <v>10820</v>
      </c>
      <c r="D12" s="401">
        <v>11573</v>
      </c>
      <c r="E12" s="401">
        <v>12521</v>
      </c>
      <c r="F12" s="431">
        <v>11405.699999999999</v>
      </c>
      <c r="G12" s="431">
        <v>13238.2</v>
      </c>
      <c r="H12" s="398">
        <v>15218</v>
      </c>
      <c r="I12" s="398">
        <v>18155</v>
      </c>
      <c r="J12" s="413">
        <v>20155</v>
      </c>
      <c r="L12" s="402">
        <v>0.33000166583374979</v>
      </c>
      <c r="M12" s="402">
        <v>0.32999954676617671</v>
      </c>
      <c r="N12" s="402">
        <v>0.12857152396151203</v>
      </c>
    </row>
    <row r="13" spans="2:14">
      <c r="B13" s="6" t="s">
        <v>67</v>
      </c>
      <c r="C13" s="421">
        <v>215000</v>
      </c>
      <c r="D13" s="399">
        <v>365875</v>
      </c>
      <c r="E13" s="399">
        <v>400000</v>
      </c>
      <c r="F13" s="431">
        <v>215002</v>
      </c>
      <c r="G13" s="431">
        <v>365875.4</v>
      </c>
      <c r="H13" s="396">
        <v>215000</v>
      </c>
      <c r="I13" s="396">
        <v>400000</v>
      </c>
      <c r="J13" s="412">
        <v>507250</v>
      </c>
      <c r="L13" s="402">
        <v>0.54883210388740566</v>
      </c>
      <c r="M13" s="402">
        <v>0.52955191849465688</v>
      </c>
      <c r="N13" s="402">
        <v>0.52576826430186363</v>
      </c>
    </row>
    <row r="14" spans="2:14">
      <c r="B14" s="6" t="s">
        <v>68</v>
      </c>
      <c r="C14" s="421">
        <v>0</v>
      </c>
      <c r="D14" s="399">
        <v>0</v>
      </c>
      <c r="E14" s="399">
        <v>0</v>
      </c>
      <c r="F14" s="431">
        <v>0</v>
      </c>
      <c r="G14" s="431">
        <v>0</v>
      </c>
      <c r="H14" s="396">
        <v>0</v>
      </c>
      <c r="I14" s="396">
        <v>0</v>
      </c>
      <c r="J14" s="412">
        <v>0</v>
      </c>
      <c r="L14" s="402">
        <v>0</v>
      </c>
      <c r="M14" s="402">
        <v>0</v>
      </c>
      <c r="N14" s="402">
        <v>0</v>
      </c>
    </row>
    <row r="15" spans="2:14">
      <c r="B15" s="6" t="s">
        <v>69</v>
      </c>
      <c r="C15" s="421">
        <v>1995</v>
      </c>
      <c r="D15" s="399">
        <v>2943</v>
      </c>
      <c r="E15" s="399">
        <v>2943</v>
      </c>
      <c r="F15" s="431">
        <v>4884.9400000000005</v>
      </c>
      <c r="G15" s="431">
        <v>7876.0229200596759</v>
      </c>
      <c r="H15" s="396">
        <v>14461.842979749163</v>
      </c>
      <c r="I15" s="396">
        <v>14461.842979749163</v>
      </c>
      <c r="J15" s="412">
        <v>14461.842979749163</v>
      </c>
      <c r="L15" s="402">
        <v>7.5180859774993905E-2</v>
      </c>
      <c r="M15" s="402">
        <v>9.4978038441902835E-2</v>
      </c>
      <c r="N15" s="402">
        <v>0.12902469276589412</v>
      </c>
    </row>
    <row r="16" spans="2:14">
      <c r="B16" s="6" t="s">
        <v>70</v>
      </c>
      <c r="C16" s="421">
        <v>0</v>
      </c>
      <c r="D16" s="399">
        <v>0</v>
      </c>
      <c r="E16" s="399">
        <v>0</v>
      </c>
      <c r="F16" s="431">
        <v>0</v>
      </c>
      <c r="G16" s="431">
        <v>0</v>
      </c>
      <c r="H16" s="396">
        <v>0</v>
      </c>
      <c r="I16" s="396">
        <v>0</v>
      </c>
      <c r="J16" s="412">
        <v>0</v>
      </c>
      <c r="L16" s="402">
        <v>0</v>
      </c>
      <c r="M16" s="402">
        <v>0</v>
      </c>
      <c r="N16" s="402">
        <v>0</v>
      </c>
    </row>
    <row r="17" spans="2:16">
      <c r="B17" s="6" t="s">
        <v>71</v>
      </c>
      <c r="C17" s="421">
        <v>2929</v>
      </c>
      <c r="D17" s="399">
        <v>4351</v>
      </c>
      <c r="E17" s="399">
        <v>4351</v>
      </c>
      <c r="F17" s="431">
        <v>12859.470000000001</v>
      </c>
      <c r="G17" s="431">
        <v>19096.107079940324</v>
      </c>
      <c r="H17" s="396">
        <v>47809.55923427298</v>
      </c>
      <c r="I17" s="396">
        <v>47809.55923427298</v>
      </c>
      <c r="J17" s="412">
        <v>47809.55923427298</v>
      </c>
      <c r="L17" s="402">
        <v>7.5180859774993905E-2</v>
      </c>
      <c r="M17" s="402">
        <v>9.4978038441902779E-2</v>
      </c>
      <c r="N17" s="402">
        <v>0.12902469276589407</v>
      </c>
    </row>
    <row r="18" spans="2:16">
      <c r="B18" s="6" t="s">
        <v>72</v>
      </c>
      <c r="C18" s="421">
        <v>1000</v>
      </c>
      <c r="D18" s="399">
        <v>1200</v>
      </c>
      <c r="E18" s="400">
        <v>1460</v>
      </c>
      <c r="F18" s="431">
        <v>1160</v>
      </c>
      <c r="G18" s="431">
        <v>1360</v>
      </c>
      <c r="H18" s="396">
        <v>1500</v>
      </c>
      <c r="I18" s="396">
        <v>3300</v>
      </c>
      <c r="J18" s="412">
        <v>4000</v>
      </c>
      <c r="L18" s="402">
        <v>0</v>
      </c>
      <c r="M18" s="402">
        <v>0</v>
      </c>
      <c r="N18" s="402">
        <v>0</v>
      </c>
    </row>
    <row r="19" spans="2:16">
      <c r="B19" s="6" t="s">
        <v>73</v>
      </c>
      <c r="C19" s="421">
        <v>42937.5</v>
      </c>
      <c r="D19" s="399">
        <v>72187.5</v>
      </c>
      <c r="E19" s="399">
        <v>101437.5</v>
      </c>
      <c r="F19" s="431">
        <v>64848.127000000022</v>
      </c>
      <c r="G19" s="431">
        <v>121848.12700000002</v>
      </c>
      <c r="H19" s="396">
        <v>96050</v>
      </c>
      <c r="I19" s="396">
        <v>161848</v>
      </c>
      <c r="J19" s="412">
        <v>179848</v>
      </c>
      <c r="L19" s="402">
        <v>0.21588904179144597</v>
      </c>
      <c r="M19" s="402">
        <v>0.2133803829417911</v>
      </c>
      <c r="N19" s="402">
        <v>0.28244926011772759</v>
      </c>
      <c r="P19" s="16" t="s">
        <v>74</v>
      </c>
    </row>
    <row r="20" spans="2:16">
      <c r="B20" s="6" t="s">
        <v>75</v>
      </c>
      <c r="C20" s="421">
        <v>3000</v>
      </c>
      <c r="D20" s="399">
        <v>7000</v>
      </c>
      <c r="E20" s="399">
        <v>9000</v>
      </c>
      <c r="F20" s="431">
        <v>10695.187165775402</v>
      </c>
      <c r="G20" s="431">
        <v>21390.374331550789</v>
      </c>
      <c r="H20" s="396">
        <v>20000</v>
      </c>
      <c r="I20" s="396">
        <v>45000</v>
      </c>
      <c r="J20" s="412">
        <v>80000</v>
      </c>
      <c r="L20" s="402">
        <v>0.34446805496303701</v>
      </c>
      <c r="M20" s="402">
        <v>0.48041851733223379</v>
      </c>
      <c r="N20" s="402">
        <v>0.50945077941825478</v>
      </c>
    </row>
    <row r="21" spans="2:16">
      <c r="B21" s="6" t="s">
        <v>76</v>
      </c>
      <c r="C21" s="421">
        <v>23000</v>
      </c>
      <c r="D21" s="399">
        <v>47000</v>
      </c>
      <c r="E21" s="399">
        <v>80000</v>
      </c>
      <c r="F21" s="431">
        <v>42282.19</v>
      </c>
      <c r="G21" s="431">
        <v>66669.799999999901</v>
      </c>
      <c r="H21" s="396">
        <v>58000</v>
      </c>
      <c r="I21" s="396">
        <v>143000</v>
      </c>
      <c r="J21" s="412">
        <v>250000</v>
      </c>
      <c r="L21" s="402">
        <v>0</v>
      </c>
      <c r="M21" s="402">
        <v>0</v>
      </c>
      <c r="N21" s="402">
        <v>0</v>
      </c>
    </row>
    <row r="22" spans="2:16">
      <c r="B22" s="6" t="s">
        <v>77</v>
      </c>
      <c r="C22" s="421">
        <v>8000</v>
      </c>
      <c r="D22" s="399">
        <v>12000</v>
      </c>
      <c r="E22" s="399">
        <v>15000</v>
      </c>
      <c r="F22" s="431">
        <v>13363.001</v>
      </c>
      <c r="G22" s="431">
        <v>25000.001</v>
      </c>
      <c r="H22" s="396">
        <v>15000</v>
      </c>
      <c r="I22" s="396">
        <v>27000</v>
      </c>
      <c r="J22" s="412">
        <v>44000</v>
      </c>
      <c r="L22" s="402">
        <v>0</v>
      </c>
      <c r="M22" s="402">
        <v>0</v>
      </c>
      <c r="N22" s="402">
        <v>0</v>
      </c>
    </row>
    <row r="23" spans="2:16">
      <c r="B23" s="6" t="s">
        <v>78</v>
      </c>
      <c r="C23" s="421">
        <v>350</v>
      </c>
      <c r="D23" s="399">
        <v>400</v>
      </c>
      <c r="E23" s="399">
        <v>500</v>
      </c>
      <c r="F23" s="431">
        <v>500</v>
      </c>
      <c r="G23" s="431">
        <v>800</v>
      </c>
      <c r="H23" s="396">
        <v>2500</v>
      </c>
      <c r="I23" s="396">
        <v>2500</v>
      </c>
      <c r="J23" s="412">
        <v>2500</v>
      </c>
      <c r="L23" s="402">
        <v>0</v>
      </c>
      <c r="M23" s="402">
        <v>0</v>
      </c>
      <c r="N23" s="402">
        <v>0</v>
      </c>
    </row>
    <row r="24" spans="2:16">
      <c r="B24" s="6" t="s">
        <v>79</v>
      </c>
      <c r="C24" s="421">
        <v>720.18</v>
      </c>
      <c r="D24" s="399">
        <v>1444</v>
      </c>
      <c r="E24" s="399">
        <v>1761</v>
      </c>
      <c r="F24" s="431">
        <v>720.18</v>
      </c>
      <c r="G24" s="431">
        <v>1500.0800000000002</v>
      </c>
      <c r="H24" s="396">
        <v>1663</v>
      </c>
      <c r="I24" s="396">
        <v>2000</v>
      </c>
      <c r="J24" s="412">
        <v>3188</v>
      </c>
      <c r="L24" s="402">
        <v>0</v>
      </c>
      <c r="M24" s="402">
        <v>0</v>
      </c>
      <c r="N24" s="402">
        <v>0</v>
      </c>
    </row>
    <row r="25" spans="2:16">
      <c r="B25" s="6" t="s">
        <v>80</v>
      </c>
      <c r="C25" s="421">
        <v>9592.5265260714241</v>
      </c>
      <c r="D25" s="399">
        <v>13964.083181071417</v>
      </c>
      <c r="E25" s="399">
        <v>17160.653756071413</v>
      </c>
      <c r="F25" s="431">
        <v>9917.6909860714568</v>
      </c>
      <c r="G25" s="431">
        <v>14728.247641071448</v>
      </c>
      <c r="H25" s="396">
        <v>14328.717838571421</v>
      </c>
      <c r="I25" s="396">
        <v>18754.04850857141</v>
      </c>
      <c r="J25" s="412">
        <v>23396.075108571396</v>
      </c>
      <c r="L25" s="402">
        <v>0.3133307773387643</v>
      </c>
      <c r="M25" s="402">
        <v>0.31274115653967449</v>
      </c>
      <c r="N25" s="402">
        <v>0.33189088335870615</v>
      </c>
    </row>
    <row r="26" spans="2:16">
      <c r="B26" s="6" t="s">
        <v>81</v>
      </c>
      <c r="C26" s="421">
        <v>7987</v>
      </c>
      <c r="D26" s="399">
        <v>7987</v>
      </c>
      <c r="E26" s="399">
        <v>7987</v>
      </c>
      <c r="F26" s="431">
        <v>7987</v>
      </c>
      <c r="G26" s="431">
        <v>13162.000000000002</v>
      </c>
      <c r="H26" s="396" t="s">
        <v>82</v>
      </c>
      <c r="I26" s="396" t="s">
        <v>83</v>
      </c>
      <c r="J26" s="414" t="s">
        <v>84</v>
      </c>
      <c r="L26" s="402">
        <v>0.31138099411543757</v>
      </c>
      <c r="M26" s="402">
        <v>0.309983285215013</v>
      </c>
      <c r="N26" s="402">
        <v>0.30998215794910317</v>
      </c>
    </row>
    <row r="27" spans="2:16">
      <c r="B27" s="6" t="s">
        <v>85</v>
      </c>
      <c r="C27" s="421">
        <v>1444</v>
      </c>
      <c r="D27" s="399">
        <v>1605</v>
      </c>
      <c r="E27" s="399">
        <v>6532</v>
      </c>
      <c r="F27" s="431">
        <v>1604.5971459999971</v>
      </c>
      <c r="G27" s="431">
        <v>6531.5971459999955</v>
      </c>
      <c r="H27" s="396">
        <v>1997.511891815423</v>
      </c>
      <c r="I27" s="396">
        <v>7185</v>
      </c>
      <c r="J27" s="412">
        <v>10099.599999999999</v>
      </c>
      <c r="L27" s="402">
        <v>0.30437543494484631</v>
      </c>
      <c r="M27" s="402">
        <v>0.30437543494484631</v>
      </c>
      <c r="N27" s="402">
        <v>0.30437543494484631</v>
      </c>
    </row>
    <row r="28" spans="2:16">
      <c r="B28" s="6" t="s">
        <v>86</v>
      </c>
      <c r="C28" s="421">
        <v>4249</v>
      </c>
      <c r="D28" s="399">
        <v>4721</v>
      </c>
      <c r="E28" s="399">
        <v>7209</v>
      </c>
      <c r="F28" s="431">
        <v>4720.9625848999913</v>
      </c>
      <c r="G28" s="431">
        <v>7208.9625848999913</v>
      </c>
      <c r="H28" s="396">
        <v>8324.0563036581698</v>
      </c>
      <c r="I28" s="396">
        <v>13239.133345080001</v>
      </c>
      <c r="J28" s="412">
        <v>17500.14430574626</v>
      </c>
      <c r="L28" s="402">
        <v>0.39999999999999997</v>
      </c>
      <c r="M28" s="402">
        <v>0.39999999999999997</v>
      </c>
      <c r="N28" s="402">
        <v>0.39999999999999997</v>
      </c>
    </row>
    <row r="29" spans="2:16">
      <c r="B29" s="6" t="s">
        <v>87</v>
      </c>
      <c r="C29" s="421">
        <v>13385</v>
      </c>
      <c r="D29" s="399">
        <v>14873</v>
      </c>
      <c r="E29" s="399">
        <v>24394</v>
      </c>
      <c r="F29" s="431">
        <v>14872.503048699969</v>
      </c>
      <c r="G29" s="431">
        <v>24393.503048699968</v>
      </c>
      <c r="H29" s="396">
        <v>16359.753353569968</v>
      </c>
      <c r="I29" s="396">
        <v>26833</v>
      </c>
      <c r="J29" s="412">
        <v>43108.800000000003</v>
      </c>
      <c r="L29" s="402">
        <v>0.40000000000000008</v>
      </c>
      <c r="M29" s="402">
        <v>0.40000000000000008</v>
      </c>
      <c r="N29" s="402">
        <v>0.40000000000000008</v>
      </c>
    </row>
    <row r="30" spans="2:16">
      <c r="B30" s="6" t="s">
        <v>88</v>
      </c>
      <c r="C30" s="421">
        <v>19814</v>
      </c>
      <c r="D30" s="399">
        <v>22016</v>
      </c>
      <c r="E30" s="399">
        <v>32496</v>
      </c>
      <c r="F30" s="431">
        <v>22015.894375599699</v>
      </c>
      <c r="G30" s="431">
        <v>32495.894375599702</v>
      </c>
      <c r="H30" s="396">
        <v>39932.332199782126</v>
      </c>
      <c r="I30" s="396">
        <v>63511.039748807707</v>
      </c>
      <c r="J30" s="412">
        <v>83952.048192426853</v>
      </c>
      <c r="L30" s="402">
        <v>0.6</v>
      </c>
      <c r="M30" s="402">
        <v>0.6</v>
      </c>
      <c r="N30" s="402">
        <v>0.6</v>
      </c>
    </row>
    <row r="31" spans="2:16">
      <c r="B31" s="6" t="s">
        <v>89</v>
      </c>
      <c r="C31" s="421">
        <v>14482</v>
      </c>
      <c r="D31" s="399">
        <v>16091</v>
      </c>
      <c r="E31" s="399">
        <v>19323</v>
      </c>
      <c r="F31" s="431">
        <v>16091.417540399974</v>
      </c>
      <c r="G31" s="431">
        <v>19323.417540399972</v>
      </c>
      <c r="H31" s="396">
        <v>17700.559294439976</v>
      </c>
      <c r="I31" s="396">
        <v>21256</v>
      </c>
      <c r="J31" s="412">
        <v>43779.89183965043</v>
      </c>
      <c r="L31" s="402">
        <v>0.30437543494484626</v>
      </c>
      <c r="M31" s="402">
        <v>0.30437543494484626</v>
      </c>
      <c r="N31" s="402">
        <v>0.30437543494484626</v>
      </c>
    </row>
    <row r="32" spans="2:16">
      <c r="B32" s="6" t="s">
        <v>90</v>
      </c>
      <c r="C32" s="421">
        <v>5528</v>
      </c>
      <c r="D32" s="399">
        <v>6142</v>
      </c>
      <c r="E32" s="399">
        <v>10206</v>
      </c>
      <c r="F32" s="431">
        <v>6157.4707948999703</v>
      </c>
      <c r="G32" s="431">
        <v>10221.470794899971</v>
      </c>
      <c r="H32" s="396">
        <v>6756.0933937199734</v>
      </c>
      <c r="I32" s="396">
        <v>11226</v>
      </c>
      <c r="J32" s="412">
        <v>22545</v>
      </c>
      <c r="L32" s="402">
        <v>0.39999999999999997</v>
      </c>
      <c r="M32" s="402">
        <v>0.39999999999999997</v>
      </c>
      <c r="N32" s="402">
        <v>0.39999999999999997</v>
      </c>
    </row>
    <row r="33" spans="2:14">
      <c r="B33" s="6" t="s">
        <v>91</v>
      </c>
      <c r="C33" s="421">
        <v>8187</v>
      </c>
      <c r="D33" s="399">
        <v>9097</v>
      </c>
      <c r="E33" s="399">
        <v>13013</v>
      </c>
      <c r="F33" s="431">
        <v>9137.6983292999266</v>
      </c>
      <c r="G33" s="431">
        <v>13053.698329299927</v>
      </c>
      <c r="H33" s="396">
        <v>10006.686622239949</v>
      </c>
      <c r="I33" s="396">
        <v>15915.300630059652</v>
      </c>
      <c r="J33" s="412">
        <v>28746</v>
      </c>
      <c r="L33" s="402">
        <v>0.35</v>
      </c>
      <c r="M33" s="402">
        <v>0.35</v>
      </c>
      <c r="N33" s="402">
        <v>0.35</v>
      </c>
    </row>
    <row r="34" spans="2:14">
      <c r="B34" s="6" t="s">
        <v>92</v>
      </c>
      <c r="C34" s="421">
        <v>5000</v>
      </c>
      <c r="D34" s="399">
        <v>5320</v>
      </c>
      <c r="E34" s="399">
        <v>5900</v>
      </c>
      <c r="F34" s="431">
        <v>5000.3</v>
      </c>
      <c r="G34" s="431">
        <v>5600.3</v>
      </c>
      <c r="H34" s="396">
        <v>5000.3</v>
      </c>
      <c r="I34" s="396">
        <v>5600.3</v>
      </c>
      <c r="J34" s="412">
        <v>5900.3</v>
      </c>
      <c r="L34" s="402">
        <v>0</v>
      </c>
      <c r="M34" s="402">
        <v>0</v>
      </c>
      <c r="N34" s="402">
        <v>0</v>
      </c>
    </row>
    <row r="35" spans="2:14">
      <c r="B35" s="6" t="s">
        <v>93</v>
      </c>
      <c r="C35" s="421">
        <v>0</v>
      </c>
      <c r="D35" s="399">
        <v>0</v>
      </c>
      <c r="E35" s="399">
        <v>0</v>
      </c>
      <c r="F35" s="431">
        <v>0</v>
      </c>
      <c r="G35" s="431">
        <v>0</v>
      </c>
      <c r="H35" s="396">
        <v>0</v>
      </c>
      <c r="I35" s="396">
        <v>0</v>
      </c>
      <c r="J35" s="412">
        <v>0</v>
      </c>
      <c r="L35" s="402">
        <v>0</v>
      </c>
      <c r="M35" s="402">
        <v>0</v>
      </c>
      <c r="N35" s="402">
        <v>0</v>
      </c>
    </row>
    <row r="36" spans="2:14">
      <c r="B36" s="6" t="s">
        <v>94</v>
      </c>
      <c r="C36" s="421">
        <v>0</v>
      </c>
      <c r="D36" s="399">
        <v>0</v>
      </c>
      <c r="E36" s="399">
        <v>0</v>
      </c>
      <c r="F36" s="431">
        <v>0</v>
      </c>
      <c r="G36" s="431">
        <v>0</v>
      </c>
      <c r="H36" s="396">
        <v>0</v>
      </c>
      <c r="I36" s="396">
        <v>0</v>
      </c>
      <c r="J36" s="412">
        <v>0</v>
      </c>
      <c r="L36" s="402">
        <v>0</v>
      </c>
      <c r="M36" s="402">
        <v>0</v>
      </c>
      <c r="N36" s="402">
        <v>0</v>
      </c>
    </row>
    <row r="37" spans="2:14">
      <c r="B37" s="6" t="s">
        <v>95</v>
      </c>
      <c r="C37" s="421">
        <v>540.59999999999991</v>
      </c>
      <c r="D37" s="399">
        <v>790.59999999999991</v>
      </c>
      <c r="E37" s="399">
        <v>1032.4000000000001</v>
      </c>
      <c r="F37" s="431">
        <v>608.49999999999989</v>
      </c>
      <c r="G37" s="431">
        <v>857.4</v>
      </c>
      <c r="H37" s="396">
        <v>983.49999999999977</v>
      </c>
      <c r="I37" s="396">
        <v>1800.3999999999999</v>
      </c>
      <c r="J37" s="412">
        <v>2175.3999999999996</v>
      </c>
      <c r="L37" s="402">
        <v>0.69860312243221034</v>
      </c>
      <c r="M37" s="402">
        <v>0.69979006298110558</v>
      </c>
      <c r="N37" s="402">
        <v>0.7264626113909336</v>
      </c>
    </row>
    <row r="38" spans="2:14">
      <c r="B38" s="6" t="s">
        <v>96</v>
      </c>
      <c r="C38" s="421">
        <v>0</v>
      </c>
      <c r="D38" s="399">
        <v>0</v>
      </c>
      <c r="E38" s="399">
        <v>0</v>
      </c>
      <c r="F38" s="431">
        <v>0</v>
      </c>
      <c r="G38" s="431">
        <v>0</v>
      </c>
      <c r="H38" s="396">
        <v>0</v>
      </c>
      <c r="I38" s="396">
        <v>0</v>
      </c>
      <c r="J38" s="412">
        <v>0</v>
      </c>
      <c r="L38" s="402">
        <v>0</v>
      </c>
      <c r="M38" s="402">
        <v>0</v>
      </c>
      <c r="N38" s="402">
        <v>0</v>
      </c>
    </row>
    <row r="39" spans="2:14">
      <c r="B39" s="6" t="s">
        <v>97</v>
      </c>
      <c r="C39" s="423">
        <v>146.03000000000003</v>
      </c>
      <c r="D39" s="400">
        <v>386.03</v>
      </c>
      <c r="E39" s="400">
        <v>386.03</v>
      </c>
      <c r="F39" s="431">
        <v>146.03000000000003</v>
      </c>
      <c r="G39" s="431">
        <v>386.03</v>
      </c>
      <c r="H39" s="396">
        <v>500</v>
      </c>
      <c r="I39" s="396">
        <v>1101.259657846799</v>
      </c>
      <c r="J39" s="412">
        <v>2078.5193156935989</v>
      </c>
      <c r="L39" s="402">
        <v>6.8479079641169616E-2</v>
      </c>
      <c r="M39" s="402">
        <v>0.12952361215449579</v>
      </c>
      <c r="N39" s="402">
        <v>0.12952361215449579</v>
      </c>
    </row>
    <row r="40" spans="2:14">
      <c r="B40" s="6" t="s">
        <v>98</v>
      </c>
      <c r="C40" s="421">
        <v>31.5</v>
      </c>
      <c r="D40" s="399">
        <v>31.5</v>
      </c>
      <c r="E40" s="399">
        <v>31.5</v>
      </c>
      <c r="F40" s="431">
        <v>31.5</v>
      </c>
      <c r="G40" s="431">
        <v>31.5</v>
      </c>
      <c r="H40" s="396">
        <v>1885</v>
      </c>
      <c r="I40" s="396">
        <v>1885</v>
      </c>
      <c r="J40" s="412">
        <v>1885</v>
      </c>
      <c r="L40" s="402">
        <v>0</v>
      </c>
      <c r="M40" s="402">
        <v>0</v>
      </c>
      <c r="N40" s="402">
        <v>0</v>
      </c>
    </row>
    <row r="41" spans="2:14">
      <c r="B41" s="6" t="s">
        <v>99</v>
      </c>
      <c r="C41" s="421">
        <v>275</v>
      </c>
      <c r="D41" s="399">
        <v>806</v>
      </c>
      <c r="E41" s="399">
        <v>806</v>
      </c>
      <c r="F41" s="431">
        <v>630</v>
      </c>
      <c r="G41" s="431">
        <v>1400</v>
      </c>
      <c r="H41" s="396">
        <v>2326</v>
      </c>
      <c r="I41" s="396">
        <v>3951</v>
      </c>
      <c r="J41" s="412">
        <v>3951</v>
      </c>
      <c r="L41" s="402">
        <v>0.3174603174603175</v>
      </c>
      <c r="M41" s="402">
        <v>0.28571428571428575</v>
      </c>
      <c r="N41" s="402">
        <v>0.28571428571428575</v>
      </c>
    </row>
    <row r="42" spans="2:14">
      <c r="B42" s="6" t="s">
        <v>100</v>
      </c>
      <c r="C42" s="421">
        <v>266</v>
      </c>
      <c r="D42" s="400">
        <v>173.2212717124327</v>
      </c>
      <c r="E42" s="400">
        <v>173.2212717124327</v>
      </c>
      <c r="F42" s="431">
        <v>281.5793132464326</v>
      </c>
      <c r="G42" s="431">
        <v>173.2212717124327</v>
      </c>
      <c r="H42" s="396">
        <v>282</v>
      </c>
      <c r="I42" s="396">
        <v>328</v>
      </c>
      <c r="J42" s="412">
        <v>328</v>
      </c>
      <c r="L42" s="402">
        <v>0.83663572629093774</v>
      </c>
      <c r="M42" s="402">
        <v>0.75737390919418179</v>
      </c>
      <c r="N42" s="402">
        <v>1</v>
      </c>
    </row>
    <row r="43" spans="2:14">
      <c r="B43" s="6" t="s">
        <v>101</v>
      </c>
      <c r="C43" s="421">
        <v>41964.43161764706</v>
      </c>
      <c r="D43" s="399">
        <v>68245.349756958793</v>
      </c>
      <c r="E43" s="399">
        <v>99983.269569932789</v>
      </c>
      <c r="F43" s="431">
        <v>59317.087500000001</v>
      </c>
      <c r="G43" s="431">
        <v>102414.2</v>
      </c>
      <c r="H43" s="396">
        <v>76104.481617647063</v>
      </c>
      <c r="I43" s="396">
        <v>126139.41727407376</v>
      </c>
      <c r="J43" s="412">
        <v>183097.77703517003</v>
      </c>
      <c r="L43" s="402">
        <v>0.66960408281320671</v>
      </c>
      <c r="M43" s="402">
        <v>0.67729084443368215</v>
      </c>
      <c r="N43" s="402">
        <v>0.68040088313827352</v>
      </c>
    </row>
    <row r="44" spans="2:14">
      <c r="B44" s="6" t="s">
        <v>102</v>
      </c>
      <c r="C44" s="421">
        <v>780</v>
      </c>
      <c r="D44" s="399">
        <v>1000</v>
      </c>
      <c r="E44" s="399">
        <v>1300</v>
      </c>
      <c r="F44" s="431">
        <v>1000</v>
      </c>
      <c r="G44" s="431">
        <v>2500</v>
      </c>
      <c r="H44" s="396">
        <v>780</v>
      </c>
      <c r="I44" s="397">
        <v>2500</v>
      </c>
      <c r="J44" s="415">
        <v>3750</v>
      </c>
      <c r="L44" s="402">
        <v>1</v>
      </c>
      <c r="M44" s="402">
        <v>1</v>
      </c>
      <c r="N44" s="402">
        <v>1</v>
      </c>
    </row>
    <row r="45" spans="2:14">
      <c r="B45" s="6" t="s">
        <v>103</v>
      </c>
      <c r="C45" s="421">
        <v>0</v>
      </c>
      <c r="D45" s="399">
        <v>0</v>
      </c>
      <c r="E45" s="399">
        <v>0</v>
      </c>
      <c r="F45" s="431">
        <v>0</v>
      </c>
      <c r="G45" s="431">
        <v>0</v>
      </c>
      <c r="H45" s="396">
        <v>0</v>
      </c>
      <c r="I45" s="396">
        <v>0</v>
      </c>
      <c r="J45" s="412">
        <v>0</v>
      </c>
      <c r="L45" s="402">
        <v>0</v>
      </c>
      <c r="M45" s="402">
        <v>0</v>
      </c>
      <c r="N45" s="402">
        <v>0</v>
      </c>
    </row>
    <row r="46" spans="2:14">
      <c r="B46" s="6" t="s">
        <v>104</v>
      </c>
      <c r="C46" s="423">
        <v>3000</v>
      </c>
      <c r="D46" s="400">
        <v>7500</v>
      </c>
      <c r="E46" s="399">
        <v>10640</v>
      </c>
      <c r="F46" s="431">
        <v>3000</v>
      </c>
      <c r="G46" s="431">
        <v>7500</v>
      </c>
      <c r="H46" s="396">
        <v>4370</v>
      </c>
      <c r="I46" s="396">
        <v>18100</v>
      </c>
      <c r="J46" s="412">
        <v>20300</v>
      </c>
      <c r="L46" s="402">
        <v>1</v>
      </c>
      <c r="M46" s="402">
        <v>1</v>
      </c>
      <c r="N46" s="402">
        <v>1</v>
      </c>
    </row>
    <row r="47" spans="2:14">
      <c r="B47" s="6" t="s">
        <v>105</v>
      </c>
      <c r="C47" s="421">
        <v>13885</v>
      </c>
      <c r="D47" s="399">
        <v>15897</v>
      </c>
      <c r="E47" s="399">
        <v>20000</v>
      </c>
      <c r="F47" s="431">
        <v>21663.410000000011</v>
      </c>
      <c r="G47" s="431">
        <v>26000.29</v>
      </c>
      <c r="H47" s="396">
        <v>33000</v>
      </c>
      <c r="I47" s="396">
        <v>65000</v>
      </c>
      <c r="J47" s="412">
        <v>96000</v>
      </c>
      <c r="L47" s="402">
        <v>0</v>
      </c>
      <c r="M47" s="402">
        <v>0</v>
      </c>
      <c r="N47" s="402">
        <v>0</v>
      </c>
    </row>
    <row r="48" spans="2:14">
      <c r="B48" s="6" t="s">
        <v>106</v>
      </c>
      <c r="C48" s="421">
        <v>11675.448008701331</v>
      </c>
      <c r="D48" s="399">
        <v>13393.564979100511</v>
      </c>
      <c r="E48" s="399">
        <v>13393.564979100511</v>
      </c>
      <c r="F48" s="431">
        <v>11675.448008701331</v>
      </c>
      <c r="G48" s="431">
        <v>13705.823909708834</v>
      </c>
      <c r="H48" s="396">
        <v>15000</v>
      </c>
      <c r="I48" s="396">
        <v>29000</v>
      </c>
      <c r="J48" s="412">
        <v>29000</v>
      </c>
      <c r="L48" s="402">
        <v>4.2734806264348939E-2</v>
      </c>
      <c r="M48" s="402">
        <v>6.4609316123020732E-2</v>
      </c>
      <c r="N48" s="402">
        <v>6.4609316123020732E-2</v>
      </c>
    </row>
    <row r="49" spans="2:23">
      <c r="B49" s="6" t="s">
        <v>107</v>
      </c>
      <c r="C49" s="421">
        <v>5054</v>
      </c>
      <c r="D49" s="399">
        <v>8300</v>
      </c>
      <c r="E49" s="399">
        <v>10300</v>
      </c>
      <c r="F49" s="431">
        <v>8299.9999999999964</v>
      </c>
      <c r="G49" s="431">
        <v>12800.000000000009</v>
      </c>
      <c r="H49" s="396">
        <v>9700</v>
      </c>
      <c r="I49" s="396">
        <v>18000</v>
      </c>
      <c r="J49" s="412">
        <v>34500</v>
      </c>
      <c r="L49" s="402">
        <v>0.12409638554216872</v>
      </c>
      <c r="M49" s="402">
        <v>0.15859374999999987</v>
      </c>
      <c r="N49" s="402">
        <v>0.17241379310344815</v>
      </c>
    </row>
    <row r="50" spans="2:23">
      <c r="B50" s="6" t="s">
        <v>108</v>
      </c>
      <c r="C50" s="421">
        <v>605.85</v>
      </c>
      <c r="D50" s="399">
        <v>605.85</v>
      </c>
      <c r="E50" s="399">
        <v>605.85</v>
      </c>
      <c r="F50" s="431">
        <v>794.85</v>
      </c>
      <c r="G50" s="431">
        <v>794.85</v>
      </c>
      <c r="H50" s="396">
        <v>794.85</v>
      </c>
      <c r="I50" s="396">
        <v>794.85</v>
      </c>
      <c r="J50" s="412">
        <v>794.85</v>
      </c>
      <c r="L50" s="402">
        <v>0.3193684342957791</v>
      </c>
      <c r="M50" s="402">
        <v>0.3193684342957791</v>
      </c>
      <c r="N50" s="402">
        <v>0.3193684342957791</v>
      </c>
    </row>
    <row r="51" spans="2:23">
      <c r="B51" s="6" t="s">
        <v>109</v>
      </c>
      <c r="C51" s="421">
        <v>0</v>
      </c>
      <c r="D51" s="399">
        <v>0</v>
      </c>
      <c r="E51" s="399">
        <v>0</v>
      </c>
      <c r="F51" s="431">
        <v>0</v>
      </c>
      <c r="G51" s="431">
        <v>0</v>
      </c>
      <c r="H51" s="396">
        <v>1000</v>
      </c>
      <c r="I51" s="396">
        <v>2000</v>
      </c>
      <c r="J51" s="412">
        <v>3000</v>
      </c>
      <c r="L51" s="402">
        <v>0</v>
      </c>
      <c r="M51" s="402">
        <v>0</v>
      </c>
      <c r="N51" s="402">
        <v>0</v>
      </c>
    </row>
    <row r="52" spans="2:23">
      <c r="B52" s="6" t="s">
        <v>110</v>
      </c>
      <c r="C52" s="421">
        <v>103</v>
      </c>
      <c r="D52" s="399">
        <v>254</v>
      </c>
      <c r="E52" s="399">
        <v>254</v>
      </c>
      <c r="F52" s="431">
        <v>333.88621852888014</v>
      </c>
      <c r="G52" s="431">
        <v>667.77243705776016</v>
      </c>
      <c r="H52" s="396">
        <v>2000</v>
      </c>
      <c r="I52" s="396">
        <v>4000</v>
      </c>
      <c r="J52" s="412">
        <v>6000</v>
      </c>
      <c r="L52" s="402">
        <v>1</v>
      </c>
      <c r="M52" s="402">
        <v>1</v>
      </c>
      <c r="N52" s="402">
        <v>1</v>
      </c>
    </row>
    <row r="53" spans="2:23">
      <c r="B53" s="6" t="s">
        <v>111</v>
      </c>
      <c r="C53" s="421">
        <v>1523</v>
      </c>
      <c r="D53" s="399">
        <v>3160</v>
      </c>
      <c r="E53" s="399">
        <v>3160</v>
      </c>
      <c r="F53" s="431">
        <v>4851.6922345340436</v>
      </c>
      <c r="G53" s="431">
        <v>9703.3844690680889</v>
      </c>
      <c r="H53" s="396">
        <v>9800</v>
      </c>
      <c r="I53" s="396">
        <v>23250</v>
      </c>
      <c r="J53" s="412">
        <v>28650</v>
      </c>
      <c r="L53" s="402">
        <v>1</v>
      </c>
      <c r="M53" s="402">
        <v>1</v>
      </c>
      <c r="N53" s="402">
        <v>1</v>
      </c>
    </row>
    <row r="54" spans="2:23">
      <c r="B54" s="6" t="s">
        <v>112</v>
      </c>
      <c r="C54" s="421">
        <v>650</v>
      </c>
      <c r="D54" s="399">
        <v>1350</v>
      </c>
      <c r="E54" s="399">
        <v>1350</v>
      </c>
      <c r="F54" s="431">
        <v>2116.188944479522</v>
      </c>
      <c r="G54" s="431">
        <v>4232.377888959043</v>
      </c>
      <c r="H54" s="396">
        <v>4200</v>
      </c>
      <c r="I54" s="396">
        <v>9600</v>
      </c>
      <c r="J54" s="412">
        <v>11850</v>
      </c>
      <c r="L54" s="402">
        <v>1</v>
      </c>
      <c r="M54" s="402">
        <v>1</v>
      </c>
      <c r="N54" s="402">
        <v>1</v>
      </c>
    </row>
    <row r="55" spans="2:23">
      <c r="B55" s="6" t="s">
        <v>113</v>
      </c>
      <c r="C55" s="421">
        <v>1845</v>
      </c>
      <c r="D55" s="399">
        <v>2845</v>
      </c>
      <c r="E55" s="399">
        <v>3845</v>
      </c>
      <c r="F55" s="431">
        <v>2750</v>
      </c>
      <c r="G55" s="431">
        <v>5250</v>
      </c>
      <c r="H55" s="396">
        <v>3455</v>
      </c>
      <c r="I55" s="396">
        <v>7955</v>
      </c>
      <c r="J55" s="412">
        <v>11555</v>
      </c>
      <c r="L55" s="402">
        <v>1</v>
      </c>
      <c r="M55" s="402">
        <v>1</v>
      </c>
      <c r="N55" s="402">
        <v>1</v>
      </c>
    </row>
    <row r="56" spans="2:23">
      <c r="B56" s="6" t="s">
        <v>114</v>
      </c>
      <c r="C56" s="421">
        <v>1500</v>
      </c>
      <c r="D56" s="399">
        <v>2000</v>
      </c>
      <c r="E56" s="399">
        <v>2500</v>
      </c>
      <c r="F56" s="431">
        <v>1500</v>
      </c>
      <c r="G56" s="431">
        <v>2880</v>
      </c>
      <c r="H56" s="396">
        <v>1500</v>
      </c>
      <c r="I56" s="396">
        <v>3250</v>
      </c>
      <c r="J56" s="412">
        <v>5000</v>
      </c>
      <c r="L56" s="402">
        <v>0</v>
      </c>
      <c r="M56" s="402">
        <v>0</v>
      </c>
      <c r="N56" s="402">
        <v>0</v>
      </c>
    </row>
    <row r="57" spans="2:23">
      <c r="B57" s="6" t="s">
        <v>115</v>
      </c>
      <c r="C57" s="421">
        <v>24346.677</v>
      </c>
      <c r="D57" s="399">
        <v>25890</v>
      </c>
      <c r="E57" s="399">
        <v>25890</v>
      </c>
      <c r="F57" s="431">
        <v>34425.422350000001</v>
      </c>
      <c r="G57" s="431">
        <v>59287.445019999999</v>
      </c>
      <c r="H57" s="396">
        <v>72207.247000000018</v>
      </c>
      <c r="I57" s="396">
        <v>72207.247000000018</v>
      </c>
      <c r="J57" s="412">
        <v>79287.34</v>
      </c>
      <c r="L57" s="402">
        <v>0.41923126500145907</v>
      </c>
      <c r="M57" s="402">
        <v>0.47281871263879943</v>
      </c>
      <c r="N57" s="402">
        <v>0.51246783150930642</v>
      </c>
    </row>
    <row r="58" spans="2:23" ht="15.75" thickBot="1">
      <c r="B58" s="6" t="s">
        <v>116</v>
      </c>
      <c r="C58" s="424">
        <v>617</v>
      </c>
      <c r="D58" s="425">
        <v>617</v>
      </c>
      <c r="E58" s="425">
        <v>617</v>
      </c>
      <c r="F58" s="432">
        <v>617</v>
      </c>
      <c r="G58" s="432">
        <v>2047.0000000000002</v>
      </c>
      <c r="H58" s="416">
        <v>617</v>
      </c>
      <c r="I58" s="416">
        <v>2047.0000000000002</v>
      </c>
      <c r="J58" s="417">
        <v>3259.0000000000005</v>
      </c>
      <c r="L58" s="403">
        <v>0.28687196110210694</v>
      </c>
      <c r="M58" s="403">
        <v>0.40156326331216408</v>
      </c>
      <c r="N58" s="403">
        <v>0.47069653267873579</v>
      </c>
    </row>
    <row r="59" spans="2:23" ht="15.75" thickBot="1">
      <c r="B59" s="6" t="s">
        <v>117</v>
      </c>
      <c r="C59" s="426">
        <f t="shared" ref="C59:J59" si="0">SUM(C5:C58)</f>
        <v>543237.54315241973</v>
      </c>
      <c r="D59" s="427">
        <f t="shared" si="0"/>
        <v>830184.49918884318</v>
      </c>
      <c r="E59" s="427">
        <f t="shared" si="0"/>
        <v>1031993.7895768173</v>
      </c>
      <c r="F59" s="433">
        <f t="shared" si="0"/>
        <v>670014.48711256532</v>
      </c>
      <c r="G59" s="433">
        <f t="shared" si="0"/>
        <v>1132770.1972952515</v>
      </c>
      <c r="H59" s="418">
        <f t="shared" si="0"/>
        <v>914363.29172946641</v>
      </c>
      <c r="I59" s="418">
        <f t="shared" si="0"/>
        <v>1571318.1983784614</v>
      </c>
      <c r="J59" s="419">
        <f t="shared" si="0"/>
        <v>2174588.948011281</v>
      </c>
      <c r="L59" s="404">
        <f>AVERAGE(L5:L58)</f>
        <v>0.33274456271084496</v>
      </c>
      <c r="M59" s="405">
        <f>AVERAGE(M5:M58)</f>
        <v>0.33598773954457378</v>
      </c>
      <c r="N59" s="406">
        <f>AVERAGE(N5:N58)</f>
        <v>0.34503265303389052</v>
      </c>
    </row>
    <row r="61" spans="2:23">
      <c r="B61" s="6" t="s">
        <v>118</v>
      </c>
      <c r="C61" s="395">
        <f t="shared" ref="C61:J61" si="1">C6+SUM(C8:C9)+SUM(C11:C39)+SUM(C42:C43)+SUM(C47:C49)+SUM(C51:C56)</f>
        <v>504876.7161524198</v>
      </c>
      <c r="D61" s="395">
        <f t="shared" si="1"/>
        <v>781124.34918884316</v>
      </c>
      <c r="E61" s="395">
        <f t="shared" si="1"/>
        <v>975781.63957681728</v>
      </c>
      <c r="F61" s="395">
        <f t="shared" si="1"/>
        <v>618690.64619113668</v>
      </c>
      <c r="G61" s="395">
        <f t="shared" si="1"/>
        <v>1032628.471300449</v>
      </c>
      <c r="H61" s="395">
        <f t="shared" si="1"/>
        <v>818118.39472946629</v>
      </c>
      <c r="I61" s="395">
        <f t="shared" si="1"/>
        <v>1437233.3013784613</v>
      </c>
      <c r="J61" s="395">
        <f t="shared" si="1"/>
        <v>2013784.9580112807</v>
      </c>
      <c r="O61" s="395"/>
      <c r="P61" s="395"/>
      <c r="Q61" s="395"/>
      <c r="R61" s="395"/>
      <c r="S61" s="395"/>
      <c r="T61" s="395"/>
      <c r="U61" s="395"/>
      <c r="V61" s="395"/>
      <c r="W61" s="395"/>
    </row>
  </sheetData>
  <mergeCells count="4">
    <mergeCell ref="H3:J3"/>
    <mergeCell ref="L3:N3"/>
    <mergeCell ref="C3:E3"/>
    <mergeCell ref="F3:G3"/>
  </mergeCells>
  <pageMargins left="0.7" right="0.7" top="0.75" bottom="0.75" header="0.3" footer="0.3"/>
  <pageSetup paperSize="9" orientation="portrait" r:id="rId1"/>
  <headerFooter>
    <oddFooter>&amp;C_x000D_&amp;1#&amp;"Calibri"&amp;10&amp;K000000 ISC - Uso INTERNO / INTERNAL Use</oddFooter>
  </headerFooter>
  <ignoredErrors>
    <ignoredError sqref="C59:G59"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E711-3677-4888-AC30-15C0958AD30F}">
  <sheetPr codeName="Hoja6">
    <tabColor rgb="FFFFC000"/>
  </sheetPr>
  <dimension ref="B1:M61"/>
  <sheetViews>
    <sheetView workbookViewId="0">
      <selection activeCell="F17" sqref="F17"/>
    </sheetView>
  </sheetViews>
  <sheetFormatPr defaultColWidth="11.42578125" defaultRowHeight="15"/>
  <cols>
    <col min="1" max="1" width="1.5703125" customWidth="1"/>
    <col min="2" max="2" width="7.5703125" bestFit="1" customWidth="1"/>
    <col min="3" max="10" width="11.5703125" style="1" customWidth="1"/>
  </cols>
  <sheetData>
    <row r="1" spans="2:13" ht="23.25">
      <c r="B1" s="381" t="s">
        <v>9</v>
      </c>
    </row>
    <row r="3" spans="2:13">
      <c r="B3" s="6" t="s">
        <v>53</v>
      </c>
      <c r="C3" s="584" t="s">
        <v>54</v>
      </c>
      <c r="D3" s="584"/>
      <c r="E3" s="584"/>
      <c r="F3" s="585" t="s">
        <v>119</v>
      </c>
      <c r="G3" s="585"/>
      <c r="H3" s="586" t="s">
        <v>56</v>
      </c>
      <c r="I3" s="586"/>
      <c r="J3" s="586"/>
    </row>
    <row r="4" spans="2:13">
      <c r="B4" s="8" t="s">
        <v>58</v>
      </c>
      <c r="C4" s="409">
        <v>2030</v>
      </c>
      <c r="D4" s="409">
        <v>2040</v>
      </c>
      <c r="E4" s="409">
        <v>2050</v>
      </c>
      <c r="F4" s="430">
        <v>2030</v>
      </c>
      <c r="G4" s="430">
        <v>2040</v>
      </c>
      <c r="H4" s="407">
        <v>2030</v>
      </c>
      <c r="I4" s="407">
        <v>2040</v>
      </c>
      <c r="J4" s="407">
        <v>2050</v>
      </c>
      <c r="K4" s="8"/>
    </row>
    <row r="5" spans="2:13">
      <c r="B5" s="8" t="s">
        <v>59</v>
      </c>
      <c r="C5" s="15">
        <v>280</v>
      </c>
      <c r="D5" s="15">
        <v>600</v>
      </c>
      <c r="E5" s="15">
        <v>600</v>
      </c>
      <c r="F5" s="428">
        <v>280</v>
      </c>
      <c r="G5" s="428">
        <v>600</v>
      </c>
      <c r="H5" s="9">
        <v>280</v>
      </c>
      <c r="I5" s="9">
        <v>600</v>
      </c>
      <c r="J5" s="9">
        <v>600</v>
      </c>
    </row>
    <row r="6" spans="2:13">
      <c r="B6" s="8" t="s">
        <v>60</v>
      </c>
      <c r="C6" s="15">
        <v>7500.0008342981546</v>
      </c>
      <c r="D6" s="15">
        <v>7500</v>
      </c>
      <c r="E6" s="15">
        <v>7500</v>
      </c>
      <c r="F6" s="428">
        <v>9000.0010011577833</v>
      </c>
      <c r="G6" s="428">
        <v>16000.001001157791</v>
      </c>
      <c r="H6" s="9">
        <v>11096</v>
      </c>
      <c r="I6" s="9">
        <v>32939</v>
      </c>
      <c r="J6" s="9">
        <v>41144.901610017892</v>
      </c>
    </row>
    <row r="7" spans="2:13">
      <c r="B7" s="8" t="s">
        <v>61</v>
      </c>
      <c r="C7" s="15">
        <v>786.6</v>
      </c>
      <c r="D7" s="15">
        <v>1516.6</v>
      </c>
      <c r="E7" s="15">
        <v>2016.6</v>
      </c>
      <c r="F7" s="428">
        <v>786.6</v>
      </c>
      <c r="G7" s="428">
        <v>1516.6</v>
      </c>
      <c r="H7" s="9">
        <v>786.6</v>
      </c>
      <c r="I7" s="9">
        <v>1516.6</v>
      </c>
      <c r="J7" s="9">
        <v>2016.6</v>
      </c>
    </row>
    <row r="8" spans="2:13">
      <c r="B8" s="8" t="s">
        <v>62</v>
      </c>
      <c r="C8" s="15">
        <v>4900</v>
      </c>
      <c r="D8" s="15">
        <v>6500</v>
      </c>
      <c r="E8" s="15">
        <v>7986</v>
      </c>
      <c r="F8" s="428">
        <v>5248</v>
      </c>
      <c r="G8" s="428">
        <v>7504.9531250000009</v>
      </c>
      <c r="H8" s="9">
        <v>5300</v>
      </c>
      <c r="I8" s="9">
        <v>9450</v>
      </c>
      <c r="J8" s="9">
        <v>10000</v>
      </c>
    </row>
    <row r="9" spans="2:13">
      <c r="B9" s="8" t="s">
        <v>63</v>
      </c>
      <c r="C9" s="15">
        <v>800</v>
      </c>
      <c r="D9" s="15">
        <v>1200</v>
      </c>
      <c r="E9" s="15">
        <v>2550</v>
      </c>
      <c r="F9" s="428">
        <v>948</v>
      </c>
      <c r="G9" s="428">
        <v>1811</v>
      </c>
      <c r="H9" s="9">
        <v>1896</v>
      </c>
      <c r="I9" s="9">
        <v>3622</v>
      </c>
      <c r="J9" s="9">
        <v>9000</v>
      </c>
      <c r="M9" s="12"/>
    </row>
    <row r="10" spans="2:13">
      <c r="B10" s="8" t="s">
        <v>64</v>
      </c>
      <c r="C10" s="15">
        <v>180</v>
      </c>
      <c r="D10" s="15">
        <v>180</v>
      </c>
      <c r="E10" s="15">
        <v>1498</v>
      </c>
      <c r="F10" s="428">
        <v>310</v>
      </c>
      <c r="G10" s="428">
        <v>1150</v>
      </c>
      <c r="H10" s="9">
        <v>310</v>
      </c>
      <c r="I10" s="9">
        <v>1150</v>
      </c>
      <c r="J10" s="9">
        <v>2223</v>
      </c>
    </row>
    <row r="11" spans="2:13">
      <c r="B11" s="8" t="s">
        <v>65</v>
      </c>
      <c r="C11" s="15">
        <v>157.5</v>
      </c>
      <c r="D11" s="15">
        <v>157.5</v>
      </c>
      <c r="E11" s="15">
        <v>147.5</v>
      </c>
      <c r="F11" s="428">
        <v>197.5</v>
      </c>
      <c r="G11" s="428">
        <v>197.5</v>
      </c>
      <c r="H11" s="9">
        <v>200</v>
      </c>
      <c r="I11" s="9">
        <v>300</v>
      </c>
      <c r="J11" s="9">
        <v>400</v>
      </c>
    </row>
    <row r="12" spans="2:13">
      <c r="B12" s="8" t="s">
        <v>66</v>
      </c>
      <c r="C12" s="15">
        <v>741</v>
      </c>
      <c r="D12" s="15">
        <v>1141.47</v>
      </c>
      <c r="E12" s="15">
        <v>3156</v>
      </c>
      <c r="F12" s="428">
        <v>958.3</v>
      </c>
      <c r="G12" s="428">
        <v>2500</v>
      </c>
      <c r="H12" s="9">
        <v>1665</v>
      </c>
      <c r="I12" s="9">
        <v>3411</v>
      </c>
      <c r="J12" s="9">
        <v>4486</v>
      </c>
    </row>
    <row r="13" spans="2:13">
      <c r="B13" s="8" t="s">
        <v>67</v>
      </c>
      <c r="C13" s="15">
        <v>115000</v>
      </c>
      <c r="D13" s="15">
        <v>158875</v>
      </c>
      <c r="E13" s="15">
        <v>161125</v>
      </c>
      <c r="F13" s="428">
        <v>115000.7</v>
      </c>
      <c r="G13" s="428">
        <v>158878.28999999998</v>
      </c>
      <c r="H13" s="9">
        <v>115000</v>
      </c>
      <c r="I13" s="9">
        <v>168500</v>
      </c>
      <c r="J13" s="9">
        <v>191500</v>
      </c>
    </row>
    <row r="14" spans="2:13">
      <c r="B14" s="8" t="s">
        <v>68</v>
      </c>
      <c r="C14" s="15">
        <v>0</v>
      </c>
      <c r="D14" s="15">
        <v>0</v>
      </c>
      <c r="E14" s="15">
        <v>0</v>
      </c>
      <c r="F14" s="428">
        <v>0</v>
      </c>
      <c r="G14" s="428">
        <v>0</v>
      </c>
      <c r="H14" s="9">
        <v>0</v>
      </c>
      <c r="I14" s="9">
        <v>0</v>
      </c>
      <c r="J14" s="9">
        <v>0</v>
      </c>
    </row>
    <row r="15" spans="2:13">
      <c r="B15" s="8" t="s">
        <v>69</v>
      </c>
      <c r="C15" s="15">
        <v>500</v>
      </c>
      <c r="D15" s="15">
        <v>500</v>
      </c>
      <c r="E15" s="15">
        <v>500</v>
      </c>
      <c r="F15" s="428">
        <v>1155.3842000000002</v>
      </c>
      <c r="G15" s="428">
        <v>1020.9452000000001</v>
      </c>
      <c r="H15" s="9">
        <v>1995.4137147075724</v>
      </c>
      <c r="I15" s="9">
        <v>1995.4137147075724</v>
      </c>
      <c r="J15" s="9">
        <v>1995.4137147075724</v>
      </c>
    </row>
    <row r="16" spans="2:13">
      <c r="B16" s="8" t="s">
        <v>70</v>
      </c>
      <c r="C16" s="15">
        <v>0</v>
      </c>
      <c r="D16" s="15">
        <v>0</v>
      </c>
      <c r="E16" s="15">
        <v>0</v>
      </c>
      <c r="F16" s="428">
        <v>0</v>
      </c>
      <c r="G16" s="428">
        <v>0</v>
      </c>
      <c r="H16" s="9">
        <v>0</v>
      </c>
      <c r="I16" s="9">
        <v>0</v>
      </c>
      <c r="J16" s="9">
        <v>0</v>
      </c>
    </row>
    <row r="17" spans="2:13">
      <c r="B17" s="8" t="s">
        <v>71</v>
      </c>
      <c r="C17" s="15">
        <v>3500</v>
      </c>
      <c r="D17" s="15">
        <v>3500</v>
      </c>
      <c r="E17" s="15">
        <v>3500</v>
      </c>
      <c r="F17" s="428">
        <v>6150.2277999999997</v>
      </c>
      <c r="G17" s="428">
        <v>4925.4898000000003</v>
      </c>
      <c r="H17" s="9">
        <v>10504.586285292426</v>
      </c>
      <c r="I17" s="9">
        <v>10504.586285292426</v>
      </c>
      <c r="J17" s="9">
        <v>10504.586285292426</v>
      </c>
    </row>
    <row r="18" spans="2:13">
      <c r="B18" s="8" t="s">
        <v>72</v>
      </c>
      <c r="C18" s="15">
        <v>634</v>
      </c>
      <c r="D18" s="15">
        <v>696</v>
      </c>
      <c r="E18" s="15">
        <v>861</v>
      </c>
      <c r="F18" s="428">
        <v>861</v>
      </c>
      <c r="G18" s="428">
        <v>861</v>
      </c>
      <c r="H18" s="9">
        <v>1200</v>
      </c>
      <c r="I18" s="9">
        <v>2500</v>
      </c>
      <c r="J18" s="9">
        <v>3700</v>
      </c>
    </row>
    <row r="19" spans="2:13">
      <c r="B19" s="8" t="s">
        <v>73</v>
      </c>
      <c r="C19" s="15">
        <v>45400</v>
      </c>
      <c r="D19" s="15">
        <v>65400</v>
      </c>
      <c r="E19" s="15">
        <v>75400</v>
      </c>
      <c r="F19" s="428">
        <v>48317.493999999984</v>
      </c>
      <c r="G19" s="428">
        <v>72616.948999999979</v>
      </c>
      <c r="H19" s="9">
        <v>57200</v>
      </c>
      <c r="I19" s="9">
        <v>92900</v>
      </c>
      <c r="J19" s="9">
        <v>104418</v>
      </c>
      <c r="M19" s="12"/>
    </row>
    <row r="20" spans="2:13">
      <c r="B20" s="8" t="s">
        <v>75</v>
      </c>
      <c r="C20" s="15">
        <v>13000</v>
      </c>
      <c r="D20" s="15">
        <v>13000</v>
      </c>
      <c r="E20" s="15">
        <v>13000</v>
      </c>
      <c r="F20" s="428">
        <v>25992.471153341343</v>
      </c>
      <c r="G20" s="428">
        <v>54790.053815191844</v>
      </c>
      <c r="H20" s="9">
        <v>26000</v>
      </c>
      <c r="I20" s="9">
        <v>66000</v>
      </c>
      <c r="J20" s="9">
        <v>106000</v>
      </c>
    </row>
    <row r="21" spans="2:13">
      <c r="B21" s="8" t="s">
        <v>76</v>
      </c>
      <c r="C21" s="15">
        <v>28000</v>
      </c>
      <c r="D21" s="15">
        <v>30500</v>
      </c>
      <c r="E21" s="15">
        <v>40000</v>
      </c>
      <c r="F21" s="428">
        <v>31299.999675552579</v>
      </c>
      <c r="G21" s="428">
        <v>44420.729675552575</v>
      </c>
      <c r="H21" s="9">
        <v>39000</v>
      </c>
      <c r="I21" s="9">
        <v>61000</v>
      </c>
      <c r="J21" s="9">
        <v>80000</v>
      </c>
    </row>
    <row r="22" spans="2:13">
      <c r="B22" s="8" t="s">
        <v>77</v>
      </c>
      <c r="C22" s="15">
        <v>6588.811070916744</v>
      </c>
      <c r="D22" s="15">
        <v>7000</v>
      </c>
      <c r="E22" s="15">
        <v>10000</v>
      </c>
      <c r="F22" s="428">
        <v>6300.0000000000036</v>
      </c>
      <c r="G22" s="428">
        <v>9900.0000000000018</v>
      </c>
      <c r="H22" s="9">
        <v>10000</v>
      </c>
      <c r="I22" s="9">
        <v>15000</v>
      </c>
      <c r="J22" s="9">
        <v>25000</v>
      </c>
      <c r="L22" s="16" t="s">
        <v>74</v>
      </c>
    </row>
    <row r="23" spans="2:13">
      <c r="B23" s="8" t="s">
        <v>78</v>
      </c>
      <c r="C23" s="15">
        <v>500</v>
      </c>
      <c r="D23" s="15">
        <v>800</v>
      </c>
      <c r="E23" s="15">
        <v>1000</v>
      </c>
      <c r="F23" s="428">
        <v>800</v>
      </c>
      <c r="G23" s="428">
        <v>1100</v>
      </c>
      <c r="H23" s="9">
        <v>2500</v>
      </c>
      <c r="I23" s="9">
        <v>2500</v>
      </c>
      <c r="J23" s="9">
        <v>2500</v>
      </c>
    </row>
    <row r="24" spans="2:13">
      <c r="B24" s="8" t="s">
        <v>79</v>
      </c>
      <c r="C24" s="15">
        <v>1500</v>
      </c>
      <c r="D24" s="15">
        <v>2000</v>
      </c>
      <c r="E24" s="15">
        <v>2000</v>
      </c>
      <c r="F24" s="428">
        <v>1441.95</v>
      </c>
      <c r="G24" s="428">
        <v>1999.9499999999998</v>
      </c>
      <c r="H24" s="9">
        <v>1800</v>
      </c>
      <c r="I24" s="9">
        <v>2500</v>
      </c>
      <c r="J24" s="9">
        <v>3000</v>
      </c>
      <c r="M24" s="12"/>
    </row>
    <row r="25" spans="2:13">
      <c r="B25" s="8" t="s">
        <v>80</v>
      </c>
      <c r="C25" s="15">
        <v>334.29</v>
      </c>
      <c r="D25" s="15">
        <v>0</v>
      </c>
      <c r="E25" s="15">
        <v>0</v>
      </c>
      <c r="F25" s="428">
        <v>334.28999999999996</v>
      </c>
      <c r="G25" s="428">
        <v>334.28999999999996</v>
      </c>
      <c r="H25" s="9">
        <v>1080</v>
      </c>
      <c r="I25" s="9">
        <v>2000</v>
      </c>
      <c r="J25" s="9">
        <v>3000</v>
      </c>
      <c r="M25" s="12"/>
    </row>
    <row r="26" spans="2:13">
      <c r="B26" s="8" t="s">
        <v>81</v>
      </c>
      <c r="C26" s="15" t="s">
        <v>120</v>
      </c>
      <c r="D26" s="15" t="s">
        <v>121</v>
      </c>
      <c r="E26" s="15" t="s">
        <v>121</v>
      </c>
      <c r="F26" s="428">
        <v>8952.7999999999993</v>
      </c>
      <c r="G26" s="428">
        <v>9685.9999999999964</v>
      </c>
      <c r="H26" s="9" t="s">
        <v>122</v>
      </c>
      <c r="I26" s="9" t="s">
        <v>123</v>
      </c>
      <c r="J26" s="9" t="s">
        <v>124</v>
      </c>
    </row>
    <row r="27" spans="2:13">
      <c r="B27" s="8" t="s">
        <v>85</v>
      </c>
      <c r="C27" s="15">
        <v>1623</v>
      </c>
      <c r="D27" s="15">
        <v>1803</v>
      </c>
      <c r="E27" s="15">
        <v>1803</v>
      </c>
      <c r="F27" s="428">
        <v>1802.8197699999998</v>
      </c>
      <c r="G27" s="428">
        <v>1802.8197699999998</v>
      </c>
      <c r="H27" s="9">
        <v>1893</v>
      </c>
      <c r="I27" s="9">
        <v>1983</v>
      </c>
      <c r="J27" s="9">
        <v>3156</v>
      </c>
    </row>
    <row r="28" spans="2:13">
      <c r="B28" s="8" t="s">
        <v>86</v>
      </c>
      <c r="C28" s="15">
        <v>382</v>
      </c>
      <c r="D28" s="15">
        <v>424</v>
      </c>
      <c r="E28" s="15">
        <v>659</v>
      </c>
      <c r="F28" s="428">
        <v>424</v>
      </c>
      <c r="G28" s="428">
        <v>659</v>
      </c>
      <c r="H28" s="9">
        <v>445</v>
      </c>
      <c r="I28" s="9">
        <v>725</v>
      </c>
      <c r="J28" s="9">
        <v>1153</v>
      </c>
    </row>
    <row r="29" spans="2:13">
      <c r="B29" s="8" t="s">
        <v>87</v>
      </c>
      <c r="C29" s="15">
        <v>2801</v>
      </c>
      <c r="D29" s="15">
        <v>3112</v>
      </c>
      <c r="E29" s="15">
        <v>5498</v>
      </c>
      <c r="F29" s="428">
        <v>3112</v>
      </c>
      <c r="G29" s="428">
        <v>5498.0000000000018</v>
      </c>
      <c r="H29" s="9">
        <v>3268</v>
      </c>
      <c r="I29" s="9">
        <v>6048</v>
      </c>
      <c r="J29" s="9">
        <v>9623</v>
      </c>
    </row>
    <row r="30" spans="2:13">
      <c r="B30" s="8" t="s">
        <v>88</v>
      </c>
      <c r="C30" s="15">
        <v>254</v>
      </c>
      <c r="D30" s="15">
        <v>282</v>
      </c>
      <c r="E30" s="15">
        <v>1022</v>
      </c>
      <c r="F30" s="428">
        <v>282</v>
      </c>
      <c r="G30" s="428">
        <v>1022</v>
      </c>
      <c r="H30" s="9">
        <v>296</v>
      </c>
      <c r="I30" s="9">
        <v>1124</v>
      </c>
      <c r="J30" s="9">
        <v>1789</v>
      </c>
    </row>
    <row r="31" spans="2:13">
      <c r="B31" s="8" t="s">
        <v>89</v>
      </c>
      <c r="C31" s="15">
        <v>7180</v>
      </c>
      <c r="D31" s="15">
        <v>7978</v>
      </c>
      <c r="E31" s="15">
        <v>7978</v>
      </c>
      <c r="F31" s="428">
        <v>7978</v>
      </c>
      <c r="G31" s="428">
        <v>7978</v>
      </c>
      <c r="H31" s="9">
        <v>8377</v>
      </c>
      <c r="I31" s="9">
        <v>8776</v>
      </c>
      <c r="J31" s="9">
        <v>13964</v>
      </c>
    </row>
    <row r="32" spans="2:13">
      <c r="B32" s="8" t="s">
        <v>90</v>
      </c>
      <c r="C32" s="15">
        <v>1674</v>
      </c>
      <c r="D32" s="15">
        <v>1860</v>
      </c>
      <c r="E32" s="15">
        <v>1860</v>
      </c>
      <c r="F32" s="428">
        <v>1860</v>
      </c>
      <c r="G32" s="428">
        <v>1860</v>
      </c>
      <c r="H32" s="9">
        <v>1953</v>
      </c>
      <c r="I32" s="9">
        <v>2046</v>
      </c>
      <c r="J32" s="9">
        <v>3256</v>
      </c>
    </row>
    <row r="33" spans="2:13">
      <c r="B33" s="8" t="s">
        <v>91</v>
      </c>
      <c r="C33" s="15">
        <v>2657</v>
      </c>
      <c r="D33" s="15">
        <v>2952</v>
      </c>
      <c r="E33" s="15">
        <v>4246</v>
      </c>
      <c r="F33" s="428">
        <v>2952</v>
      </c>
      <c r="G33" s="428">
        <v>4246</v>
      </c>
      <c r="H33" s="9">
        <v>3100</v>
      </c>
      <c r="I33" s="9">
        <v>4671</v>
      </c>
      <c r="J33" s="9">
        <v>7432</v>
      </c>
    </row>
    <row r="34" spans="2:13">
      <c r="B34" s="8" t="s">
        <v>92</v>
      </c>
      <c r="C34" s="15">
        <v>5000</v>
      </c>
      <c r="D34" s="15">
        <v>5430</v>
      </c>
      <c r="E34" s="15">
        <v>5650</v>
      </c>
      <c r="F34" s="428">
        <v>5000.0200000000004</v>
      </c>
      <c r="G34" s="428">
        <v>5430.02</v>
      </c>
      <c r="H34" s="9">
        <v>5000</v>
      </c>
      <c r="I34" s="9">
        <v>5430</v>
      </c>
      <c r="J34" s="9">
        <v>5650</v>
      </c>
      <c r="M34" s="12"/>
    </row>
    <row r="35" spans="2:13">
      <c r="B35" s="8" t="s">
        <v>93</v>
      </c>
      <c r="C35" s="15">
        <v>0</v>
      </c>
      <c r="D35" s="15">
        <v>0</v>
      </c>
      <c r="E35" s="15">
        <v>0</v>
      </c>
      <c r="F35" s="428">
        <v>0</v>
      </c>
      <c r="G35" s="428">
        <v>0</v>
      </c>
      <c r="H35" s="9">
        <v>0</v>
      </c>
      <c r="I35" s="9">
        <v>0</v>
      </c>
      <c r="J35" s="9">
        <v>0</v>
      </c>
      <c r="M35" s="12"/>
    </row>
    <row r="36" spans="2:13">
      <c r="B36" s="8" t="s">
        <v>94</v>
      </c>
      <c r="C36" s="15">
        <v>0</v>
      </c>
      <c r="D36" s="15">
        <v>0</v>
      </c>
      <c r="E36" s="15">
        <v>0</v>
      </c>
      <c r="F36" s="428">
        <v>0</v>
      </c>
      <c r="G36" s="428">
        <v>0</v>
      </c>
      <c r="H36" s="9">
        <v>0</v>
      </c>
      <c r="I36" s="9">
        <v>0</v>
      </c>
      <c r="J36" s="9">
        <v>0</v>
      </c>
      <c r="M36" s="12"/>
    </row>
    <row r="37" spans="2:13">
      <c r="B37" s="8" t="s">
        <v>95</v>
      </c>
      <c r="C37" s="15">
        <v>0</v>
      </c>
      <c r="D37" s="15">
        <v>0</v>
      </c>
      <c r="E37" s="15">
        <v>0</v>
      </c>
      <c r="F37" s="428">
        <v>400</v>
      </c>
      <c r="G37" s="428">
        <v>500</v>
      </c>
      <c r="H37" s="9">
        <v>400</v>
      </c>
      <c r="I37" s="9">
        <v>500</v>
      </c>
      <c r="J37" s="9">
        <v>600</v>
      </c>
      <c r="M37" s="12"/>
    </row>
    <row r="38" spans="2:13">
      <c r="B38" s="8" t="s">
        <v>96</v>
      </c>
      <c r="C38" s="15">
        <v>0</v>
      </c>
      <c r="D38" s="15">
        <v>0</v>
      </c>
      <c r="E38" s="15">
        <v>0</v>
      </c>
      <c r="F38" s="428">
        <v>0</v>
      </c>
      <c r="G38" s="428">
        <v>0</v>
      </c>
      <c r="H38" s="9">
        <v>0</v>
      </c>
      <c r="I38" s="9">
        <v>0</v>
      </c>
      <c r="J38" s="9">
        <v>0</v>
      </c>
      <c r="M38" s="12"/>
    </row>
    <row r="39" spans="2:13">
      <c r="B39" s="8" t="s">
        <v>97</v>
      </c>
      <c r="C39" s="15">
        <v>237</v>
      </c>
      <c r="D39" s="15">
        <v>352</v>
      </c>
      <c r="E39" s="15">
        <v>352</v>
      </c>
      <c r="F39" s="428">
        <v>237</v>
      </c>
      <c r="G39" s="428">
        <v>352</v>
      </c>
      <c r="H39" s="9">
        <v>450</v>
      </c>
      <c r="I39" s="9">
        <v>550</v>
      </c>
      <c r="J39" s="9">
        <v>650</v>
      </c>
      <c r="M39" s="12"/>
    </row>
    <row r="40" spans="2:13">
      <c r="B40" s="8" t="s">
        <v>98</v>
      </c>
      <c r="C40" s="15">
        <v>0</v>
      </c>
      <c r="D40" s="15">
        <v>0</v>
      </c>
      <c r="E40" s="15">
        <v>0</v>
      </c>
      <c r="F40" s="428">
        <v>254.2</v>
      </c>
      <c r="G40" s="428">
        <v>254.2</v>
      </c>
      <c r="H40" s="9">
        <v>254.2</v>
      </c>
      <c r="I40" s="9">
        <v>254.2</v>
      </c>
      <c r="J40" s="9">
        <v>254.2</v>
      </c>
    </row>
    <row r="41" spans="2:13">
      <c r="B41" s="8" t="s">
        <v>99</v>
      </c>
      <c r="C41" s="15">
        <v>180</v>
      </c>
      <c r="D41" s="15">
        <v>440</v>
      </c>
      <c r="E41" s="15">
        <v>440</v>
      </c>
      <c r="F41" s="428">
        <v>410</v>
      </c>
      <c r="G41" s="428">
        <v>750</v>
      </c>
      <c r="H41" s="9">
        <v>1100</v>
      </c>
      <c r="I41" s="9">
        <v>1500</v>
      </c>
      <c r="J41" s="9">
        <v>1500</v>
      </c>
    </row>
    <row r="42" spans="2:13">
      <c r="B42" s="8" t="s">
        <v>100</v>
      </c>
      <c r="C42" s="15">
        <v>0</v>
      </c>
      <c r="D42" s="15">
        <v>0</v>
      </c>
      <c r="E42" s="15">
        <v>0</v>
      </c>
      <c r="F42" s="428">
        <v>0</v>
      </c>
      <c r="G42" s="428">
        <v>0</v>
      </c>
      <c r="H42" s="9">
        <v>0</v>
      </c>
      <c r="I42" s="9">
        <v>0</v>
      </c>
      <c r="J42" s="9">
        <v>0</v>
      </c>
    </row>
    <row r="43" spans="2:13">
      <c r="B43" s="8" t="s">
        <v>101</v>
      </c>
      <c r="C43" s="15">
        <v>7500</v>
      </c>
      <c r="D43" s="15">
        <v>8700</v>
      </c>
      <c r="E43" s="15">
        <v>10000</v>
      </c>
      <c r="F43" s="428">
        <v>9100.0495699411495</v>
      </c>
      <c r="G43" s="428">
        <v>11425.049569941149</v>
      </c>
      <c r="H43" s="9">
        <v>10300</v>
      </c>
      <c r="I43" s="9">
        <v>15100</v>
      </c>
      <c r="J43" s="9">
        <v>20000</v>
      </c>
    </row>
    <row r="44" spans="2:13">
      <c r="B44" s="8" t="s">
        <v>102</v>
      </c>
      <c r="C44" s="15">
        <v>2401.4</v>
      </c>
      <c r="D44" s="15">
        <v>2424.5749999999998</v>
      </c>
      <c r="E44" s="15">
        <v>2424.5749999999998</v>
      </c>
      <c r="F44" s="428">
        <v>2424.5749999999998</v>
      </c>
      <c r="G44" s="428">
        <v>2424.5749999999998</v>
      </c>
      <c r="H44" s="9">
        <v>2424.5749999999998</v>
      </c>
      <c r="I44" s="9">
        <v>2424.5749999999998</v>
      </c>
      <c r="J44" s="9">
        <v>2424.5749999999998</v>
      </c>
    </row>
    <row r="45" spans="2:13">
      <c r="B45" s="8" t="s">
        <v>103</v>
      </c>
      <c r="C45" s="15">
        <v>1108.0899999999999</v>
      </c>
      <c r="D45" s="15">
        <v>1858.09</v>
      </c>
      <c r="E45" s="15">
        <v>1858.09</v>
      </c>
      <c r="F45" s="428">
        <v>1108.0899999999999</v>
      </c>
      <c r="G45" s="428">
        <v>1858.09</v>
      </c>
      <c r="H45" s="9">
        <v>1108.0899999999999</v>
      </c>
      <c r="I45" s="9">
        <v>1858.09</v>
      </c>
      <c r="J45" s="9">
        <v>1858.09</v>
      </c>
    </row>
    <row r="46" spans="2:13">
      <c r="B46" s="8" t="s">
        <v>104</v>
      </c>
      <c r="C46" s="15">
        <v>1797.9</v>
      </c>
      <c r="D46" s="15">
        <v>2060.6999999999998</v>
      </c>
      <c r="E46" s="15">
        <v>2260.6999999999998</v>
      </c>
      <c r="F46" s="428">
        <v>2240.56</v>
      </c>
      <c r="G46" s="428">
        <v>2640.56</v>
      </c>
      <c r="H46" s="9">
        <v>2260.6999999999998</v>
      </c>
      <c r="I46" s="9">
        <v>2640.56</v>
      </c>
      <c r="J46" s="9">
        <v>2640.56</v>
      </c>
    </row>
    <row r="47" spans="2:13">
      <c r="B47" s="8" t="s">
        <v>105</v>
      </c>
      <c r="C47" s="15">
        <v>10806</v>
      </c>
      <c r="D47" s="15">
        <v>10806</v>
      </c>
      <c r="E47" s="15">
        <v>10806</v>
      </c>
      <c r="F47" s="428">
        <v>13767.84</v>
      </c>
      <c r="G47" s="428">
        <v>13767.84</v>
      </c>
      <c r="H47" s="9">
        <v>19000</v>
      </c>
      <c r="I47" s="9">
        <v>40000</v>
      </c>
      <c r="J47" s="9">
        <v>62000</v>
      </c>
    </row>
    <row r="48" spans="2:13">
      <c r="B48" s="8" t="s">
        <v>106</v>
      </c>
      <c r="C48" s="15">
        <v>8699.5</v>
      </c>
      <c r="D48" s="15">
        <v>10463</v>
      </c>
      <c r="E48" s="15">
        <v>10463</v>
      </c>
      <c r="F48" s="428">
        <v>8699.4999999999982</v>
      </c>
      <c r="G48" s="428">
        <v>10852.5</v>
      </c>
      <c r="H48" s="9">
        <v>10000</v>
      </c>
      <c r="I48" s="9">
        <v>13000</v>
      </c>
      <c r="J48" s="9">
        <v>13000</v>
      </c>
    </row>
    <row r="49" spans="2:13">
      <c r="B49" s="8" t="s">
        <v>107</v>
      </c>
      <c r="C49" s="15">
        <v>5255</v>
      </c>
      <c r="D49" s="15">
        <v>6000</v>
      </c>
      <c r="E49" s="15">
        <v>6000</v>
      </c>
      <c r="F49" s="428">
        <v>6000.0000000000018</v>
      </c>
      <c r="G49" s="428">
        <v>8108.0030000000015</v>
      </c>
      <c r="H49" s="9">
        <v>6500</v>
      </c>
      <c r="I49" s="9">
        <v>8500</v>
      </c>
      <c r="J49" s="9">
        <v>9000</v>
      </c>
    </row>
    <row r="50" spans="2:13">
      <c r="B50" s="8" t="s">
        <v>108</v>
      </c>
      <c r="C50" s="15">
        <v>4282.25</v>
      </c>
      <c r="D50" s="15">
        <v>4282.25</v>
      </c>
      <c r="E50" s="15">
        <v>4282.25</v>
      </c>
      <c r="F50" s="428">
        <v>4812.1499999999996</v>
      </c>
      <c r="G50" s="428">
        <v>4812.1499999999996</v>
      </c>
      <c r="H50" s="9">
        <v>4812.1499999999996</v>
      </c>
      <c r="I50" s="9">
        <v>4812.1499999999996</v>
      </c>
      <c r="J50" s="9">
        <v>4812.1499999999996</v>
      </c>
    </row>
    <row r="51" spans="2:13">
      <c r="B51" s="8" t="s">
        <v>109</v>
      </c>
      <c r="C51" s="15">
        <v>2930</v>
      </c>
      <c r="D51" s="15">
        <v>3670</v>
      </c>
      <c r="E51" s="15">
        <v>3670</v>
      </c>
      <c r="F51" s="428">
        <v>3580.5430008005674</v>
      </c>
      <c r="G51" s="428">
        <v>6500</v>
      </c>
      <c r="H51" s="9">
        <v>4200</v>
      </c>
      <c r="I51" s="9">
        <v>6700</v>
      </c>
      <c r="J51" s="9">
        <v>10600</v>
      </c>
    </row>
    <row r="52" spans="2:13">
      <c r="B52" s="8" t="s">
        <v>110</v>
      </c>
      <c r="C52" s="15">
        <v>7000</v>
      </c>
      <c r="D52" s="15">
        <v>7500</v>
      </c>
      <c r="E52" s="15">
        <v>8200</v>
      </c>
      <c r="F52" s="428">
        <v>8280.4476577003134</v>
      </c>
      <c r="G52" s="428">
        <v>10000</v>
      </c>
      <c r="H52" s="9">
        <v>9900</v>
      </c>
      <c r="I52" s="9">
        <v>15800</v>
      </c>
      <c r="J52" s="9">
        <v>20800</v>
      </c>
    </row>
    <row r="53" spans="2:13">
      <c r="B53" s="8" t="s">
        <v>111</v>
      </c>
      <c r="C53" s="15">
        <v>3868.2232708662141</v>
      </c>
      <c r="D53" s="15">
        <v>4320</v>
      </c>
      <c r="E53" s="15">
        <v>4320</v>
      </c>
      <c r="F53" s="428">
        <v>3868.2232708662141</v>
      </c>
      <c r="G53" s="428">
        <v>3900</v>
      </c>
      <c r="H53" s="9">
        <v>4900</v>
      </c>
      <c r="I53" s="9">
        <v>8500</v>
      </c>
      <c r="J53" s="9">
        <v>11500</v>
      </c>
      <c r="M53" s="12"/>
    </row>
    <row r="54" spans="2:13">
      <c r="B54" s="8" t="s">
        <v>112</v>
      </c>
      <c r="C54" s="15">
        <v>2000</v>
      </c>
      <c r="D54" s="15">
        <v>2370</v>
      </c>
      <c r="E54" s="15">
        <v>2370</v>
      </c>
      <c r="F54" s="428">
        <v>2222.9385092293969</v>
      </c>
      <c r="G54" s="428">
        <v>2222.9385092293969</v>
      </c>
      <c r="H54" s="9">
        <v>2600</v>
      </c>
      <c r="I54" s="9">
        <v>3900</v>
      </c>
      <c r="J54" s="9">
        <v>6200</v>
      </c>
    </row>
    <row r="55" spans="2:13">
      <c r="B55" s="8" t="s">
        <v>113</v>
      </c>
      <c r="C55" s="15">
        <v>60</v>
      </c>
      <c r="D55" s="15">
        <v>120</v>
      </c>
      <c r="E55" s="15">
        <v>64</v>
      </c>
      <c r="F55" s="428">
        <v>122.4434554334554</v>
      </c>
      <c r="G55" s="428">
        <v>305.50450549450539</v>
      </c>
      <c r="H55" s="9">
        <v>151</v>
      </c>
      <c r="I55" s="9">
        <v>339</v>
      </c>
      <c r="J55" s="9">
        <v>418</v>
      </c>
    </row>
    <row r="56" spans="2:13">
      <c r="B56" s="8" t="s">
        <v>114</v>
      </c>
      <c r="C56" s="15">
        <v>715</v>
      </c>
      <c r="D56" s="15">
        <v>855</v>
      </c>
      <c r="E56" s="15">
        <v>1000</v>
      </c>
      <c r="F56" s="428">
        <v>715</v>
      </c>
      <c r="G56" s="428">
        <v>1225</v>
      </c>
      <c r="H56" s="9">
        <v>715</v>
      </c>
      <c r="I56" s="9">
        <v>1355</v>
      </c>
      <c r="J56" s="9">
        <v>2000</v>
      </c>
    </row>
    <row r="57" spans="2:13">
      <c r="B57" s="8" t="s">
        <v>115</v>
      </c>
      <c r="C57" s="15">
        <v>22270.589699999899</v>
      </c>
      <c r="D57" s="15">
        <v>22270.589699999899</v>
      </c>
      <c r="E57" s="15">
        <v>22270.589699999899</v>
      </c>
      <c r="F57" s="428">
        <v>29733.175208839992</v>
      </c>
      <c r="G57" s="428">
        <v>42040.082894799998</v>
      </c>
      <c r="H57" s="9">
        <v>39037.568399999902</v>
      </c>
      <c r="I57" s="9">
        <v>42040.08</v>
      </c>
      <c r="J57" s="9">
        <v>50104.57</v>
      </c>
    </row>
    <row r="58" spans="2:13">
      <c r="B58" s="8" t="s">
        <v>116</v>
      </c>
      <c r="C58" s="15">
        <v>2466</v>
      </c>
      <c r="D58" s="15" t="s">
        <v>125</v>
      </c>
      <c r="E58" s="15" t="s">
        <v>125</v>
      </c>
      <c r="F58" s="428">
        <v>2466</v>
      </c>
      <c r="G58" s="428">
        <v>3412.9999999999982</v>
      </c>
      <c r="H58" s="9" t="s">
        <v>126</v>
      </c>
      <c r="I58" s="9" t="s">
        <v>127</v>
      </c>
      <c r="J58" s="9" t="s">
        <v>128</v>
      </c>
    </row>
    <row r="59" spans="2:13">
      <c r="B59" s="8" t="s">
        <v>117</v>
      </c>
      <c r="C59" s="17">
        <f>SUM(C5:C58)</f>
        <v>335450.15487608104</v>
      </c>
      <c r="D59" s="17">
        <f t="shared" ref="D59:J59" si="0">SUM(D5:D58)</f>
        <v>413399.77469999995</v>
      </c>
      <c r="E59" s="17">
        <f t="shared" si="0"/>
        <v>452337.30469999992</v>
      </c>
      <c r="F59" s="429">
        <f t="shared" si="0"/>
        <v>388188.29327286297</v>
      </c>
      <c r="G59" s="429">
        <f t="shared" si="0"/>
        <v>547661.08486636728</v>
      </c>
      <c r="H59" s="13">
        <f t="shared" si="0"/>
        <v>432258.88339999993</v>
      </c>
      <c r="I59" s="13">
        <f t="shared" si="0"/>
        <v>678965.255</v>
      </c>
      <c r="J59" s="13">
        <f t="shared" si="0"/>
        <v>867873.64661001775</v>
      </c>
    </row>
    <row r="61" spans="2:13">
      <c r="B61" s="6" t="s">
        <v>118</v>
      </c>
      <c r="C61" s="395">
        <f t="shared" ref="C61:J61" si="1">C6+SUM(C8:C9)+SUM(C11:C39)+SUM(C42:C43)+SUM(C47:C49)+SUM(C51:C56)</f>
        <v>299697.3251760811</v>
      </c>
      <c r="D61" s="395">
        <f t="shared" si="1"/>
        <v>377766.97</v>
      </c>
      <c r="E61" s="395">
        <f t="shared" si="1"/>
        <v>414686.5</v>
      </c>
      <c r="F61" s="395">
        <f t="shared" si="1"/>
        <v>343362.94306402281</v>
      </c>
      <c r="G61" s="395">
        <f t="shared" si="1"/>
        <v>486201.82697156718</v>
      </c>
      <c r="H61" s="395">
        <f t="shared" si="1"/>
        <v>379885</v>
      </c>
      <c r="I61" s="395">
        <f t="shared" si="1"/>
        <v>620169</v>
      </c>
      <c r="J61" s="395">
        <f t="shared" si="1"/>
        <v>799439.90161001787</v>
      </c>
    </row>
  </sheetData>
  <mergeCells count="3">
    <mergeCell ref="C3:E3"/>
    <mergeCell ref="F3:G3"/>
    <mergeCell ref="H3:J3"/>
  </mergeCells>
  <pageMargins left="0.7" right="0.7" top="0.75" bottom="0.75" header="0.3" footer="0.3"/>
  <headerFooter>
    <oddFooter>&amp;C_x000D_&amp;1#&amp;"Calibri"&amp;10&amp;K000000 ISC - Uso INTERNO / INTERNAL Use</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DC69B-0FC1-4009-B657-FB7A288BB02C}">
  <sheetPr codeName="Hoja8">
    <tabColor rgb="FFFFC000"/>
  </sheetPr>
  <dimension ref="B1:Q72"/>
  <sheetViews>
    <sheetView zoomScaleNormal="100" workbookViewId="0">
      <selection activeCell="G17" sqref="G17"/>
    </sheetView>
  </sheetViews>
  <sheetFormatPr defaultColWidth="11.42578125" defaultRowHeight="15"/>
  <cols>
    <col min="1" max="1" width="2.5703125" customWidth="1"/>
    <col min="2" max="2" width="7.5703125" bestFit="1" customWidth="1"/>
    <col min="3" max="7" width="8.5703125" bestFit="1" customWidth="1"/>
    <col min="8" max="10" width="8.5703125" style="18" bestFit="1" customWidth="1"/>
    <col min="11" max="11" width="8.7109375" style="18" bestFit="1" customWidth="1"/>
    <col min="12" max="12" width="8.5703125" style="18" bestFit="1" customWidth="1"/>
    <col min="13" max="15" width="8.5703125" bestFit="1" customWidth="1"/>
  </cols>
  <sheetData>
    <row r="1" spans="2:15" ht="23.25">
      <c r="B1" s="381" t="s">
        <v>11</v>
      </c>
    </row>
    <row r="3" spans="2:15">
      <c r="B3" s="6" t="s">
        <v>53</v>
      </c>
      <c r="C3" s="587" t="s">
        <v>54</v>
      </c>
      <c r="D3" s="587"/>
      <c r="E3" s="587"/>
      <c r="F3" s="587"/>
      <c r="G3" s="587"/>
      <c r="H3" s="588" t="s">
        <v>129</v>
      </c>
      <c r="I3" s="588"/>
      <c r="J3" s="588"/>
      <c r="K3" s="588"/>
      <c r="L3" s="588"/>
      <c r="M3" s="589" t="s">
        <v>56</v>
      </c>
      <c r="N3" s="589"/>
      <c r="O3" s="589"/>
    </row>
    <row r="4" spans="2:15">
      <c r="B4" s="8" t="s">
        <v>58</v>
      </c>
      <c r="C4" s="409">
        <v>2030</v>
      </c>
      <c r="D4" s="409">
        <v>2035</v>
      </c>
      <c r="E4" s="409">
        <v>2040</v>
      </c>
      <c r="F4" s="409">
        <v>2045</v>
      </c>
      <c r="G4" s="409">
        <v>2050</v>
      </c>
      <c r="H4" s="434">
        <v>2030</v>
      </c>
      <c r="I4" s="434">
        <v>2035</v>
      </c>
      <c r="J4" s="434">
        <v>2040</v>
      </c>
      <c r="K4" s="434">
        <v>2045</v>
      </c>
      <c r="L4" s="434">
        <v>2050</v>
      </c>
      <c r="M4" s="407">
        <v>2030</v>
      </c>
      <c r="N4" s="407">
        <v>2040</v>
      </c>
      <c r="O4" s="407">
        <v>2050</v>
      </c>
    </row>
    <row r="5" spans="2:15">
      <c r="B5" s="8" t="s">
        <v>59</v>
      </c>
      <c r="C5" s="15">
        <v>0</v>
      </c>
      <c r="D5" s="15">
        <v>0</v>
      </c>
      <c r="E5" s="15">
        <v>0</v>
      </c>
      <c r="F5" s="15">
        <v>0</v>
      </c>
      <c r="G5" s="15">
        <v>0</v>
      </c>
      <c r="H5" s="428">
        <v>0</v>
      </c>
      <c r="I5" s="428">
        <v>0</v>
      </c>
      <c r="J5" s="428">
        <v>0</v>
      </c>
      <c r="K5" s="428">
        <v>0</v>
      </c>
      <c r="L5" s="428">
        <v>0</v>
      </c>
      <c r="M5" s="9">
        <v>0</v>
      </c>
      <c r="N5" s="9">
        <v>0</v>
      </c>
      <c r="O5" s="9">
        <v>0</v>
      </c>
    </row>
    <row r="6" spans="2:15">
      <c r="B6" s="8" t="s">
        <v>60</v>
      </c>
      <c r="C6" s="15">
        <v>0</v>
      </c>
      <c r="D6" s="15">
        <v>0</v>
      </c>
      <c r="E6" s="15">
        <v>0</v>
      </c>
      <c r="F6" s="15">
        <v>0</v>
      </c>
      <c r="G6" s="15">
        <v>0</v>
      </c>
      <c r="H6" s="428">
        <v>0</v>
      </c>
      <c r="I6" s="428">
        <v>0</v>
      </c>
      <c r="J6" s="428">
        <v>0</v>
      </c>
      <c r="K6" s="428">
        <v>0</v>
      </c>
      <c r="L6" s="428">
        <v>0</v>
      </c>
      <c r="M6" s="9">
        <v>0</v>
      </c>
      <c r="N6" s="9">
        <v>0</v>
      </c>
      <c r="O6" s="9">
        <v>0</v>
      </c>
    </row>
    <row r="7" spans="2:15">
      <c r="B7" s="8" t="s">
        <v>61</v>
      </c>
      <c r="C7" s="15">
        <v>0</v>
      </c>
      <c r="D7" s="15">
        <v>0</v>
      </c>
      <c r="E7" s="15">
        <v>0</v>
      </c>
      <c r="F7" s="15">
        <v>0</v>
      </c>
      <c r="G7" s="15">
        <v>0</v>
      </c>
      <c r="H7" s="428">
        <v>0</v>
      </c>
      <c r="I7" s="428">
        <v>0</v>
      </c>
      <c r="J7" s="428">
        <v>0</v>
      </c>
      <c r="K7" s="428">
        <v>0</v>
      </c>
      <c r="L7" s="428">
        <v>0</v>
      </c>
      <c r="M7" s="9">
        <v>0</v>
      </c>
      <c r="N7" s="9">
        <v>0</v>
      </c>
      <c r="O7" s="9">
        <v>0</v>
      </c>
    </row>
    <row r="8" spans="2:15">
      <c r="B8" s="8" t="s">
        <v>62</v>
      </c>
      <c r="C8" s="15">
        <v>4360</v>
      </c>
      <c r="D8" s="15">
        <v>4360</v>
      </c>
      <c r="E8" s="15">
        <v>4360</v>
      </c>
      <c r="F8" s="15">
        <v>4360</v>
      </c>
      <c r="G8" s="15">
        <v>4360</v>
      </c>
      <c r="H8" s="428">
        <v>4360</v>
      </c>
      <c r="I8" s="428">
        <v>4360</v>
      </c>
      <c r="J8" s="428">
        <v>4360</v>
      </c>
      <c r="K8" s="428">
        <v>4360</v>
      </c>
      <c r="L8" s="428">
        <v>4360</v>
      </c>
      <c r="M8" s="9">
        <v>4360</v>
      </c>
      <c r="N8" s="9">
        <v>4360</v>
      </c>
      <c r="O8" s="9">
        <v>4360</v>
      </c>
    </row>
    <row r="9" spans="2:15">
      <c r="B9" s="8" t="s">
        <v>130</v>
      </c>
      <c r="C9" s="15">
        <v>1400</v>
      </c>
      <c r="D9" s="15">
        <v>1400</v>
      </c>
      <c r="E9" s="15">
        <v>3600</v>
      </c>
      <c r="F9" s="15">
        <v>3600</v>
      </c>
      <c r="G9" s="15">
        <v>3600</v>
      </c>
      <c r="H9" s="428">
        <v>1400</v>
      </c>
      <c r="I9" s="428">
        <v>1400</v>
      </c>
      <c r="J9" s="428">
        <v>3600</v>
      </c>
      <c r="K9" s="428">
        <v>3600</v>
      </c>
      <c r="L9" s="428">
        <v>3600</v>
      </c>
      <c r="M9" s="9">
        <v>1400</v>
      </c>
      <c r="N9" s="9">
        <v>3600</v>
      </c>
      <c r="O9" s="9">
        <v>3600</v>
      </c>
    </row>
    <row r="10" spans="2:15">
      <c r="B10" s="8" t="s">
        <v>63</v>
      </c>
      <c r="C10" s="15">
        <v>0</v>
      </c>
      <c r="D10" s="15">
        <v>0</v>
      </c>
      <c r="E10" s="15">
        <v>0</v>
      </c>
      <c r="F10" s="15">
        <v>0</v>
      </c>
      <c r="G10" s="15">
        <v>0</v>
      </c>
      <c r="H10" s="428">
        <v>0</v>
      </c>
      <c r="I10" s="428">
        <v>0</v>
      </c>
      <c r="J10" s="428">
        <v>0</v>
      </c>
      <c r="K10" s="428">
        <v>0</v>
      </c>
      <c r="L10" s="428">
        <v>0</v>
      </c>
      <c r="M10" s="9"/>
      <c r="N10" s="9">
        <v>298.56687898089172</v>
      </c>
      <c r="O10" s="9">
        <v>597.13375796178343</v>
      </c>
    </row>
    <row r="11" spans="2:15">
      <c r="B11" s="8" t="s">
        <v>64</v>
      </c>
      <c r="C11" s="15">
        <v>0</v>
      </c>
      <c r="D11" s="15">
        <v>0</v>
      </c>
      <c r="E11" s="15">
        <v>0</v>
      </c>
      <c r="F11" s="15">
        <v>0</v>
      </c>
      <c r="G11" s="15">
        <v>0</v>
      </c>
      <c r="H11" s="428">
        <v>0</v>
      </c>
      <c r="I11" s="428">
        <v>0</v>
      </c>
      <c r="J11" s="428">
        <v>0</v>
      </c>
      <c r="K11" s="428">
        <v>0</v>
      </c>
      <c r="L11" s="428">
        <v>0</v>
      </c>
      <c r="M11" s="9">
        <v>0</v>
      </c>
      <c r="N11" s="9">
        <v>0</v>
      </c>
      <c r="O11" s="9">
        <v>0</v>
      </c>
    </row>
    <row r="12" spans="2:15">
      <c r="B12" s="8" t="s">
        <v>65</v>
      </c>
      <c r="C12" s="15">
        <v>0</v>
      </c>
      <c r="D12" s="15">
        <v>0</v>
      </c>
      <c r="E12" s="15">
        <v>0</v>
      </c>
      <c r="F12" s="15">
        <v>0</v>
      </c>
      <c r="G12" s="15">
        <v>0</v>
      </c>
      <c r="H12" s="428">
        <v>0</v>
      </c>
      <c r="I12" s="428">
        <v>0</v>
      </c>
      <c r="J12" s="428">
        <v>0</v>
      </c>
      <c r="K12" s="428">
        <v>0</v>
      </c>
      <c r="L12" s="428">
        <v>0</v>
      </c>
      <c r="M12" s="9">
        <v>0</v>
      </c>
      <c r="N12" s="9">
        <v>0</v>
      </c>
      <c r="O12" s="9">
        <v>0</v>
      </c>
    </row>
    <row r="13" spans="2:15">
      <c r="B13" s="8" t="s">
        <v>66</v>
      </c>
      <c r="C13" s="15">
        <v>0</v>
      </c>
      <c r="D13" s="15">
        <v>0</v>
      </c>
      <c r="E13" s="15">
        <v>0</v>
      </c>
      <c r="F13" s="15">
        <v>0</v>
      </c>
      <c r="G13" s="15">
        <v>0</v>
      </c>
      <c r="H13" s="428">
        <v>0</v>
      </c>
      <c r="I13" s="428">
        <v>0</v>
      </c>
      <c r="J13" s="428">
        <v>0</v>
      </c>
      <c r="K13" s="428">
        <v>0</v>
      </c>
      <c r="L13" s="428">
        <v>0</v>
      </c>
      <c r="M13" s="9">
        <v>0</v>
      </c>
      <c r="N13" s="9">
        <v>0</v>
      </c>
      <c r="O13" s="9">
        <v>0</v>
      </c>
    </row>
    <row r="14" spans="2:15">
      <c r="B14" s="8" t="s">
        <v>67</v>
      </c>
      <c r="C14" s="15">
        <v>30185</v>
      </c>
      <c r="D14" s="15">
        <v>50185</v>
      </c>
      <c r="E14" s="15">
        <v>64723</v>
      </c>
      <c r="F14" s="15">
        <v>71748.25</v>
      </c>
      <c r="G14" s="15">
        <v>70248</v>
      </c>
      <c r="H14" s="428">
        <v>30185</v>
      </c>
      <c r="I14" s="428">
        <v>50185</v>
      </c>
      <c r="J14" s="428">
        <v>64723</v>
      </c>
      <c r="K14" s="428">
        <v>71748.25</v>
      </c>
      <c r="L14" s="428">
        <v>70248</v>
      </c>
      <c r="M14" s="9">
        <v>30185</v>
      </c>
      <c r="N14" s="9">
        <v>64723</v>
      </c>
      <c r="O14" s="9">
        <v>74248</v>
      </c>
    </row>
    <row r="15" spans="2:15">
      <c r="B15" s="8" t="s">
        <v>68</v>
      </c>
      <c r="C15" s="15">
        <v>336.3</v>
      </c>
      <c r="D15" s="15">
        <v>336.3</v>
      </c>
      <c r="E15" s="15">
        <v>672.6</v>
      </c>
      <c r="F15" s="15">
        <v>672.6</v>
      </c>
      <c r="G15" s="15">
        <v>672.6</v>
      </c>
      <c r="H15" s="428">
        <v>336.3</v>
      </c>
      <c r="I15" s="428">
        <v>336.3</v>
      </c>
      <c r="J15" s="428">
        <v>336.3</v>
      </c>
      <c r="K15" s="428">
        <v>336.3</v>
      </c>
      <c r="L15" s="428">
        <v>336.3</v>
      </c>
      <c r="M15" s="9">
        <v>336.3</v>
      </c>
      <c r="N15" s="9">
        <v>336.3</v>
      </c>
      <c r="O15" s="9">
        <v>336.3</v>
      </c>
    </row>
    <row r="16" spans="2:15">
      <c r="B16" s="8" t="s">
        <v>131</v>
      </c>
      <c r="C16" s="15">
        <v>3000</v>
      </c>
      <c r="D16" s="15">
        <v>3000</v>
      </c>
      <c r="E16" s="15">
        <v>3000</v>
      </c>
      <c r="F16" s="15">
        <v>3000</v>
      </c>
      <c r="G16" s="15">
        <v>3000</v>
      </c>
      <c r="H16" s="428">
        <v>3000</v>
      </c>
      <c r="I16" s="428">
        <v>3000</v>
      </c>
      <c r="J16" s="428">
        <v>3000</v>
      </c>
      <c r="K16" s="428">
        <v>3000</v>
      </c>
      <c r="L16" s="428">
        <v>3000</v>
      </c>
      <c r="M16" s="9">
        <v>7484.8</v>
      </c>
      <c r="N16" s="9">
        <v>7484.8</v>
      </c>
      <c r="O16" s="9">
        <v>7484.8</v>
      </c>
    </row>
    <row r="17" spans="2:17">
      <c r="B17" s="8" t="s">
        <v>69</v>
      </c>
      <c r="C17" s="15">
        <v>1923.4</v>
      </c>
      <c r="D17" s="15">
        <v>1923.4</v>
      </c>
      <c r="E17" s="15">
        <v>1923.4</v>
      </c>
      <c r="F17" s="15">
        <v>1923.4</v>
      </c>
      <c r="G17" s="15">
        <v>1923.4</v>
      </c>
      <c r="H17" s="428">
        <v>1923.4</v>
      </c>
      <c r="I17" s="428">
        <v>1923.4</v>
      </c>
      <c r="J17" s="428">
        <v>1923.4</v>
      </c>
      <c r="K17" s="428">
        <v>1923.4</v>
      </c>
      <c r="L17" s="428">
        <v>1923.4</v>
      </c>
      <c r="M17" s="9">
        <v>9404.8000000000011</v>
      </c>
      <c r="N17" s="9">
        <v>9404.8000000000011</v>
      </c>
      <c r="O17" s="9">
        <v>9404.8000000000011</v>
      </c>
    </row>
    <row r="18" spans="2:17">
      <c r="B18" s="8" t="s">
        <v>70</v>
      </c>
      <c r="C18" s="15">
        <v>604.79999999999995</v>
      </c>
      <c r="D18" s="15">
        <v>1604.8</v>
      </c>
      <c r="E18" s="15">
        <v>1604.8</v>
      </c>
      <c r="F18" s="15">
        <v>1604.8</v>
      </c>
      <c r="G18" s="15">
        <v>1604.8</v>
      </c>
      <c r="H18" s="428">
        <v>604.79999999999995</v>
      </c>
      <c r="I18" s="428">
        <v>1604.8</v>
      </c>
      <c r="J18" s="428">
        <v>1604.8</v>
      </c>
      <c r="K18" s="428">
        <v>1604.8</v>
      </c>
      <c r="L18" s="428">
        <v>1604.8</v>
      </c>
      <c r="M18" s="9">
        <v>2025.6000000000004</v>
      </c>
      <c r="N18" s="9">
        <v>2025.6000000000004</v>
      </c>
      <c r="O18" s="9">
        <v>2025.6000000000004</v>
      </c>
    </row>
    <row r="19" spans="2:17">
      <c r="B19" s="8" t="s">
        <v>132</v>
      </c>
      <c r="C19" s="15">
        <v>0</v>
      </c>
      <c r="D19" s="15">
        <v>6000</v>
      </c>
      <c r="E19" s="15">
        <v>10000</v>
      </c>
      <c r="F19" s="15">
        <v>10000</v>
      </c>
      <c r="G19" s="15">
        <v>10000</v>
      </c>
      <c r="H19" s="428">
        <v>0</v>
      </c>
      <c r="I19" s="428">
        <v>6000</v>
      </c>
      <c r="J19" s="428">
        <v>10000</v>
      </c>
      <c r="K19" s="428">
        <v>10000</v>
      </c>
      <c r="L19" s="428">
        <v>10000</v>
      </c>
      <c r="M19" s="9">
        <v>0</v>
      </c>
      <c r="N19" s="9">
        <v>10000</v>
      </c>
      <c r="O19" s="9">
        <v>10000</v>
      </c>
    </row>
    <row r="20" spans="2:17">
      <c r="B20" s="8" t="s">
        <v>71</v>
      </c>
      <c r="C20" s="15">
        <v>2722.3999999999992</v>
      </c>
      <c r="D20" s="15">
        <v>7722.3999999999987</v>
      </c>
      <c r="E20" s="15">
        <v>10722.4</v>
      </c>
      <c r="F20" s="15">
        <v>18722.400000000001</v>
      </c>
      <c r="G20" s="15">
        <v>26722.400000000001</v>
      </c>
      <c r="H20" s="428">
        <v>2722.3999999999992</v>
      </c>
      <c r="I20" s="428">
        <v>7722.3999999999987</v>
      </c>
      <c r="J20" s="428">
        <v>10722.4</v>
      </c>
      <c r="K20" s="428">
        <v>18722.400000000001</v>
      </c>
      <c r="L20" s="428">
        <v>26722.400000000001</v>
      </c>
      <c r="M20" s="397">
        <v>100246.40000000001</v>
      </c>
      <c r="N20" s="397">
        <v>100246.40000000001</v>
      </c>
      <c r="O20" s="397">
        <v>100246.40000000001</v>
      </c>
      <c r="Q20" s="16" t="s">
        <v>74</v>
      </c>
    </row>
    <row r="21" spans="2:17">
      <c r="B21" s="8" t="s">
        <v>72</v>
      </c>
      <c r="C21" s="15">
        <v>0</v>
      </c>
      <c r="D21" s="15">
        <v>0</v>
      </c>
      <c r="E21" s="15">
        <v>0</v>
      </c>
      <c r="F21" s="15">
        <v>0</v>
      </c>
      <c r="G21" s="15">
        <v>0</v>
      </c>
      <c r="H21" s="428">
        <v>0</v>
      </c>
      <c r="I21" s="428">
        <v>0</v>
      </c>
      <c r="J21" s="428">
        <v>0</v>
      </c>
      <c r="K21" s="428">
        <v>0</v>
      </c>
      <c r="L21" s="428">
        <v>0</v>
      </c>
      <c r="M21" s="9">
        <v>0</v>
      </c>
      <c r="N21" s="9">
        <v>0</v>
      </c>
      <c r="O21" s="9">
        <v>0</v>
      </c>
    </row>
    <row r="22" spans="2:17">
      <c r="B22" s="8" t="s">
        <v>133</v>
      </c>
      <c r="C22" s="15">
        <v>0</v>
      </c>
      <c r="D22" s="15">
        <v>1000</v>
      </c>
      <c r="E22" s="15">
        <v>3500</v>
      </c>
      <c r="F22" s="15">
        <v>3500</v>
      </c>
      <c r="G22" s="15">
        <v>7000</v>
      </c>
      <c r="H22" s="428">
        <v>0</v>
      </c>
      <c r="I22" s="428">
        <v>1000</v>
      </c>
      <c r="J22" s="428">
        <v>3500</v>
      </c>
      <c r="K22" s="428">
        <v>3500</v>
      </c>
      <c r="L22" s="428">
        <v>7000</v>
      </c>
      <c r="M22" s="9">
        <v>1000</v>
      </c>
      <c r="N22" s="9">
        <v>7000</v>
      </c>
      <c r="O22" s="9">
        <v>10000</v>
      </c>
    </row>
    <row r="23" spans="2:17">
      <c r="B23" s="8" t="s">
        <v>73</v>
      </c>
      <c r="C23" s="15">
        <v>2800</v>
      </c>
      <c r="D23" s="15">
        <v>2800</v>
      </c>
      <c r="E23" s="15">
        <v>2800</v>
      </c>
      <c r="F23" s="15">
        <v>2800</v>
      </c>
      <c r="G23" s="15">
        <v>2800</v>
      </c>
      <c r="H23" s="428">
        <v>2800</v>
      </c>
      <c r="I23" s="428">
        <v>2800</v>
      </c>
      <c r="J23" s="428">
        <v>2800</v>
      </c>
      <c r="K23" s="428">
        <v>2800</v>
      </c>
      <c r="L23" s="428">
        <v>2800</v>
      </c>
      <c r="M23" s="9">
        <v>3400</v>
      </c>
      <c r="N23" s="9">
        <v>9400</v>
      </c>
      <c r="O23" s="9">
        <v>17400</v>
      </c>
    </row>
    <row r="24" spans="2:17">
      <c r="B24" s="8" t="s">
        <v>75</v>
      </c>
      <c r="C24" s="15">
        <v>1000</v>
      </c>
      <c r="D24" s="15">
        <v>3600</v>
      </c>
      <c r="E24" s="15">
        <v>4900</v>
      </c>
      <c r="F24" s="15">
        <v>8800</v>
      </c>
      <c r="G24" s="15">
        <v>12000</v>
      </c>
      <c r="H24" s="428">
        <v>1000</v>
      </c>
      <c r="I24" s="428">
        <v>3600</v>
      </c>
      <c r="J24" s="428">
        <v>4900</v>
      </c>
      <c r="K24" s="428">
        <v>8800</v>
      </c>
      <c r="L24" s="428">
        <v>12000</v>
      </c>
      <c r="M24" s="9">
        <v>7000</v>
      </c>
      <c r="N24" s="9">
        <v>35000</v>
      </c>
      <c r="O24" s="9">
        <v>65000</v>
      </c>
      <c r="Q24" s="8" t="s">
        <v>134</v>
      </c>
    </row>
    <row r="25" spans="2:17">
      <c r="B25" s="8" t="s">
        <v>76</v>
      </c>
      <c r="C25" s="15">
        <v>3875</v>
      </c>
      <c r="D25" s="15">
        <v>17975</v>
      </c>
      <c r="E25" s="15">
        <v>26375</v>
      </c>
      <c r="F25" s="15">
        <v>34375</v>
      </c>
      <c r="G25" s="15">
        <v>44375</v>
      </c>
      <c r="H25" s="428">
        <v>3875</v>
      </c>
      <c r="I25" s="428">
        <v>17975</v>
      </c>
      <c r="J25" s="428">
        <v>26375</v>
      </c>
      <c r="K25" s="428">
        <v>34375</v>
      </c>
      <c r="L25" s="428">
        <v>44375</v>
      </c>
      <c r="M25" s="9">
        <v>4542.4221658363131</v>
      </c>
      <c r="N25" s="9">
        <v>26662.3451188117</v>
      </c>
      <c r="O25" s="9">
        <v>60000</v>
      </c>
      <c r="Q25" s="8" t="s">
        <v>135</v>
      </c>
    </row>
    <row r="26" spans="2:17">
      <c r="B26" s="8" t="s">
        <v>77</v>
      </c>
      <c r="C26" s="15">
        <v>2700</v>
      </c>
      <c r="D26" s="15">
        <v>8650</v>
      </c>
      <c r="E26" s="15">
        <v>8650</v>
      </c>
      <c r="F26" s="15">
        <v>14950</v>
      </c>
      <c r="G26" s="15">
        <v>14950</v>
      </c>
      <c r="H26" s="428">
        <v>2700</v>
      </c>
      <c r="I26" s="428">
        <v>8650</v>
      </c>
      <c r="J26" s="428">
        <v>8650</v>
      </c>
      <c r="K26" s="428">
        <v>14950</v>
      </c>
      <c r="L26" s="428">
        <v>14950</v>
      </c>
      <c r="M26" s="9">
        <v>2900</v>
      </c>
      <c r="N26" s="9">
        <v>15150</v>
      </c>
      <c r="O26" s="9">
        <v>19200</v>
      </c>
    </row>
    <row r="27" spans="2:17">
      <c r="B27" s="8" t="s">
        <v>78</v>
      </c>
      <c r="C27" s="15">
        <v>0</v>
      </c>
      <c r="D27" s="15">
        <v>0</v>
      </c>
      <c r="E27" s="15">
        <v>1550</v>
      </c>
      <c r="F27" s="15">
        <v>2550</v>
      </c>
      <c r="G27" s="15">
        <v>2550</v>
      </c>
      <c r="H27" s="428">
        <v>0</v>
      </c>
      <c r="I27" s="428">
        <v>0</v>
      </c>
      <c r="J27" s="428">
        <v>1550</v>
      </c>
      <c r="K27" s="428">
        <v>2550</v>
      </c>
      <c r="L27" s="428">
        <v>2550</v>
      </c>
      <c r="M27" s="9">
        <v>510</v>
      </c>
      <c r="N27" s="9">
        <v>1550</v>
      </c>
      <c r="O27" s="9">
        <v>3000</v>
      </c>
    </row>
    <row r="28" spans="2:17">
      <c r="B28" s="8" t="s">
        <v>79</v>
      </c>
      <c r="C28" s="15">
        <v>510</v>
      </c>
      <c r="D28" s="15">
        <v>510</v>
      </c>
      <c r="E28" s="15">
        <v>1200</v>
      </c>
      <c r="F28" s="15">
        <v>1200</v>
      </c>
      <c r="G28" s="15">
        <v>3000</v>
      </c>
      <c r="H28" s="428">
        <v>510</v>
      </c>
      <c r="I28" s="428">
        <v>510</v>
      </c>
      <c r="J28" s="428">
        <v>1200</v>
      </c>
      <c r="K28" s="428">
        <v>1200</v>
      </c>
      <c r="L28" s="428">
        <v>3000</v>
      </c>
      <c r="M28" s="9">
        <v>510</v>
      </c>
      <c r="N28" s="9">
        <v>1200</v>
      </c>
      <c r="O28" s="9">
        <v>3000</v>
      </c>
    </row>
    <row r="29" spans="2:17">
      <c r="B29" s="8" t="s">
        <v>80</v>
      </c>
      <c r="C29" s="15">
        <v>0</v>
      </c>
      <c r="D29" s="15">
        <v>0</v>
      </c>
      <c r="E29" s="15">
        <v>0</v>
      </c>
      <c r="F29" s="15">
        <v>0</v>
      </c>
      <c r="G29" s="15">
        <v>0</v>
      </c>
      <c r="H29" s="428">
        <v>0</v>
      </c>
      <c r="I29" s="428">
        <v>0</v>
      </c>
      <c r="J29" s="428">
        <v>0</v>
      </c>
      <c r="K29" s="428">
        <v>0</v>
      </c>
      <c r="L29" s="428">
        <v>0</v>
      </c>
      <c r="M29" s="9">
        <v>0</v>
      </c>
      <c r="N29" s="9">
        <v>0</v>
      </c>
      <c r="O29" s="9">
        <v>0</v>
      </c>
    </row>
    <row r="30" spans="2:17">
      <c r="B30" s="8" t="s">
        <v>81</v>
      </c>
      <c r="C30" s="15">
        <v>5025.2</v>
      </c>
      <c r="D30" s="15">
        <v>8060.7000000000025</v>
      </c>
      <c r="E30" s="15">
        <v>11096.199999999999</v>
      </c>
      <c r="F30" s="15">
        <v>13596.199999999999</v>
      </c>
      <c r="G30" s="15">
        <v>16096.199999999999</v>
      </c>
      <c r="H30" s="428">
        <v>5025.2</v>
      </c>
      <c r="I30" s="428">
        <v>8060.7000000000025</v>
      </c>
      <c r="J30" s="428">
        <v>11096.199999999999</v>
      </c>
      <c r="K30" s="428">
        <v>13596.199999999999</v>
      </c>
      <c r="L30" s="428">
        <v>16096.199999999999</v>
      </c>
      <c r="M30" s="9">
        <v>5174</v>
      </c>
      <c r="N30" s="9">
        <v>20000</v>
      </c>
      <c r="O30" s="9">
        <v>35000</v>
      </c>
    </row>
    <row r="31" spans="2:17">
      <c r="B31" s="8" t="s">
        <v>136</v>
      </c>
      <c r="C31" s="15">
        <v>0</v>
      </c>
      <c r="D31" s="15">
        <v>0</v>
      </c>
      <c r="E31" s="15">
        <v>0</v>
      </c>
      <c r="F31" s="15">
        <v>0</v>
      </c>
      <c r="G31" s="15">
        <v>0</v>
      </c>
      <c r="H31" s="428">
        <v>0</v>
      </c>
      <c r="I31" s="428">
        <v>0</v>
      </c>
      <c r="J31" s="428">
        <v>0</v>
      </c>
      <c r="K31" s="428">
        <v>0</v>
      </c>
      <c r="L31" s="428">
        <v>0</v>
      </c>
      <c r="M31" s="9">
        <v>0</v>
      </c>
      <c r="N31" s="9">
        <v>0</v>
      </c>
      <c r="O31" s="9">
        <v>0</v>
      </c>
    </row>
    <row r="32" spans="2:17">
      <c r="B32" s="8" t="s">
        <v>85</v>
      </c>
      <c r="C32" s="15">
        <v>0</v>
      </c>
      <c r="D32" s="15">
        <v>1002.9999999999999</v>
      </c>
      <c r="E32" s="15">
        <v>1700</v>
      </c>
      <c r="F32" s="15">
        <v>1700</v>
      </c>
      <c r="G32" s="15">
        <v>1700</v>
      </c>
      <c r="H32" s="428">
        <v>0</v>
      </c>
      <c r="I32" s="428">
        <v>1002.9999999999999</v>
      </c>
      <c r="J32" s="428">
        <v>1700</v>
      </c>
      <c r="K32" s="428">
        <v>1700</v>
      </c>
      <c r="L32" s="428">
        <v>1700</v>
      </c>
      <c r="M32" s="9">
        <v>0</v>
      </c>
      <c r="N32" s="9">
        <v>1870</v>
      </c>
      <c r="O32" s="9">
        <v>3248</v>
      </c>
    </row>
    <row r="33" spans="2:15">
      <c r="B33" s="8" t="s">
        <v>86</v>
      </c>
      <c r="C33" s="15">
        <v>400.00000000000006</v>
      </c>
      <c r="D33" s="15">
        <v>1521</v>
      </c>
      <c r="E33" s="15">
        <v>2300</v>
      </c>
      <c r="F33" s="15">
        <v>2300</v>
      </c>
      <c r="G33" s="15">
        <v>2300</v>
      </c>
      <c r="H33" s="428">
        <v>400.00000000000006</v>
      </c>
      <c r="I33" s="428">
        <v>1521</v>
      </c>
      <c r="J33" s="428">
        <v>2300</v>
      </c>
      <c r="K33" s="428">
        <v>2300</v>
      </c>
      <c r="L33" s="428">
        <v>2300</v>
      </c>
      <c r="M33" s="9">
        <v>420</v>
      </c>
      <c r="N33" s="9">
        <v>2530</v>
      </c>
      <c r="O33" s="9">
        <v>4395</v>
      </c>
    </row>
    <row r="34" spans="2:15">
      <c r="B34" s="8" t="s">
        <v>87</v>
      </c>
      <c r="C34" s="15">
        <v>900</v>
      </c>
      <c r="D34" s="15">
        <v>1313</v>
      </c>
      <c r="E34" s="15">
        <v>1600</v>
      </c>
      <c r="F34" s="15">
        <v>1600</v>
      </c>
      <c r="G34" s="15">
        <v>1600</v>
      </c>
      <c r="H34" s="428">
        <v>900</v>
      </c>
      <c r="I34" s="428">
        <v>1313</v>
      </c>
      <c r="J34" s="428">
        <v>1600</v>
      </c>
      <c r="K34" s="428">
        <v>1600</v>
      </c>
      <c r="L34" s="428">
        <v>1600</v>
      </c>
      <c r="M34" s="9">
        <v>945</v>
      </c>
      <c r="N34" s="9">
        <v>1760</v>
      </c>
      <c r="O34" s="9">
        <v>3057</v>
      </c>
    </row>
    <row r="35" spans="2:15">
      <c r="B35" s="8" t="s">
        <v>88</v>
      </c>
      <c r="C35" s="15">
        <v>600</v>
      </c>
      <c r="D35" s="15">
        <v>777</v>
      </c>
      <c r="E35" s="15">
        <v>900</v>
      </c>
      <c r="F35" s="15">
        <v>900</v>
      </c>
      <c r="G35" s="15">
        <v>900</v>
      </c>
      <c r="H35" s="428">
        <v>600</v>
      </c>
      <c r="I35" s="428">
        <v>777</v>
      </c>
      <c r="J35" s="428">
        <v>900</v>
      </c>
      <c r="K35" s="428">
        <v>900</v>
      </c>
      <c r="L35" s="428">
        <v>900</v>
      </c>
      <c r="M35" s="9">
        <v>630</v>
      </c>
      <c r="N35" s="9">
        <v>990</v>
      </c>
      <c r="O35" s="9">
        <v>1720</v>
      </c>
    </row>
    <row r="36" spans="2:15">
      <c r="B36" s="8" t="s">
        <v>89</v>
      </c>
      <c r="C36" s="15">
        <v>3800</v>
      </c>
      <c r="D36" s="15">
        <v>5216</v>
      </c>
      <c r="E36" s="15">
        <v>6200</v>
      </c>
      <c r="F36" s="15">
        <v>6200</v>
      </c>
      <c r="G36" s="15">
        <v>6200</v>
      </c>
      <c r="H36" s="428">
        <v>3800</v>
      </c>
      <c r="I36" s="428">
        <v>5216</v>
      </c>
      <c r="J36" s="428">
        <v>6200</v>
      </c>
      <c r="K36" s="428">
        <v>6200</v>
      </c>
      <c r="L36" s="428">
        <v>6200</v>
      </c>
      <c r="M36" s="9">
        <v>3990</v>
      </c>
      <c r="N36" s="9">
        <v>6820</v>
      </c>
      <c r="O36" s="9">
        <v>11847</v>
      </c>
    </row>
    <row r="37" spans="2:15">
      <c r="B37" s="8" t="s">
        <v>90</v>
      </c>
      <c r="C37" s="15">
        <v>1400</v>
      </c>
      <c r="D37" s="15">
        <v>2108</v>
      </c>
      <c r="E37" s="15">
        <v>2600</v>
      </c>
      <c r="F37" s="15">
        <v>2600</v>
      </c>
      <c r="G37" s="15">
        <v>2600</v>
      </c>
      <c r="H37" s="428">
        <v>1400</v>
      </c>
      <c r="I37" s="428">
        <v>2108</v>
      </c>
      <c r="J37" s="428">
        <v>2600</v>
      </c>
      <c r="K37" s="428">
        <v>2600</v>
      </c>
      <c r="L37" s="428">
        <v>2600</v>
      </c>
      <c r="M37" s="9">
        <v>1470</v>
      </c>
      <c r="N37" s="9">
        <v>2860</v>
      </c>
      <c r="O37" s="9">
        <v>4968</v>
      </c>
    </row>
    <row r="38" spans="2:15">
      <c r="B38" s="8" t="s">
        <v>91</v>
      </c>
      <c r="C38" s="15">
        <v>1400</v>
      </c>
      <c r="D38" s="15">
        <v>2462</v>
      </c>
      <c r="E38" s="15">
        <v>3200</v>
      </c>
      <c r="F38" s="15">
        <v>3200</v>
      </c>
      <c r="G38" s="15">
        <v>3200</v>
      </c>
      <c r="H38" s="428">
        <v>1400</v>
      </c>
      <c r="I38" s="428">
        <v>2462</v>
      </c>
      <c r="J38" s="428">
        <v>3200</v>
      </c>
      <c r="K38" s="428">
        <v>3200</v>
      </c>
      <c r="L38" s="428">
        <v>3200</v>
      </c>
      <c r="M38" s="9">
        <v>1470</v>
      </c>
      <c r="N38" s="9">
        <v>3520</v>
      </c>
      <c r="O38" s="9">
        <v>6115</v>
      </c>
    </row>
    <row r="39" spans="2:15">
      <c r="B39" s="8" t="s">
        <v>92</v>
      </c>
      <c r="C39" s="15">
        <v>1400</v>
      </c>
      <c r="D39" s="15">
        <v>2100</v>
      </c>
      <c r="E39" s="15">
        <v>2800</v>
      </c>
      <c r="F39" s="15">
        <v>2800</v>
      </c>
      <c r="G39" s="15">
        <v>4500</v>
      </c>
      <c r="H39" s="428">
        <v>1400</v>
      </c>
      <c r="I39" s="428">
        <v>2100</v>
      </c>
      <c r="J39" s="428">
        <v>2800</v>
      </c>
      <c r="K39" s="428">
        <v>2800</v>
      </c>
      <c r="L39" s="428">
        <v>4500</v>
      </c>
      <c r="M39" s="9">
        <v>1568.627450980392</v>
      </c>
      <c r="N39" s="9">
        <v>2800</v>
      </c>
      <c r="O39" s="9">
        <v>4500</v>
      </c>
    </row>
    <row r="40" spans="2:15">
      <c r="B40" s="8" t="s">
        <v>137</v>
      </c>
      <c r="C40" s="15">
        <v>0</v>
      </c>
      <c r="D40" s="15">
        <v>0</v>
      </c>
      <c r="E40" s="15">
        <v>1400</v>
      </c>
      <c r="F40" s="15">
        <v>1400</v>
      </c>
      <c r="G40" s="15">
        <v>3100</v>
      </c>
      <c r="H40" s="428">
        <v>0</v>
      </c>
      <c r="I40" s="428">
        <v>0</v>
      </c>
      <c r="J40" s="428">
        <v>1400</v>
      </c>
      <c r="K40" s="428">
        <v>1400</v>
      </c>
      <c r="L40" s="428">
        <v>3100</v>
      </c>
      <c r="M40" s="9">
        <v>0</v>
      </c>
      <c r="N40" s="9">
        <v>1400</v>
      </c>
      <c r="O40" s="9">
        <v>3100</v>
      </c>
    </row>
    <row r="41" spans="2:15">
      <c r="B41" s="8" t="s">
        <v>93</v>
      </c>
      <c r="C41" s="15">
        <v>0</v>
      </c>
      <c r="D41" s="15">
        <v>0</v>
      </c>
      <c r="E41" s="15">
        <v>0</v>
      </c>
      <c r="F41" s="15">
        <v>0</v>
      </c>
      <c r="G41" s="15">
        <v>0</v>
      </c>
      <c r="H41" s="428">
        <v>0</v>
      </c>
      <c r="I41" s="428">
        <v>0</v>
      </c>
      <c r="J41" s="428">
        <v>0</v>
      </c>
      <c r="K41" s="428">
        <v>0</v>
      </c>
      <c r="L41" s="428">
        <v>0</v>
      </c>
      <c r="M41" s="9">
        <v>0</v>
      </c>
      <c r="N41" s="9">
        <v>0</v>
      </c>
      <c r="O41" s="9">
        <v>0</v>
      </c>
    </row>
    <row r="42" spans="2:15">
      <c r="B42" s="8" t="s">
        <v>94</v>
      </c>
      <c r="C42" s="15">
        <v>0</v>
      </c>
      <c r="D42" s="15">
        <v>0</v>
      </c>
      <c r="E42" s="15">
        <v>0</v>
      </c>
      <c r="F42" s="15">
        <v>0</v>
      </c>
      <c r="G42" s="15">
        <v>0</v>
      </c>
      <c r="H42" s="428">
        <v>0</v>
      </c>
      <c r="I42" s="428">
        <v>0</v>
      </c>
      <c r="J42" s="428">
        <v>0</v>
      </c>
      <c r="K42" s="428">
        <v>0</v>
      </c>
      <c r="L42" s="428">
        <v>0</v>
      </c>
      <c r="M42" s="9">
        <v>0</v>
      </c>
      <c r="N42" s="9">
        <v>0</v>
      </c>
      <c r="O42" s="9">
        <v>0</v>
      </c>
    </row>
    <row r="43" spans="2:15">
      <c r="B43" s="8" t="s">
        <v>95</v>
      </c>
      <c r="C43" s="15">
        <v>0</v>
      </c>
      <c r="D43" s="15">
        <v>0</v>
      </c>
      <c r="E43" s="15">
        <v>0</v>
      </c>
      <c r="F43" s="15">
        <v>0</v>
      </c>
      <c r="G43" s="15">
        <v>0</v>
      </c>
      <c r="H43" s="428">
        <v>0</v>
      </c>
      <c r="I43" s="428">
        <v>0</v>
      </c>
      <c r="J43" s="428">
        <v>0</v>
      </c>
      <c r="K43" s="428">
        <v>0</v>
      </c>
      <c r="L43" s="428">
        <v>0</v>
      </c>
      <c r="M43" s="9">
        <v>0</v>
      </c>
      <c r="N43" s="9">
        <v>0</v>
      </c>
      <c r="O43" s="9">
        <v>0</v>
      </c>
    </row>
    <row r="44" spans="2:15">
      <c r="B44" s="8" t="s">
        <v>96</v>
      </c>
      <c r="C44" s="15">
        <v>0</v>
      </c>
      <c r="D44" s="15">
        <v>0</v>
      </c>
      <c r="E44" s="15">
        <v>0</v>
      </c>
      <c r="F44" s="15">
        <v>0</v>
      </c>
      <c r="G44" s="15">
        <v>0</v>
      </c>
      <c r="H44" s="428">
        <v>0</v>
      </c>
      <c r="I44" s="428">
        <v>0</v>
      </c>
      <c r="J44" s="428">
        <v>0</v>
      </c>
      <c r="K44" s="428">
        <v>0</v>
      </c>
      <c r="L44" s="428">
        <v>0</v>
      </c>
      <c r="M44" s="9">
        <v>0</v>
      </c>
      <c r="N44" s="9">
        <v>0</v>
      </c>
      <c r="O44" s="9">
        <v>0</v>
      </c>
    </row>
    <row r="45" spans="2:15">
      <c r="B45" s="8" t="s">
        <v>97</v>
      </c>
      <c r="C45" s="15">
        <v>500</v>
      </c>
      <c r="D45" s="15">
        <v>500</v>
      </c>
      <c r="E45" s="15">
        <v>1000</v>
      </c>
      <c r="F45" s="15">
        <v>1000</v>
      </c>
      <c r="G45" s="15">
        <v>7500</v>
      </c>
      <c r="H45" s="428">
        <v>500</v>
      </c>
      <c r="I45" s="428">
        <v>500</v>
      </c>
      <c r="J45" s="428">
        <v>1000</v>
      </c>
      <c r="K45" s="428">
        <v>1000</v>
      </c>
      <c r="L45" s="428">
        <v>7500</v>
      </c>
      <c r="M45" s="9">
        <v>1000</v>
      </c>
      <c r="N45" s="9">
        <v>2000</v>
      </c>
      <c r="O45" s="9">
        <v>14000</v>
      </c>
    </row>
    <row r="46" spans="2:15">
      <c r="B46" s="8" t="s">
        <v>98</v>
      </c>
      <c r="C46" s="15">
        <v>0</v>
      </c>
      <c r="D46" s="15">
        <v>0</v>
      </c>
      <c r="E46" s="15">
        <v>0</v>
      </c>
      <c r="F46" s="15">
        <v>0</v>
      </c>
      <c r="G46" s="15">
        <v>0</v>
      </c>
      <c r="H46" s="428">
        <v>0</v>
      </c>
      <c r="I46" s="428">
        <v>0</v>
      </c>
      <c r="J46" s="428">
        <v>0</v>
      </c>
      <c r="K46" s="428">
        <v>0</v>
      </c>
      <c r="L46" s="428">
        <v>0</v>
      </c>
      <c r="M46" s="9">
        <v>0</v>
      </c>
      <c r="N46" s="9">
        <v>0</v>
      </c>
      <c r="O46" s="9">
        <v>0</v>
      </c>
    </row>
    <row r="47" spans="2:15">
      <c r="B47" s="8" t="s">
        <v>99</v>
      </c>
      <c r="C47" s="15">
        <v>0</v>
      </c>
      <c r="D47" s="15">
        <v>0</v>
      </c>
      <c r="E47" s="15">
        <v>0</v>
      </c>
      <c r="F47" s="15">
        <v>0</v>
      </c>
      <c r="G47" s="15">
        <v>0</v>
      </c>
      <c r="H47" s="428">
        <v>0</v>
      </c>
      <c r="I47" s="428">
        <v>0</v>
      </c>
      <c r="J47" s="428">
        <v>0</v>
      </c>
      <c r="K47" s="428">
        <v>0</v>
      </c>
      <c r="L47" s="428">
        <v>0</v>
      </c>
      <c r="M47" s="9">
        <v>0</v>
      </c>
      <c r="N47" s="9">
        <v>0</v>
      </c>
      <c r="O47" s="9">
        <v>0</v>
      </c>
    </row>
    <row r="48" spans="2:15">
      <c r="B48" s="8" t="s">
        <v>100</v>
      </c>
      <c r="C48" s="15">
        <v>0</v>
      </c>
      <c r="D48" s="15">
        <v>0</v>
      </c>
      <c r="E48" s="15">
        <v>0</v>
      </c>
      <c r="F48" s="15">
        <v>0</v>
      </c>
      <c r="G48" s="15">
        <v>0</v>
      </c>
      <c r="H48" s="428">
        <v>0</v>
      </c>
      <c r="I48" s="428">
        <v>0</v>
      </c>
      <c r="J48" s="428">
        <v>0</v>
      </c>
      <c r="K48" s="428">
        <v>0</v>
      </c>
      <c r="L48" s="428">
        <v>0</v>
      </c>
      <c r="M48" s="9">
        <v>50</v>
      </c>
      <c r="N48" s="9">
        <v>400</v>
      </c>
      <c r="O48" s="9">
        <v>400</v>
      </c>
    </row>
    <row r="49" spans="2:16">
      <c r="B49" s="8" t="s">
        <v>101</v>
      </c>
      <c r="C49" s="15">
        <v>14542.5</v>
      </c>
      <c r="D49" s="15">
        <v>25242.5</v>
      </c>
      <c r="E49" s="15">
        <v>33242.5</v>
      </c>
      <c r="F49" s="15">
        <v>33242.5</v>
      </c>
      <c r="G49" s="15">
        <v>41242.5</v>
      </c>
      <c r="H49" s="428">
        <v>14542.5</v>
      </c>
      <c r="I49" s="428">
        <v>25242.5</v>
      </c>
      <c r="J49" s="428">
        <v>33242.5</v>
      </c>
      <c r="K49" s="428">
        <v>33242.5</v>
      </c>
      <c r="L49" s="428">
        <v>41242.5</v>
      </c>
      <c r="M49" s="9">
        <v>21470.5</v>
      </c>
      <c r="N49" s="9">
        <v>33242.5</v>
      </c>
      <c r="O49" s="9">
        <v>41242.5</v>
      </c>
      <c r="P49" s="475" t="s">
        <v>138</v>
      </c>
    </row>
    <row r="50" spans="2:16">
      <c r="B50" s="8" t="s">
        <v>139</v>
      </c>
      <c r="C50" s="15">
        <v>0</v>
      </c>
      <c r="D50" s="15">
        <v>2000</v>
      </c>
      <c r="E50" s="15">
        <v>7300</v>
      </c>
      <c r="F50" s="15">
        <v>7300</v>
      </c>
      <c r="G50" s="15">
        <v>7300</v>
      </c>
      <c r="H50" s="428">
        <v>0</v>
      </c>
      <c r="I50" s="428">
        <v>2000</v>
      </c>
      <c r="J50" s="428">
        <v>7300</v>
      </c>
      <c r="K50" s="428">
        <v>7300</v>
      </c>
      <c r="L50" s="428">
        <v>7300</v>
      </c>
      <c r="M50" s="9">
        <v>2000</v>
      </c>
      <c r="N50" s="9">
        <v>17300</v>
      </c>
      <c r="O50" s="9">
        <v>31300</v>
      </c>
      <c r="P50" s="590" t="s">
        <v>140</v>
      </c>
    </row>
    <row r="51" spans="2:16">
      <c r="B51" s="8" t="s">
        <v>141</v>
      </c>
      <c r="C51" s="15">
        <v>0</v>
      </c>
      <c r="D51" s="15">
        <v>0</v>
      </c>
      <c r="E51" s="15">
        <v>8000</v>
      </c>
      <c r="F51" s="15">
        <v>8000</v>
      </c>
      <c r="G51" s="15">
        <v>8000</v>
      </c>
      <c r="H51" s="428">
        <v>0</v>
      </c>
      <c r="I51" s="428">
        <v>0</v>
      </c>
      <c r="J51" s="428">
        <v>8000</v>
      </c>
      <c r="K51" s="428">
        <v>8000</v>
      </c>
      <c r="L51" s="428">
        <v>8000</v>
      </c>
      <c r="M51" s="9"/>
      <c r="N51" s="9"/>
      <c r="O51" s="9"/>
      <c r="P51" s="590"/>
    </row>
    <row r="52" spans="2:16">
      <c r="B52" s="8" t="s">
        <v>142</v>
      </c>
      <c r="C52" s="15">
        <v>0</v>
      </c>
      <c r="D52" s="15">
        <v>0</v>
      </c>
      <c r="E52" s="15">
        <v>0</v>
      </c>
      <c r="F52" s="15">
        <v>0</v>
      </c>
      <c r="G52" s="15">
        <v>8000</v>
      </c>
      <c r="H52" s="428">
        <v>0</v>
      </c>
      <c r="I52" s="428">
        <v>0</v>
      </c>
      <c r="J52" s="428">
        <v>0</v>
      </c>
      <c r="K52" s="428">
        <v>0</v>
      </c>
      <c r="L52" s="428">
        <v>8000</v>
      </c>
      <c r="M52" s="9"/>
      <c r="N52" s="9"/>
      <c r="O52" s="9"/>
      <c r="P52" s="590"/>
    </row>
    <row r="53" spans="2:16">
      <c r="B53" s="8" t="s">
        <v>143</v>
      </c>
      <c r="C53" s="15">
        <v>0</v>
      </c>
      <c r="D53" s="15">
        <v>0</v>
      </c>
      <c r="E53" s="15">
        <v>0</v>
      </c>
      <c r="F53" s="15">
        <v>0</v>
      </c>
      <c r="G53" s="15">
        <v>6000</v>
      </c>
      <c r="H53" s="428">
        <v>0</v>
      </c>
      <c r="I53" s="428">
        <v>0</v>
      </c>
      <c r="J53" s="428">
        <v>0</v>
      </c>
      <c r="K53" s="428">
        <v>0</v>
      </c>
      <c r="L53" s="428">
        <v>6000</v>
      </c>
      <c r="M53" s="9"/>
      <c r="N53" s="9"/>
      <c r="O53" s="9"/>
      <c r="P53" s="590"/>
    </row>
    <row r="54" spans="2:16">
      <c r="B54" s="8" t="s">
        <v>144</v>
      </c>
      <c r="C54" s="15">
        <v>2000</v>
      </c>
      <c r="D54" s="15">
        <v>2000</v>
      </c>
      <c r="E54" s="15">
        <v>2000</v>
      </c>
      <c r="F54" s="15">
        <v>2000</v>
      </c>
      <c r="G54" s="15">
        <v>2000</v>
      </c>
      <c r="H54" s="428">
        <v>2000</v>
      </c>
      <c r="I54" s="428">
        <v>2000</v>
      </c>
      <c r="J54" s="428">
        <v>2000</v>
      </c>
      <c r="K54" s="428">
        <v>2000</v>
      </c>
      <c r="L54" s="428">
        <v>2000</v>
      </c>
      <c r="M54" s="9"/>
      <c r="N54" s="9"/>
      <c r="O54" s="9"/>
      <c r="P54" s="590"/>
    </row>
    <row r="55" spans="2:16">
      <c r="B55" s="8" t="s">
        <v>102</v>
      </c>
      <c r="C55" s="15">
        <v>0</v>
      </c>
      <c r="D55" s="15">
        <v>0</v>
      </c>
      <c r="E55" s="15">
        <v>2000</v>
      </c>
      <c r="F55" s="15">
        <v>2000</v>
      </c>
      <c r="G55" s="15">
        <v>2000</v>
      </c>
      <c r="H55" s="428">
        <v>0</v>
      </c>
      <c r="I55" s="428">
        <v>0</v>
      </c>
      <c r="J55" s="428">
        <v>2000</v>
      </c>
      <c r="K55" s="428">
        <v>2000</v>
      </c>
      <c r="L55" s="428">
        <v>2000</v>
      </c>
      <c r="M55" s="9">
        <v>0</v>
      </c>
      <c r="N55" s="9">
        <v>3000</v>
      </c>
      <c r="O55" s="9">
        <v>3000</v>
      </c>
    </row>
    <row r="56" spans="2:16">
      <c r="B56" s="8" t="s">
        <v>103</v>
      </c>
      <c r="C56" s="15">
        <v>0</v>
      </c>
      <c r="D56" s="15">
        <v>0</v>
      </c>
      <c r="E56" s="15">
        <v>500</v>
      </c>
      <c r="F56" s="15">
        <v>500</v>
      </c>
      <c r="G56" s="15">
        <v>500</v>
      </c>
      <c r="H56" s="428">
        <v>0</v>
      </c>
      <c r="I56" s="428">
        <v>0</v>
      </c>
      <c r="J56" s="428">
        <v>500</v>
      </c>
      <c r="K56" s="428">
        <v>500</v>
      </c>
      <c r="L56" s="428">
        <v>500</v>
      </c>
      <c r="M56" s="9">
        <v>0</v>
      </c>
      <c r="N56" s="9">
        <v>2000</v>
      </c>
      <c r="O56" s="9">
        <v>4000</v>
      </c>
    </row>
    <row r="57" spans="2:16">
      <c r="B57" s="8" t="s">
        <v>104</v>
      </c>
      <c r="C57" s="15">
        <v>3003.5</v>
      </c>
      <c r="D57" s="15">
        <v>6003.5</v>
      </c>
      <c r="E57" s="15">
        <v>7503.5</v>
      </c>
      <c r="F57" s="15">
        <v>7503.5</v>
      </c>
      <c r="G57" s="15">
        <v>7503.5</v>
      </c>
      <c r="H57" s="428">
        <v>3003.5</v>
      </c>
      <c r="I57" s="428">
        <v>6003.5</v>
      </c>
      <c r="J57" s="428">
        <v>7503.5</v>
      </c>
      <c r="K57" s="428">
        <v>7503.5</v>
      </c>
      <c r="L57" s="428">
        <v>7503.5</v>
      </c>
      <c r="M57" s="9">
        <v>3003.5</v>
      </c>
      <c r="N57" s="9">
        <v>9500</v>
      </c>
      <c r="O57" s="9">
        <v>11500</v>
      </c>
    </row>
    <row r="58" spans="2:16">
      <c r="B58" s="8" t="s">
        <v>105</v>
      </c>
      <c r="C58" s="15">
        <v>10004</v>
      </c>
      <c r="D58" s="15">
        <v>10900</v>
      </c>
      <c r="E58" s="15">
        <v>10900</v>
      </c>
      <c r="F58" s="15">
        <v>10900</v>
      </c>
      <c r="G58" s="15">
        <v>10900</v>
      </c>
      <c r="H58" s="428">
        <v>10004</v>
      </c>
      <c r="I58" s="428">
        <v>10900</v>
      </c>
      <c r="J58" s="428">
        <v>10900</v>
      </c>
      <c r="K58" s="428">
        <v>10900</v>
      </c>
      <c r="L58" s="428">
        <v>10900</v>
      </c>
      <c r="M58" s="9">
        <v>10900</v>
      </c>
      <c r="N58" s="9">
        <v>21800</v>
      </c>
      <c r="O58" s="9">
        <v>35000</v>
      </c>
    </row>
    <row r="59" spans="2:16">
      <c r="B59" s="8" t="s">
        <v>106</v>
      </c>
      <c r="C59" s="15">
        <v>2000</v>
      </c>
      <c r="D59" s="15">
        <v>6000</v>
      </c>
      <c r="E59" s="15">
        <v>10000</v>
      </c>
      <c r="F59" s="15">
        <v>10000</v>
      </c>
      <c r="G59" s="15">
        <v>10000</v>
      </c>
      <c r="H59" s="428">
        <v>2000</v>
      </c>
      <c r="I59" s="428">
        <v>6000</v>
      </c>
      <c r="J59" s="428">
        <v>10000</v>
      </c>
      <c r="K59" s="428">
        <v>10000</v>
      </c>
      <c r="L59" s="428">
        <v>10000</v>
      </c>
      <c r="M59" s="9">
        <v>2000</v>
      </c>
      <c r="N59" s="9">
        <v>10000</v>
      </c>
      <c r="O59" s="9">
        <v>10000</v>
      </c>
    </row>
    <row r="60" spans="2:16">
      <c r="B60" s="8" t="s">
        <v>107</v>
      </c>
      <c r="C60" s="15">
        <v>1000</v>
      </c>
      <c r="D60" s="15">
        <v>1000</v>
      </c>
      <c r="E60" s="15">
        <v>1000</v>
      </c>
      <c r="F60" s="15">
        <v>1000</v>
      </c>
      <c r="G60" s="15">
        <v>1000</v>
      </c>
      <c r="H60" s="428">
        <v>1000</v>
      </c>
      <c r="I60" s="428">
        <v>1000</v>
      </c>
      <c r="J60" s="428">
        <v>1000</v>
      </c>
      <c r="K60" s="428">
        <v>1000</v>
      </c>
      <c r="L60" s="428">
        <v>1000</v>
      </c>
      <c r="M60" s="9">
        <v>2000</v>
      </c>
      <c r="N60" s="9">
        <v>3000</v>
      </c>
      <c r="O60" s="9">
        <v>4000</v>
      </c>
    </row>
    <row r="61" spans="2:16">
      <c r="B61" s="8" t="s">
        <v>108</v>
      </c>
      <c r="C61" s="15">
        <v>0</v>
      </c>
      <c r="D61" s="15">
        <v>0</v>
      </c>
      <c r="E61" s="15">
        <v>0</v>
      </c>
      <c r="F61" s="15">
        <v>0</v>
      </c>
      <c r="G61" s="15">
        <v>0</v>
      </c>
      <c r="H61" s="428">
        <v>0</v>
      </c>
      <c r="I61" s="428">
        <v>0</v>
      </c>
      <c r="J61" s="428">
        <v>0</v>
      </c>
      <c r="K61" s="428">
        <v>0</v>
      </c>
      <c r="L61" s="428">
        <v>0</v>
      </c>
      <c r="M61" s="9">
        <v>0</v>
      </c>
      <c r="N61" s="9">
        <v>0</v>
      </c>
      <c r="O61" s="9">
        <v>0</v>
      </c>
    </row>
    <row r="62" spans="2:16">
      <c r="B62" s="8" t="s">
        <v>109</v>
      </c>
      <c r="C62" s="15">
        <v>0</v>
      </c>
      <c r="D62" s="15">
        <v>0</v>
      </c>
      <c r="E62" s="15">
        <v>0</v>
      </c>
      <c r="F62" s="15">
        <v>0</v>
      </c>
      <c r="G62" s="15">
        <v>4000</v>
      </c>
      <c r="H62" s="428">
        <v>0</v>
      </c>
      <c r="I62" s="428">
        <v>0</v>
      </c>
      <c r="J62" s="428">
        <v>0</v>
      </c>
      <c r="K62" s="428">
        <v>0</v>
      </c>
      <c r="L62" s="428">
        <v>4000</v>
      </c>
      <c r="M62" s="9">
        <v>350</v>
      </c>
      <c r="N62" s="9">
        <v>3000</v>
      </c>
      <c r="O62" s="9">
        <v>11000</v>
      </c>
    </row>
    <row r="63" spans="2:16">
      <c r="B63" s="8" t="s">
        <v>110</v>
      </c>
      <c r="C63" s="15">
        <v>0</v>
      </c>
      <c r="D63" s="15">
        <v>1000</v>
      </c>
      <c r="E63" s="15">
        <v>1000</v>
      </c>
      <c r="F63" s="15">
        <v>1000</v>
      </c>
      <c r="G63" s="15">
        <v>7000</v>
      </c>
      <c r="H63" s="428">
        <v>0</v>
      </c>
      <c r="I63" s="428">
        <v>1000</v>
      </c>
      <c r="J63" s="428">
        <v>1000</v>
      </c>
      <c r="K63" s="428">
        <v>1000</v>
      </c>
      <c r="L63" s="428">
        <v>7000</v>
      </c>
      <c r="M63" s="9">
        <v>0</v>
      </c>
      <c r="N63" s="9">
        <v>3000</v>
      </c>
      <c r="O63" s="9">
        <v>11000</v>
      </c>
    </row>
    <row r="64" spans="2:16">
      <c r="B64" s="8" t="s">
        <v>111</v>
      </c>
      <c r="C64" s="15">
        <v>0</v>
      </c>
      <c r="D64" s="15">
        <v>1400</v>
      </c>
      <c r="E64" s="15">
        <v>5400</v>
      </c>
      <c r="F64" s="15">
        <v>5400</v>
      </c>
      <c r="G64" s="15">
        <v>5400</v>
      </c>
      <c r="H64" s="428">
        <v>0</v>
      </c>
      <c r="I64" s="428">
        <v>1400</v>
      </c>
      <c r="J64" s="428">
        <v>5400</v>
      </c>
      <c r="K64" s="428">
        <v>5400</v>
      </c>
      <c r="L64" s="428">
        <v>5400</v>
      </c>
      <c r="M64" s="9">
        <v>4900</v>
      </c>
      <c r="N64" s="9">
        <v>8500</v>
      </c>
      <c r="O64" s="9">
        <v>11500</v>
      </c>
    </row>
    <row r="65" spans="2:15">
      <c r="B65" s="8" t="s">
        <v>112</v>
      </c>
      <c r="C65" s="15">
        <v>600</v>
      </c>
      <c r="D65" s="15">
        <v>4200</v>
      </c>
      <c r="E65" s="15">
        <v>6200</v>
      </c>
      <c r="F65" s="15">
        <v>6200</v>
      </c>
      <c r="G65" s="15">
        <v>8200</v>
      </c>
      <c r="H65" s="428">
        <v>600</v>
      </c>
      <c r="I65" s="428">
        <v>4200</v>
      </c>
      <c r="J65" s="428">
        <v>6200</v>
      </c>
      <c r="K65" s="428">
        <v>6200</v>
      </c>
      <c r="L65" s="428">
        <v>8200</v>
      </c>
      <c r="M65" s="9">
        <v>4650</v>
      </c>
      <c r="N65" s="9">
        <v>12800</v>
      </c>
      <c r="O65" s="9">
        <v>38500</v>
      </c>
    </row>
    <row r="66" spans="2:15">
      <c r="B66" s="8" t="s">
        <v>113</v>
      </c>
      <c r="C66" s="15">
        <v>0</v>
      </c>
      <c r="D66" s="15">
        <v>0</v>
      </c>
      <c r="E66" s="15">
        <v>0</v>
      </c>
      <c r="F66" s="15">
        <v>0</v>
      </c>
      <c r="G66" s="15">
        <v>0</v>
      </c>
      <c r="H66" s="428">
        <v>0</v>
      </c>
      <c r="I66" s="428">
        <v>0</v>
      </c>
      <c r="J66" s="428">
        <v>0</v>
      </c>
      <c r="K66" s="428">
        <v>0</v>
      </c>
      <c r="L66" s="428">
        <v>0</v>
      </c>
      <c r="M66" s="9">
        <v>0</v>
      </c>
      <c r="N66" s="9">
        <v>0</v>
      </c>
      <c r="O66" s="9">
        <v>0</v>
      </c>
    </row>
    <row r="67" spans="2:15">
      <c r="B67" s="8" t="s">
        <v>114</v>
      </c>
      <c r="C67" s="15">
        <v>0</v>
      </c>
      <c r="D67" s="15">
        <v>0</v>
      </c>
      <c r="E67" s="15">
        <v>0</v>
      </c>
      <c r="F67" s="15">
        <v>0</v>
      </c>
      <c r="G67" s="15">
        <v>0</v>
      </c>
      <c r="H67" s="428">
        <v>0</v>
      </c>
      <c r="I67" s="428">
        <v>0</v>
      </c>
      <c r="J67" s="428">
        <v>0</v>
      </c>
      <c r="K67" s="428">
        <v>0</v>
      </c>
      <c r="L67" s="428">
        <v>0</v>
      </c>
      <c r="M67" s="9">
        <v>0</v>
      </c>
      <c r="N67" s="9">
        <v>0</v>
      </c>
      <c r="O67" s="9">
        <v>0</v>
      </c>
    </row>
    <row r="68" spans="2:15">
      <c r="B68" s="8" t="s">
        <v>115</v>
      </c>
      <c r="C68" s="15">
        <v>51967.469979999994</v>
      </c>
      <c r="D68" s="15">
        <v>74278.56998</v>
      </c>
      <c r="E68" s="15">
        <v>95157.56998</v>
      </c>
      <c r="F68" s="15">
        <v>109257.56998</v>
      </c>
      <c r="G68" s="15">
        <v>96967.239428646993</v>
      </c>
      <c r="H68" s="428">
        <v>51967.469979999994</v>
      </c>
      <c r="I68" s="428">
        <v>74278.56998</v>
      </c>
      <c r="J68" s="428">
        <v>95157.56998</v>
      </c>
      <c r="K68" s="428">
        <v>109257.56998</v>
      </c>
      <c r="L68" s="428">
        <v>110000</v>
      </c>
      <c r="M68" s="9">
        <v>52751.34</v>
      </c>
      <c r="N68" s="9">
        <v>97389.28</v>
      </c>
      <c r="O68" s="9">
        <v>115896.88</v>
      </c>
    </row>
    <row r="69" spans="2:15">
      <c r="B69" s="8" t="s">
        <v>116</v>
      </c>
      <c r="C69" s="15">
        <v>500</v>
      </c>
      <c r="D69" s="15">
        <v>750</v>
      </c>
      <c r="E69" s="15">
        <v>1000</v>
      </c>
      <c r="F69" s="15">
        <v>1000</v>
      </c>
      <c r="G69" s="15">
        <v>1000</v>
      </c>
      <c r="H69" s="428">
        <v>500</v>
      </c>
      <c r="I69" s="428">
        <v>750</v>
      </c>
      <c r="J69" s="428">
        <v>1000</v>
      </c>
      <c r="K69" s="428">
        <v>1000</v>
      </c>
      <c r="L69" s="428">
        <v>1000</v>
      </c>
      <c r="M69" s="9">
        <v>500</v>
      </c>
      <c r="N69" s="9">
        <v>1000</v>
      </c>
      <c r="O69" s="9">
        <v>1000</v>
      </c>
    </row>
    <row r="70" spans="2:15">
      <c r="B70" s="8" t="s">
        <v>117</v>
      </c>
      <c r="C70" s="17">
        <f>SUM(C5:C69)</f>
        <v>156459.56998</v>
      </c>
      <c r="D70" s="17">
        <f t="shared" ref="D70:O70" si="0">SUM(D5:D69)</f>
        <v>270902.16998000001</v>
      </c>
      <c r="E70" s="17">
        <f t="shared" si="0"/>
        <v>375580.96998000005</v>
      </c>
      <c r="F70" s="17">
        <f t="shared" si="0"/>
        <v>426406.21998000005</v>
      </c>
      <c r="G70" s="17">
        <f t="shared" si="0"/>
        <v>485515.639428647</v>
      </c>
      <c r="H70" s="435">
        <f t="shared" si="0"/>
        <v>156459.56998</v>
      </c>
      <c r="I70" s="435">
        <f t="shared" si="0"/>
        <v>270902.16998000001</v>
      </c>
      <c r="J70" s="435">
        <f t="shared" si="0"/>
        <v>375244.66998000001</v>
      </c>
      <c r="K70" s="435">
        <f t="shared" si="0"/>
        <v>426069.91998000001</v>
      </c>
      <c r="L70" s="435">
        <f t="shared" si="0"/>
        <v>498212.1</v>
      </c>
      <c r="M70" s="13">
        <f t="shared" si="0"/>
        <v>296548.28961681674</v>
      </c>
      <c r="N70" s="13">
        <f t="shared" si="0"/>
        <v>570923.5919977926</v>
      </c>
      <c r="O70" s="13">
        <f t="shared" si="0"/>
        <v>811192.41375796183</v>
      </c>
    </row>
    <row r="72" spans="2:15">
      <c r="B72" s="6" t="s">
        <v>118</v>
      </c>
      <c r="C72" s="395">
        <f>C6+C8+C9+C10+C12+C13+SUM(C14:C45)+SUM(C48:C54)+SUM(C58:C60)+SUM(C62:C67)</f>
        <v>100988.6</v>
      </c>
      <c r="D72" s="395">
        <f t="shared" ref="D72:O72" si="1">D6+D8+D9+D10+D12+D13+SUM(D14:D45)+SUM(D48:D54)+SUM(D58:D60)+SUM(D62:D67)</f>
        <v>189870.1</v>
      </c>
      <c r="E72" s="395">
        <f t="shared" si="1"/>
        <v>269419.90000000002</v>
      </c>
      <c r="F72" s="395">
        <f t="shared" si="1"/>
        <v>306145.15000000002</v>
      </c>
      <c r="G72" s="395">
        <f t="shared" si="1"/>
        <v>377544.9</v>
      </c>
      <c r="H72" s="395">
        <f t="shared" si="1"/>
        <v>100988.6</v>
      </c>
      <c r="I72" s="395">
        <f t="shared" si="1"/>
        <v>189870.1</v>
      </c>
      <c r="J72" s="395">
        <f t="shared" si="1"/>
        <v>269083.59999999998</v>
      </c>
      <c r="K72" s="395">
        <f t="shared" si="1"/>
        <v>305808.84999999998</v>
      </c>
      <c r="L72" s="395">
        <f t="shared" si="1"/>
        <v>377208.6</v>
      </c>
      <c r="M72" s="395">
        <f t="shared" si="1"/>
        <v>240293.44961681674</v>
      </c>
      <c r="N72" s="395">
        <f t="shared" si="1"/>
        <v>458034.31199779263</v>
      </c>
      <c r="O72" s="395">
        <f t="shared" si="1"/>
        <v>675795.53375796182</v>
      </c>
    </row>
  </sheetData>
  <mergeCells count="4">
    <mergeCell ref="C3:G3"/>
    <mergeCell ref="H3:L3"/>
    <mergeCell ref="M3:O3"/>
    <mergeCell ref="P50:P54"/>
  </mergeCells>
  <pageMargins left="0.7" right="0.7" top="0.75" bottom="0.75" header="0.3" footer="0.3"/>
  <headerFooter>
    <oddFooter>&amp;C_x000D_&amp;1#&amp;"Calibri"&amp;10&amp;K000000 ISC - Uso INTERNO / INTERNAL Use</oddFooter>
  </headerFooter>
  <ignoredErrors>
    <ignoredError sqref="C70:O70" formulaRange="1"/>
  </ignoredErrors>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3702A-0B96-440C-9A47-386E62C6CC33}">
  <sheetPr codeName="Hoja5">
    <tabColor rgb="FFFFC000"/>
  </sheetPr>
  <dimension ref="B1:L61"/>
  <sheetViews>
    <sheetView workbookViewId="0">
      <selection activeCell="G16" sqref="G16"/>
    </sheetView>
  </sheetViews>
  <sheetFormatPr defaultColWidth="11.42578125" defaultRowHeight="15"/>
  <cols>
    <col min="1" max="1" width="1.85546875" customWidth="1"/>
    <col min="2" max="2" width="9.85546875" customWidth="1"/>
    <col min="3" max="5" width="7.5703125" bestFit="1" customWidth="1"/>
    <col min="6" max="7" width="10.140625" bestFit="1" customWidth="1"/>
    <col min="8" max="10" width="8.5703125" bestFit="1" customWidth="1"/>
    <col min="11" max="11" width="11.42578125" style="19"/>
  </cols>
  <sheetData>
    <row r="1" spans="2:12" ht="23.25">
      <c r="B1" s="381" t="s">
        <v>13</v>
      </c>
    </row>
    <row r="3" spans="2:12">
      <c r="B3" s="6" t="s">
        <v>53</v>
      </c>
      <c r="C3" s="591" t="s">
        <v>145</v>
      </c>
      <c r="D3" s="591"/>
      <c r="E3" s="591"/>
      <c r="F3" s="592" t="s">
        <v>146</v>
      </c>
      <c r="G3" s="592"/>
      <c r="H3" s="593" t="s">
        <v>147</v>
      </c>
      <c r="I3" s="593"/>
      <c r="J3" s="593"/>
      <c r="L3" s="20"/>
    </row>
    <row r="4" spans="2:12">
      <c r="B4" s="21" t="s">
        <v>58</v>
      </c>
      <c r="C4" s="436">
        <v>2030</v>
      </c>
      <c r="D4" s="436">
        <v>2040</v>
      </c>
      <c r="E4" s="436">
        <v>2050</v>
      </c>
      <c r="F4" s="439">
        <v>2030</v>
      </c>
      <c r="G4" s="439">
        <v>2040</v>
      </c>
      <c r="H4" s="7">
        <v>2030</v>
      </c>
      <c r="I4" s="7">
        <v>2040</v>
      </c>
      <c r="J4" s="7">
        <v>2050</v>
      </c>
      <c r="K4" s="22"/>
    </row>
    <row r="5" spans="2:12">
      <c r="B5" s="21" t="s">
        <v>59</v>
      </c>
      <c r="C5" s="437">
        <v>0</v>
      </c>
      <c r="D5" s="437">
        <v>0</v>
      </c>
      <c r="E5" s="437">
        <v>0</v>
      </c>
      <c r="F5" s="440">
        <v>0</v>
      </c>
      <c r="G5" s="440">
        <v>0</v>
      </c>
      <c r="H5" s="10">
        <v>0</v>
      </c>
      <c r="I5" s="10">
        <v>0</v>
      </c>
      <c r="J5" s="10">
        <v>0</v>
      </c>
      <c r="L5" s="23"/>
    </row>
    <row r="6" spans="2:12">
      <c r="B6" s="21" t="s">
        <v>60</v>
      </c>
      <c r="C6" s="437">
        <v>0</v>
      </c>
      <c r="D6" s="437">
        <v>0</v>
      </c>
      <c r="E6" s="437">
        <v>0</v>
      </c>
      <c r="F6" s="440">
        <v>0</v>
      </c>
      <c r="G6" s="440">
        <v>0</v>
      </c>
      <c r="H6" s="10">
        <v>0</v>
      </c>
      <c r="I6" s="10">
        <v>0</v>
      </c>
      <c r="J6" s="10">
        <v>0</v>
      </c>
      <c r="L6" s="23"/>
    </row>
    <row r="7" spans="2:12">
      <c r="B7" s="21" t="s">
        <v>61</v>
      </c>
      <c r="C7" s="437">
        <v>0</v>
      </c>
      <c r="D7" s="437">
        <v>0</v>
      </c>
      <c r="E7" s="437">
        <v>0</v>
      </c>
      <c r="F7" s="440">
        <v>0</v>
      </c>
      <c r="G7" s="440">
        <v>0</v>
      </c>
      <c r="H7" s="10">
        <v>0</v>
      </c>
      <c r="I7" s="10">
        <v>0</v>
      </c>
      <c r="J7" s="10">
        <v>0</v>
      </c>
      <c r="L7" s="23"/>
    </row>
    <row r="8" spans="2:12">
      <c r="B8" s="21" t="s">
        <v>62</v>
      </c>
      <c r="C8" s="437">
        <v>2077</v>
      </c>
      <c r="D8" s="437">
        <v>0</v>
      </c>
      <c r="E8" s="437">
        <v>0</v>
      </c>
      <c r="F8" s="440">
        <v>2077</v>
      </c>
      <c r="G8" s="440">
        <v>0</v>
      </c>
      <c r="H8" s="10">
        <v>2077</v>
      </c>
      <c r="I8" s="10">
        <v>0</v>
      </c>
      <c r="J8" s="10">
        <v>0</v>
      </c>
      <c r="L8" s="23"/>
    </row>
    <row r="9" spans="2:12">
      <c r="B9" s="21" t="s">
        <v>63</v>
      </c>
      <c r="C9" s="437">
        <v>2000</v>
      </c>
      <c r="D9" s="437">
        <v>2000</v>
      </c>
      <c r="E9" s="437">
        <v>1000</v>
      </c>
      <c r="F9" s="440">
        <v>2000</v>
      </c>
      <c r="G9" s="440">
        <v>4000</v>
      </c>
      <c r="H9" s="10">
        <v>2000</v>
      </c>
      <c r="I9" s="10">
        <v>4000</v>
      </c>
      <c r="J9" s="10">
        <v>2000</v>
      </c>
      <c r="L9" s="23"/>
    </row>
    <row r="10" spans="2:12">
      <c r="B10" s="21" t="s">
        <v>64</v>
      </c>
      <c r="C10" s="437">
        <v>1190</v>
      </c>
      <c r="D10" s="437">
        <v>0</v>
      </c>
      <c r="E10" s="437">
        <v>0</v>
      </c>
      <c r="F10" s="440">
        <v>1190</v>
      </c>
      <c r="G10" s="440">
        <v>0</v>
      </c>
      <c r="H10" s="10">
        <f>F10</f>
        <v>1190</v>
      </c>
      <c r="I10" s="10">
        <f>G10</f>
        <v>0</v>
      </c>
      <c r="J10" s="10">
        <v>0</v>
      </c>
      <c r="L10" s="23"/>
    </row>
    <row r="11" spans="2:12">
      <c r="B11" s="21" t="s">
        <v>65</v>
      </c>
      <c r="C11" s="437">
        <v>0</v>
      </c>
      <c r="D11" s="437">
        <v>0</v>
      </c>
      <c r="E11" s="437">
        <v>0</v>
      </c>
      <c r="F11" s="440">
        <v>0</v>
      </c>
      <c r="G11" s="440">
        <v>0</v>
      </c>
      <c r="H11" s="10">
        <v>0</v>
      </c>
      <c r="I11" s="10">
        <v>0</v>
      </c>
      <c r="J11" s="10">
        <v>0</v>
      </c>
      <c r="L11" s="23"/>
    </row>
    <row r="12" spans="2:12">
      <c r="B12" s="21" t="s">
        <v>66</v>
      </c>
      <c r="C12" s="437">
        <v>4047.2</v>
      </c>
      <c r="D12" s="437">
        <v>5187.2</v>
      </c>
      <c r="E12" s="437">
        <v>3277.6</v>
      </c>
      <c r="F12" s="440">
        <v>4047.2</v>
      </c>
      <c r="G12" s="440">
        <v>5187.2</v>
      </c>
      <c r="H12" s="10">
        <v>4047.2</v>
      </c>
      <c r="I12" s="10">
        <v>7752</v>
      </c>
      <c r="J12" s="10">
        <v>6982.6</v>
      </c>
      <c r="L12" s="23"/>
    </row>
    <row r="13" spans="2:12">
      <c r="B13" s="21" t="s">
        <v>67</v>
      </c>
      <c r="C13" s="437">
        <v>0</v>
      </c>
      <c r="D13" s="437">
        <v>0</v>
      </c>
      <c r="E13" s="437">
        <v>0</v>
      </c>
      <c r="F13" s="440">
        <v>0</v>
      </c>
      <c r="G13" s="440">
        <v>0</v>
      </c>
      <c r="H13" s="10">
        <v>0</v>
      </c>
      <c r="I13" s="10">
        <v>0</v>
      </c>
      <c r="J13" s="10">
        <v>0</v>
      </c>
      <c r="L13" s="23"/>
    </row>
    <row r="14" spans="2:12">
      <c r="B14" s="21" t="s">
        <v>68</v>
      </c>
      <c r="C14" s="437">
        <v>0</v>
      </c>
      <c r="D14" s="437">
        <v>0</v>
      </c>
      <c r="E14" s="437">
        <v>0</v>
      </c>
      <c r="F14" s="440">
        <v>0</v>
      </c>
      <c r="G14" s="440">
        <v>0</v>
      </c>
      <c r="H14" s="10">
        <v>0</v>
      </c>
      <c r="I14" s="10">
        <v>0</v>
      </c>
      <c r="J14" s="10">
        <v>0</v>
      </c>
      <c r="L14" s="23"/>
    </row>
    <row r="15" spans="2:12">
      <c r="B15" s="21" t="s">
        <v>69</v>
      </c>
      <c r="C15" s="437">
        <v>0</v>
      </c>
      <c r="D15" s="437">
        <v>0</v>
      </c>
      <c r="E15" s="437">
        <v>0</v>
      </c>
      <c r="F15" s="440">
        <v>0</v>
      </c>
      <c r="G15" s="440">
        <v>0</v>
      </c>
      <c r="H15" s="10">
        <v>0</v>
      </c>
      <c r="I15" s="10">
        <v>0</v>
      </c>
      <c r="J15" s="10">
        <v>0</v>
      </c>
      <c r="L15" s="23"/>
    </row>
    <row r="16" spans="2:12">
      <c r="B16" s="21" t="s">
        <v>70</v>
      </c>
      <c r="C16" s="437">
        <v>0</v>
      </c>
      <c r="D16" s="437">
        <v>0</v>
      </c>
      <c r="E16" s="437">
        <v>0</v>
      </c>
      <c r="F16" s="440">
        <v>0</v>
      </c>
      <c r="G16" s="440">
        <v>0</v>
      </c>
      <c r="H16" s="10">
        <v>0</v>
      </c>
      <c r="I16" s="10">
        <v>0</v>
      </c>
      <c r="J16" s="10">
        <v>0</v>
      </c>
      <c r="L16" s="23"/>
    </row>
    <row r="17" spans="2:12">
      <c r="B17" s="21" t="s">
        <v>71</v>
      </c>
      <c r="C17" s="437">
        <v>0</v>
      </c>
      <c r="D17" s="437">
        <v>0</v>
      </c>
      <c r="E17" s="437">
        <v>0</v>
      </c>
      <c r="F17" s="440">
        <v>0</v>
      </c>
      <c r="G17" s="440">
        <v>0</v>
      </c>
      <c r="H17" s="10">
        <v>0</v>
      </c>
      <c r="I17" s="10">
        <v>0</v>
      </c>
      <c r="J17" s="10">
        <v>0</v>
      </c>
      <c r="L17" s="23"/>
    </row>
    <row r="18" spans="2:12">
      <c r="B18" s="21" t="s">
        <v>72</v>
      </c>
      <c r="C18" s="437">
        <v>0</v>
      </c>
      <c r="D18" s="437">
        <v>0</v>
      </c>
      <c r="E18" s="437">
        <v>0</v>
      </c>
      <c r="F18" s="440">
        <v>0</v>
      </c>
      <c r="G18" s="440">
        <v>0</v>
      </c>
      <c r="H18" s="10">
        <v>0</v>
      </c>
      <c r="I18" s="10">
        <v>0</v>
      </c>
      <c r="J18" s="10">
        <v>0</v>
      </c>
      <c r="L18" s="23"/>
    </row>
    <row r="19" spans="2:12">
      <c r="B19" s="21" t="s">
        <v>73</v>
      </c>
      <c r="C19" s="437">
        <v>5100.3599999999997</v>
      </c>
      <c r="D19" s="437"/>
      <c r="E19" s="437"/>
      <c r="F19" s="440">
        <v>5100.3599999999997</v>
      </c>
      <c r="G19" s="440">
        <v>0</v>
      </c>
      <c r="H19" s="10">
        <v>5100.3599999999997</v>
      </c>
      <c r="I19" s="10"/>
      <c r="J19" s="10"/>
      <c r="L19" s="16" t="s">
        <v>74</v>
      </c>
    </row>
    <row r="20" spans="2:12">
      <c r="B20" s="21" t="s">
        <v>75</v>
      </c>
      <c r="C20" s="437">
        <v>3887</v>
      </c>
      <c r="D20" s="437">
        <v>2614</v>
      </c>
      <c r="E20" s="437">
        <v>1600</v>
      </c>
      <c r="F20" s="440">
        <v>4394</v>
      </c>
      <c r="G20" s="440">
        <v>4394</v>
      </c>
      <c r="H20" s="10">
        <v>4394</v>
      </c>
      <c r="I20" s="10">
        <v>8394</v>
      </c>
      <c r="J20" s="442">
        <v>10000</v>
      </c>
      <c r="L20" s="23"/>
    </row>
    <row r="21" spans="2:12">
      <c r="B21" s="21" t="s">
        <v>76</v>
      </c>
      <c r="C21" s="437">
        <v>59400</v>
      </c>
      <c r="D21" s="437">
        <v>50000</v>
      </c>
      <c r="E21" s="437">
        <v>28145</v>
      </c>
      <c r="F21" s="440">
        <v>61761</v>
      </c>
      <c r="G21" s="440">
        <v>62907</v>
      </c>
      <c r="H21" s="10">
        <v>63000</v>
      </c>
      <c r="I21" s="10">
        <v>66000</v>
      </c>
      <c r="J21" s="10">
        <v>50139</v>
      </c>
      <c r="K21" s="24"/>
    </row>
    <row r="22" spans="2:12">
      <c r="B22" s="21" t="s">
        <v>77</v>
      </c>
      <c r="C22" s="437">
        <v>0</v>
      </c>
      <c r="D22" s="437">
        <v>0</v>
      </c>
      <c r="E22" s="437">
        <v>0</v>
      </c>
      <c r="F22" s="440">
        <v>0</v>
      </c>
      <c r="G22" s="440">
        <v>0</v>
      </c>
      <c r="H22" s="10">
        <v>0</v>
      </c>
      <c r="I22" s="10">
        <v>0</v>
      </c>
      <c r="J22" s="10">
        <v>0</v>
      </c>
      <c r="L22" s="23"/>
    </row>
    <row r="23" spans="2:12">
      <c r="B23" s="21" t="s">
        <v>78</v>
      </c>
      <c r="C23" s="437">
        <v>0</v>
      </c>
      <c r="D23" s="437">
        <v>0</v>
      </c>
      <c r="E23" s="437">
        <v>0</v>
      </c>
      <c r="F23" s="440">
        <v>0</v>
      </c>
      <c r="G23" s="440">
        <v>0</v>
      </c>
      <c r="H23" s="10">
        <v>0</v>
      </c>
      <c r="I23" s="10">
        <v>0</v>
      </c>
      <c r="J23" s="10">
        <v>0</v>
      </c>
      <c r="L23" s="23"/>
    </row>
    <row r="24" spans="2:12">
      <c r="B24" s="21" t="s">
        <v>79</v>
      </c>
      <c r="C24" s="437">
        <v>0</v>
      </c>
      <c r="D24" s="437">
        <v>0</v>
      </c>
      <c r="E24" s="437">
        <v>0</v>
      </c>
      <c r="F24" s="440">
        <v>0</v>
      </c>
      <c r="G24" s="440">
        <v>0</v>
      </c>
      <c r="H24" s="10">
        <v>0</v>
      </c>
      <c r="I24" s="10">
        <v>0</v>
      </c>
      <c r="J24" s="10">
        <v>0</v>
      </c>
      <c r="L24" s="23"/>
    </row>
    <row r="25" spans="2:12">
      <c r="B25" s="21" t="s">
        <v>80</v>
      </c>
      <c r="C25" s="437">
        <v>1917</v>
      </c>
      <c r="D25" s="437">
        <v>2360</v>
      </c>
      <c r="E25" s="437">
        <v>2360</v>
      </c>
      <c r="F25" s="440">
        <v>3097</v>
      </c>
      <c r="G25" s="440">
        <v>4277</v>
      </c>
      <c r="H25" s="10">
        <v>3097</v>
      </c>
      <c r="I25" s="10">
        <v>4277</v>
      </c>
      <c r="J25" s="10">
        <v>2360</v>
      </c>
      <c r="L25" s="23"/>
    </row>
    <row r="26" spans="2:12">
      <c r="B26" s="21" t="s">
        <v>81</v>
      </c>
      <c r="C26" s="437">
        <v>0</v>
      </c>
      <c r="D26" s="437">
        <v>0</v>
      </c>
      <c r="E26" s="437">
        <v>0</v>
      </c>
      <c r="F26" s="440">
        <v>0</v>
      </c>
      <c r="G26" s="440">
        <v>0</v>
      </c>
      <c r="H26" s="10">
        <v>0</v>
      </c>
      <c r="I26" s="10">
        <v>0</v>
      </c>
      <c r="J26" s="10">
        <v>0</v>
      </c>
      <c r="L26" s="23"/>
    </row>
    <row r="27" spans="2:12">
      <c r="B27" s="21" t="s">
        <v>85</v>
      </c>
      <c r="C27" s="437">
        <v>0</v>
      </c>
      <c r="D27" s="437">
        <v>0</v>
      </c>
      <c r="E27" s="437">
        <v>0</v>
      </c>
      <c r="F27" s="440">
        <v>0</v>
      </c>
      <c r="G27" s="440">
        <v>0</v>
      </c>
      <c r="H27" s="10">
        <v>0</v>
      </c>
      <c r="I27" s="10">
        <v>0</v>
      </c>
      <c r="J27" s="10">
        <v>0</v>
      </c>
      <c r="L27" s="23"/>
    </row>
    <row r="28" spans="2:12">
      <c r="B28" s="21" t="s">
        <v>86</v>
      </c>
      <c r="C28" s="437">
        <v>0</v>
      </c>
      <c r="D28" s="437">
        <v>0</v>
      </c>
      <c r="E28" s="437">
        <v>0</v>
      </c>
      <c r="F28" s="440">
        <v>0</v>
      </c>
      <c r="G28" s="440">
        <v>0</v>
      </c>
      <c r="H28" s="10">
        <v>0</v>
      </c>
      <c r="I28" s="10">
        <v>0</v>
      </c>
      <c r="J28" s="10">
        <v>0</v>
      </c>
      <c r="L28" s="23"/>
    </row>
    <row r="29" spans="2:12">
      <c r="B29" s="21" t="s">
        <v>87</v>
      </c>
      <c r="C29" s="437">
        <v>0</v>
      </c>
      <c r="D29" s="437">
        <v>0</v>
      </c>
      <c r="E29" s="437">
        <v>0</v>
      </c>
      <c r="F29" s="440">
        <v>0</v>
      </c>
      <c r="G29" s="440">
        <v>0</v>
      </c>
      <c r="H29" s="10">
        <v>0</v>
      </c>
      <c r="I29" s="10">
        <v>0</v>
      </c>
      <c r="J29" s="10">
        <v>0</v>
      </c>
      <c r="L29" s="23"/>
    </row>
    <row r="30" spans="2:12">
      <c r="B30" s="21" t="s">
        <v>88</v>
      </c>
      <c r="C30" s="437">
        <v>0</v>
      </c>
      <c r="D30" s="437">
        <v>0</v>
      </c>
      <c r="E30" s="437">
        <v>0</v>
      </c>
      <c r="F30" s="440">
        <v>0</v>
      </c>
      <c r="G30" s="440">
        <v>0</v>
      </c>
      <c r="H30" s="10">
        <v>0</v>
      </c>
      <c r="I30" s="10">
        <v>0</v>
      </c>
      <c r="J30" s="10">
        <v>0</v>
      </c>
      <c r="L30" s="23"/>
    </row>
    <row r="31" spans="2:12">
      <c r="B31" s="21" t="s">
        <v>89</v>
      </c>
      <c r="C31" s="437">
        <v>0</v>
      </c>
      <c r="D31" s="437">
        <v>0</v>
      </c>
      <c r="E31" s="437">
        <v>0</v>
      </c>
      <c r="F31" s="440">
        <v>0</v>
      </c>
      <c r="G31" s="440">
        <v>0</v>
      </c>
      <c r="H31" s="10">
        <v>0</v>
      </c>
      <c r="I31" s="10">
        <v>0</v>
      </c>
      <c r="J31" s="10">
        <v>0</v>
      </c>
      <c r="L31" s="23"/>
    </row>
    <row r="32" spans="2:12">
      <c r="B32" s="21" t="s">
        <v>90</v>
      </c>
      <c r="C32" s="437">
        <v>0</v>
      </c>
      <c r="D32" s="437">
        <v>0</v>
      </c>
      <c r="E32" s="437">
        <v>0</v>
      </c>
      <c r="F32" s="440">
        <v>0</v>
      </c>
      <c r="G32" s="440">
        <v>0</v>
      </c>
      <c r="H32" s="10">
        <v>0</v>
      </c>
      <c r="I32" s="10">
        <v>0</v>
      </c>
      <c r="J32" s="10">
        <v>0</v>
      </c>
      <c r="L32" s="23"/>
    </row>
    <row r="33" spans="2:12">
      <c r="B33" s="21" t="s">
        <v>91</v>
      </c>
      <c r="C33" s="437">
        <v>0</v>
      </c>
      <c r="D33" s="437">
        <v>0</v>
      </c>
      <c r="E33" s="437">
        <v>0</v>
      </c>
      <c r="F33" s="440">
        <v>0</v>
      </c>
      <c r="G33" s="440">
        <v>0</v>
      </c>
      <c r="H33" s="10">
        <v>0</v>
      </c>
      <c r="I33" s="10">
        <v>0</v>
      </c>
      <c r="J33" s="10">
        <v>0</v>
      </c>
      <c r="L33" s="23"/>
    </row>
    <row r="34" spans="2:12">
      <c r="B34" s="21" t="s">
        <v>92</v>
      </c>
      <c r="C34" s="437">
        <v>0</v>
      </c>
      <c r="D34" s="437">
        <v>0</v>
      </c>
      <c r="E34" s="437">
        <v>0</v>
      </c>
      <c r="F34" s="440">
        <v>0</v>
      </c>
      <c r="G34" s="440">
        <v>0</v>
      </c>
      <c r="H34" s="10">
        <v>0</v>
      </c>
      <c r="I34" s="10">
        <v>0</v>
      </c>
      <c r="J34" s="10">
        <v>0</v>
      </c>
      <c r="L34" s="23"/>
    </row>
    <row r="35" spans="2:12">
      <c r="B35" s="21" t="s">
        <v>93</v>
      </c>
      <c r="C35" s="437">
        <v>0</v>
      </c>
      <c r="D35" s="437">
        <v>0</v>
      </c>
      <c r="E35" s="437">
        <v>0</v>
      </c>
      <c r="F35" s="440">
        <v>0</v>
      </c>
      <c r="G35" s="440">
        <v>0</v>
      </c>
      <c r="H35" s="10">
        <v>0</v>
      </c>
      <c r="I35" s="10">
        <v>0</v>
      </c>
      <c r="J35" s="10">
        <v>0</v>
      </c>
      <c r="L35" s="23"/>
    </row>
    <row r="36" spans="2:12">
      <c r="B36" s="21" t="s">
        <v>94</v>
      </c>
      <c r="C36" s="437">
        <v>0</v>
      </c>
      <c r="D36" s="437">
        <v>0</v>
      </c>
      <c r="E36" s="437">
        <v>0</v>
      </c>
      <c r="F36" s="440">
        <v>0</v>
      </c>
      <c r="G36" s="440">
        <v>0</v>
      </c>
      <c r="H36" s="10">
        <v>0</v>
      </c>
      <c r="I36" s="10">
        <v>0</v>
      </c>
      <c r="J36" s="10">
        <v>0</v>
      </c>
      <c r="L36" s="23"/>
    </row>
    <row r="37" spans="2:12">
      <c r="B37" s="21" t="s">
        <v>95</v>
      </c>
      <c r="C37" s="437">
        <v>0</v>
      </c>
      <c r="D37" s="437">
        <v>0</v>
      </c>
      <c r="E37" s="437">
        <v>0</v>
      </c>
      <c r="F37" s="440">
        <v>0</v>
      </c>
      <c r="G37" s="440">
        <v>0</v>
      </c>
      <c r="H37" s="10">
        <v>0</v>
      </c>
      <c r="I37" s="10">
        <v>0</v>
      </c>
      <c r="J37" s="10">
        <v>0</v>
      </c>
      <c r="L37" s="23"/>
    </row>
    <row r="38" spans="2:12">
      <c r="B38" s="21" t="s">
        <v>96</v>
      </c>
      <c r="C38" s="437">
        <v>0</v>
      </c>
      <c r="D38" s="437">
        <v>0</v>
      </c>
      <c r="E38" s="437">
        <v>0</v>
      </c>
      <c r="F38" s="440">
        <v>0</v>
      </c>
      <c r="G38" s="440">
        <v>0</v>
      </c>
      <c r="H38" s="10">
        <v>0</v>
      </c>
      <c r="I38" s="10">
        <v>0</v>
      </c>
      <c r="J38" s="10">
        <v>0</v>
      </c>
      <c r="L38" s="23"/>
    </row>
    <row r="39" spans="2:12">
      <c r="B39" s="21" t="s">
        <v>97</v>
      </c>
      <c r="C39" s="437">
        <v>0</v>
      </c>
      <c r="D39" s="437">
        <v>0</v>
      </c>
      <c r="E39" s="437">
        <v>0</v>
      </c>
      <c r="F39" s="440">
        <v>0</v>
      </c>
      <c r="G39" s="440">
        <v>0</v>
      </c>
      <c r="H39" s="10">
        <v>0</v>
      </c>
      <c r="I39" s="10">
        <v>0</v>
      </c>
      <c r="J39" s="10">
        <v>0</v>
      </c>
      <c r="L39" s="23"/>
    </row>
    <row r="40" spans="2:12">
      <c r="B40" s="21" t="s">
        <v>98</v>
      </c>
      <c r="C40" s="437">
        <v>0</v>
      </c>
      <c r="D40" s="437">
        <v>0</v>
      </c>
      <c r="E40" s="437">
        <v>0</v>
      </c>
      <c r="F40" s="440">
        <v>0</v>
      </c>
      <c r="G40" s="440">
        <v>0</v>
      </c>
      <c r="H40" s="10">
        <v>0</v>
      </c>
      <c r="I40" s="10">
        <v>0</v>
      </c>
      <c r="J40" s="10">
        <v>0</v>
      </c>
      <c r="L40" s="23"/>
    </row>
    <row r="41" spans="2:12">
      <c r="B41" s="21" t="s">
        <v>99</v>
      </c>
      <c r="C41" s="437">
        <v>0</v>
      </c>
      <c r="D41" s="437">
        <v>0</v>
      </c>
      <c r="E41" s="437">
        <v>0</v>
      </c>
      <c r="F41" s="440">
        <v>0</v>
      </c>
      <c r="G41" s="440">
        <v>0</v>
      </c>
      <c r="H41" s="10">
        <v>0</v>
      </c>
      <c r="I41" s="10">
        <v>0</v>
      </c>
      <c r="J41" s="10">
        <v>0</v>
      </c>
      <c r="L41" s="23"/>
    </row>
    <row r="42" spans="2:12">
      <c r="B42" s="21" t="s">
        <v>100</v>
      </c>
      <c r="C42" s="437">
        <v>0</v>
      </c>
      <c r="D42" s="437">
        <v>0</v>
      </c>
      <c r="E42" s="437">
        <v>0</v>
      </c>
      <c r="F42" s="440">
        <v>0</v>
      </c>
      <c r="G42" s="440">
        <v>0</v>
      </c>
      <c r="H42" s="10">
        <v>0</v>
      </c>
      <c r="I42" s="10">
        <v>0</v>
      </c>
      <c r="J42" s="10">
        <v>0</v>
      </c>
      <c r="L42" s="23"/>
    </row>
    <row r="43" spans="2:12">
      <c r="B43" s="21" t="s">
        <v>101</v>
      </c>
      <c r="C43" s="437">
        <v>486</v>
      </c>
      <c r="D43" s="437">
        <v>0</v>
      </c>
      <c r="E43" s="437">
        <v>0</v>
      </c>
      <c r="F43" s="440">
        <v>486</v>
      </c>
      <c r="G43" s="440">
        <v>0</v>
      </c>
      <c r="H43" s="10">
        <v>486</v>
      </c>
      <c r="I43" s="10">
        <v>3000</v>
      </c>
      <c r="J43" s="10">
        <v>6000</v>
      </c>
      <c r="L43" s="23"/>
    </row>
    <row r="44" spans="2:12">
      <c r="B44" s="21" t="s">
        <v>102</v>
      </c>
      <c r="C44" s="437">
        <v>0</v>
      </c>
      <c r="D44" s="437">
        <v>0</v>
      </c>
      <c r="E44" s="437">
        <v>0</v>
      </c>
      <c r="F44" s="440">
        <v>0</v>
      </c>
      <c r="G44" s="440">
        <v>0</v>
      </c>
      <c r="H44" s="10">
        <v>0</v>
      </c>
      <c r="I44" s="10">
        <v>0</v>
      </c>
      <c r="J44" s="10">
        <v>0</v>
      </c>
      <c r="L44" s="23"/>
    </row>
    <row r="45" spans="2:12">
      <c r="B45" s="21" t="s">
        <v>103</v>
      </c>
      <c r="C45" s="437">
        <v>0</v>
      </c>
      <c r="D45" s="437">
        <v>0</v>
      </c>
      <c r="E45" s="437">
        <v>0</v>
      </c>
      <c r="F45" s="440">
        <v>0</v>
      </c>
      <c r="G45" s="440">
        <v>0</v>
      </c>
      <c r="H45" s="10">
        <v>0</v>
      </c>
      <c r="I45" s="10">
        <v>0</v>
      </c>
      <c r="J45" s="10">
        <v>0</v>
      </c>
      <c r="L45" s="23"/>
    </row>
    <row r="46" spans="2:12">
      <c r="B46" s="21" t="s">
        <v>104</v>
      </c>
      <c r="C46" s="437">
        <v>0</v>
      </c>
      <c r="D46" s="437">
        <v>0</v>
      </c>
      <c r="E46" s="437">
        <v>0</v>
      </c>
      <c r="F46" s="440">
        <v>0</v>
      </c>
      <c r="G46" s="440">
        <v>0</v>
      </c>
      <c r="H46" s="10">
        <v>0</v>
      </c>
      <c r="I46" s="10">
        <v>0</v>
      </c>
      <c r="J46" s="10">
        <v>0</v>
      </c>
      <c r="L46" s="23"/>
    </row>
    <row r="47" spans="2:12">
      <c r="B47" s="21" t="s">
        <v>105</v>
      </c>
      <c r="C47" s="437">
        <v>0</v>
      </c>
      <c r="D47" s="437">
        <v>4440</v>
      </c>
      <c r="E47" s="437">
        <v>6660</v>
      </c>
      <c r="F47" s="440">
        <v>0</v>
      </c>
      <c r="G47" s="440">
        <v>4440</v>
      </c>
      <c r="H47" s="10">
        <v>1120</v>
      </c>
      <c r="I47" s="10">
        <v>8630</v>
      </c>
      <c r="J47" s="10">
        <v>15000</v>
      </c>
      <c r="L47" s="23"/>
    </row>
    <row r="48" spans="2:12">
      <c r="B48" s="21" t="s">
        <v>106</v>
      </c>
      <c r="C48" s="437">
        <v>0</v>
      </c>
      <c r="D48" s="437">
        <v>0</v>
      </c>
      <c r="E48" s="437">
        <v>0</v>
      </c>
      <c r="F48" s="440">
        <v>0</v>
      </c>
      <c r="G48" s="440">
        <v>0</v>
      </c>
      <c r="H48" s="10">
        <v>0</v>
      </c>
      <c r="I48" s="10">
        <v>0</v>
      </c>
      <c r="J48" s="10">
        <v>0</v>
      </c>
      <c r="L48" s="23"/>
    </row>
    <row r="49" spans="2:12">
      <c r="B49" s="21" t="s">
        <v>107</v>
      </c>
      <c r="C49" s="437">
        <v>1300</v>
      </c>
      <c r="D49" s="437">
        <v>1300</v>
      </c>
      <c r="E49" s="437">
        <v>1300</v>
      </c>
      <c r="F49" s="440">
        <v>1739</v>
      </c>
      <c r="G49" s="440">
        <v>3087</v>
      </c>
      <c r="H49" s="10">
        <v>2413</v>
      </c>
      <c r="I49" s="10">
        <v>3087</v>
      </c>
      <c r="J49" s="10">
        <v>3087</v>
      </c>
      <c r="L49" s="23"/>
    </row>
    <row r="50" spans="2:12">
      <c r="B50" s="21" t="s">
        <v>108</v>
      </c>
      <c r="C50" s="437">
        <v>0</v>
      </c>
      <c r="D50" s="437">
        <v>0</v>
      </c>
      <c r="E50" s="437">
        <v>0</v>
      </c>
      <c r="F50" s="440">
        <v>0</v>
      </c>
      <c r="G50" s="440">
        <v>0</v>
      </c>
      <c r="H50" s="10">
        <v>0</v>
      </c>
      <c r="I50" s="10">
        <v>0</v>
      </c>
      <c r="J50" s="10">
        <v>0</v>
      </c>
      <c r="L50" s="23"/>
    </row>
    <row r="51" spans="2:12">
      <c r="B51" s="21" t="s">
        <v>109</v>
      </c>
      <c r="C51" s="437">
        <v>0</v>
      </c>
      <c r="D51" s="437">
        <v>0</v>
      </c>
      <c r="E51" s="437">
        <v>0</v>
      </c>
      <c r="F51" s="440">
        <v>0</v>
      </c>
      <c r="G51" s="440">
        <v>0</v>
      </c>
      <c r="H51" s="10">
        <v>0</v>
      </c>
      <c r="I51" s="10">
        <v>1800</v>
      </c>
      <c r="J51" s="10">
        <v>4800</v>
      </c>
      <c r="L51" s="23"/>
    </row>
    <row r="52" spans="2:12">
      <c r="B52" s="21" t="s">
        <v>110</v>
      </c>
      <c r="C52" s="437">
        <v>0</v>
      </c>
      <c r="D52" s="437">
        <v>0</v>
      </c>
      <c r="E52" s="437">
        <v>0</v>
      </c>
      <c r="F52" s="440">
        <v>0</v>
      </c>
      <c r="G52" s="440">
        <v>0</v>
      </c>
      <c r="H52" s="10">
        <v>0</v>
      </c>
      <c r="I52" s="10">
        <v>0</v>
      </c>
      <c r="J52" s="10">
        <v>0</v>
      </c>
      <c r="L52" s="23"/>
    </row>
    <row r="53" spans="2:12">
      <c r="B53" s="21" t="s">
        <v>111</v>
      </c>
      <c r="C53" s="437">
        <v>5900</v>
      </c>
      <c r="D53" s="437">
        <v>3700</v>
      </c>
      <c r="E53" s="437">
        <v>0</v>
      </c>
      <c r="F53" s="440">
        <v>6883</v>
      </c>
      <c r="G53" s="440">
        <v>5893</v>
      </c>
      <c r="H53" s="10">
        <v>7700</v>
      </c>
      <c r="I53" s="10">
        <v>9000</v>
      </c>
      <c r="J53" s="10">
        <v>11600</v>
      </c>
      <c r="L53" s="23"/>
    </row>
    <row r="54" spans="2:12">
      <c r="B54" s="21" t="s">
        <v>112</v>
      </c>
      <c r="C54" s="437">
        <v>0</v>
      </c>
      <c r="D54" s="437">
        <v>0</v>
      </c>
      <c r="E54" s="437">
        <v>0</v>
      </c>
      <c r="F54" s="440">
        <v>0</v>
      </c>
      <c r="G54" s="440">
        <v>0</v>
      </c>
      <c r="H54" s="10">
        <v>0</v>
      </c>
      <c r="I54" s="10">
        <v>0</v>
      </c>
      <c r="J54" s="10">
        <v>0</v>
      </c>
      <c r="L54" s="23"/>
    </row>
    <row r="55" spans="2:12">
      <c r="B55" s="21" t="s">
        <v>113</v>
      </c>
      <c r="C55" s="437">
        <v>696</v>
      </c>
      <c r="D55" s="437">
        <v>0</v>
      </c>
      <c r="E55" s="437">
        <v>0</v>
      </c>
      <c r="F55" s="440">
        <v>696</v>
      </c>
      <c r="G55" s="440">
        <v>696</v>
      </c>
      <c r="H55" s="10">
        <v>696</v>
      </c>
      <c r="I55" s="10">
        <v>1100</v>
      </c>
      <c r="J55" s="10">
        <v>1100</v>
      </c>
      <c r="L55" s="23"/>
    </row>
    <row r="56" spans="2:12">
      <c r="B56" s="21" t="s">
        <v>114</v>
      </c>
      <c r="C56" s="437">
        <v>2814.6372644158491</v>
      </c>
      <c r="D56" s="437">
        <v>2829.6372644158491</v>
      </c>
      <c r="E56" s="437">
        <v>2829.6372644158491</v>
      </c>
      <c r="F56" s="440">
        <v>2814.6372644158491</v>
      </c>
      <c r="G56" s="440">
        <v>2829.6372644158491</v>
      </c>
      <c r="H56" s="10">
        <v>2814.6372644158491</v>
      </c>
      <c r="I56" s="10">
        <v>2829.6372644158491</v>
      </c>
      <c r="J56" s="10">
        <v>3095.6680000000001</v>
      </c>
      <c r="L56" s="23"/>
    </row>
    <row r="57" spans="2:12">
      <c r="B57" s="21" t="s">
        <v>115</v>
      </c>
      <c r="C57" s="437">
        <v>4500</v>
      </c>
      <c r="D57" s="437">
        <v>4500</v>
      </c>
      <c r="E57" s="437">
        <v>5500</v>
      </c>
      <c r="F57" s="440">
        <v>5510</v>
      </c>
      <c r="G57" s="440">
        <v>13236</v>
      </c>
      <c r="H57" s="10">
        <v>8000</v>
      </c>
      <c r="I57" s="10">
        <v>14500</v>
      </c>
      <c r="J57" s="10">
        <v>16000</v>
      </c>
    </row>
    <row r="58" spans="2:12">
      <c r="B58" s="21" t="s">
        <v>116</v>
      </c>
      <c r="C58" s="437">
        <v>0</v>
      </c>
      <c r="D58" s="437">
        <v>0</v>
      </c>
      <c r="E58" s="437">
        <v>0</v>
      </c>
      <c r="F58" s="440">
        <v>0</v>
      </c>
      <c r="G58" s="440">
        <v>0</v>
      </c>
      <c r="H58" s="10">
        <v>0</v>
      </c>
      <c r="I58" s="10">
        <v>0</v>
      </c>
      <c r="J58" s="10">
        <v>0</v>
      </c>
      <c r="L58" s="23"/>
    </row>
    <row r="59" spans="2:12">
      <c r="B59" s="8" t="s">
        <v>117</v>
      </c>
      <c r="C59" s="438">
        <f>SUM(C5:C58)</f>
        <v>95315.197264415852</v>
      </c>
      <c r="D59" s="438">
        <f t="shared" ref="D59:J59" si="0">SUM(D5:D58)</f>
        <v>78930.837264415852</v>
      </c>
      <c r="E59" s="438">
        <f t="shared" si="0"/>
        <v>52672.237264415846</v>
      </c>
      <c r="F59" s="441">
        <f t="shared" si="0"/>
        <v>101795.19726441585</v>
      </c>
      <c r="G59" s="441">
        <f t="shared" si="0"/>
        <v>110946.83726441585</v>
      </c>
      <c r="H59" s="14">
        <f t="shared" si="0"/>
        <v>108135.19726441585</v>
      </c>
      <c r="I59" s="14">
        <f t="shared" si="0"/>
        <v>134369.63726441585</v>
      </c>
      <c r="J59" s="14">
        <f t="shared" si="0"/>
        <v>132164.26800000001</v>
      </c>
    </row>
    <row r="61" spans="2:12">
      <c r="B61" s="6" t="s">
        <v>118</v>
      </c>
      <c r="C61" s="395">
        <f t="shared" ref="C61:J61" si="1">C6+SUM(C8:C9)+SUM(C11:C39)+SUM(C42:C43)+SUM(C47:C49)+SUM(C51:C56)</f>
        <v>89625.197264415852</v>
      </c>
      <c r="D61" s="395">
        <f t="shared" si="1"/>
        <v>74430.837264415852</v>
      </c>
      <c r="E61" s="395">
        <f t="shared" si="1"/>
        <v>47172.237264415846</v>
      </c>
      <c r="F61" s="395">
        <f t="shared" si="1"/>
        <v>95095.197264415852</v>
      </c>
      <c r="G61" s="395">
        <f t="shared" si="1"/>
        <v>97710.837264415852</v>
      </c>
      <c r="H61" s="395">
        <f t="shared" si="1"/>
        <v>98945.197264415852</v>
      </c>
      <c r="I61" s="395">
        <f t="shared" si="1"/>
        <v>119869.63726441585</v>
      </c>
      <c r="J61" s="395">
        <f t="shared" si="1"/>
        <v>116164.26800000001</v>
      </c>
    </row>
  </sheetData>
  <mergeCells count="3">
    <mergeCell ref="C3:E3"/>
    <mergeCell ref="F3:G3"/>
    <mergeCell ref="H3:J3"/>
  </mergeCells>
  <pageMargins left="0.7" right="0.7" top="0.75" bottom="0.75" header="0.3" footer="0.3"/>
  <pageSetup paperSize="9" orientation="portrait" r:id="rId1"/>
  <headerFooter>
    <oddFooter>&amp;C_x000D_&amp;1#&amp;"Calibri"&amp;10&amp;K000000 ISC - Uso INTERNO / INTERNAL Use</oddFooter>
  </headerFooter>
  <ignoredErrors>
    <ignoredError sqref="C59:J5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F96A8-BE1D-4B77-A51F-64F9C4B6F0BB}">
  <sheetPr>
    <tabColor rgb="FFFFC000"/>
  </sheetPr>
  <dimension ref="B1:P62"/>
  <sheetViews>
    <sheetView workbookViewId="0">
      <selection activeCell="M27" sqref="M27:P35"/>
    </sheetView>
  </sheetViews>
  <sheetFormatPr defaultColWidth="11.42578125" defaultRowHeight="15"/>
  <cols>
    <col min="1" max="1" width="4.140625" customWidth="1"/>
    <col min="4" max="6" width="8.85546875" bestFit="1" customWidth="1"/>
    <col min="7" max="8" width="10.140625" bestFit="1" customWidth="1"/>
    <col min="9" max="11" width="8.85546875" bestFit="1" customWidth="1"/>
    <col min="12" max="12" width="5.7109375" customWidth="1"/>
    <col min="13" max="13" width="12.140625" bestFit="1" customWidth="1"/>
  </cols>
  <sheetData>
    <row r="1" spans="2:11" ht="23.25">
      <c r="B1" s="381" t="s">
        <v>15</v>
      </c>
    </row>
    <row r="3" spans="2:11">
      <c r="B3" s="8" t="s">
        <v>148</v>
      </c>
      <c r="C3" s="8" t="s">
        <v>149</v>
      </c>
      <c r="D3" s="587" t="s">
        <v>54</v>
      </c>
      <c r="E3" s="587"/>
      <c r="F3" s="587"/>
      <c r="G3" s="594" t="s">
        <v>55</v>
      </c>
      <c r="H3" s="594"/>
      <c r="I3" s="589" t="s">
        <v>56</v>
      </c>
      <c r="J3" s="589"/>
      <c r="K3" s="589"/>
    </row>
    <row r="4" spans="2:11">
      <c r="B4" s="8" t="s">
        <v>150</v>
      </c>
      <c r="C4" s="8" t="s">
        <v>58</v>
      </c>
      <c r="D4" s="409">
        <v>2030</v>
      </c>
      <c r="E4" s="409">
        <v>2040</v>
      </c>
      <c r="F4" s="409">
        <v>2050</v>
      </c>
      <c r="G4" s="430">
        <v>2030</v>
      </c>
      <c r="H4" s="430">
        <v>2040</v>
      </c>
      <c r="I4" s="407">
        <v>2030</v>
      </c>
      <c r="J4" s="407">
        <v>2040</v>
      </c>
      <c r="K4" s="407">
        <v>2050</v>
      </c>
    </row>
    <row r="5" spans="2:11">
      <c r="B5" s="8" t="s">
        <v>151</v>
      </c>
      <c r="C5" s="8" t="s">
        <v>59</v>
      </c>
      <c r="D5" s="15">
        <v>0</v>
      </c>
      <c r="E5" s="15">
        <v>0</v>
      </c>
      <c r="F5" s="15">
        <v>0</v>
      </c>
      <c r="G5" s="428">
        <v>0</v>
      </c>
      <c r="H5" s="428">
        <v>0</v>
      </c>
      <c r="I5" s="9">
        <v>0</v>
      </c>
      <c r="J5" s="9">
        <v>0</v>
      </c>
      <c r="K5" s="9">
        <v>0</v>
      </c>
    </row>
    <row r="6" spans="2:11">
      <c r="B6" s="8" t="s">
        <v>152</v>
      </c>
      <c r="C6" s="8" t="s">
        <v>60</v>
      </c>
      <c r="D6" s="15">
        <v>56.013507866262088</v>
      </c>
      <c r="E6" s="15">
        <v>184.91627919498589</v>
      </c>
      <c r="F6" s="15">
        <v>336.75778854233346</v>
      </c>
      <c r="G6" s="428">
        <v>56.013507866262088</v>
      </c>
      <c r="H6" s="428">
        <v>184.91627919498589</v>
      </c>
      <c r="I6" s="9">
        <v>140.03077067331662</v>
      </c>
      <c r="J6" s="9">
        <v>320.5188048268808</v>
      </c>
      <c r="K6" s="9">
        <v>981.40120603451601</v>
      </c>
    </row>
    <row r="7" spans="2:11">
      <c r="B7" s="8" t="s">
        <v>151</v>
      </c>
      <c r="C7" s="8" t="s">
        <v>61</v>
      </c>
      <c r="D7" s="15">
        <v>0</v>
      </c>
      <c r="E7" s="15">
        <v>0</v>
      </c>
      <c r="F7" s="15">
        <v>0</v>
      </c>
      <c r="G7" s="428">
        <v>0</v>
      </c>
      <c r="H7" s="428">
        <v>0</v>
      </c>
      <c r="I7" s="9">
        <v>0</v>
      </c>
      <c r="J7" s="9">
        <v>0</v>
      </c>
      <c r="K7" s="9">
        <v>0</v>
      </c>
    </row>
    <row r="8" spans="2:11">
      <c r="B8" s="8" t="s">
        <v>153</v>
      </c>
      <c r="C8" s="8" t="s">
        <v>62</v>
      </c>
      <c r="D8" s="15">
        <v>520</v>
      </c>
      <c r="E8" s="15">
        <v>1566</v>
      </c>
      <c r="F8" s="15">
        <v>1566</v>
      </c>
      <c r="G8" s="428">
        <v>520</v>
      </c>
      <c r="H8" s="428">
        <v>1566</v>
      </c>
      <c r="I8" s="9">
        <v>965</v>
      </c>
      <c r="J8" s="9">
        <v>2156</v>
      </c>
      <c r="K8" s="9">
        <v>5768</v>
      </c>
    </row>
    <row r="9" spans="2:11">
      <c r="B9" s="8" t="s">
        <v>151</v>
      </c>
      <c r="C9" s="8" t="s">
        <v>63</v>
      </c>
      <c r="D9" s="15">
        <v>1077.4276025616521</v>
      </c>
      <c r="E9" s="15">
        <v>1588.6257788096884</v>
      </c>
      <c r="F9" s="15">
        <v>2017.897202714151</v>
      </c>
      <c r="G9" s="428">
        <v>1077.4276025616521</v>
      </c>
      <c r="H9" s="428">
        <v>1588.6257788096884</v>
      </c>
      <c r="I9" s="9">
        <v>2154.3959745135526</v>
      </c>
      <c r="J9" s="9">
        <v>3177.460084631794</v>
      </c>
      <c r="K9" s="9">
        <v>4035.5844310023635</v>
      </c>
    </row>
    <row r="10" spans="2:11">
      <c r="B10" s="8" t="s">
        <v>152</v>
      </c>
      <c r="C10" s="8" t="s">
        <v>64</v>
      </c>
      <c r="D10" s="15">
        <v>610.6</v>
      </c>
      <c r="E10" s="15">
        <v>2777.4</v>
      </c>
      <c r="F10" s="15">
        <v>5049.6000000000004</v>
      </c>
      <c r="G10" s="428">
        <v>610.6</v>
      </c>
      <c r="H10" s="428">
        <v>2777.4</v>
      </c>
      <c r="I10" s="9">
        <v>763.07277998499251</v>
      </c>
      <c r="J10" s="9">
        <v>3471.8753384493234</v>
      </c>
      <c r="K10" s="9">
        <v>5999.3496967914862</v>
      </c>
    </row>
    <row r="11" spans="2:11">
      <c r="B11" s="8" t="s">
        <v>151</v>
      </c>
      <c r="C11" s="8" t="s">
        <v>65</v>
      </c>
      <c r="D11" s="15">
        <v>0</v>
      </c>
      <c r="E11" s="15">
        <v>256</v>
      </c>
      <c r="F11" s="15">
        <v>256</v>
      </c>
      <c r="G11" s="428">
        <v>0</v>
      </c>
      <c r="H11" s="428">
        <v>256</v>
      </c>
      <c r="I11" s="9">
        <v>280</v>
      </c>
      <c r="J11" s="9">
        <v>350</v>
      </c>
      <c r="K11" s="9">
        <v>350</v>
      </c>
    </row>
    <row r="12" spans="2:11">
      <c r="B12" s="8" t="s">
        <v>153</v>
      </c>
      <c r="C12" s="8" t="s">
        <v>66</v>
      </c>
      <c r="D12" s="15">
        <v>277.86140263201736</v>
      </c>
      <c r="E12" s="15">
        <v>1127.0474520705234</v>
      </c>
      <c r="F12" s="15">
        <v>532.60753801056364</v>
      </c>
      <c r="G12" s="428">
        <v>277.86140263201736</v>
      </c>
      <c r="H12" s="428">
        <v>1127.0474520705234</v>
      </c>
      <c r="I12" s="9">
        <v>277.86140263201736</v>
      </c>
      <c r="J12" s="9">
        <v>1349.6610761035502</v>
      </c>
      <c r="K12" s="9">
        <v>1349.6610761035502</v>
      </c>
    </row>
    <row r="13" spans="2:11">
      <c r="B13" s="8" t="s">
        <v>153</v>
      </c>
      <c r="C13" s="8" t="s">
        <v>67</v>
      </c>
      <c r="D13" s="15">
        <v>50538</v>
      </c>
      <c r="E13" s="15">
        <v>157525</v>
      </c>
      <c r="F13" s="15">
        <v>233272</v>
      </c>
      <c r="G13" s="428">
        <v>50538</v>
      </c>
      <c r="H13" s="428">
        <v>157525</v>
      </c>
      <c r="I13" s="9">
        <v>50538</v>
      </c>
      <c r="J13" s="9">
        <v>172217.09904519407</v>
      </c>
      <c r="K13" s="9">
        <v>272563.83529008954</v>
      </c>
    </row>
    <row r="14" spans="2:11">
      <c r="B14" s="8" t="s">
        <v>153</v>
      </c>
      <c r="C14" s="8" t="s">
        <v>68</v>
      </c>
      <c r="D14" s="15">
        <v>0</v>
      </c>
      <c r="E14" s="15">
        <v>0</v>
      </c>
      <c r="F14" s="15">
        <v>0</v>
      </c>
      <c r="G14" s="428">
        <v>0</v>
      </c>
      <c r="H14" s="428">
        <v>0</v>
      </c>
      <c r="I14" s="9">
        <v>0</v>
      </c>
      <c r="J14" s="9">
        <v>0</v>
      </c>
      <c r="K14" s="9">
        <v>0</v>
      </c>
    </row>
    <row r="15" spans="2:11">
      <c r="B15" s="8" t="s">
        <v>154</v>
      </c>
      <c r="C15" s="8" t="s">
        <v>69</v>
      </c>
      <c r="D15" s="15">
        <v>0</v>
      </c>
      <c r="E15" s="15">
        <v>0</v>
      </c>
      <c r="F15" s="15">
        <v>0</v>
      </c>
      <c r="G15" s="428">
        <v>0</v>
      </c>
      <c r="H15" s="428">
        <v>0</v>
      </c>
      <c r="I15" s="9">
        <v>215.16314212296115</v>
      </c>
      <c r="J15" s="9">
        <v>329.56781664996811</v>
      </c>
      <c r="K15" s="9">
        <v>552.02002188826509</v>
      </c>
    </row>
    <row r="16" spans="2:11">
      <c r="B16" s="8" t="s">
        <v>154</v>
      </c>
      <c r="C16" s="8" t="s">
        <v>70</v>
      </c>
      <c r="D16" s="15">
        <v>0</v>
      </c>
      <c r="E16" s="15">
        <v>0</v>
      </c>
      <c r="F16" s="15">
        <v>0</v>
      </c>
      <c r="G16" s="428">
        <v>0</v>
      </c>
      <c r="H16" s="428">
        <v>0</v>
      </c>
      <c r="I16" s="9">
        <v>0</v>
      </c>
      <c r="J16" s="9">
        <v>0</v>
      </c>
      <c r="K16" s="9">
        <v>0</v>
      </c>
    </row>
    <row r="17" spans="2:16">
      <c r="B17" s="8" t="s">
        <v>154</v>
      </c>
      <c r="C17" s="8" t="s">
        <v>71</v>
      </c>
      <c r="D17" s="15">
        <v>150.36171954998781</v>
      </c>
      <c r="E17" s="15">
        <v>189.95607688380557</v>
      </c>
      <c r="F17" s="15">
        <v>258.04938553178812</v>
      </c>
      <c r="G17" s="428">
        <v>150.36171954998781</v>
      </c>
      <c r="H17" s="428">
        <v>189.95607688380557</v>
      </c>
      <c r="I17" s="9">
        <v>559.02206991363437</v>
      </c>
      <c r="J17" s="9">
        <v>559.02206991363437</v>
      </c>
      <c r="K17" s="9">
        <v>559.02206991363437</v>
      </c>
    </row>
    <row r="18" spans="2:16">
      <c r="B18" s="8" t="s">
        <v>154</v>
      </c>
      <c r="C18" s="8" t="s">
        <v>72</v>
      </c>
      <c r="D18" s="15">
        <v>0</v>
      </c>
      <c r="E18" s="15">
        <v>0</v>
      </c>
      <c r="F18" s="15">
        <v>0</v>
      </c>
      <c r="G18" s="428">
        <v>0</v>
      </c>
      <c r="H18" s="428">
        <v>0</v>
      </c>
      <c r="I18" s="9">
        <v>0</v>
      </c>
      <c r="J18" s="9">
        <v>0</v>
      </c>
      <c r="K18" s="9">
        <v>0</v>
      </c>
    </row>
    <row r="19" spans="2:16">
      <c r="B19" s="8" t="s">
        <v>151</v>
      </c>
      <c r="C19" s="8" t="s">
        <v>73</v>
      </c>
      <c r="D19" s="15">
        <v>1400</v>
      </c>
      <c r="E19" s="15">
        <v>2250</v>
      </c>
      <c r="F19" s="15">
        <v>3000</v>
      </c>
      <c r="G19" s="428">
        <v>1400</v>
      </c>
      <c r="H19" s="428">
        <v>2250</v>
      </c>
      <c r="I19" s="9">
        <v>2000</v>
      </c>
      <c r="J19" s="9">
        <v>3000</v>
      </c>
      <c r="K19" s="9">
        <v>4000</v>
      </c>
    </row>
    <row r="20" spans="2:16">
      <c r="B20" s="8" t="s">
        <v>154</v>
      </c>
      <c r="C20" s="8" t="s">
        <v>75</v>
      </c>
      <c r="D20" s="15">
        <v>688.9361099260741</v>
      </c>
      <c r="E20" s="15">
        <v>2882.5111039934027</v>
      </c>
      <c r="F20" s="15">
        <v>6113.4093530190576</v>
      </c>
      <c r="G20" s="428">
        <v>688.9361099260741</v>
      </c>
      <c r="H20" s="428">
        <v>2882.5111039934027</v>
      </c>
      <c r="I20" s="9">
        <v>1288.3105255617584</v>
      </c>
      <c r="J20" s="9">
        <v>6064.0827350261243</v>
      </c>
      <c r="K20" s="9">
        <v>15242.767320194194</v>
      </c>
    </row>
    <row r="21" spans="2:16">
      <c r="B21" s="8" t="s">
        <v>152</v>
      </c>
      <c r="C21" s="8" t="s">
        <v>76</v>
      </c>
      <c r="D21" s="15">
        <v>0</v>
      </c>
      <c r="E21" s="15">
        <v>0</v>
      </c>
      <c r="F21" s="15">
        <v>0</v>
      </c>
      <c r="G21" s="428">
        <v>0</v>
      </c>
      <c r="H21" s="428">
        <v>0</v>
      </c>
      <c r="I21" s="9">
        <v>0</v>
      </c>
      <c r="J21" s="9">
        <v>0</v>
      </c>
      <c r="K21" s="9">
        <v>0</v>
      </c>
    </row>
    <row r="22" spans="2:16">
      <c r="B22" s="8" t="s">
        <v>151</v>
      </c>
      <c r="C22" s="8" t="s">
        <v>77</v>
      </c>
      <c r="D22" s="15">
        <v>0</v>
      </c>
      <c r="E22" s="15">
        <v>0</v>
      </c>
      <c r="F22" s="15">
        <v>0</v>
      </c>
      <c r="G22" s="428">
        <v>0</v>
      </c>
      <c r="H22" s="428">
        <v>0</v>
      </c>
      <c r="I22" s="9">
        <v>0</v>
      </c>
      <c r="J22" s="9">
        <v>0</v>
      </c>
      <c r="K22" s="9">
        <v>0</v>
      </c>
      <c r="M22" s="595" t="s">
        <v>155</v>
      </c>
      <c r="N22" s="596"/>
      <c r="O22" s="596"/>
      <c r="P22" s="597"/>
    </row>
    <row r="23" spans="2:16">
      <c r="B23" s="8" t="s">
        <v>151</v>
      </c>
      <c r="C23" s="8" t="s">
        <v>78</v>
      </c>
      <c r="D23" s="15">
        <v>0</v>
      </c>
      <c r="E23" s="15">
        <v>0</v>
      </c>
      <c r="F23" s="15">
        <v>0</v>
      </c>
      <c r="G23" s="428">
        <v>0</v>
      </c>
      <c r="H23" s="428">
        <v>0</v>
      </c>
      <c r="I23" s="9">
        <v>0</v>
      </c>
      <c r="J23" s="9">
        <v>0</v>
      </c>
      <c r="K23" s="9">
        <v>0</v>
      </c>
      <c r="M23" s="27" t="s">
        <v>156</v>
      </c>
      <c r="N23" s="29">
        <v>0.37985335457766201</v>
      </c>
      <c r="O23" s="29">
        <v>0.64739399627341987</v>
      </c>
      <c r="P23" s="29">
        <v>0.74037060560431933</v>
      </c>
    </row>
    <row r="24" spans="2:16">
      <c r="B24" s="8" t="s">
        <v>151</v>
      </c>
      <c r="C24" s="8" t="s">
        <v>79</v>
      </c>
      <c r="D24" s="15">
        <v>0</v>
      </c>
      <c r="E24" s="15">
        <v>0</v>
      </c>
      <c r="F24" s="15">
        <v>0</v>
      </c>
      <c r="G24" s="428">
        <v>0</v>
      </c>
      <c r="H24" s="428">
        <v>0</v>
      </c>
      <c r="I24" s="9">
        <v>0</v>
      </c>
      <c r="J24" s="9">
        <v>0</v>
      </c>
      <c r="K24" s="9">
        <v>0</v>
      </c>
    </row>
    <row r="25" spans="2:16">
      <c r="B25" s="8" t="s">
        <v>152</v>
      </c>
      <c r="C25" s="8" t="s">
        <v>80</v>
      </c>
      <c r="D25" s="15">
        <v>223.98989898989896</v>
      </c>
      <c r="E25" s="15">
        <v>503.99446919649711</v>
      </c>
      <c r="F25" s="15">
        <v>783.9927825750741</v>
      </c>
      <c r="G25" s="428">
        <v>223.98989898989896</v>
      </c>
      <c r="H25" s="428">
        <v>503.99446919649711</v>
      </c>
      <c r="I25" s="9">
        <v>323.61242811697053</v>
      </c>
      <c r="J25" s="9">
        <v>641.75568972679207</v>
      </c>
      <c r="K25" s="9">
        <v>997.2020931291928</v>
      </c>
    </row>
    <row r="26" spans="2:16">
      <c r="B26" s="8" t="s">
        <v>153</v>
      </c>
      <c r="C26" s="8" t="s">
        <v>81</v>
      </c>
      <c r="D26" s="15">
        <v>3825.9382746963811</v>
      </c>
      <c r="E26" s="15">
        <v>17410.831180671634</v>
      </c>
      <c r="F26" s="15">
        <v>23452.940088271196</v>
      </c>
      <c r="G26" s="428">
        <v>3825.9382746963811</v>
      </c>
      <c r="H26" s="428">
        <v>17410.831180671634</v>
      </c>
      <c r="I26" s="9">
        <v>3825.9382746963806</v>
      </c>
      <c r="J26" s="9">
        <v>17410.831180671634</v>
      </c>
      <c r="K26" s="9">
        <v>23452.940088271196</v>
      </c>
    </row>
    <row r="27" spans="2:16">
      <c r="B27" s="8" t="s">
        <v>151</v>
      </c>
      <c r="C27" s="8" t="s">
        <v>157</v>
      </c>
      <c r="D27" s="15">
        <v>0</v>
      </c>
      <c r="E27" s="15">
        <v>0</v>
      </c>
      <c r="F27" s="15">
        <v>0</v>
      </c>
      <c r="G27" s="428">
        <v>0</v>
      </c>
      <c r="H27" s="428">
        <v>0</v>
      </c>
      <c r="I27" s="9">
        <v>0</v>
      </c>
      <c r="J27" s="9">
        <v>0</v>
      </c>
      <c r="K27" s="9">
        <v>0</v>
      </c>
    </row>
    <row r="28" spans="2:16">
      <c r="B28" s="8" t="s">
        <v>151</v>
      </c>
      <c r="C28" s="8" t="s">
        <v>85</v>
      </c>
      <c r="D28" s="15">
        <v>320</v>
      </c>
      <c r="E28" s="15">
        <v>640</v>
      </c>
      <c r="F28" s="15">
        <v>640</v>
      </c>
      <c r="G28" s="428">
        <v>320</v>
      </c>
      <c r="H28" s="428">
        <v>640</v>
      </c>
      <c r="I28" s="9">
        <v>398.35781022941978</v>
      </c>
      <c r="J28" s="9">
        <v>704.02382406822176</v>
      </c>
      <c r="K28" s="9">
        <v>989.61155373130282</v>
      </c>
      <c r="N28" s="569"/>
      <c r="O28" s="569"/>
    </row>
    <row r="29" spans="2:16">
      <c r="B29" s="8" t="s">
        <v>151</v>
      </c>
      <c r="C29" s="8" t="s">
        <v>86</v>
      </c>
      <c r="D29" s="15">
        <v>1440</v>
      </c>
      <c r="E29" s="15">
        <v>2880</v>
      </c>
      <c r="F29" s="15">
        <v>2880</v>
      </c>
      <c r="G29" s="428">
        <v>1440</v>
      </c>
      <c r="H29" s="428">
        <v>2880</v>
      </c>
      <c r="I29" s="9">
        <v>2539.0247987999442</v>
      </c>
      <c r="J29" s="9">
        <v>5289.0694860444137</v>
      </c>
      <c r="K29" s="9">
        <v>6991.3548595908578</v>
      </c>
      <c r="N29" s="569"/>
      <c r="O29" s="569"/>
    </row>
    <row r="30" spans="2:16">
      <c r="B30" s="8" t="s">
        <v>151</v>
      </c>
      <c r="C30" s="8" t="s">
        <v>87</v>
      </c>
      <c r="D30" s="15">
        <v>3360</v>
      </c>
      <c r="E30" s="15">
        <v>6720</v>
      </c>
      <c r="F30" s="15">
        <v>6720</v>
      </c>
      <c r="G30" s="428">
        <v>3360</v>
      </c>
      <c r="H30" s="428">
        <v>6720</v>
      </c>
      <c r="I30" s="9">
        <v>3696</v>
      </c>
      <c r="J30" s="9">
        <v>7392.0403986261372</v>
      </c>
      <c r="K30" s="9">
        <v>11875.749678988352</v>
      </c>
      <c r="N30" s="569"/>
      <c r="O30" s="569"/>
    </row>
    <row r="31" spans="2:16">
      <c r="B31" s="8" t="s">
        <v>151</v>
      </c>
      <c r="C31" s="8" t="s">
        <v>88</v>
      </c>
      <c r="D31" s="15">
        <v>8960</v>
      </c>
      <c r="E31" s="15">
        <v>17920</v>
      </c>
      <c r="F31" s="15">
        <v>17920</v>
      </c>
      <c r="G31" s="428">
        <v>8960</v>
      </c>
      <c r="H31" s="428">
        <v>17920</v>
      </c>
      <c r="I31" s="9">
        <v>16251.608515463809</v>
      </c>
      <c r="J31" s="9">
        <v>35023.434626659058</v>
      </c>
      <c r="K31" s="9">
        <v>46295.716197856629</v>
      </c>
      <c r="N31" s="569"/>
      <c r="O31" s="569"/>
    </row>
    <row r="32" spans="2:16">
      <c r="B32" s="8" t="s">
        <v>151</v>
      </c>
      <c r="C32" s="8" t="s">
        <v>89</v>
      </c>
      <c r="D32" s="15">
        <v>800</v>
      </c>
      <c r="E32" s="15">
        <v>1600</v>
      </c>
      <c r="F32" s="15">
        <v>1600</v>
      </c>
      <c r="G32" s="428">
        <v>800</v>
      </c>
      <c r="H32" s="428">
        <v>1600</v>
      </c>
      <c r="I32" s="9">
        <v>880.00000000000011</v>
      </c>
      <c r="J32" s="9">
        <v>1760.0199306823051</v>
      </c>
      <c r="K32" s="9">
        <v>3625.0226854017865</v>
      </c>
      <c r="N32" s="569"/>
      <c r="O32" s="569"/>
    </row>
    <row r="33" spans="2:15">
      <c r="B33" s="8" t="s">
        <v>151</v>
      </c>
      <c r="C33" s="8" t="s">
        <v>90</v>
      </c>
      <c r="D33" s="15">
        <v>320</v>
      </c>
      <c r="E33" s="15">
        <v>640</v>
      </c>
      <c r="F33" s="15">
        <v>640</v>
      </c>
      <c r="G33" s="428">
        <v>320</v>
      </c>
      <c r="H33" s="428">
        <v>640</v>
      </c>
      <c r="I33" s="9">
        <v>351.11005118872231</v>
      </c>
      <c r="J33" s="9">
        <v>702.89688677531558</v>
      </c>
      <c r="K33" s="9">
        <v>1411.6168102930242</v>
      </c>
      <c r="N33" s="569"/>
      <c r="O33" s="569"/>
    </row>
    <row r="34" spans="2:15">
      <c r="B34" s="8" t="s">
        <v>151</v>
      </c>
      <c r="C34" s="8" t="s">
        <v>91</v>
      </c>
      <c r="D34" s="15">
        <v>800</v>
      </c>
      <c r="E34" s="15">
        <v>1600</v>
      </c>
      <c r="F34" s="15">
        <v>1600</v>
      </c>
      <c r="G34" s="428">
        <v>800</v>
      </c>
      <c r="H34" s="428">
        <v>1600</v>
      </c>
      <c r="I34" s="9">
        <v>876.07940307275169</v>
      </c>
      <c r="J34" s="9">
        <v>1950.74839066402</v>
      </c>
      <c r="K34" s="9">
        <v>3523.415268205194</v>
      </c>
      <c r="N34" s="569"/>
      <c r="O34" s="569"/>
    </row>
    <row r="35" spans="2:15">
      <c r="B35" s="8" t="s">
        <v>154</v>
      </c>
      <c r="C35" s="8" t="s">
        <v>92</v>
      </c>
      <c r="D35" s="15">
        <v>0</v>
      </c>
      <c r="E35" s="15">
        <v>0</v>
      </c>
      <c r="F35" s="15">
        <v>0</v>
      </c>
      <c r="G35" s="428">
        <v>0</v>
      </c>
      <c r="H35" s="428">
        <v>0</v>
      </c>
      <c r="I35" s="9">
        <v>0</v>
      </c>
      <c r="J35" s="9">
        <v>0</v>
      </c>
      <c r="K35" s="9">
        <v>0</v>
      </c>
    </row>
    <row r="36" spans="2:15">
      <c r="B36" s="8" t="s">
        <v>153</v>
      </c>
      <c r="C36" s="8" t="s">
        <v>93</v>
      </c>
      <c r="D36" s="15">
        <v>0</v>
      </c>
      <c r="E36" s="15">
        <v>0</v>
      </c>
      <c r="F36" s="15">
        <v>0</v>
      </c>
      <c r="G36" s="428">
        <v>0</v>
      </c>
      <c r="H36" s="428">
        <v>0</v>
      </c>
      <c r="I36" s="9">
        <v>0</v>
      </c>
      <c r="J36" s="9">
        <v>0</v>
      </c>
      <c r="K36" s="9">
        <v>0</v>
      </c>
    </row>
    <row r="37" spans="2:15">
      <c r="B37" s="8" t="s">
        <v>153</v>
      </c>
      <c r="C37" s="8" t="s">
        <v>94</v>
      </c>
      <c r="D37" s="15">
        <v>0</v>
      </c>
      <c r="E37" s="15">
        <v>0</v>
      </c>
      <c r="F37" s="15">
        <v>0</v>
      </c>
      <c r="G37" s="428">
        <v>0</v>
      </c>
      <c r="H37" s="428">
        <v>0</v>
      </c>
      <c r="I37" s="9">
        <v>0</v>
      </c>
      <c r="J37" s="9">
        <v>0</v>
      </c>
      <c r="K37" s="9">
        <v>0</v>
      </c>
    </row>
    <row r="38" spans="2:15">
      <c r="B38" s="8" t="s">
        <v>153</v>
      </c>
      <c r="C38" s="8" t="s">
        <v>95</v>
      </c>
      <c r="D38" s="15">
        <v>17.465078060805258</v>
      </c>
      <c r="E38" s="15">
        <v>34.989503149055274</v>
      </c>
      <c r="F38" s="15">
        <v>36.323130569546677</v>
      </c>
      <c r="G38" s="428">
        <v>17.465078060805258</v>
      </c>
      <c r="H38" s="428">
        <v>34.989503149055274</v>
      </c>
      <c r="I38" s="9">
        <v>28.22827325029083</v>
      </c>
      <c r="J38" s="9">
        <v>73.472243374806524</v>
      </c>
      <c r="K38" s="9">
        <v>76.537522511615478</v>
      </c>
    </row>
    <row r="39" spans="2:15">
      <c r="B39" s="8" t="s">
        <v>153</v>
      </c>
      <c r="C39" s="8" t="s">
        <v>96</v>
      </c>
      <c r="D39" s="15">
        <v>0</v>
      </c>
      <c r="E39" s="15">
        <v>0</v>
      </c>
      <c r="F39" s="15">
        <v>0</v>
      </c>
      <c r="G39" s="428">
        <v>0</v>
      </c>
      <c r="H39" s="428">
        <v>0</v>
      </c>
      <c r="I39" s="9">
        <v>0</v>
      </c>
      <c r="J39" s="9">
        <v>0</v>
      </c>
      <c r="K39" s="9">
        <v>0</v>
      </c>
    </row>
    <row r="40" spans="2:15">
      <c r="B40" s="8" t="s">
        <v>154</v>
      </c>
      <c r="C40" s="8" t="s">
        <v>97</v>
      </c>
      <c r="D40" s="15">
        <v>10.956652742587139</v>
      </c>
      <c r="E40" s="15">
        <v>20.723777944719327</v>
      </c>
      <c r="F40" s="15">
        <v>0</v>
      </c>
      <c r="G40" s="428">
        <v>10.956652742587139</v>
      </c>
      <c r="H40" s="428">
        <v>20.723777944719327</v>
      </c>
      <c r="I40" s="9">
        <v>37.515074788013209</v>
      </c>
      <c r="J40" s="9">
        <v>59.120432631387843</v>
      </c>
      <c r="K40" s="9">
        <v>79.64552269888577</v>
      </c>
    </row>
    <row r="41" spans="2:15">
      <c r="B41" s="8" t="s">
        <v>151</v>
      </c>
      <c r="C41" s="8" t="s">
        <v>98</v>
      </c>
      <c r="D41" s="15">
        <v>0</v>
      </c>
      <c r="E41" s="15">
        <v>0</v>
      </c>
      <c r="F41" s="15">
        <v>0</v>
      </c>
      <c r="G41" s="428">
        <v>0</v>
      </c>
      <c r="H41" s="428">
        <v>0</v>
      </c>
      <c r="I41" s="9">
        <v>0</v>
      </c>
      <c r="J41" s="9">
        <v>0</v>
      </c>
      <c r="K41" s="9">
        <v>0</v>
      </c>
    </row>
    <row r="42" spans="2:15">
      <c r="B42" s="8" t="s">
        <v>151</v>
      </c>
      <c r="C42" s="8" t="s">
        <v>99</v>
      </c>
      <c r="D42" s="15">
        <v>0</v>
      </c>
      <c r="E42" s="15">
        <v>0</v>
      </c>
      <c r="F42" s="15">
        <v>0</v>
      </c>
      <c r="G42" s="428">
        <v>0</v>
      </c>
      <c r="H42" s="428">
        <v>0</v>
      </c>
      <c r="I42" s="9">
        <v>480.42833279800874</v>
      </c>
      <c r="J42" s="9">
        <v>837.91064174681105</v>
      </c>
      <c r="K42" s="9">
        <v>908.37260329407354</v>
      </c>
    </row>
    <row r="43" spans="2:15">
      <c r="B43" s="8" t="s">
        <v>151</v>
      </c>
      <c r="C43" s="8" t="s">
        <v>100</v>
      </c>
      <c r="D43" s="15">
        <v>0</v>
      </c>
      <c r="E43" s="15">
        <v>0</v>
      </c>
      <c r="F43" s="15">
        <v>0</v>
      </c>
      <c r="G43" s="428">
        <v>0</v>
      </c>
      <c r="H43" s="428">
        <v>0</v>
      </c>
      <c r="I43" s="9">
        <v>153.50232905998865</v>
      </c>
      <c r="J43" s="9">
        <v>184.39235224572911</v>
      </c>
      <c r="K43" s="9">
        <v>263.93615504469659</v>
      </c>
    </row>
    <row r="44" spans="2:15">
      <c r="B44" s="8" t="s">
        <v>153</v>
      </c>
      <c r="C44" s="8" t="s">
        <v>101</v>
      </c>
      <c r="D44" s="15">
        <v>17675.672894836782</v>
      </c>
      <c r="E44" s="15">
        <v>64349.674045981912</v>
      </c>
      <c r="F44" s="15">
        <v>111329.64194226361</v>
      </c>
      <c r="G44" s="428">
        <v>17675.672894836782</v>
      </c>
      <c r="H44" s="428">
        <v>64349.674045981912</v>
      </c>
      <c r="I44" s="9">
        <v>22678.084504817409</v>
      </c>
      <c r="J44" s="9">
        <v>79256.884161930153</v>
      </c>
      <c r="K44" s="9">
        <v>140102.69893378226</v>
      </c>
    </row>
    <row r="45" spans="2:15">
      <c r="B45" s="8" t="s">
        <v>154</v>
      </c>
      <c r="C45" s="8" t="s">
        <v>102</v>
      </c>
      <c r="D45" s="15">
        <v>0</v>
      </c>
      <c r="E45" s="15">
        <v>0</v>
      </c>
      <c r="F45" s="15">
        <v>0</v>
      </c>
      <c r="G45" s="428">
        <v>0</v>
      </c>
      <c r="H45" s="428">
        <v>0</v>
      </c>
      <c r="I45" s="9">
        <v>197.89596897286441</v>
      </c>
      <c r="J45" s="9">
        <v>599.8435118578758</v>
      </c>
      <c r="K45" s="9">
        <v>1109.4037313717884</v>
      </c>
    </row>
    <row r="46" spans="2:15">
      <c r="B46" s="8" t="s">
        <v>154</v>
      </c>
      <c r="C46" s="8" t="s">
        <v>103</v>
      </c>
      <c r="D46" s="15">
        <v>0</v>
      </c>
      <c r="E46" s="15">
        <v>0</v>
      </c>
      <c r="F46" s="15">
        <v>0</v>
      </c>
      <c r="G46" s="428">
        <v>0</v>
      </c>
      <c r="H46" s="428">
        <v>0</v>
      </c>
      <c r="I46" s="9">
        <v>0</v>
      </c>
      <c r="J46" s="9">
        <v>0</v>
      </c>
      <c r="K46" s="9">
        <v>0</v>
      </c>
    </row>
    <row r="47" spans="2:15">
      <c r="B47" s="8" t="s">
        <v>154</v>
      </c>
      <c r="C47" s="8" t="s">
        <v>104</v>
      </c>
      <c r="D47" s="15">
        <v>0</v>
      </c>
      <c r="E47" s="15">
        <v>0</v>
      </c>
      <c r="F47" s="15">
        <v>0</v>
      </c>
      <c r="G47" s="428">
        <v>0</v>
      </c>
      <c r="H47" s="428">
        <v>0</v>
      </c>
      <c r="I47" s="9">
        <v>864.80538441141744</v>
      </c>
      <c r="J47" s="9">
        <v>4342.867025851021</v>
      </c>
      <c r="K47" s="9">
        <v>6005.5721991592818</v>
      </c>
    </row>
    <row r="48" spans="2:15">
      <c r="B48" s="8" t="s">
        <v>153</v>
      </c>
      <c r="C48" s="8" t="s">
        <v>105</v>
      </c>
      <c r="D48" s="15">
        <v>0</v>
      </c>
      <c r="E48" s="15">
        <v>0</v>
      </c>
      <c r="F48" s="15">
        <v>0</v>
      </c>
      <c r="G48" s="428">
        <v>0</v>
      </c>
      <c r="H48" s="428">
        <v>0</v>
      </c>
      <c r="I48" s="9">
        <v>0</v>
      </c>
      <c r="J48" s="9">
        <v>0</v>
      </c>
      <c r="K48" s="9">
        <v>0</v>
      </c>
    </row>
    <row r="49" spans="2:11">
      <c r="B49" s="8" t="s">
        <v>151</v>
      </c>
      <c r="C49" s="8" t="s">
        <v>106</v>
      </c>
      <c r="D49" s="15">
        <v>128.20441879304678</v>
      </c>
      <c r="E49" s="15">
        <v>227.53488578311044</v>
      </c>
      <c r="F49" s="15">
        <v>227.53488578311044</v>
      </c>
      <c r="G49" s="428">
        <v>128.20441879304678</v>
      </c>
      <c r="H49" s="428">
        <v>227.53488578311044</v>
      </c>
      <c r="I49" s="9">
        <v>164.71027753817265</v>
      </c>
      <c r="J49" s="9">
        <v>481.43852797028831</v>
      </c>
      <c r="K49" s="9">
        <v>481.43852797028831</v>
      </c>
    </row>
    <row r="50" spans="2:11">
      <c r="B50" s="8" t="s">
        <v>152</v>
      </c>
      <c r="C50" s="8" t="s">
        <v>107</v>
      </c>
      <c r="D50" s="15">
        <v>99.277108433734981</v>
      </c>
      <c r="E50" s="15">
        <v>253.74999999999977</v>
      </c>
      <c r="F50" s="15">
        <v>275.86206896551704</v>
      </c>
      <c r="G50" s="428">
        <v>99.277108433734981</v>
      </c>
      <c r="H50" s="428">
        <v>253.74999999999977</v>
      </c>
      <c r="I50" s="9">
        <v>116.02264479605178</v>
      </c>
      <c r="J50" s="9">
        <v>356.83593749999949</v>
      </c>
      <c r="K50" s="9">
        <v>656.36147443519519</v>
      </c>
    </row>
    <row r="51" spans="2:11">
      <c r="B51" s="8" t="s">
        <v>152</v>
      </c>
      <c r="C51" s="8" t="s">
        <v>108</v>
      </c>
      <c r="D51" s="15">
        <v>0</v>
      </c>
      <c r="E51" s="15">
        <v>0</v>
      </c>
      <c r="F51" s="15">
        <v>0</v>
      </c>
      <c r="G51" s="428">
        <v>0</v>
      </c>
      <c r="H51" s="428">
        <v>0</v>
      </c>
      <c r="I51" s="9">
        <v>13.121522282852485</v>
      </c>
      <c r="J51" s="9">
        <v>47.101824925200468</v>
      </c>
      <c r="K51" s="9">
        <v>64.903806542304338</v>
      </c>
    </row>
    <row r="52" spans="2:11">
      <c r="B52" s="8" t="s">
        <v>154</v>
      </c>
      <c r="C52" s="8" t="s">
        <v>109</v>
      </c>
      <c r="D52" s="15">
        <v>0</v>
      </c>
      <c r="E52" s="15">
        <v>0</v>
      </c>
      <c r="F52" s="15">
        <v>0</v>
      </c>
      <c r="G52" s="428">
        <v>0</v>
      </c>
      <c r="H52" s="428">
        <v>0</v>
      </c>
      <c r="I52" s="9">
        <v>0</v>
      </c>
      <c r="J52" s="9">
        <v>0</v>
      </c>
      <c r="K52" s="9">
        <v>0</v>
      </c>
    </row>
    <row r="53" spans="2:11">
      <c r="B53" s="8" t="s">
        <v>154</v>
      </c>
      <c r="C53" s="8" t="s">
        <v>110</v>
      </c>
      <c r="D53" s="15">
        <v>33.4</v>
      </c>
      <c r="E53" s="15">
        <v>100.2</v>
      </c>
      <c r="F53" s="15">
        <v>200.3</v>
      </c>
      <c r="G53" s="428">
        <v>33.4</v>
      </c>
      <c r="H53" s="428">
        <v>100.2</v>
      </c>
      <c r="I53" s="9">
        <v>200.06815583561439</v>
      </c>
      <c r="J53" s="9">
        <v>600.20446750684334</v>
      </c>
      <c r="K53" s="9">
        <v>1199.8099285590893</v>
      </c>
    </row>
    <row r="54" spans="2:11">
      <c r="B54" s="8" t="s">
        <v>154</v>
      </c>
      <c r="C54" s="8" t="s">
        <v>111</v>
      </c>
      <c r="D54" s="15">
        <v>485.2</v>
      </c>
      <c r="E54" s="15">
        <v>1455.5</v>
      </c>
      <c r="F54" s="15">
        <v>2911</v>
      </c>
      <c r="G54" s="428">
        <v>485.2</v>
      </c>
      <c r="H54" s="428">
        <v>1455.5</v>
      </c>
      <c r="I54" s="9">
        <v>980.06216597056402</v>
      </c>
      <c r="J54" s="9">
        <v>3487.4816212708533</v>
      </c>
      <c r="K54" s="9">
        <v>5729.9698035503889</v>
      </c>
    </row>
    <row r="55" spans="2:11">
      <c r="B55" s="8" t="s">
        <v>154</v>
      </c>
      <c r="C55" s="8" t="s">
        <v>112</v>
      </c>
      <c r="D55" s="15">
        <v>211.6</v>
      </c>
      <c r="E55" s="15">
        <v>634.9</v>
      </c>
      <c r="F55" s="15">
        <v>1269.7</v>
      </c>
      <c r="G55" s="428">
        <v>211.6</v>
      </c>
      <c r="H55" s="428">
        <v>634.9</v>
      </c>
      <c r="I55" s="9">
        <v>419.96250019091809</v>
      </c>
      <c r="J55" s="9">
        <v>1440.098252072449</v>
      </c>
      <c r="K55" s="9">
        <v>2369.9750502351862</v>
      </c>
    </row>
    <row r="56" spans="2:11">
      <c r="B56" s="8" t="s">
        <v>152</v>
      </c>
      <c r="C56" s="8" t="s">
        <v>113</v>
      </c>
      <c r="D56" s="15">
        <v>1102.0999999999999</v>
      </c>
      <c r="E56" s="15">
        <v>2182.1</v>
      </c>
      <c r="F56" s="15">
        <v>3262.1</v>
      </c>
      <c r="G56" s="428">
        <v>1102.0999999999999</v>
      </c>
      <c r="H56" s="428">
        <v>2182.1</v>
      </c>
      <c r="I56" s="9">
        <v>1384.6383636363635</v>
      </c>
      <c r="J56" s="9">
        <v>3306.4010476190474</v>
      </c>
      <c r="K56" s="9">
        <v>5400.2242836676214</v>
      </c>
    </row>
    <row r="57" spans="2:11">
      <c r="B57" s="8" t="s">
        <v>153</v>
      </c>
      <c r="C57" s="8" t="s">
        <v>114</v>
      </c>
      <c r="D57" s="15">
        <v>0</v>
      </c>
      <c r="E57" s="15">
        <v>0</v>
      </c>
      <c r="F57" s="15">
        <v>0</v>
      </c>
      <c r="G57" s="428">
        <v>0</v>
      </c>
      <c r="H57" s="428">
        <v>0</v>
      </c>
      <c r="I57" s="9">
        <v>0</v>
      </c>
      <c r="J57" s="9">
        <v>0</v>
      </c>
      <c r="K57" s="9">
        <v>0</v>
      </c>
    </row>
    <row r="58" spans="2:11">
      <c r="B58" s="8" t="s">
        <v>153</v>
      </c>
      <c r="C58" s="8" t="s">
        <v>116</v>
      </c>
      <c r="D58" s="15">
        <v>484.21211107668529</v>
      </c>
      <c r="E58" s="15">
        <v>8659.2019032669723</v>
      </c>
      <c r="F58" s="15">
        <v>13483.028647009851</v>
      </c>
      <c r="G58" s="428">
        <v>484.21211107668529</v>
      </c>
      <c r="H58" s="428">
        <v>8659.2019032669723</v>
      </c>
      <c r="I58" s="9">
        <v>1015.6338286698077</v>
      </c>
      <c r="J58" s="9">
        <v>10546.197941927583</v>
      </c>
      <c r="K58" s="9">
        <v>13483.028647009853</v>
      </c>
    </row>
    <row r="59" spans="2:11">
      <c r="B59" s="8" t="s">
        <v>153</v>
      </c>
      <c r="C59" s="8" t="s">
        <v>115</v>
      </c>
      <c r="D59" s="15">
        <v>23375.53</v>
      </c>
      <c r="E59" s="15">
        <v>37187.870000000003</v>
      </c>
      <c r="F59" s="15">
        <v>54189.15</v>
      </c>
      <c r="G59" s="428">
        <v>23375.53</v>
      </c>
      <c r="H59" s="428">
        <v>37187.870000000003</v>
      </c>
      <c r="I59" s="9">
        <v>23375.53</v>
      </c>
      <c r="J59" s="9">
        <v>37187.870000000003</v>
      </c>
      <c r="K59" s="9">
        <v>54189.15</v>
      </c>
    </row>
    <row r="60" spans="2:11">
      <c r="B60" s="8"/>
      <c r="C60" s="8" t="s">
        <v>117</v>
      </c>
      <c r="D60" s="17">
        <f t="shared" ref="D60:K60" si="0">SUM(D5:D59)</f>
        <v>118992.74678016592</v>
      </c>
      <c r="E60" s="17">
        <f t="shared" si="0"/>
        <v>335368.72645694629</v>
      </c>
      <c r="F60" s="17">
        <f t="shared" si="0"/>
        <v>495823.89481325581</v>
      </c>
      <c r="G60" s="429">
        <f t="shared" si="0"/>
        <v>118992.74678016592</v>
      </c>
      <c r="H60" s="429">
        <f t="shared" si="0"/>
        <v>335368.72645694629</v>
      </c>
      <c r="I60" s="13">
        <f t="shared" si="0"/>
        <v>140432.79727398854</v>
      </c>
      <c r="J60" s="13">
        <f t="shared" si="0"/>
        <v>406678.22737514332</v>
      </c>
      <c r="K60" s="13">
        <f t="shared" si="0"/>
        <v>642685.29853731778</v>
      </c>
    </row>
    <row r="62" spans="2:11">
      <c r="C62" s="6" t="s">
        <v>118</v>
      </c>
      <c r="D62" s="395">
        <f t="shared" ref="D62:K62" si="1">D7+SUM(D9:D10)+SUM(D12:D40)+SUM(D43:D44)+SUM(D48:D50)+SUM(D52:D57)</f>
        <v>94556.991161222977</v>
      </c>
      <c r="E62" s="395">
        <f t="shared" si="1"/>
        <v>287514.73827448435</v>
      </c>
      <c r="F62" s="395">
        <f t="shared" si="1"/>
        <v>425992.95837770362</v>
      </c>
      <c r="G62" s="395">
        <f t="shared" si="1"/>
        <v>94556.991161222977</v>
      </c>
      <c r="H62" s="395">
        <f t="shared" si="1"/>
        <v>287514.73827448435</v>
      </c>
      <c r="I62" s="395">
        <f t="shared" si="1"/>
        <v>113100.35146618031</v>
      </c>
      <c r="J62" s="395">
        <f t="shared" si="1"/>
        <v>350289.91762400791</v>
      </c>
      <c r="K62" s="395">
        <f t="shared" si="1"/>
        <v>559825.46634390601</v>
      </c>
    </row>
  </sheetData>
  <mergeCells count="4">
    <mergeCell ref="D3:F3"/>
    <mergeCell ref="G3:H3"/>
    <mergeCell ref="I3:K3"/>
    <mergeCell ref="M22:P22"/>
  </mergeCells>
  <pageMargins left="0.7" right="0.7" top="0.75" bottom="0.75" header="0.3" footer="0.3"/>
  <headerFooter>
    <oddFooter>&amp;C_x000D_&amp;1#&amp;"Calibri"&amp;10&amp;K000000 ISC - Uso INTERNO / INTERNAL Use</oddFooter>
  </headerFooter>
  <ignoredErrors>
    <ignoredError sqref="D60:H60 I60:K60" formulaRange="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4A633-DD04-41D0-AFB5-E128091F2DEB}">
  <sheetPr>
    <tabColor rgb="FFFFC000"/>
  </sheetPr>
  <dimension ref="B1:P62"/>
  <sheetViews>
    <sheetView topLeftCell="A5" workbookViewId="0">
      <selection activeCell="N35" sqref="N35"/>
    </sheetView>
  </sheetViews>
  <sheetFormatPr defaultColWidth="11.42578125" defaultRowHeight="15"/>
  <cols>
    <col min="1" max="1" width="3" customWidth="1"/>
    <col min="4" max="6" width="8.85546875" bestFit="1" customWidth="1"/>
    <col min="7" max="8" width="9.140625" bestFit="1" customWidth="1"/>
    <col min="9" max="10" width="8.85546875" bestFit="1" customWidth="1"/>
    <col min="11" max="11" width="10.42578125" bestFit="1" customWidth="1"/>
    <col min="12" max="12" width="6.140625" customWidth="1"/>
  </cols>
  <sheetData>
    <row r="1" spans="2:11" ht="23.25">
      <c r="B1" s="381" t="s">
        <v>17</v>
      </c>
    </row>
    <row r="3" spans="2:11">
      <c r="B3" s="8" t="s">
        <v>148</v>
      </c>
      <c r="C3" s="8" t="s">
        <v>149</v>
      </c>
      <c r="D3" s="598" t="s">
        <v>54</v>
      </c>
      <c r="E3" s="598"/>
      <c r="F3" s="598"/>
      <c r="G3" s="599" t="s">
        <v>55</v>
      </c>
      <c r="H3" s="599"/>
      <c r="I3" s="600" t="s">
        <v>56</v>
      </c>
      <c r="J3" s="600"/>
      <c r="K3" s="600"/>
    </row>
    <row r="4" spans="2:11">
      <c r="B4" s="8" t="s">
        <v>150</v>
      </c>
      <c r="C4" s="8" t="s">
        <v>58</v>
      </c>
      <c r="D4" s="443">
        <v>2030</v>
      </c>
      <c r="E4" s="443">
        <v>2040</v>
      </c>
      <c r="F4" s="443">
        <v>2050</v>
      </c>
      <c r="G4" s="447">
        <v>2030</v>
      </c>
      <c r="H4" s="447">
        <v>2040</v>
      </c>
      <c r="I4" s="446">
        <v>2030</v>
      </c>
      <c r="J4" s="446">
        <v>2040</v>
      </c>
      <c r="K4" s="446">
        <v>2050</v>
      </c>
    </row>
    <row r="5" spans="2:11">
      <c r="B5" s="8" t="s">
        <v>151</v>
      </c>
      <c r="C5" s="8" t="s">
        <v>59</v>
      </c>
      <c r="D5" s="444">
        <v>0</v>
      </c>
      <c r="E5" s="444">
        <v>0</v>
      </c>
      <c r="F5" s="444">
        <v>0</v>
      </c>
      <c r="G5" s="448">
        <v>0</v>
      </c>
      <c r="H5" s="448">
        <v>0</v>
      </c>
      <c r="I5" s="30">
        <v>390.37383877396235</v>
      </c>
      <c r="J5" s="30">
        <v>890.71746275287433</v>
      </c>
      <c r="K5" s="30">
        <v>965.62007943181686</v>
      </c>
    </row>
    <row r="6" spans="2:11">
      <c r="B6" s="8" t="s">
        <v>152</v>
      </c>
      <c r="C6" s="8" t="s">
        <v>60</v>
      </c>
      <c r="D6" s="444">
        <v>45.586492133737906</v>
      </c>
      <c r="E6" s="444">
        <v>173.08372080501408</v>
      </c>
      <c r="F6" s="444">
        <v>304.44221145766659</v>
      </c>
      <c r="G6" s="448">
        <v>45.586492133737906</v>
      </c>
      <c r="H6" s="448">
        <v>173.08372080501408</v>
      </c>
      <c r="I6" s="30">
        <v>113.96378960985062</v>
      </c>
      <c r="J6" s="30">
        <v>300.00921264976932</v>
      </c>
      <c r="K6" s="30">
        <v>887.2250729096645</v>
      </c>
    </row>
    <row r="7" spans="2:11">
      <c r="B7" s="8" t="s">
        <v>151</v>
      </c>
      <c r="C7" s="8" t="s">
        <v>61</v>
      </c>
      <c r="D7" s="444">
        <v>0</v>
      </c>
      <c r="E7" s="444">
        <v>0</v>
      </c>
      <c r="F7" s="444">
        <v>0</v>
      </c>
      <c r="G7" s="448">
        <v>0</v>
      </c>
      <c r="H7" s="448">
        <v>0</v>
      </c>
      <c r="I7" s="30">
        <v>295.90336979066342</v>
      </c>
      <c r="J7" s="30">
        <v>972.21811059476249</v>
      </c>
      <c r="K7" s="30">
        <v>1456.3160164630851</v>
      </c>
    </row>
    <row r="8" spans="2:11">
      <c r="B8" s="8" t="s">
        <v>153</v>
      </c>
      <c r="C8" s="8" t="s">
        <v>62</v>
      </c>
      <c r="D8" s="444">
        <v>1105</v>
      </c>
      <c r="E8" s="444">
        <v>1105</v>
      </c>
      <c r="F8" s="444">
        <v>1130</v>
      </c>
      <c r="G8" s="448">
        <v>1105</v>
      </c>
      <c r="H8" s="448">
        <v>1105</v>
      </c>
      <c r="I8" s="30">
        <v>10982</v>
      </c>
      <c r="J8" s="30">
        <v>27853</v>
      </c>
      <c r="K8" s="30">
        <v>41797</v>
      </c>
    </row>
    <row r="9" spans="2:11">
      <c r="B9" s="8" t="s">
        <v>151</v>
      </c>
      <c r="C9" s="8" t="s">
        <v>63</v>
      </c>
      <c r="D9" s="444">
        <v>4922.5723974383482</v>
      </c>
      <c r="E9" s="444">
        <v>4411.3742211903109</v>
      </c>
      <c r="F9" s="444">
        <v>3982.1027972858483</v>
      </c>
      <c r="G9" s="448">
        <v>4922.5723974383482</v>
      </c>
      <c r="H9" s="448">
        <v>4411.3742211903109</v>
      </c>
      <c r="I9" s="30">
        <v>9843.0466530449394</v>
      </c>
      <c r="J9" s="30">
        <v>9843.0466530449394</v>
      </c>
      <c r="K9" s="30">
        <v>9843.0466530449394</v>
      </c>
    </row>
    <row r="10" spans="2:11">
      <c r="B10" s="8" t="s">
        <v>152</v>
      </c>
      <c r="C10" s="8" t="s">
        <v>64</v>
      </c>
      <c r="D10" s="444">
        <v>0</v>
      </c>
      <c r="E10" s="444">
        <v>0</v>
      </c>
      <c r="F10" s="444">
        <v>0</v>
      </c>
      <c r="G10" s="448">
        <v>0</v>
      </c>
      <c r="H10" s="448">
        <v>0</v>
      </c>
      <c r="I10" s="30">
        <v>0</v>
      </c>
      <c r="J10" s="30">
        <v>0</v>
      </c>
      <c r="K10" s="30">
        <v>0</v>
      </c>
    </row>
    <row r="11" spans="2:11">
      <c r="B11" s="8" t="s">
        <v>151</v>
      </c>
      <c r="C11" s="8" t="s">
        <v>65</v>
      </c>
      <c r="D11" s="444">
        <v>0</v>
      </c>
      <c r="E11" s="444">
        <v>2364</v>
      </c>
      <c r="F11" s="444">
        <v>3076</v>
      </c>
      <c r="G11" s="448">
        <v>0</v>
      </c>
      <c r="H11" s="448">
        <v>2364</v>
      </c>
      <c r="I11" s="30">
        <v>447</v>
      </c>
      <c r="J11" s="30">
        <v>2749</v>
      </c>
      <c r="K11" s="30">
        <v>4014</v>
      </c>
    </row>
    <row r="12" spans="2:11">
      <c r="B12" s="8" t="s">
        <v>153</v>
      </c>
      <c r="C12" s="8" t="s">
        <v>66</v>
      </c>
      <c r="D12" s="444">
        <v>564.1385973679827</v>
      </c>
      <c r="E12" s="444">
        <v>2288.2525479294768</v>
      </c>
      <c r="F12" s="444">
        <v>3609.8924619894365</v>
      </c>
      <c r="G12" s="448">
        <v>564.1385973679827</v>
      </c>
      <c r="H12" s="448">
        <v>2288.2525479294768</v>
      </c>
      <c r="I12" s="30">
        <v>564.13859736798281</v>
      </c>
      <c r="J12" s="30">
        <v>2740.2265898933406</v>
      </c>
      <c r="K12" s="30">
        <v>4893.1842721660232</v>
      </c>
    </row>
    <row r="13" spans="2:11">
      <c r="B13" s="8" t="s">
        <v>153</v>
      </c>
      <c r="C13" s="8" t="s">
        <v>67</v>
      </c>
      <c r="D13" s="444">
        <v>6400.8</v>
      </c>
      <c r="E13" s="444">
        <v>62099</v>
      </c>
      <c r="F13" s="444">
        <v>111097</v>
      </c>
      <c r="G13" s="448">
        <v>6400.8</v>
      </c>
      <c r="H13" s="448">
        <v>62099</v>
      </c>
      <c r="I13" s="30">
        <v>6400.8000000000011</v>
      </c>
      <c r="J13" s="30">
        <v>67890.872138438383</v>
      </c>
      <c r="K13" s="30">
        <v>129809.94036670958</v>
      </c>
    </row>
    <row r="14" spans="2:11">
      <c r="B14" s="8" t="s">
        <v>153</v>
      </c>
      <c r="C14" s="8" t="s">
        <v>68</v>
      </c>
      <c r="D14" s="444">
        <v>0</v>
      </c>
      <c r="E14" s="444">
        <v>0</v>
      </c>
      <c r="F14" s="444">
        <v>0</v>
      </c>
      <c r="G14" s="448">
        <v>0</v>
      </c>
      <c r="H14" s="448">
        <v>0</v>
      </c>
      <c r="I14" s="30">
        <v>0</v>
      </c>
      <c r="J14" s="30">
        <v>0</v>
      </c>
      <c r="K14" s="30">
        <v>0</v>
      </c>
    </row>
    <row r="15" spans="2:11">
      <c r="B15" s="8" t="s">
        <v>154</v>
      </c>
      <c r="C15" s="8" t="s">
        <v>69</v>
      </c>
      <c r="D15" s="444">
        <v>0</v>
      </c>
      <c r="E15" s="444">
        <v>0</v>
      </c>
      <c r="F15" s="444">
        <v>0</v>
      </c>
      <c r="G15" s="448">
        <v>0</v>
      </c>
      <c r="H15" s="448">
        <v>0</v>
      </c>
      <c r="I15" s="30">
        <v>2646.7772874879161</v>
      </c>
      <c r="J15" s="30">
        <v>3140.3692557139934</v>
      </c>
      <c r="K15" s="30">
        <v>3726.3859952441685</v>
      </c>
    </row>
    <row r="16" spans="2:11">
      <c r="B16" s="8" t="s">
        <v>154</v>
      </c>
      <c r="C16" s="8" t="s">
        <v>70</v>
      </c>
      <c r="D16" s="444">
        <v>0</v>
      </c>
      <c r="E16" s="444">
        <v>0</v>
      </c>
      <c r="F16" s="444">
        <v>0</v>
      </c>
      <c r="G16" s="448">
        <v>0</v>
      </c>
      <c r="H16" s="448">
        <v>0</v>
      </c>
      <c r="I16" s="30">
        <v>0</v>
      </c>
      <c r="J16" s="30">
        <v>0</v>
      </c>
      <c r="K16" s="30">
        <v>0</v>
      </c>
    </row>
    <row r="17" spans="2:16">
      <c r="B17" s="8" t="s">
        <v>154</v>
      </c>
      <c r="C17" s="8" t="s">
        <v>71</v>
      </c>
      <c r="D17" s="444">
        <v>1849.638280450012</v>
      </c>
      <c r="E17" s="444">
        <v>1810.0439231161945</v>
      </c>
      <c r="F17" s="444">
        <v>1741.9506144682116</v>
      </c>
      <c r="G17" s="448">
        <v>1849.638280450012</v>
      </c>
      <c r="H17" s="448">
        <v>1810.0439231161945</v>
      </c>
      <c r="I17" s="30">
        <v>6876.6746165396926</v>
      </c>
      <c r="J17" s="30">
        <v>6876.6746165396926</v>
      </c>
      <c r="K17" s="30">
        <v>6876.6746165396926</v>
      </c>
    </row>
    <row r="18" spans="2:16">
      <c r="B18" s="8" t="s">
        <v>154</v>
      </c>
      <c r="C18" s="8" t="s">
        <v>72</v>
      </c>
      <c r="D18" s="444">
        <v>0</v>
      </c>
      <c r="E18" s="444">
        <v>0</v>
      </c>
      <c r="F18" s="444">
        <v>0</v>
      </c>
      <c r="G18" s="448">
        <v>0</v>
      </c>
      <c r="H18" s="448">
        <v>0</v>
      </c>
      <c r="I18" s="30">
        <v>296.84395345929659</v>
      </c>
      <c r="J18" s="30">
        <v>791.79343565239606</v>
      </c>
      <c r="K18" s="30">
        <v>1183.3639801299075</v>
      </c>
    </row>
    <row r="19" spans="2:16">
      <c r="B19" s="8" t="s">
        <v>151</v>
      </c>
      <c r="C19" s="8" t="s">
        <v>73</v>
      </c>
      <c r="D19" s="444">
        <v>5000</v>
      </c>
      <c r="E19" s="444">
        <v>26000</v>
      </c>
      <c r="F19" s="444">
        <v>32000</v>
      </c>
      <c r="G19" s="448">
        <v>5000</v>
      </c>
      <c r="H19" s="448">
        <v>26000</v>
      </c>
      <c r="I19" s="30">
        <v>7400</v>
      </c>
      <c r="J19" s="30">
        <v>34600</v>
      </c>
      <c r="K19" s="30">
        <v>41200</v>
      </c>
    </row>
    <row r="20" spans="2:16">
      <c r="B20" s="8" t="s">
        <v>154</v>
      </c>
      <c r="C20" s="8" t="s">
        <v>75</v>
      </c>
      <c r="D20" s="444">
        <v>1311.0638900739259</v>
      </c>
      <c r="E20" s="444">
        <v>3117.4888960065973</v>
      </c>
      <c r="F20" s="444">
        <v>5886.5906469809424</v>
      </c>
      <c r="G20" s="448">
        <v>1311.0638900739259</v>
      </c>
      <c r="H20" s="448">
        <v>3117.4888960065973</v>
      </c>
      <c r="I20" s="30">
        <v>2451.6894744382412</v>
      </c>
      <c r="J20" s="30">
        <v>6558.4172649738821</v>
      </c>
      <c r="K20" s="30">
        <v>14677.232679805828</v>
      </c>
    </row>
    <row r="21" spans="2:16">
      <c r="B21" s="8" t="s">
        <v>152</v>
      </c>
      <c r="C21" s="8" t="s">
        <v>76</v>
      </c>
      <c r="D21" s="444">
        <v>940</v>
      </c>
      <c r="E21" s="444">
        <v>20614</v>
      </c>
      <c r="F21" s="444">
        <v>43679.999999999993</v>
      </c>
      <c r="G21" s="448">
        <v>940</v>
      </c>
      <c r="H21" s="448">
        <v>20614</v>
      </c>
      <c r="I21" s="30">
        <v>1289.4317914942437</v>
      </c>
      <c r="J21" s="30">
        <v>44214.951897260893</v>
      </c>
      <c r="K21" s="30">
        <v>105548.24192584955</v>
      </c>
    </row>
    <row r="22" spans="2:16">
      <c r="B22" s="8" t="s">
        <v>151</v>
      </c>
      <c r="C22" s="8" t="s">
        <v>77</v>
      </c>
      <c r="D22" s="444">
        <v>15900</v>
      </c>
      <c r="E22" s="444">
        <v>26700</v>
      </c>
      <c r="F22" s="444">
        <v>61200</v>
      </c>
      <c r="G22" s="448">
        <v>15900</v>
      </c>
      <c r="H22" s="448">
        <v>26700</v>
      </c>
      <c r="I22" s="30">
        <v>17847.787334596473</v>
      </c>
      <c r="J22" s="30">
        <v>28835.998846560047</v>
      </c>
      <c r="K22" s="30">
        <v>75217.874993914098</v>
      </c>
    </row>
    <row r="23" spans="2:16">
      <c r="B23" s="8" t="s">
        <v>151</v>
      </c>
      <c r="C23" s="8" t="s">
        <v>78</v>
      </c>
      <c r="D23" s="444">
        <v>900</v>
      </c>
      <c r="E23" s="444">
        <v>1350</v>
      </c>
      <c r="F23" s="444">
        <v>1500</v>
      </c>
      <c r="G23" s="448">
        <v>900</v>
      </c>
      <c r="H23" s="448">
        <v>1350</v>
      </c>
      <c r="I23" s="30">
        <v>4500</v>
      </c>
      <c r="J23" s="30">
        <v>4500</v>
      </c>
      <c r="K23" s="30">
        <v>4500</v>
      </c>
      <c r="M23" s="33" t="s">
        <v>158</v>
      </c>
      <c r="N23" s="34" t="s">
        <v>159</v>
      </c>
      <c r="O23" s="34"/>
      <c r="P23" s="35"/>
    </row>
    <row r="24" spans="2:16">
      <c r="B24" s="8" t="s">
        <v>151</v>
      </c>
      <c r="C24" s="8" t="s">
        <v>79</v>
      </c>
      <c r="D24" s="444">
        <v>498</v>
      </c>
      <c r="E24" s="444">
        <v>588</v>
      </c>
      <c r="F24" s="444">
        <v>438</v>
      </c>
      <c r="G24" s="448">
        <v>498</v>
      </c>
      <c r="H24" s="448">
        <v>588</v>
      </c>
      <c r="I24" s="30">
        <v>1149.9541781221362</v>
      </c>
      <c r="J24" s="30">
        <v>1149.9541781221362</v>
      </c>
      <c r="K24" s="30">
        <v>1149.9541781221362</v>
      </c>
      <c r="M24" s="27" t="s">
        <v>150</v>
      </c>
      <c r="N24" s="27">
        <v>2030</v>
      </c>
      <c r="O24" s="27">
        <v>2040</v>
      </c>
      <c r="P24" s="27">
        <v>2050</v>
      </c>
    </row>
    <row r="25" spans="2:16">
      <c r="B25" s="8" t="s">
        <v>152</v>
      </c>
      <c r="C25" s="8" t="s">
        <v>80</v>
      </c>
      <c r="D25" s="444">
        <v>840.41010101010113</v>
      </c>
      <c r="E25" s="444">
        <v>954.00553080350289</v>
      </c>
      <c r="F25" s="444">
        <v>954.00721742492601</v>
      </c>
      <c r="G25" s="448">
        <v>840.41010101010113</v>
      </c>
      <c r="H25" s="448">
        <v>954.00553080350289</v>
      </c>
      <c r="I25" s="30">
        <v>1214.1938302948738</v>
      </c>
      <c r="J25" s="30">
        <v>1214.7722144650702</v>
      </c>
      <c r="K25" s="30">
        <v>1214.7722144650702</v>
      </c>
      <c r="M25" s="26" t="s">
        <v>152</v>
      </c>
      <c r="N25" s="28">
        <v>5.1690062173931392E-2</v>
      </c>
      <c r="O25" s="28">
        <v>0.18554983228363389</v>
      </c>
      <c r="P25" s="28">
        <v>0.25567778823046811</v>
      </c>
    </row>
    <row r="26" spans="2:16">
      <c r="B26" s="8" t="s">
        <v>153</v>
      </c>
      <c r="C26" s="8" t="s">
        <v>81</v>
      </c>
      <c r="D26" s="444">
        <v>8461.0617253036198</v>
      </c>
      <c r="E26" s="444">
        <v>38756.168819328363</v>
      </c>
      <c r="F26" s="444">
        <v>52206.059911728815</v>
      </c>
      <c r="G26" s="448">
        <v>8461.0617253036198</v>
      </c>
      <c r="H26" s="448">
        <v>38756.168819328363</v>
      </c>
      <c r="I26" s="30">
        <v>8461.061725303618</v>
      </c>
      <c r="J26" s="30">
        <v>38756.168819328363</v>
      </c>
      <c r="K26" s="30">
        <v>52206.059911728807</v>
      </c>
      <c r="M26" s="26" t="s">
        <v>154</v>
      </c>
      <c r="N26" s="28">
        <v>0.19789596897286441</v>
      </c>
      <c r="O26" s="28">
        <v>0.23993740474315031</v>
      </c>
      <c r="P26" s="28">
        <v>0.29584099503247691</v>
      </c>
    </row>
    <row r="27" spans="2:16">
      <c r="B27" s="8" t="s">
        <v>151</v>
      </c>
      <c r="C27" s="8" t="s">
        <v>157</v>
      </c>
      <c r="D27" s="444">
        <v>0</v>
      </c>
      <c r="E27" s="444">
        <v>0</v>
      </c>
      <c r="F27" s="444">
        <v>0</v>
      </c>
      <c r="G27" s="448">
        <v>0</v>
      </c>
      <c r="H27" s="448">
        <v>0</v>
      </c>
      <c r="I27" s="30">
        <v>0</v>
      </c>
      <c r="J27" s="30">
        <v>0</v>
      </c>
      <c r="K27" s="30">
        <v>0</v>
      </c>
      <c r="M27" s="26" t="s">
        <v>153</v>
      </c>
      <c r="N27" s="28">
        <v>0.1421779502260605</v>
      </c>
      <c r="O27" s="28">
        <v>0.40817762542028546</v>
      </c>
      <c r="P27" s="28">
        <v>0.51872285916792293</v>
      </c>
    </row>
    <row r="28" spans="2:16">
      <c r="B28" s="8" t="s">
        <v>151</v>
      </c>
      <c r="C28" s="8" t="s">
        <v>85</v>
      </c>
      <c r="D28" s="444">
        <v>5624</v>
      </c>
      <c r="E28" s="444">
        <v>13624</v>
      </c>
      <c r="F28" s="444">
        <v>13624</v>
      </c>
      <c r="G28" s="448">
        <v>5624</v>
      </c>
      <c r="H28" s="448">
        <v>13624</v>
      </c>
      <c r="I28" s="30">
        <v>7001.1385147820529</v>
      </c>
      <c r="J28" s="30">
        <v>14986.90715485227</v>
      </c>
      <c r="K28" s="30">
        <v>21066.355950055109</v>
      </c>
      <c r="M28" s="26" t="s">
        <v>151</v>
      </c>
      <c r="N28" s="28">
        <v>0.65062306462327057</v>
      </c>
      <c r="O28" s="28">
        <v>0.74226455229406196</v>
      </c>
      <c r="P28" s="28">
        <v>0.80468339952651402</v>
      </c>
    </row>
    <row r="29" spans="2:16">
      <c r="B29" s="8" t="s">
        <v>151</v>
      </c>
      <c r="C29" s="8" t="s">
        <v>86</v>
      </c>
      <c r="D29" s="444">
        <v>80</v>
      </c>
      <c r="E29" s="444">
        <v>6480</v>
      </c>
      <c r="F29" s="444">
        <v>6480</v>
      </c>
      <c r="G29" s="448">
        <v>80</v>
      </c>
      <c r="H29" s="448">
        <v>6480</v>
      </c>
      <c r="I29" s="30">
        <v>141.05693326666358</v>
      </c>
      <c r="J29" s="30">
        <v>11900.406343599931</v>
      </c>
      <c r="K29" s="30">
        <v>15730.54843407943</v>
      </c>
    </row>
    <row r="30" spans="2:16">
      <c r="B30" s="8" t="s">
        <v>151</v>
      </c>
      <c r="C30" s="8" t="s">
        <v>87</v>
      </c>
      <c r="D30" s="444">
        <v>5380</v>
      </c>
      <c r="E30" s="444">
        <v>22996.400000000001</v>
      </c>
      <c r="F30" s="444">
        <v>22996.400000000001</v>
      </c>
      <c r="G30" s="448">
        <v>5380</v>
      </c>
      <c r="H30" s="448">
        <v>22996.400000000001</v>
      </c>
      <c r="I30" s="30">
        <v>5918</v>
      </c>
      <c r="J30" s="30">
        <v>25296.178247465195</v>
      </c>
      <c r="K30" s="30">
        <v>40639.805047304726</v>
      </c>
    </row>
    <row r="31" spans="2:16">
      <c r="B31" s="8" t="s">
        <v>151</v>
      </c>
      <c r="C31" s="8" t="s">
        <v>88</v>
      </c>
      <c r="D31" s="444">
        <v>3224</v>
      </c>
      <c r="E31" s="444">
        <v>3224</v>
      </c>
      <c r="F31" s="444">
        <v>3224</v>
      </c>
      <c r="G31" s="448">
        <v>3224</v>
      </c>
      <c r="H31" s="448">
        <v>3224</v>
      </c>
      <c r="I31" s="30">
        <v>5847.6769926177813</v>
      </c>
      <c r="J31" s="30">
        <v>6301.0911404212511</v>
      </c>
      <c r="K31" s="30">
        <v>8329.0953695250992</v>
      </c>
    </row>
    <row r="32" spans="2:16">
      <c r="B32" s="8" t="s">
        <v>151</v>
      </c>
      <c r="C32" s="8" t="s">
        <v>89</v>
      </c>
      <c r="D32" s="444">
        <v>33609</v>
      </c>
      <c r="E32" s="444">
        <v>45609</v>
      </c>
      <c r="F32" s="444">
        <v>45609</v>
      </c>
      <c r="G32" s="448">
        <v>33609</v>
      </c>
      <c r="H32" s="448">
        <v>45609</v>
      </c>
      <c r="I32" s="30">
        <v>36969.9</v>
      </c>
      <c r="J32" s="30">
        <v>50170.468136555784</v>
      </c>
      <c r="K32" s="30">
        <v>103333.5372865563</v>
      </c>
    </row>
    <row r="33" spans="2:11">
      <c r="B33" s="8" t="s">
        <v>151</v>
      </c>
      <c r="C33" s="8" t="s">
        <v>90</v>
      </c>
      <c r="D33" s="444">
        <v>10360</v>
      </c>
      <c r="E33" s="444">
        <v>18360</v>
      </c>
      <c r="F33" s="444">
        <v>18360</v>
      </c>
      <c r="G33" s="448">
        <v>10360</v>
      </c>
      <c r="H33" s="448">
        <v>18360</v>
      </c>
      <c r="I33" s="30">
        <v>11367.187907234884</v>
      </c>
      <c r="J33" s="30">
        <v>20164.354439366867</v>
      </c>
      <c r="K33" s="30">
        <v>40495.757245281129</v>
      </c>
    </row>
    <row r="34" spans="2:11">
      <c r="B34" s="8" t="s">
        <v>151</v>
      </c>
      <c r="C34" s="8" t="s">
        <v>91</v>
      </c>
      <c r="D34" s="444">
        <v>20488</v>
      </c>
      <c r="E34" s="444">
        <v>32488</v>
      </c>
      <c r="F34" s="444">
        <v>32488</v>
      </c>
      <c r="G34" s="448">
        <v>20488</v>
      </c>
      <c r="H34" s="448">
        <v>32488</v>
      </c>
      <c r="I34" s="30">
        <v>22436.393512693168</v>
      </c>
      <c r="J34" s="30">
        <v>39609.946072432926</v>
      </c>
      <c r="K34" s="30">
        <v>71542.94702090646</v>
      </c>
    </row>
    <row r="35" spans="2:11">
      <c r="B35" s="8" t="s">
        <v>154</v>
      </c>
      <c r="C35" s="8" t="s">
        <v>92</v>
      </c>
      <c r="D35" s="444">
        <v>2200</v>
      </c>
      <c r="E35" s="444">
        <v>4200</v>
      </c>
      <c r="F35" s="444">
        <v>6200</v>
      </c>
      <c r="G35" s="448">
        <v>2200</v>
      </c>
      <c r="H35" s="448">
        <v>4200</v>
      </c>
      <c r="I35" s="30">
        <v>2200</v>
      </c>
      <c r="J35" s="30">
        <v>4200</v>
      </c>
      <c r="K35" s="30">
        <v>6200</v>
      </c>
    </row>
    <row r="36" spans="2:11">
      <c r="B36" s="8" t="s">
        <v>153</v>
      </c>
      <c r="C36" s="8" t="s">
        <v>93</v>
      </c>
      <c r="D36" s="444">
        <v>0</v>
      </c>
      <c r="E36" s="444">
        <v>0</v>
      </c>
      <c r="F36" s="444">
        <v>0</v>
      </c>
      <c r="G36" s="448">
        <v>0</v>
      </c>
      <c r="H36" s="448">
        <v>0</v>
      </c>
      <c r="I36" s="30">
        <v>0</v>
      </c>
      <c r="J36" s="30">
        <v>0</v>
      </c>
      <c r="K36" s="30">
        <v>0</v>
      </c>
    </row>
    <row r="37" spans="2:11">
      <c r="B37" s="8" t="s">
        <v>153</v>
      </c>
      <c r="C37" s="8" t="s">
        <v>94</v>
      </c>
      <c r="D37" s="444">
        <v>0</v>
      </c>
      <c r="E37" s="444">
        <v>0</v>
      </c>
      <c r="F37" s="444">
        <v>0</v>
      </c>
      <c r="G37" s="448">
        <v>0</v>
      </c>
      <c r="H37" s="448">
        <v>0</v>
      </c>
      <c r="I37" s="30">
        <v>0</v>
      </c>
      <c r="J37" s="30">
        <v>0</v>
      </c>
      <c r="K37" s="30">
        <v>0</v>
      </c>
    </row>
    <row r="38" spans="2:11">
      <c r="B38" s="8" t="s">
        <v>153</v>
      </c>
      <c r="C38" s="8" t="s">
        <v>95</v>
      </c>
      <c r="D38" s="444">
        <v>7.5349219391947413</v>
      </c>
      <c r="E38" s="444">
        <v>15.010496850944721</v>
      </c>
      <c r="F38" s="444">
        <v>13.676869430453323</v>
      </c>
      <c r="G38" s="448">
        <v>7.5349219391947413</v>
      </c>
      <c r="H38" s="448">
        <v>15.010496850944721</v>
      </c>
      <c r="I38" s="30">
        <v>12.178464629742036</v>
      </c>
      <c r="J38" s="30">
        <v>31.519592407792015</v>
      </c>
      <c r="K38" s="30">
        <v>31.519592407792015</v>
      </c>
    </row>
    <row r="39" spans="2:11">
      <c r="B39" s="8" t="s">
        <v>153</v>
      </c>
      <c r="C39" s="8" t="s">
        <v>96</v>
      </c>
      <c r="D39" s="444">
        <v>0</v>
      </c>
      <c r="E39" s="444">
        <v>0</v>
      </c>
      <c r="F39" s="444">
        <v>0</v>
      </c>
      <c r="G39" s="448">
        <v>0</v>
      </c>
      <c r="H39" s="448">
        <v>0</v>
      </c>
      <c r="I39" s="30">
        <v>0</v>
      </c>
      <c r="J39" s="30">
        <v>0</v>
      </c>
      <c r="K39" s="30">
        <v>0</v>
      </c>
    </row>
    <row r="40" spans="2:11">
      <c r="B40" s="8" t="s">
        <v>154</v>
      </c>
      <c r="C40" s="8" t="s">
        <v>97</v>
      </c>
      <c r="D40" s="444">
        <v>149.04334725741285</v>
      </c>
      <c r="E40" s="444">
        <v>139.27622205528067</v>
      </c>
      <c r="F40" s="444">
        <v>0</v>
      </c>
      <c r="G40" s="448">
        <v>149.04334725741285</v>
      </c>
      <c r="H40" s="448">
        <v>139.27622205528067</v>
      </c>
      <c r="I40" s="30">
        <v>510.31756234134366</v>
      </c>
      <c r="J40" s="30">
        <v>510.31756234134366</v>
      </c>
      <c r="K40" s="30">
        <v>535.26569985013157</v>
      </c>
    </row>
    <row r="41" spans="2:11">
      <c r="B41" s="8" t="s">
        <v>151</v>
      </c>
      <c r="C41" s="8" t="s">
        <v>98</v>
      </c>
      <c r="D41" s="444">
        <v>0</v>
      </c>
      <c r="E41" s="444">
        <v>0</v>
      </c>
      <c r="F41" s="444">
        <v>0</v>
      </c>
      <c r="G41" s="448">
        <v>0</v>
      </c>
      <c r="H41" s="448">
        <v>0</v>
      </c>
      <c r="I41" s="30">
        <v>1226.4244768148651</v>
      </c>
      <c r="J41" s="30">
        <v>1399.168681074307</v>
      </c>
      <c r="K41" s="30">
        <v>1516.8282081074788</v>
      </c>
    </row>
    <row r="42" spans="2:11">
      <c r="B42" s="8" t="s">
        <v>151</v>
      </c>
      <c r="C42" s="8" t="s">
        <v>99</v>
      </c>
      <c r="D42" s="444">
        <v>0</v>
      </c>
      <c r="E42" s="444">
        <v>0</v>
      </c>
      <c r="F42" s="444">
        <v>0</v>
      </c>
      <c r="G42" s="448">
        <v>0</v>
      </c>
      <c r="H42" s="448">
        <v>0</v>
      </c>
      <c r="I42" s="30">
        <v>1032.9209155157189</v>
      </c>
      <c r="J42" s="30">
        <v>2094.7766043670272</v>
      </c>
      <c r="K42" s="30">
        <v>2270.9315082351832</v>
      </c>
    </row>
    <row r="43" spans="2:11">
      <c r="B43" s="8" t="s">
        <v>151</v>
      </c>
      <c r="C43" s="8" t="s">
        <v>100</v>
      </c>
      <c r="D43" s="444">
        <v>0</v>
      </c>
      <c r="E43" s="444">
        <v>0</v>
      </c>
      <c r="F43" s="444">
        <v>0</v>
      </c>
      <c r="G43" s="448">
        <v>0</v>
      </c>
      <c r="H43" s="448">
        <v>0</v>
      </c>
      <c r="I43" s="30">
        <v>29.973375163773657</v>
      </c>
      <c r="J43" s="30">
        <v>59.070420906723214</v>
      </c>
      <c r="K43" s="30">
        <v>59.070420906723214</v>
      </c>
    </row>
    <row r="44" spans="2:11">
      <c r="B44" s="8" t="s">
        <v>153</v>
      </c>
      <c r="C44" s="8" t="s">
        <v>101</v>
      </c>
      <c r="D44" s="444">
        <v>8721.5271051632189</v>
      </c>
      <c r="E44" s="444">
        <v>30660.725954018082</v>
      </c>
      <c r="F44" s="444">
        <v>52293.958057736389</v>
      </c>
      <c r="G44" s="448">
        <v>8721.5271051632189</v>
      </c>
      <c r="H44" s="448">
        <v>30660.725954018082</v>
      </c>
      <c r="I44" s="30">
        <v>11189.816075388142</v>
      </c>
      <c r="J44" s="30">
        <v>37763.572874073223</v>
      </c>
      <c r="K44" s="30">
        <v>65809.289727334864</v>
      </c>
    </row>
    <row r="45" spans="2:11">
      <c r="B45" s="8" t="s">
        <v>154</v>
      </c>
      <c r="C45" s="8" t="s">
        <v>102</v>
      </c>
      <c r="D45" s="444">
        <v>0</v>
      </c>
      <c r="E45" s="444">
        <v>0</v>
      </c>
      <c r="F45" s="444">
        <v>0</v>
      </c>
      <c r="G45" s="448">
        <v>0</v>
      </c>
      <c r="H45" s="448">
        <v>0</v>
      </c>
      <c r="I45" s="30">
        <v>0</v>
      </c>
      <c r="J45" s="30">
        <v>0</v>
      </c>
      <c r="K45" s="30">
        <v>0</v>
      </c>
    </row>
    <row r="46" spans="2:11">
      <c r="B46" s="8" t="s">
        <v>154</v>
      </c>
      <c r="C46" s="8" t="s">
        <v>103</v>
      </c>
      <c r="D46" s="444">
        <v>0</v>
      </c>
      <c r="E46" s="444">
        <v>0</v>
      </c>
      <c r="F46" s="444">
        <v>0</v>
      </c>
      <c r="G46" s="448">
        <v>0</v>
      </c>
      <c r="H46" s="448">
        <v>0</v>
      </c>
      <c r="I46" s="30">
        <v>0</v>
      </c>
      <c r="J46" s="30">
        <v>0</v>
      </c>
      <c r="K46" s="30">
        <v>0</v>
      </c>
    </row>
    <row r="47" spans="2:11">
      <c r="B47" s="8" t="s">
        <v>154</v>
      </c>
      <c r="C47" s="8" t="s">
        <v>104</v>
      </c>
      <c r="D47" s="444">
        <v>0</v>
      </c>
      <c r="E47" s="444">
        <v>0</v>
      </c>
      <c r="F47" s="444">
        <v>0</v>
      </c>
      <c r="G47" s="448">
        <v>0</v>
      </c>
      <c r="H47" s="448">
        <v>0</v>
      </c>
      <c r="I47" s="30">
        <v>0</v>
      </c>
      <c r="J47" s="30">
        <v>0</v>
      </c>
      <c r="K47" s="30">
        <v>0</v>
      </c>
    </row>
    <row r="48" spans="2:11">
      <c r="B48" s="8" t="s">
        <v>153</v>
      </c>
      <c r="C48" s="8" t="s">
        <v>105</v>
      </c>
      <c r="D48" s="444">
        <v>0</v>
      </c>
      <c r="E48" s="444">
        <v>0</v>
      </c>
      <c r="F48" s="444">
        <v>0</v>
      </c>
      <c r="G48" s="448">
        <v>0</v>
      </c>
      <c r="H48" s="448">
        <v>0</v>
      </c>
      <c r="I48" s="30">
        <v>4691.8723574599962</v>
      </c>
      <c r="J48" s="30">
        <v>26531.54565231856</v>
      </c>
      <c r="K48" s="30">
        <v>49797.394480120594</v>
      </c>
    </row>
    <row r="49" spans="2:11">
      <c r="B49" s="8" t="s">
        <v>151</v>
      </c>
      <c r="C49" s="8" t="s">
        <v>106</v>
      </c>
      <c r="D49" s="444">
        <v>2871.7955812069526</v>
      </c>
      <c r="E49" s="444">
        <v>3294.1690949534723</v>
      </c>
      <c r="F49" s="444">
        <v>3294.1690949534723</v>
      </c>
      <c r="G49" s="448">
        <v>2871.7955812069526</v>
      </c>
      <c r="H49" s="448">
        <v>3294.1690949534723</v>
      </c>
      <c r="I49" s="30">
        <v>3689.5315439716273</v>
      </c>
      <c r="J49" s="30">
        <v>6970.0956602819924</v>
      </c>
      <c r="K49" s="30">
        <v>6970.0956602819924</v>
      </c>
    </row>
    <row r="50" spans="2:11">
      <c r="B50" s="8" t="s">
        <v>152</v>
      </c>
      <c r="C50" s="8" t="s">
        <v>107</v>
      </c>
      <c r="D50" s="444">
        <v>700.72289156626505</v>
      </c>
      <c r="E50" s="444">
        <v>1346.2500000000002</v>
      </c>
      <c r="F50" s="444">
        <v>1324.137931034483</v>
      </c>
      <c r="G50" s="448">
        <v>700.72289156626505</v>
      </c>
      <c r="H50" s="448">
        <v>1346.2500000000002</v>
      </c>
      <c r="I50" s="30">
        <v>818.91711424009316</v>
      </c>
      <c r="J50" s="30">
        <v>1893.1640624999989</v>
      </c>
      <c r="K50" s="30">
        <v>3150.5350772889401</v>
      </c>
    </row>
    <row r="51" spans="2:11">
      <c r="B51" s="8" t="s">
        <v>152</v>
      </c>
      <c r="C51" s="8" t="s">
        <v>108</v>
      </c>
      <c r="D51" s="444">
        <v>0</v>
      </c>
      <c r="E51" s="444">
        <v>0</v>
      </c>
      <c r="F51" s="444">
        <v>0</v>
      </c>
      <c r="G51" s="448">
        <v>0</v>
      </c>
      <c r="H51" s="448">
        <v>0</v>
      </c>
      <c r="I51" s="30">
        <v>27.964323636096882</v>
      </c>
      <c r="J51" s="30">
        <v>100.38245926544593</v>
      </c>
      <c r="K51" s="30">
        <v>138.32168343268324</v>
      </c>
    </row>
    <row r="52" spans="2:11">
      <c r="B52" s="8" t="s">
        <v>154</v>
      </c>
      <c r="C52" s="8" t="s">
        <v>109</v>
      </c>
      <c r="D52" s="444">
        <v>0</v>
      </c>
      <c r="E52" s="444">
        <v>0</v>
      </c>
      <c r="F52" s="444">
        <v>0</v>
      </c>
      <c r="G52" s="448">
        <v>0</v>
      </c>
      <c r="H52" s="448">
        <v>0</v>
      </c>
      <c r="I52" s="30">
        <v>0</v>
      </c>
      <c r="J52" s="30">
        <v>0</v>
      </c>
      <c r="K52" s="30">
        <v>0</v>
      </c>
    </row>
    <row r="53" spans="2:11">
      <c r="B53" s="8" t="s">
        <v>154</v>
      </c>
      <c r="C53" s="8" t="s">
        <v>110</v>
      </c>
      <c r="D53" s="444">
        <v>0</v>
      </c>
      <c r="E53" s="444">
        <v>0</v>
      </c>
      <c r="F53" s="444">
        <v>0</v>
      </c>
      <c r="G53" s="448">
        <v>0</v>
      </c>
      <c r="H53" s="448">
        <v>0</v>
      </c>
      <c r="I53" s="30">
        <v>0</v>
      </c>
      <c r="J53" s="30">
        <v>0</v>
      </c>
      <c r="K53" s="30">
        <v>0</v>
      </c>
    </row>
    <row r="54" spans="2:11">
      <c r="B54" s="8" t="s">
        <v>154</v>
      </c>
      <c r="C54" s="8" t="s">
        <v>111</v>
      </c>
      <c r="D54" s="444">
        <v>0</v>
      </c>
      <c r="E54" s="444">
        <v>0</v>
      </c>
      <c r="F54" s="444">
        <v>0</v>
      </c>
      <c r="G54" s="448">
        <v>0</v>
      </c>
      <c r="H54" s="448">
        <v>0</v>
      </c>
      <c r="I54" s="30">
        <v>0</v>
      </c>
      <c r="J54" s="30">
        <v>0</v>
      </c>
      <c r="K54" s="30">
        <v>0</v>
      </c>
    </row>
    <row r="55" spans="2:11">
      <c r="B55" s="8" t="s">
        <v>154</v>
      </c>
      <c r="C55" s="8" t="s">
        <v>112</v>
      </c>
      <c r="D55" s="444">
        <v>0</v>
      </c>
      <c r="E55" s="444">
        <v>0</v>
      </c>
      <c r="F55" s="444">
        <v>0</v>
      </c>
      <c r="G55" s="448">
        <v>0</v>
      </c>
      <c r="H55" s="448">
        <v>0</v>
      </c>
      <c r="I55" s="30">
        <v>0</v>
      </c>
      <c r="J55" s="30">
        <v>0</v>
      </c>
      <c r="K55" s="30">
        <v>0</v>
      </c>
    </row>
    <row r="56" spans="2:11">
      <c r="B56" s="8" t="s">
        <v>152</v>
      </c>
      <c r="C56" s="8" t="s">
        <v>113</v>
      </c>
      <c r="D56" s="444">
        <v>0</v>
      </c>
      <c r="E56" s="444">
        <v>0</v>
      </c>
      <c r="F56" s="444">
        <v>0</v>
      </c>
      <c r="G56" s="448">
        <v>0</v>
      </c>
      <c r="H56" s="448">
        <v>0</v>
      </c>
      <c r="I56" s="30">
        <v>0</v>
      </c>
      <c r="J56" s="30">
        <v>0</v>
      </c>
      <c r="K56" s="30">
        <v>0</v>
      </c>
    </row>
    <row r="57" spans="2:11">
      <c r="B57" s="8" t="s">
        <v>153</v>
      </c>
      <c r="C57" s="8" t="s">
        <v>114</v>
      </c>
      <c r="D57" s="444">
        <v>676.7</v>
      </c>
      <c r="E57" s="444">
        <v>2215</v>
      </c>
      <c r="F57" s="444">
        <v>3620</v>
      </c>
      <c r="G57" s="448">
        <v>676.7</v>
      </c>
      <c r="H57" s="448">
        <v>2215</v>
      </c>
      <c r="I57" s="30">
        <v>676.7</v>
      </c>
      <c r="J57" s="30">
        <v>2499.5659722222226</v>
      </c>
      <c r="K57" s="30">
        <v>4137.1428571428569</v>
      </c>
    </row>
    <row r="58" spans="2:11">
      <c r="B58" s="8" t="s">
        <v>153</v>
      </c>
      <c r="C58" s="8" t="s">
        <v>116</v>
      </c>
      <c r="D58" s="444">
        <v>670.78788892331477</v>
      </c>
      <c r="E58" s="444">
        <v>9654.7980967330277</v>
      </c>
      <c r="F58" s="444">
        <v>12826.971352990147</v>
      </c>
      <c r="G58" s="448">
        <v>670.78788892331477</v>
      </c>
      <c r="H58" s="448">
        <v>9654.7980967330277</v>
      </c>
      <c r="I58" s="30">
        <v>1406.9761087504676</v>
      </c>
      <c r="J58" s="30">
        <v>11758.752475684467</v>
      </c>
      <c r="K58" s="30">
        <v>12826.971352990147</v>
      </c>
    </row>
    <row r="59" spans="2:11">
      <c r="B59" s="8" t="s">
        <v>153</v>
      </c>
      <c r="C59" s="8" t="s">
        <v>115</v>
      </c>
      <c r="D59" s="444">
        <v>0</v>
      </c>
      <c r="E59" s="444">
        <v>0</v>
      </c>
      <c r="F59" s="444">
        <v>0</v>
      </c>
      <c r="G59" s="448">
        <v>0</v>
      </c>
      <c r="H59" s="448">
        <v>0</v>
      </c>
      <c r="I59" s="30">
        <v>18440.399333374269</v>
      </c>
      <c r="J59" s="30">
        <v>42645.419281477982</v>
      </c>
      <c r="K59" s="30">
        <v>53597.799183144612</v>
      </c>
    </row>
    <row r="60" spans="2:11">
      <c r="B60" s="8"/>
      <c r="C60" s="8" t="s">
        <v>117</v>
      </c>
      <c r="D60" s="445">
        <f t="shared" ref="D60:K60" si="0">SUM(D5:D59)</f>
        <v>143501.38321983407</v>
      </c>
      <c r="E60" s="445">
        <f t="shared" si="0"/>
        <v>386637.04752379021</v>
      </c>
      <c r="F60" s="445">
        <f t="shared" si="0"/>
        <v>545160.35916748072</v>
      </c>
      <c r="G60" s="449">
        <f t="shared" si="0"/>
        <v>143501.38321983407</v>
      </c>
      <c r="H60" s="449">
        <f t="shared" si="0"/>
        <v>386637.04752379021</v>
      </c>
      <c r="I60" s="31">
        <f t="shared" si="0"/>
        <v>218806.98595220456</v>
      </c>
      <c r="J60" s="31">
        <f t="shared" si="0"/>
        <v>590764.89352960582</v>
      </c>
      <c r="K60" s="31">
        <f t="shared" si="0"/>
        <v>1009346.1047614767</v>
      </c>
    </row>
    <row r="61" spans="2:11">
      <c r="D61" s="32"/>
      <c r="E61" s="32"/>
      <c r="F61" s="32"/>
      <c r="H61" s="32"/>
      <c r="I61" s="32"/>
      <c r="J61" s="32"/>
      <c r="K61" s="32"/>
    </row>
    <row r="62" spans="2:11">
      <c r="C62" s="6" t="s">
        <v>118</v>
      </c>
      <c r="D62" s="395">
        <f t="shared" ref="D62:K62" si="1">D7+SUM(D9:D10)+SUM(D12:D40)+SUM(D43:D44)+SUM(D48:D50)+SUM(D52:D57)</f>
        <v>141680.00883877705</v>
      </c>
      <c r="E62" s="395">
        <f t="shared" si="1"/>
        <v>373340.1657062521</v>
      </c>
      <c r="F62" s="395">
        <f t="shared" si="1"/>
        <v>527822.94560303306</v>
      </c>
      <c r="G62" s="395">
        <f t="shared" si="1"/>
        <v>141680.00883877705</v>
      </c>
      <c r="H62" s="395">
        <f t="shared" si="1"/>
        <v>373340.1657062521</v>
      </c>
      <c r="I62" s="395">
        <f t="shared" si="1"/>
        <v>184738.96316572934</v>
      </c>
      <c r="J62" s="395">
        <f t="shared" si="1"/>
        <v>500973.6673523339</v>
      </c>
      <c r="K62" s="395">
        <f t="shared" si="1"/>
        <v>891331.40767322516</v>
      </c>
    </row>
  </sheetData>
  <mergeCells count="3">
    <mergeCell ref="D3:F3"/>
    <mergeCell ref="G3:H3"/>
    <mergeCell ref="I3:K3"/>
  </mergeCells>
  <pageMargins left="0.7" right="0.7" top="0.75" bottom="0.75" header="0.3" footer="0.3"/>
  <pageSetup paperSize="9" orientation="portrait" r:id="rId1"/>
  <headerFooter>
    <oddFooter>&amp;C_x000D_&amp;1#&amp;"Calibri"&amp;10&amp;K000000 ISC - Uso INTERNO / INTERNAL Use</oddFooter>
  </headerFooter>
  <ignoredErrors>
    <ignoredError sqref="D60:H60 I60:K60"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0033C-6871-409B-9F31-488BFB2EC551}">
  <sheetPr>
    <tabColor theme="5"/>
  </sheetPr>
  <dimension ref="A1:D115"/>
  <sheetViews>
    <sheetView workbookViewId="0">
      <selection activeCell="B11" sqref="B11"/>
    </sheetView>
  </sheetViews>
  <sheetFormatPr defaultColWidth="11.42578125" defaultRowHeight="15"/>
  <cols>
    <col min="1" max="1" width="7.42578125" bestFit="1" customWidth="1"/>
    <col min="2" max="2" width="89.42578125" customWidth="1"/>
    <col min="3" max="3" width="36" customWidth="1"/>
    <col min="4" max="4" width="142.42578125" customWidth="1"/>
  </cols>
  <sheetData>
    <row r="1" spans="1:4" ht="23.25">
      <c r="B1" s="381" t="s">
        <v>19</v>
      </c>
    </row>
    <row r="3" spans="1:4">
      <c r="A3" s="36" t="s">
        <v>160</v>
      </c>
      <c r="B3" s="36" t="s">
        <v>161</v>
      </c>
      <c r="C3" s="36" t="s">
        <v>162</v>
      </c>
      <c r="D3" s="36" t="s">
        <v>163</v>
      </c>
    </row>
    <row r="4" spans="1:4">
      <c r="A4" s="129">
        <v>1</v>
      </c>
      <c r="B4" s="37" t="s">
        <v>164</v>
      </c>
      <c r="C4" s="37" t="s">
        <v>165</v>
      </c>
      <c r="D4" s="38" t="s">
        <v>166</v>
      </c>
    </row>
    <row r="5" spans="1:4">
      <c r="A5" s="129">
        <v>2</v>
      </c>
      <c r="B5" s="37" t="s">
        <v>167</v>
      </c>
      <c r="C5" s="37" t="s">
        <v>168</v>
      </c>
      <c r="D5" s="38" t="s">
        <v>169</v>
      </c>
    </row>
    <row r="6" spans="1:4">
      <c r="A6" s="129">
        <v>3</v>
      </c>
      <c r="B6" s="37" t="s">
        <v>170</v>
      </c>
      <c r="C6" s="37" t="s">
        <v>165</v>
      </c>
      <c r="D6" s="38" t="s">
        <v>171</v>
      </c>
    </row>
    <row r="7" spans="1:4">
      <c r="A7" s="129">
        <v>4</v>
      </c>
      <c r="B7" s="37" t="s">
        <v>172</v>
      </c>
      <c r="C7" s="37" t="s">
        <v>173</v>
      </c>
      <c r="D7" s="38" t="s">
        <v>174</v>
      </c>
    </row>
    <row r="8" spans="1:4">
      <c r="A8" s="129">
        <v>5</v>
      </c>
      <c r="B8" s="37" t="s">
        <v>175</v>
      </c>
      <c r="C8" s="37" t="s">
        <v>173</v>
      </c>
      <c r="D8" s="38" t="s">
        <v>176</v>
      </c>
    </row>
    <row r="9" spans="1:4">
      <c r="A9" s="129">
        <v>6</v>
      </c>
      <c r="B9" s="37" t="s">
        <v>177</v>
      </c>
      <c r="C9" s="37" t="s">
        <v>178</v>
      </c>
      <c r="D9" s="38" t="s">
        <v>179</v>
      </c>
    </row>
    <row r="10" spans="1:4">
      <c r="A10" s="129">
        <v>7</v>
      </c>
      <c r="B10" s="37" t="s">
        <v>180</v>
      </c>
      <c r="C10" s="37" t="s">
        <v>165</v>
      </c>
      <c r="D10" s="38" t="s">
        <v>181</v>
      </c>
    </row>
    <row r="11" spans="1:4">
      <c r="A11" s="129">
        <v>8</v>
      </c>
      <c r="B11" s="37" t="s">
        <v>182</v>
      </c>
      <c r="C11" s="37" t="s">
        <v>183</v>
      </c>
      <c r="D11" s="38" t="s">
        <v>184</v>
      </c>
    </row>
    <row r="12" spans="1:4">
      <c r="A12" s="129">
        <v>9</v>
      </c>
      <c r="B12" s="37" t="s">
        <v>185</v>
      </c>
      <c r="C12" s="37" t="s">
        <v>183</v>
      </c>
      <c r="D12" s="38" t="s">
        <v>186</v>
      </c>
    </row>
    <row r="15" spans="1:4">
      <c r="B15" s="601" t="s">
        <v>187</v>
      </c>
      <c r="C15" s="601"/>
      <c r="D15" s="601"/>
    </row>
    <row r="16" spans="1:4">
      <c r="B16" s="130"/>
      <c r="C16" s="130"/>
      <c r="D16" s="130"/>
    </row>
    <row r="17" spans="2:4">
      <c r="B17" s="130"/>
      <c r="C17" s="130"/>
      <c r="D17" s="130"/>
    </row>
    <row r="18" spans="2:4">
      <c r="B18" s="130"/>
      <c r="C18" s="130"/>
      <c r="D18" s="130"/>
    </row>
    <row r="19" spans="2:4">
      <c r="B19" s="130"/>
      <c r="C19" s="130"/>
      <c r="D19" s="130"/>
    </row>
    <row r="20" spans="2:4">
      <c r="B20" s="130"/>
      <c r="C20" s="130"/>
      <c r="D20" s="130"/>
    </row>
    <row r="21" spans="2:4">
      <c r="B21" s="130"/>
      <c r="C21" s="130"/>
      <c r="D21" s="130"/>
    </row>
    <row r="22" spans="2:4">
      <c r="B22" s="130"/>
      <c r="C22" s="130"/>
      <c r="D22" s="130"/>
    </row>
    <row r="23" spans="2:4">
      <c r="B23" s="130"/>
      <c r="C23" s="130"/>
      <c r="D23" s="130"/>
    </row>
    <row r="24" spans="2:4">
      <c r="B24" s="130"/>
      <c r="C24" s="130"/>
      <c r="D24" s="130"/>
    </row>
    <row r="25" spans="2:4">
      <c r="B25" s="130"/>
      <c r="C25" s="130"/>
      <c r="D25" s="130"/>
    </row>
    <row r="26" spans="2:4">
      <c r="B26" s="130"/>
      <c r="C26" s="130"/>
      <c r="D26" s="130"/>
    </row>
    <row r="27" spans="2:4">
      <c r="B27" s="130"/>
      <c r="C27" s="130"/>
      <c r="D27" s="130"/>
    </row>
    <row r="28" spans="2:4">
      <c r="B28" s="130"/>
      <c r="C28" s="130"/>
      <c r="D28" s="130"/>
    </row>
    <row r="29" spans="2:4">
      <c r="B29" s="130"/>
      <c r="C29" s="130"/>
      <c r="D29" s="130"/>
    </row>
    <row r="30" spans="2:4">
      <c r="B30" s="130"/>
      <c r="C30" s="130"/>
      <c r="D30" s="130"/>
    </row>
    <row r="31" spans="2:4">
      <c r="B31" s="601" t="s">
        <v>188</v>
      </c>
      <c r="C31" s="601"/>
      <c r="D31" s="601"/>
    </row>
    <row r="32" spans="2:4">
      <c r="B32" s="130"/>
      <c r="C32" s="130"/>
      <c r="D32" s="130"/>
    </row>
    <row r="33" spans="2:4">
      <c r="B33" s="130"/>
      <c r="C33" s="130"/>
      <c r="D33" s="130"/>
    </row>
    <row r="34" spans="2:4">
      <c r="B34" s="130"/>
      <c r="C34" s="130"/>
      <c r="D34" s="130"/>
    </row>
    <row r="35" spans="2:4">
      <c r="B35" s="130"/>
      <c r="C35" s="130"/>
      <c r="D35" s="130"/>
    </row>
    <row r="36" spans="2:4">
      <c r="B36" s="130"/>
      <c r="C36" s="130"/>
      <c r="D36" s="130"/>
    </row>
    <row r="37" spans="2:4">
      <c r="B37" s="130"/>
      <c r="C37" s="130"/>
      <c r="D37" s="130"/>
    </row>
    <row r="38" spans="2:4">
      <c r="B38" s="130"/>
      <c r="C38" s="130"/>
      <c r="D38" s="130"/>
    </row>
    <row r="39" spans="2:4">
      <c r="B39" s="130"/>
      <c r="C39" s="130"/>
      <c r="D39" s="130"/>
    </row>
    <row r="40" spans="2:4">
      <c r="B40" s="130"/>
      <c r="C40" s="130"/>
      <c r="D40" s="130"/>
    </row>
    <row r="41" spans="2:4">
      <c r="B41" s="130"/>
      <c r="C41" s="130"/>
      <c r="D41" s="130"/>
    </row>
    <row r="42" spans="2:4">
      <c r="B42" s="130"/>
      <c r="C42" s="130"/>
      <c r="D42" s="130"/>
    </row>
    <row r="43" spans="2:4">
      <c r="B43" s="130"/>
      <c r="C43" s="130"/>
      <c r="D43" s="130"/>
    </row>
    <row r="44" spans="2:4">
      <c r="B44" s="130"/>
      <c r="C44" s="130"/>
      <c r="D44" s="130"/>
    </row>
    <row r="45" spans="2:4">
      <c r="B45" s="130"/>
      <c r="C45" s="130"/>
      <c r="D45" s="130"/>
    </row>
    <row r="46" spans="2:4">
      <c r="B46" s="130"/>
      <c r="C46" s="130"/>
      <c r="D46" s="130"/>
    </row>
    <row r="47" spans="2:4">
      <c r="B47" s="130"/>
      <c r="C47" s="130"/>
      <c r="D47" s="130"/>
    </row>
    <row r="48" spans="2:4">
      <c r="B48" s="130"/>
      <c r="C48" s="130"/>
      <c r="D48" s="130"/>
    </row>
    <row r="49" spans="2:4">
      <c r="B49" s="130"/>
      <c r="C49" s="130"/>
      <c r="D49" s="130"/>
    </row>
    <row r="50" spans="2:4">
      <c r="B50" s="130"/>
      <c r="C50" s="130"/>
      <c r="D50" s="130"/>
    </row>
    <row r="51" spans="2:4">
      <c r="B51" s="130"/>
      <c r="C51" s="130"/>
      <c r="D51" s="130"/>
    </row>
    <row r="52" spans="2:4">
      <c r="B52" s="130"/>
      <c r="C52" s="130"/>
      <c r="D52" s="130"/>
    </row>
    <row r="53" spans="2:4">
      <c r="B53" s="130"/>
      <c r="C53" s="130"/>
      <c r="D53" s="130"/>
    </row>
    <row r="54" spans="2:4">
      <c r="B54" s="130"/>
      <c r="C54" s="130"/>
      <c r="D54" s="130"/>
    </row>
    <row r="55" spans="2:4">
      <c r="B55" s="130"/>
      <c r="C55" s="130"/>
      <c r="D55" s="130"/>
    </row>
    <row r="56" spans="2:4">
      <c r="B56" s="130"/>
      <c r="C56" s="130"/>
      <c r="D56" s="130"/>
    </row>
    <row r="57" spans="2:4">
      <c r="B57" s="130"/>
      <c r="C57" s="130"/>
      <c r="D57" s="130"/>
    </row>
    <row r="58" spans="2:4">
      <c r="B58" s="130"/>
      <c r="C58" s="130"/>
      <c r="D58" s="130"/>
    </row>
    <row r="59" spans="2:4">
      <c r="B59" s="130"/>
      <c r="C59" s="130"/>
      <c r="D59" s="130"/>
    </row>
    <row r="60" spans="2:4">
      <c r="B60" s="130"/>
      <c r="C60" s="130"/>
      <c r="D60" s="130"/>
    </row>
    <row r="61" spans="2:4">
      <c r="B61" s="130"/>
      <c r="C61" s="130"/>
      <c r="D61" s="130"/>
    </row>
    <row r="62" spans="2:4">
      <c r="B62" s="130"/>
      <c r="C62" s="130"/>
      <c r="D62" s="130"/>
    </row>
    <row r="63" spans="2:4">
      <c r="B63" s="130"/>
      <c r="C63" s="130"/>
      <c r="D63" s="130"/>
    </row>
    <row r="64" spans="2:4">
      <c r="B64" s="130"/>
      <c r="C64" s="130"/>
      <c r="D64" s="130"/>
    </row>
    <row r="65" spans="2:4">
      <c r="B65" s="130"/>
      <c r="C65" s="130"/>
      <c r="D65" s="130"/>
    </row>
    <row r="66" spans="2:4">
      <c r="B66" s="130"/>
      <c r="C66" s="130"/>
      <c r="D66" s="130"/>
    </row>
    <row r="67" spans="2:4">
      <c r="B67" s="130"/>
      <c r="C67" s="130"/>
      <c r="D67" s="130"/>
    </row>
    <row r="68" spans="2:4">
      <c r="B68" s="130"/>
      <c r="C68" s="130"/>
      <c r="D68" s="130"/>
    </row>
    <row r="69" spans="2:4">
      <c r="B69" s="130"/>
      <c r="C69" s="130"/>
      <c r="D69" s="130"/>
    </row>
    <row r="70" spans="2:4">
      <c r="B70" s="130"/>
      <c r="C70" s="130"/>
      <c r="D70" s="130"/>
    </row>
    <row r="71" spans="2:4">
      <c r="B71" s="130"/>
      <c r="C71" s="130"/>
      <c r="D71" s="130"/>
    </row>
    <row r="72" spans="2:4">
      <c r="B72" s="130"/>
      <c r="C72" s="130"/>
      <c r="D72" s="130"/>
    </row>
    <row r="73" spans="2:4">
      <c r="B73" s="130"/>
      <c r="C73" s="130"/>
      <c r="D73" s="130"/>
    </row>
    <row r="74" spans="2:4">
      <c r="B74" s="130"/>
      <c r="C74" s="130"/>
      <c r="D74" s="130"/>
    </row>
    <row r="75" spans="2:4">
      <c r="B75" s="130"/>
      <c r="C75" s="130"/>
      <c r="D75" s="130"/>
    </row>
    <row r="76" spans="2:4">
      <c r="B76" s="130"/>
      <c r="C76" s="130"/>
      <c r="D76" s="130"/>
    </row>
    <row r="77" spans="2:4">
      <c r="B77" s="130"/>
      <c r="C77" s="130"/>
      <c r="D77" s="130"/>
    </row>
    <row r="78" spans="2:4">
      <c r="B78" s="130"/>
      <c r="C78" s="130"/>
      <c r="D78" s="130"/>
    </row>
    <row r="79" spans="2:4">
      <c r="B79" s="130"/>
      <c r="C79" s="130"/>
      <c r="D79" s="130"/>
    </row>
    <row r="80" spans="2:4">
      <c r="B80" s="130"/>
      <c r="C80" s="130"/>
      <c r="D80" s="130"/>
    </row>
    <row r="81" spans="2:4">
      <c r="B81" s="130"/>
      <c r="C81" s="130"/>
      <c r="D81" s="130"/>
    </row>
    <row r="82" spans="2:4">
      <c r="B82" s="130"/>
      <c r="C82" s="130"/>
      <c r="D82" s="130"/>
    </row>
    <row r="83" spans="2:4">
      <c r="B83" s="130"/>
      <c r="C83" s="130"/>
      <c r="D83" s="130"/>
    </row>
    <row r="84" spans="2:4">
      <c r="B84" s="130"/>
      <c r="C84" s="130"/>
      <c r="D84" s="130"/>
    </row>
    <row r="85" spans="2:4">
      <c r="B85" s="130"/>
      <c r="C85" s="130"/>
      <c r="D85" s="130"/>
    </row>
    <row r="86" spans="2:4">
      <c r="B86" s="130"/>
      <c r="C86" s="130"/>
      <c r="D86" s="130"/>
    </row>
    <row r="87" spans="2:4">
      <c r="B87" s="130"/>
      <c r="C87" s="130"/>
      <c r="D87" s="130"/>
    </row>
    <row r="88" spans="2:4">
      <c r="B88" s="130"/>
      <c r="C88" s="130"/>
      <c r="D88" s="130"/>
    </row>
    <row r="89" spans="2:4">
      <c r="B89" s="130"/>
      <c r="C89" s="130"/>
      <c r="D89" s="130"/>
    </row>
    <row r="90" spans="2:4">
      <c r="B90" s="130"/>
      <c r="C90" s="130"/>
      <c r="D90" s="130"/>
    </row>
    <row r="91" spans="2:4">
      <c r="B91" s="130"/>
      <c r="C91" s="130"/>
      <c r="D91" s="130"/>
    </row>
    <row r="92" spans="2:4">
      <c r="B92" s="130"/>
      <c r="C92" s="130"/>
      <c r="D92" s="130"/>
    </row>
    <row r="93" spans="2:4">
      <c r="B93" s="130"/>
      <c r="C93" s="130"/>
      <c r="D93" s="130"/>
    </row>
    <row r="94" spans="2:4">
      <c r="B94" s="130"/>
      <c r="C94" s="130"/>
      <c r="D94" s="130"/>
    </row>
    <row r="95" spans="2:4">
      <c r="B95" s="130"/>
      <c r="C95" s="130"/>
      <c r="D95" s="130"/>
    </row>
    <row r="96" spans="2:4">
      <c r="B96" s="130"/>
      <c r="C96" s="130"/>
      <c r="D96" s="130"/>
    </row>
    <row r="97" spans="2:4">
      <c r="B97" s="130"/>
      <c r="C97" s="130"/>
      <c r="D97" s="130"/>
    </row>
    <row r="98" spans="2:4">
      <c r="B98" s="130"/>
      <c r="C98" s="130"/>
      <c r="D98" s="130"/>
    </row>
    <row r="99" spans="2:4">
      <c r="B99" s="130"/>
      <c r="C99" s="130"/>
      <c r="D99" s="130"/>
    </row>
    <row r="100" spans="2:4">
      <c r="B100" s="130"/>
      <c r="C100" s="130"/>
      <c r="D100" s="130"/>
    </row>
    <row r="101" spans="2:4">
      <c r="B101" s="130"/>
      <c r="C101" s="130"/>
      <c r="D101" s="130"/>
    </row>
    <row r="102" spans="2:4">
      <c r="B102" s="130"/>
      <c r="C102" s="130"/>
      <c r="D102" s="130"/>
    </row>
    <row r="103" spans="2:4">
      <c r="B103" s="130"/>
      <c r="C103" s="130"/>
      <c r="D103" s="130"/>
    </row>
    <row r="104" spans="2:4">
      <c r="B104" s="130"/>
      <c r="C104" s="130"/>
      <c r="D104" s="130"/>
    </row>
    <row r="105" spans="2:4">
      <c r="B105" s="130"/>
      <c r="C105" s="130"/>
      <c r="D105" s="130"/>
    </row>
    <row r="106" spans="2:4">
      <c r="B106" s="130"/>
      <c r="C106" s="130"/>
      <c r="D106" s="130"/>
    </row>
    <row r="107" spans="2:4">
      <c r="B107" s="130"/>
      <c r="C107" s="130"/>
      <c r="D107" s="130"/>
    </row>
    <row r="108" spans="2:4">
      <c r="B108" s="130"/>
      <c r="C108" s="130"/>
      <c r="D108" s="130"/>
    </row>
    <row r="109" spans="2:4">
      <c r="B109" s="130"/>
      <c r="C109" s="130"/>
      <c r="D109" s="130"/>
    </row>
    <row r="110" spans="2:4">
      <c r="B110" s="130"/>
      <c r="C110" s="130"/>
      <c r="D110" s="130"/>
    </row>
    <row r="111" spans="2:4">
      <c r="B111" s="130"/>
      <c r="C111" s="130"/>
      <c r="D111" s="130"/>
    </row>
    <row r="112" spans="2:4">
      <c r="B112" s="130"/>
      <c r="C112" s="130"/>
      <c r="D112" s="130"/>
    </row>
    <row r="113" spans="2:4">
      <c r="B113" s="130"/>
      <c r="C113" s="130"/>
      <c r="D113" s="130"/>
    </row>
    <row r="114" spans="2:4">
      <c r="B114" s="130"/>
      <c r="C114" s="130"/>
      <c r="D114" s="130"/>
    </row>
    <row r="115" spans="2:4">
      <c r="B115" s="130"/>
      <c r="C115" s="130"/>
      <c r="D115" s="130"/>
    </row>
  </sheetData>
  <mergeCells count="2">
    <mergeCell ref="B15:D15"/>
    <mergeCell ref="B31:D31"/>
  </mergeCells>
  <hyperlinks>
    <hyperlink ref="D4" r:id="rId1" xr:uid="{F183D4A1-2AC3-4C3F-8F84-883771E74010}"/>
    <hyperlink ref="D6" r:id="rId2" display="https://ens.dk/en/our-services/projections-and-models/technology-data/technology-catalogue-transport-energy" xr:uid="{EC25CC57-5D64-4C09-8C15-8F2E9A23E181}"/>
    <hyperlink ref="D7" r:id="rId3" display="https://ens.dk/sites/ens.dk/files/Vindenergi/final_report_-_screening_of_possible_hub_concepts_to_integrate_offshore_wind_capacity_in_the_north_sea.pdf" xr:uid="{34D4BDE4-74A1-4957-8F72-A8395279056C}"/>
    <hyperlink ref="D9" r:id="rId4" xr:uid="{9780D7FC-3902-46AC-9641-70C39A26B728}"/>
    <hyperlink ref="D10" r:id="rId5" display="https://ens.dk/en/our-services/projections-and-models/technology-data/technology-data-renewable-fuels" xr:uid="{6E32C3D5-8C4D-4373-A5DD-C031105AD8DD}"/>
    <hyperlink ref="D11" r:id="rId6" display="https://ehb.eu/files/downloads/ehb-report-220428-17h00-interactive-1.pdf" xr:uid="{4B542BCC-1EF0-4F3D-83E0-E4D38F19BA9E}"/>
    <hyperlink ref="D12" r:id="rId7" xr:uid="{1D35372D-C0E9-4DAA-B808-5F643995E075}"/>
    <hyperlink ref="D8" r:id="rId8" xr:uid="{AA29D4FD-579C-4ED6-A42C-7FC9E57A42D7}"/>
    <hyperlink ref="D5" r:id="rId9" xr:uid="{5B223DBB-68A8-4610-B6B9-8FED69BF7309}"/>
  </hyperlinks>
  <pageMargins left="0.7" right="0.7" top="0.78740157499999996" bottom="0.78740157499999996" header="0.3" footer="0.3"/>
  <pageSetup paperSize="9" orientation="portrait" verticalDpi="0" r:id="rId10"/>
  <headerFooter>
    <oddFooter>&amp;C_x000D_&amp;1#&amp;"Calibri"&amp;10&amp;K000000 ISC - Uso INTERNO / INTERNAL Use</oddFooter>
  </headerFooter>
  <drawing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916A4-922C-4A97-9C3A-856D8F95A473}">
  <sheetPr>
    <tabColor theme="7"/>
  </sheetPr>
  <dimension ref="A1:Q168"/>
  <sheetViews>
    <sheetView topLeftCell="A16" zoomScaleNormal="100" workbookViewId="0">
      <selection activeCell="F139" sqref="F139"/>
    </sheetView>
  </sheetViews>
  <sheetFormatPr defaultColWidth="11.42578125" defaultRowHeight="15"/>
  <cols>
    <col min="1" max="1" width="3.85546875" style="1" customWidth="1"/>
    <col min="2" max="2" width="7" style="1" customWidth="1"/>
    <col min="3" max="3" width="45.5703125" customWidth="1"/>
    <col min="4" max="4" width="18.140625" customWidth="1"/>
    <col min="5" max="7" width="12.5703125" bestFit="1" customWidth="1"/>
    <col min="8" max="8" width="3.140625" style="1" customWidth="1"/>
    <col min="9" max="11" width="12.5703125" bestFit="1" customWidth="1"/>
    <col min="12" max="12" width="3.140625" customWidth="1"/>
    <col min="13" max="15" width="12.5703125" bestFit="1" customWidth="1"/>
  </cols>
  <sheetData>
    <row r="1" spans="1:17" ht="23.25">
      <c r="C1" s="381" t="s">
        <v>189</v>
      </c>
    </row>
    <row r="2" spans="1:17">
      <c r="A2" s="6"/>
      <c r="C2" s="8"/>
      <c r="D2" s="8"/>
      <c r="E2" s="603" t="s">
        <v>190</v>
      </c>
      <c r="F2" s="603"/>
      <c r="G2" s="603"/>
      <c r="H2" s="6" t="s">
        <v>191</v>
      </c>
      <c r="I2" s="603" t="s">
        <v>192</v>
      </c>
      <c r="J2" s="603"/>
      <c r="K2" s="603"/>
      <c r="L2" s="6" t="s">
        <v>193</v>
      </c>
      <c r="M2" s="603" t="s">
        <v>194</v>
      </c>
      <c r="N2" s="603"/>
      <c r="O2" s="603"/>
      <c r="Q2" s="549"/>
    </row>
    <row r="3" spans="1:17">
      <c r="A3" s="6" t="s">
        <v>195</v>
      </c>
      <c r="B3" s="6" t="s">
        <v>196</v>
      </c>
      <c r="C3" s="8" t="s">
        <v>149</v>
      </c>
      <c r="D3" s="8"/>
      <c r="E3" s="6">
        <v>2030</v>
      </c>
      <c r="F3" s="6">
        <v>2040</v>
      </c>
      <c r="G3" s="6">
        <v>2050</v>
      </c>
      <c r="H3" s="6"/>
      <c r="I3" s="6">
        <v>2030</v>
      </c>
      <c r="J3" s="6">
        <v>2040</v>
      </c>
      <c r="K3" s="6">
        <v>2050</v>
      </c>
      <c r="L3" s="6"/>
      <c r="M3" s="6">
        <v>2030</v>
      </c>
      <c r="N3" s="6">
        <v>2040</v>
      </c>
      <c r="O3" s="6">
        <v>2050</v>
      </c>
    </row>
    <row r="4" spans="1:17">
      <c r="I4" s="476">
        <v>0.01</v>
      </c>
      <c r="J4" s="476">
        <v>0.15</v>
      </c>
      <c r="K4" s="476">
        <v>0.2</v>
      </c>
      <c r="L4" s="476"/>
      <c r="M4" s="476">
        <v>0.01</v>
      </c>
      <c r="N4" s="476">
        <v>0.15</v>
      </c>
      <c r="O4" s="476">
        <v>0.2</v>
      </c>
    </row>
    <row r="5" spans="1:17">
      <c r="A5" s="6">
        <v>1</v>
      </c>
      <c r="B5" s="1">
        <v>1</v>
      </c>
      <c r="C5" s="39" t="s">
        <v>197</v>
      </c>
      <c r="D5" s="40"/>
      <c r="E5" s="40"/>
      <c r="F5" s="40"/>
      <c r="G5" s="40"/>
      <c r="H5" s="41"/>
      <c r="I5" s="40"/>
      <c r="J5" s="40"/>
      <c r="K5" s="40"/>
      <c r="L5" s="40"/>
      <c r="M5" s="40"/>
      <c r="N5" s="40"/>
      <c r="O5" s="40"/>
    </row>
    <row r="6" spans="1:17">
      <c r="C6" t="s">
        <v>198</v>
      </c>
      <c r="D6" t="s">
        <v>199</v>
      </c>
      <c r="E6" s="42">
        <v>720000</v>
      </c>
      <c r="F6" s="42">
        <v>580000</v>
      </c>
      <c r="G6" s="42">
        <v>520000</v>
      </c>
      <c r="H6" s="43" t="s">
        <v>200</v>
      </c>
      <c r="I6" s="451">
        <f>IF($H6="▼",$E6-$E6*$I$4,IF($H6="▲",$E6+$E6*$I$4,$E6))</f>
        <v>712800</v>
      </c>
      <c r="J6" s="451">
        <f>IF($H6="▼",$F6-$F6*$J$4,IF($H6="▲",$F6+$F6*$J$4,$F6))</f>
        <v>493000</v>
      </c>
      <c r="K6" s="451">
        <f>IF($H6="▼",$G6-$G6*$K$4,IF($H6="▲",$G6+$G6*$K$4,$G6))</f>
        <v>416000</v>
      </c>
      <c r="L6" s="452" t="s">
        <v>201</v>
      </c>
      <c r="M6" s="451">
        <f>IF($L6="▼",$E6-$E6*$M$4,IF($L6="▲",$E6+$E6*$M$4,$E6))</f>
        <v>727200</v>
      </c>
      <c r="N6" s="451">
        <f>IF($L6="▼",$F6-$F6*$N$4,IF($L6="▲",$F6+$F6*$N$4,$F6))</f>
        <v>667000</v>
      </c>
      <c r="O6" s="451">
        <f>IF($L6="▼",$G6-$G6*$O$4,IF($L6="▲",$G6+$G6*$O$4,$G6))</f>
        <v>624000</v>
      </c>
    </row>
    <row r="7" spans="1:17">
      <c r="C7" t="s">
        <v>202</v>
      </c>
      <c r="D7" t="s">
        <v>203</v>
      </c>
      <c r="E7" s="42">
        <v>10700</v>
      </c>
      <c r="F7" s="42">
        <v>9600</v>
      </c>
      <c r="G7" s="42">
        <v>8900</v>
      </c>
      <c r="H7" s="43" t="s">
        <v>200</v>
      </c>
      <c r="I7" s="451">
        <f>IF($H7="▼",$E7-$E7*$I$4,IF($H7="▲",$E7+$E7*$I$4,$E7))</f>
        <v>10593</v>
      </c>
      <c r="J7" s="451">
        <f>IF($H7="▼",$F7-$F7*$J$4,IF($H7="▲",$F7+$F7*$J$4,$F7))</f>
        <v>8160</v>
      </c>
      <c r="K7" s="451">
        <f>IF($H7="▼",$G7-$G7*$K$4,IF($H7="▲",$G7+$G7*$K$4,$G7))</f>
        <v>7120</v>
      </c>
      <c r="L7" s="452" t="s">
        <v>201</v>
      </c>
      <c r="M7" s="451">
        <f>IF($L7="▼",$E7-$E7*$M$4,IF($L7="▲",$E7+$E7*$M$4,$E7))</f>
        <v>10807</v>
      </c>
      <c r="N7" s="451">
        <f>IF($L7="▼",$F7-$F7*$N$4,IF($L7="▲",$F7+$F7*$N$4,$F7))</f>
        <v>11040</v>
      </c>
      <c r="O7" s="451">
        <f>IF($L7="▼",$G7-$G7*$O$4,IF($L7="▲",$G7+$G7*$O$4,$G7))</f>
        <v>10680</v>
      </c>
    </row>
    <row r="8" spans="1:17">
      <c r="C8" s="45" t="s">
        <v>204</v>
      </c>
      <c r="D8" s="45"/>
      <c r="I8" s="451"/>
      <c r="J8" s="451"/>
      <c r="K8" s="451"/>
      <c r="L8" s="451"/>
      <c r="M8" s="451"/>
      <c r="N8" s="451"/>
      <c r="O8" s="451"/>
    </row>
    <row r="9" spans="1:17">
      <c r="C9" s="46" t="s">
        <v>205</v>
      </c>
      <c r="D9" s="45" t="s">
        <v>199</v>
      </c>
      <c r="E9" s="42">
        <v>30000</v>
      </c>
      <c r="F9" s="42">
        <v>20000</v>
      </c>
      <c r="G9" s="42">
        <v>20000</v>
      </c>
      <c r="H9" s="47"/>
      <c r="I9" s="451"/>
      <c r="J9" s="451"/>
      <c r="K9" s="451"/>
      <c r="L9" s="451"/>
      <c r="M9" s="451"/>
      <c r="N9" s="451"/>
      <c r="O9" s="451"/>
    </row>
    <row r="10" spans="1:17">
      <c r="C10" s="46" t="s">
        <v>206</v>
      </c>
      <c r="D10" s="45" t="s">
        <v>199</v>
      </c>
      <c r="E10" s="42">
        <v>140000</v>
      </c>
      <c r="F10" s="42">
        <v>120000</v>
      </c>
      <c r="G10" s="42">
        <v>100000</v>
      </c>
      <c r="H10" s="47"/>
      <c r="I10" s="451"/>
      <c r="J10" s="451"/>
      <c r="K10" s="451"/>
      <c r="L10" s="451"/>
      <c r="M10" s="451"/>
      <c r="N10" s="451"/>
      <c r="O10" s="451"/>
    </row>
    <row r="11" spans="1:17">
      <c r="C11" s="46" t="s">
        <v>207</v>
      </c>
      <c r="D11" s="45" t="s">
        <v>199</v>
      </c>
      <c r="E11" s="42">
        <v>270000</v>
      </c>
      <c r="F11" s="42">
        <v>200000</v>
      </c>
      <c r="G11" s="42">
        <v>170000</v>
      </c>
      <c r="H11" s="47"/>
      <c r="I11" s="451"/>
      <c r="J11" s="451"/>
      <c r="K11" s="451"/>
      <c r="L11" s="451"/>
      <c r="M11" s="451"/>
      <c r="N11" s="451"/>
      <c r="O11" s="451"/>
    </row>
    <row r="12" spans="1:17">
      <c r="C12" s="46" t="s">
        <v>208</v>
      </c>
      <c r="D12" s="45" t="s">
        <v>199</v>
      </c>
      <c r="E12" s="42">
        <v>110000</v>
      </c>
      <c r="F12" s="42">
        <v>90000</v>
      </c>
      <c r="G12" s="42">
        <v>90000</v>
      </c>
      <c r="H12" s="47"/>
      <c r="I12" s="451"/>
      <c r="J12" s="451"/>
      <c r="K12" s="451"/>
      <c r="L12" s="451"/>
      <c r="M12" s="451"/>
      <c r="N12" s="451"/>
      <c r="O12" s="451"/>
    </row>
    <row r="13" spans="1:17">
      <c r="C13" s="46" t="s">
        <v>209</v>
      </c>
      <c r="D13" s="45" t="s">
        <v>199</v>
      </c>
      <c r="E13" s="42">
        <v>170000</v>
      </c>
      <c r="F13" s="42">
        <v>150000</v>
      </c>
      <c r="G13" s="42">
        <v>140000</v>
      </c>
      <c r="H13" s="47"/>
      <c r="I13" s="451"/>
      <c r="J13" s="451"/>
      <c r="K13" s="451"/>
      <c r="L13" s="451"/>
      <c r="M13" s="451"/>
      <c r="N13" s="451"/>
      <c r="O13" s="451"/>
    </row>
    <row r="14" spans="1:17">
      <c r="C14" s="45" t="s">
        <v>210</v>
      </c>
      <c r="D14" s="45" t="s">
        <v>203</v>
      </c>
      <c r="E14" s="42">
        <v>10700</v>
      </c>
      <c r="F14" s="42">
        <v>9600</v>
      </c>
      <c r="G14" s="42">
        <v>8900</v>
      </c>
      <c r="H14" s="47"/>
      <c r="I14" s="451"/>
      <c r="J14" s="451"/>
      <c r="K14" s="451"/>
      <c r="L14" s="451"/>
      <c r="M14" s="451"/>
      <c r="N14" s="451"/>
      <c r="O14" s="451"/>
    </row>
    <row r="15" spans="1:17">
      <c r="C15" s="45" t="s">
        <v>211</v>
      </c>
      <c r="D15" s="45" t="s">
        <v>212</v>
      </c>
      <c r="E15">
        <v>40</v>
      </c>
      <c r="F15">
        <v>40</v>
      </c>
      <c r="G15">
        <v>40</v>
      </c>
      <c r="I15" s="451"/>
      <c r="J15" s="451"/>
      <c r="K15" s="451"/>
      <c r="L15" s="451"/>
      <c r="M15" s="451"/>
      <c r="N15" s="451"/>
      <c r="O15" s="451"/>
    </row>
    <row r="16" spans="1:17">
      <c r="I16" s="451"/>
      <c r="J16" s="451"/>
      <c r="K16" s="451"/>
      <c r="L16" s="451"/>
      <c r="M16" s="451"/>
      <c r="N16" s="451"/>
      <c r="O16" s="451"/>
    </row>
    <row r="17" spans="1:15">
      <c r="A17" s="6">
        <v>2</v>
      </c>
      <c r="B17" s="1">
        <v>1</v>
      </c>
      <c r="C17" s="48" t="s">
        <v>213</v>
      </c>
      <c r="D17" s="49"/>
      <c r="E17" s="49"/>
      <c r="F17" s="49"/>
      <c r="G17" s="49"/>
      <c r="H17" s="50"/>
      <c r="I17" s="453"/>
      <c r="J17" s="453"/>
      <c r="K17" s="453"/>
      <c r="L17" s="453"/>
      <c r="M17" s="453"/>
      <c r="N17" s="453"/>
      <c r="O17" s="453"/>
    </row>
    <row r="18" spans="1:15">
      <c r="C18" t="s">
        <v>198</v>
      </c>
      <c r="D18" t="s">
        <v>199</v>
      </c>
      <c r="E18" s="42">
        <v>380000</v>
      </c>
      <c r="F18" s="42">
        <v>330000</v>
      </c>
      <c r="G18" s="42">
        <v>290000</v>
      </c>
      <c r="H18" s="43" t="s">
        <v>200</v>
      </c>
      <c r="I18" s="451">
        <f>IF($H18="▼",$E18-$E18*$I$4,IF($H18="▲",$E18+$E18*$I$4,$E18))</f>
        <v>376200</v>
      </c>
      <c r="J18" s="451">
        <f>IF($H18="▼",$F18-$F18*$J$4,IF($H18="▲",$F18+$F18*$J$4,$F18))</f>
        <v>280500</v>
      </c>
      <c r="K18" s="451">
        <f>IF($H18="▼",$G18-$G18*$K$4,IF($H18="▲",$G18+$G18*$K$4,$G18))</f>
        <v>232000</v>
      </c>
      <c r="L18" s="452" t="s">
        <v>201</v>
      </c>
      <c r="M18" s="451">
        <f>IF($L18="▼",$E18-$E18*$M$4,IF($L18="▲",$E18+$E18*$M$4,$E18))</f>
        <v>383800</v>
      </c>
      <c r="N18" s="451">
        <f>IF($L18="▼",$F18-$F18*$N$4,IF($L18="▲",$F18+$F18*$N$4,$F18))</f>
        <v>379500</v>
      </c>
      <c r="O18" s="451">
        <f>IF($L18="▼",$G18-$G18*$O$4,IF($L18="▲",$G18+$G18*$O$4,$G18))</f>
        <v>348000</v>
      </c>
    </row>
    <row r="19" spans="1:15">
      <c r="C19" t="s">
        <v>202</v>
      </c>
      <c r="D19" t="s">
        <v>203</v>
      </c>
      <c r="E19" s="42">
        <v>9500</v>
      </c>
      <c r="F19" s="42">
        <v>8100</v>
      </c>
      <c r="G19" s="42">
        <v>7400</v>
      </c>
      <c r="H19" s="43" t="s">
        <v>200</v>
      </c>
      <c r="I19" s="451">
        <f>IF($H19="▼",$E19-$E19*$I$4,IF($H19="▲",$E19+$E19*$I$4,$E19))</f>
        <v>9405</v>
      </c>
      <c r="J19" s="451">
        <f>IF($H19="▼",$F19-$F19*$J$4,IF($H19="▲",$F19+$F19*$J$4,$F19))</f>
        <v>6885</v>
      </c>
      <c r="K19" s="451">
        <f>IF($H19="▼",$G19-$G19*$K$4,IF($H19="▲",$G19+$G19*$K$4,$G19))</f>
        <v>5920</v>
      </c>
      <c r="L19" s="452" t="s">
        <v>201</v>
      </c>
      <c r="M19" s="451">
        <f>IF($L19="▼",$E19-$E19*$M$4,IF($L19="▲",$E19+$E19*$M$4,$E19))</f>
        <v>9595</v>
      </c>
      <c r="N19" s="451">
        <f>IF($L19="▼",$F19-$F19*$N$4,IF($L19="▲",$F19+$F19*$N$4,$F19))</f>
        <v>9315</v>
      </c>
      <c r="O19" s="451">
        <f>IF($L19="▼",$G19-$G19*$O$4,IF($L19="▲",$G19+$G19*$O$4,$G19))</f>
        <v>8880</v>
      </c>
    </row>
    <row r="20" spans="1:15">
      <c r="C20" s="45" t="s">
        <v>204</v>
      </c>
      <c r="D20" s="45"/>
      <c r="I20" s="454"/>
      <c r="J20" s="454"/>
      <c r="K20" s="454"/>
      <c r="L20" s="454"/>
      <c r="M20" s="454"/>
      <c r="N20" s="454"/>
      <c r="O20" s="454"/>
    </row>
    <row r="21" spans="1:15">
      <c r="C21" s="46" t="s">
        <v>205</v>
      </c>
      <c r="D21" s="45" t="s">
        <v>199</v>
      </c>
      <c r="E21" s="42">
        <v>50000</v>
      </c>
      <c r="F21" s="42">
        <v>40000</v>
      </c>
      <c r="G21" s="42">
        <v>40000</v>
      </c>
      <c r="I21" s="454"/>
      <c r="J21" s="454"/>
      <c r="K21" s="454"/>
      <c r="L21" s="454"/>
      <c r="M21" s="454"/>
      <c r="N21" s="454"/>
      <c r="O21" s="454"/>
    </row>
    <row r="22" spans="1:15">
      <c r="C22" s="46" t="s">
        <v>206</v>
      </c>
      <c r="D22" s="45" t="s">
        <v>199</v>
      </c>
      <c r="E22" s="42">
        <v>20000</v>
      </c>
      <c r="F22" s="42">
        <v>20000</v>
      </c>
      <c r="G22" s="42">
        <v>10000</v>
      </c>
      <c r="I22" s="454"/>
      <c r="J22" s="454"/>
      <c r="K22" s="454"/>
      <c r="L22" s="454"/>
      <c r="M22" s="454"/>
      <c r="N22" s="454"/>
      <c r="O22" s="454"/>
    </row>
    <row r="23" spans="1:15">
      <c r="C23" s="46" t="s">
        <v>207</v>
      </c>
      <c r="D23" s="45" t="s">
        <v>199</v>
      </c>
      <c r="E23" s="42">
        <v>140000</v>
      </c>
      <c r="F23" s="42">
        <v>110000</v>
      </c>
      <c r="G23" s="42">
        <v>90000</v>
      </c>
      <c r="I23" s="454"/>
      <c r="J23" s="454"/>
      <c r="K23" s="454"/>
      <c r="L23" s="454"/>
      <c r="M23" s="454"/>
      <c r="N23" s="454"/>
      <c r="O23" s="454"/>
    </row>
    <row r="24" spans="1:15">
      <c r="C24" s="46" t="s">
        <v>208</v>
      </c>
      <c r="D24" s="45" t="s">
        <v>199</v>
      </c>
      <c r="E24" s="42">
        <v>100000</v>
      </c>
      <c r="F24" s="42">
        <v>90000</v>
      </c>
      <c r="G24" s="42">
        <v>90000</v>
      </c>
      <c r="I24" s="454"/>
      <c r="J24" s="454"/>
      <c r="K24" s="454"/>
      <c r="L24" s="454"/>
      <c r="M24" s="454"/>
      <c r="N24" s="454"/>
      <c r="O24" s="454"/>
    </row>
    <row r="25" spans="1:15">
      <c r="C25" s="46" t="s">
        <v>209</v>
      </c>
      <c r="D25" s="45" t="s">
        <v>199</v>
      </c>
      <c r="E25" s="42">
        <v>40000</v>
      </c>
      <c r="F25" s="42">
        <v>40000</v>
      </c>
      <c r="G25" s="42">
        <v>30000</v>
      </c>
      <c r="I25" s="454"/>
      <c r="J25" s="454"/>
      <c r="K25" s="454"/>
      <c r="L25" s="454"/>
      <c r="M25" s="454"/>
      <c r="N25" s="454"/>
      <c r="O25" s="454"/>
    </row>
    <row r="26" spans="1:15">
      <c r="C26" s="46" t="s">
        <v>214</v>
      </c>
      <c r="D26" s="45" t="s">
        <v>199</v>
      </c>
      <c r="E26" s="42">
        <v>30000</v>
      </c>
      <c r="F26" s="42">
        <v>30000</v>
      </c>
      <c r="G26" s="42">
        <v>30000</v>
      </c>
      <c r="I26" s="454"/>
      <c r="J26" s="454"/>
      <c r="K26" s="454"/>
      <c r="L26" s="454"/>
      <c r="M26" s="454"/>
      <c r="N26" s="454"/>
      <c r="O26" s="454"/>
    </row>
    <row r="27" spans="1:15">
      <c r="C27" s="45" t="s">
        <v>210</v>
      </c>
      <c r="D27" s="45" t="s">
        <v>203</v>
      </c>
      <c r="E27" s="42">
        <v>9500</v>
      </c>
      <c r="F27" s="42">
        <v>8100</v>
      </c>
      <c r="G27" s="42">
        <v>7400</v>
      </c>
      <c r="I27" s="454"/>
      <c r="J27" s="454"/>
      <c r="K27" s="454"/>
      <c r="L27" s="454"/>
      <c r="M27" s="454"/>
      <c r="N27" s="454"/>
      <c r="O27" s="454"/>
    </row>
    <row r="28" spans="1:15">
      <c r="C28" s="45" t="s">
        <v>211</v>
      </c>
      <c r="D28" s="45" t="s">
        <v>212</v>
      </c>
      <c r="E28">
        <v>40</v>
      </c>
      <c r="F28">
        <v>40</v>
      </c>
      <c r="G28">
        <v>40</v>
      </c>
      <c r="I28" s="454"/>
      <c r="J28" s="454"/>
      <c r="K28" s="454"/>
      <c r="L28" s="454"/>
      <c r="M28" s="454"/>
      <c r="N28" s="454"/>
      <c r="O28" s="454"/>
    </row>
    <row r="29" spans="1:15">
      <c r="I29" s="454"/>
      <c r="J29" s="454"/>
      <c r="K29" s="454"/>
      <c r="L29" s="454"/>
      <c r="M29" s="454"/>
      <c r="N29" s="454"/>
      <c r="O29" s="454"/>
    </row>
    <row r="30" spans="1:15">
      <c r="A30" s="6">
        <v>3</v>
      </c>
      <c r="B30" s="1">
        <v>1</v>
      </c>
      <c r="C30" s="48" t="s">
        <v>215</v>
      </c>
      <c r="D30" s="49"/>
      <c r="E30" s="49"/>
      <c r="F30" s="49"/>
      <c r="G30" s="49"/>
      <c r="H30" s="50"/>
      <c r="I30" s="455"/>
      <c r="J30" s="455"/>
      <c r="K30" s="455"/>
      <c r="L30" s="455"/>
      <c r="M30" s="455"/>
      <c r="N30" s="455"/>
      <c r="O30" s="455"/>
    </row>
    <row r="31" spans="1:15">
      <c r="C31" t="s">
        <v>198</v>
      </c>
      <c r="D31" t="s">
        <v>199</v>
      </c>
      <c r="E31" s="42">
        <v>450000</v>
      </c>
      <c r="F31" s="42">
        <v>390000</v>
      </c>
      <c r="G31" s="42">
        <v>350000</v>
      </c>
      <c r="H31" s="43" t="s">
        <v>200</v>
      </c>
      <c r="I31" s="451">
        <f>IF($H31="▼",$E31-$E31*$I$4,IF($H31="▲",$E31+$E31*$I$4,$E31))</f>
        <v>445500</v>
      </c>
      <c r="J31" s="451">
        <f>IF($H31="▼",$F31-$F31*$J$4,IF($H31="▲",$F31+$F31*$J$4,$F31))</f>
        <v>331500</v>
      </c>
      <c r="K31" s="451">
        <f>IF($H31="▼",$G31-$G31*$K$4,IF($H31="▲",$G31+$G31*$K$4,$G31))</f>
        <v>280000</v>
      </c>
      <c r="L31" s="452" t="s">
        <v>201</v>
      </c>
      <c r="M31" s="451">
        <f>IF($L31="▼",$E31-$E31*$M$4,IF($L31="▲",$E31+$E31*$M$4,$E31))</f>
        <v>454500</v>
      </c>
      <c r="N31" s="451">
        <f>IF($L31="▼",$F31-$F31*$N$4,IF($L31="▲",$F31+$F31*$N$4,$F31))</f>
        <v>448500</v>
      </c>
      <c r="O31" s="451">
        <f>IF($L31="▼",$G31-$G31*$O$4,IF($L31="▲",$G31+$G31*$O$4,$G31))</f>
        <v>420000</v>
      </c>
    </row>
    <row r="32" spans="1:15">
      <c r="C32" t="s">
        <v>202</v>
      </c>
      <c r="D32" t="s">
        <v>203</v>
      </c>
      <c r="E32" s="42">
        <v>10400</v>
      </c>
      <c r="F32" s="42">
        <v>9400</v>
      </c>
      <c r="G32" s="42">
        <v>9000</v>
      </c>
      <c r="H32" s="43" t="s">
        <v>200</v>
      </c>
      <c r="I32" s="451">
        <f>IF($H32="▼",$E32-$E32*$I$4,IF($H32="▲",$E32+$E32*$I$4,$E32))</f>
        <v>10296</v>
      </c>
      <c r="J32" s="451">
        <f>IF($H32="▼",$F32-$F32*$J$4,IF($H32="▲",$F32+$F32*$J$4,$F32))</f>
        <v>7990</v>
      </c>
      <c r="K32" s="451">
        <f>IF($H32="▼",$G32-$G32*$K$4,IF($H32="▲",$G32+$G32*$K$4,$G32))</f>
        <v>7200</v>
      </c>
      <c r="L32" s="452" t="s">
        <v>201</v>
      </c>
      <c r="M32" s="451">
        <f>IF($L32="▼",$E32-$E32*$M$4,IF($L32="▲",$E32+$E32*$M$4,$E32))</f>
        <v>10504</v>
      </c>
      <c r="N32" s="451">
        <f>IF($L32="▼",$F32-$F32*$N$4,IF($L32="▲",$F32+$F32*$N$4,$F32))</f>
        <v>10810</v>
      </c>
      <c r="O32" s="451">
        <f>IF($L32="▼",$G32-$G32*$O$4,IF($L32="▲",$G32+$G32*$O$4,$G32))</f>
        <v>10800</v>
      </c>
    </row>
    <row r="33" spans="1:15">
      <c r="C33" s="45" t="s">
        <v>204</v>
      </c>
      <c r="D33" s="45"/>
      <c r="I33" s="451"/>
      <c r="J33" s="451"/>
      <c r="K33" s="451"/>
      <c r="L33" s="451"/>
      <c r="M33" s="451"/>
      <c r="N33" s="451"/>
      <c r="O33" s="451"/>
    </row>
    <row r="34" spans="1:15">
      <c r="C34" s="46" t="s">
        <v>205</v>
      </c>
      <c r="D34" s="45" t="s">
        <v>199</v>
      </c>
      <c r="E34" s="42">
        <v>50000</v>
      </c>
      <c r="F34" s="42">
        <v>40000</v>
      </c>
      <c r="G34" s="42">
        <v>40000</v>
      </c>
      <c r="I34" s="451"/>
      <c r="J34" s="451"/>
      <c r="K34" s="451"/>
      <c r="L34" s="451"/>
      <c r="M34" s="451"/>
      <c r="N34" s="451"/>
      <c r="O34" s="451"/>
    </row>
    <row r="35" spans="1:15">
      <c r="C35" s="46" t="s">
        <v>206</v>
      </c>
      <c r="D35" s="45" t="s">
        <v>199</v>
      </c>
      <c r="E35" s="42">
        <v>20000</v>
      </c>
      <c r="F35" s="42">
        <v>20000</v>
      </c>
      <c r="G35" s="42">
        <v>10000</v>
      </c>
      <c r="I35" s="451"/>
      <c r="J35" s="451"/>
      <c r="K35" s="451"/>
      <c r="L35" s="451"/>
      <c r="M35" s="451"/>
      <c r="N35" s="451"/>
      <c r="O35" s="451"/>
    </row>
    <row r="36" spans="1:15">
      <c r="C36" s="46" t="s">
        <v>207</v>
      </c>
      <c r="D36" s="45" t="s">
        <v>199</v>
      </c>
      <c r="E36" s="42">
        <v>140000</v>
      </c>
      <c r="F36" s="42">
        <v>110000</v>
      </c>
      <c r="G36" s="42">
        <v>90000</v>
      </c>
      <c r="I36" s="451"/>
      <c r="J36" s="451"/>
      <c r="K36" s="451"/>
      <c r="L36" s="451"/>
      <c r="M36" s="451"/>
      <c r="N36" s="451"/>
      <c r="O36" s="451"/>
    </row>
    <row r="37" spans="1:15">
      <c r="C37" s="46" t="s">
        <v>216</v>
      </c>
      <c r="D37" s="45" t="s">
        <v>199</v>
      </c>
      <c r="E37" s="42">
        <v>70000</v>
      </c>
      <c r="F37" s="42">
        <v>60000</v>
      </c>
      <c r="G37" s="42">
        <v>60000</v>
      </c>
      <c r="I37" s="451"/>
      <c r="J37" s="451"/>
      <c r="K37" s="451"/>
      <c r="L37" s="451"/>
      <c r="M37" s="451"/>
      <c r="N37" s="451"/>
      <c r="O37" s="451"/>
    </row>
    <row r="38" spans="1:15">
      <c r="C38" s="46" t="s">
        <v>208</v>
      </c>
      <c r="D38" s="45" t="s">
        <v>199</v>
      </c>
      <c r="E38" s="42">
        <v>100000</v>
      </c>
      <c r="F38" s="42">
        <v>90000</v>
      </c>
      <c r="G38" s="42">
        <v>90000</v>
      </c>
      <c r="I38" s="451"/>
      <c r="J38" s="451"/>
      <c r="K38" s="451"/>
      <c r="L38" s="451"/>
      <c r="M38" s="451"/>
      <c r="N38" s="451"/>
      <c r="O38" s="451"/>
    </row>
    <row r="39" spans="1:15">
      <c r="C39" s="46" t="s">
        <v>209</v>
      </c>
      <c r="D39" s="45" t="s">
        <v>199</v>
      </c>
      <c r="E39" s="42">
        <v>30000</v>
      </c>
      <c r="F39" s="42">
        <v>30000</v>
      </c>
      <c r="G39" s="42">
        <v>30000</v>
      </c>
      <c r="I39" s="451"/>
      <c r="J39" s="451"/>
      <c r="K39" s="451"/>
      <c r="L39" s="451"/>
      <c r="M39" s="451"/>
      <c r="N39" s="451"/>
      <c r="O39" s="451"/>
    </row>
    <row r="40" spans="1:15">
      <c r="C40" s="46" t="s">
        <v>214</v>
      </c>
      <c r="D40" s="45" t="s">
        <v>199</v>
      </c>
      <c r="E40" s="42">
        <v>40000</v>
      </c>
      <c r="F40" s="42">
        <v>40000</v>
      </c>
      <c r="G40" s="42">
        <v>30000</v>
      </c>
      <c r="I40" s="451"/>
      <c r="J40" s="451"/>
      <c r="K40" s="451"/>
      <c r="L40" s="451"/>
      <c r="M40" s="451"/>
      <c r="N40" s="451"/>
      <c r="O40" s="451"/>
    </row>
    <row r="41" spans="1:15">
      <c r="C41" s="45" t="s">
        <v>210</v>
      </c>
      <c r="D41" s="45" t="s">
        <v>203</v>
      </c>
      <c r="E41" s="42">
        <v>10400</v>
      </c>
      <c r="F41" s="42">
        <v>9400</v>
      </c>
      <c r="G41" s="42">
        <v>9000</v>
      </c>
      <c r="I41" s="451"/>
      <c r="J41" s="451"/>
      <c r="K41" s="451"/>
      <c r="L41" s="451"/>
      <c r="M41" s="451"/>
      <c r="N41" s="451"/>
      <c r="O41" s="451"/>
    </row>
    <row r="42" spans="1:15">
      <c r="C42" s="45" t="s">
        <v>211</v>
      </c>
      <c r="D42" s="45" t="s">
        <v>212</v>
      </c>
      <c r="E42">
        <v>40</v>
      </c>
      <c r="F42">
        <v>40</v>
      </c>
      <c r="G42">
        <v>40</v>
      </c>
      <c r="I42" s="451"/>
      <c r="J42" s="451"/>
      <c r="K42" s="451"/>
      <c r="L42" s="451"/>
      <c r="M42" s="451"/>
      <c r="N42" s="451"/>
      <c r="O42" s="451"/>
    </row>
    <row r="43" spans="1:15">
      <c r="I43" s="451"/>
      <c r="J43" s="451"/>
      <c r="K43" s="451"/>
      <c r="L43" s="451"/>
      <c r="M43" s="451"/>
      <c r="N43" s="451"/>
      <c r="O43" s="451"/>
    </row>
    <row r="44" spans="1:15">
      <c r="A44" s="6">
        <v>4</v>
      </c>
      <c r="B44" s="1">
        <v>2</v>
      </c>
      <c r="C44" s="51" t="s">
        <v>217</v>
      </c>
      <c r="D44" s="52"/>
      <c r="E44" s="52"/>
      <c r="F44" s="52"/>
      <c r="G44" s="52"/>
      <c r="H44" s="53"/>
      <c r="I44" s="456"/>
      <c r="J44" s="456"/>
      <c r="K44" s="456"/>
      <c r="L44" s="456"/>
      <c r="M44" s="456"/>
      <c r="N44" s="456"/>
      <c r="O44" s="456"/>
    </row>
    <row r="45" spans="1:15">
      <c r="C45" t="s">
        <v>198</v>
      </c>
      <c r="D45" t="s">
        <v>199</v>
      </c>
      <c r="E45" s="42">
        <v>716480</v>
      </c>
      <c r="F45" s="42">
        <v>627122</v>
      </c>
      <c r="G45" s="42">
        <v>537562</v>
      </c>
      <c r="H45" s="43" t="s">
        <v>200</v>
      </c>
      <c r="I45" s="451">
        <f>IF($H45="▼",$E45-$E45*$I$4,IF($H45="▲",$E45+$E45*$I$4,$E45))</f>
        <v>709315.2</v>
      </c>
      <c r="J45" s="451">
        <f>IF($H45="▼",$F45-$F45*$J$4,IF($H45="▲",$F45+$F45*$J$4,$F45))</f>
        <v>533053.69999999995</v>
      </c>
      <c r="K45" s="451">
        <f>IF($H45="▼",$G45-$G45*$K$4,IF($H45="▲",$G45+$G45*$K$4,$G45))</f>
        <v>430049.6</v>
      </c>
      <c r="L45" s="452" t="s">
        <v>201</v>
      </c>
      <c r="M45" s="451">
        <f>IF($L45="▼",$E45-$E45*$M$4,IF($L45="▲",$E45+$E45*$M$4,$E45))</f>
        <v>723644.8</v>
      </c>
      <c r="N45" s="451">
        <f>IF($L45="▼",$F45-$F45*$N$4,IF($L45="▲",$F45+$F45*$N$4,$F45))</f>
        <v>721190.3</v>
      </c>
      <c r="O45" s="451">
        <f>IF($L45="▼",$G45-$G45*$O$4,IF($L45="▲",$G45+$G45*$O$4,$G45))</f>
        <v>645074.4</v>
      </c>
    </row>
    <row r="46" spans="1:15">
      <c r="C46" t="s">
        <v>202</v>
      </c>
      <c r="D46" t="s">
        <v>203</v>
      </c>
      <c r="E46" s="42">
        <v>17912</v>
      </c>
      <c r="F46" s="42">
        <v>15678</v>
      </c>
      <c r="G46" s="42">
        <v>13439</v>
      </c>
      <c r="H46" s="43" t="s">
        <v>200</v>
      </c>
      <c r="I46" s="451">
        <f>IF($H46="▼",$E46-$E46*$I$4,IF($H46="▲",$E46+$E46*$I$4,$E46))</f>
        <v>17732.88</v>
      </c>
      <c r="J46" s="451">
        <f>IF($H46="▼",$F46-$F46*$J$4,IF($H46="▲",$F46+$F46*$J$4,$F46))</f>
        <v>13326.3</v>
      </c>
      <c r="K46" s="451">
        <f>IF($H46="▼",$G46-$G46*$K$4,IF($H46="▲",$G46+$G46*$K$4,$G46))</f>
        <v>10751.2</v>
      </c>
      <c r="L46" s="452" t="s">
        <v>201</v>
      </c>
      <c r="M46" s="451">
        <f>IF($L46="▼",$E46-$E46*$M$4,IF($L46="▲",$E46+$E46*$M$4,$E46))</f>
        <v>18091.12</v>
      </c>
      <c r="N46" s="451">
        <f>IF($L46="▼",$F46-$F46*$N$4,IF($L46="▲",$F46+$F46*$N$4,$F46))</f>
        <v>18029.7</v>
      </c>
      <c r="O46" s="451">
        <f>IF($L46="▼",$G46-$G46*$O$4,IF($L46="▲",$G46+$G46*$O$4,$G46))</f>
        <v>16126.8</v>
      </c>
    </row>
    <row r="47" spans="1:15">
      <c r="C47" s="45" t="s">
        <v>218</v>
      </c>
      <c r="D47" s="45" t="s">
        <v>199</v>
      </c>
      <c r="E47" s="42">
        <v>716480</v>
      </c>
      <c r="F47" s="42">
        <v>627122</v>
      </c>
      <c r="G47" s="42">
        <v>537562</v>
      </c>
      <c r="I47" s="451"/>
      <c r="J47" s="451"/>
      <c r="K47" s="451"/>
      <c r="L47" s="451"/>
      <c r="M47" s="451"/>
      <c r="N47" s="451"/>
      <c r="O47" s="451"/>
    </row>
    <row r="48" spans="1:15">
      <c r="C48" s="45" t="s">
        <v>210</v>
      </c>
      <c r="D48" s="45" t="s">
        <v>203</v>
      </c>
      <c r="E48" s="42">
        <v>17912</v>
      </c>
      <c r="F48" s="42">
        <v>15678</v>
      </c>
      <c r="G48" s="42">
        <v>13439</v>
      </c>
      <c r="I48" s="451"/>
      <c r="J48" s="451"/>
      <c r="K48" s="451"/>
      <c r="L48" s="451"/>
      <c r="M48" s="451"/>
      <c r="N48" s="451"/>
      <c r="O48" s="451"/>
    </row>
    <row r="49" spans="1:15">
      <c r="C49" s="45" t="s">
        <v>211</v>
      </c>
      <c r="D49" s="45" t="s">
        <v>219</v>
      </c>
      <c r="E49">
        <v>30</v>
      </c>
      <c r="F49">
        <v>30</v>
      </c>
      <c r="G49">
        <v>30</v>
      </c>
      <c r="I49" s="451"/>
      <c r="J49" s="451"/>
      <c r="K49" s="451"/>
      <c r="L49" s="451"/>
      <c r="M49" s="451"/>
      <c r="N49" s="451"/>
      <c r="O49" s="451"/>
    </row>
    <row r="50" spans="1:15">
      <c r="I50" s="451"/>
      <c r="J50" s="451"/>
      <c r="K50" s="451"/>
      <c r="L50" s="451"/>
      <c r="M50" s="451"/>
      <c r="N50" s="451"/>
      <c r="O50" s="451"/>
    </row>
    <row r="51" spans="1:15">
      <c r="A51" s="6">
        <v>5</v>
      </c>
      <c r="B51" s="1">
        <v>2</v>
      </c>
      <c r="C51" s="54" t="s">
        <v>220</v>
      </c>
      <c r="D51" s="55"/>
      <c r="E51" s="55"/>
      <c r="F51" s="55"/>
      <c r="G51" s="55"/>
      <c r="H51" s="56"/>
      <c r="I51" s="457"/>
      <c r="J51" s="457"/>
      <c r="K51" s="457"/>
      <c r="L51" s="457"/>
      <c r="M51" s="457"/>
      <c r="N51" s="457"/>
      <c r="O51" s="457"/>
    </row>
    <row r="52" spans="1:15">
      <c r="C52" t="s">
        <v>198</v>
      </c>
      <c r="D52" t="s">
        <v>199</v>
      </c>
      <c r="E52" s="42">
        <v>1731283</v>
      </c>
      <c r="F52" s="42">
        <v>1515143</v>
      </c>
      <c r="G52" s="42">
        <v>1298463</v>
      </c>
      <c r="H52" s="43" t="s">
        <v>200</v>
      </c>
      <c r="I52" s="451">
        <f>IF($H52="▼",$E52-$E52*$I$4,IF($H52="▲",$E52+$E52*$I$4,$E52))</f>
        <v>1713970.17</v>
      </c>
      <c r="J52" s="451">
        <f>IF($H52="▼",$F52-$F52*$J$4,IF($H52="▲",$F52+$F52*$J$4,$F52))</f>
        <v>1287871.55</v>
      </c>
      <c r="K52" s="451">
        <f>IF($H52="▼",$G52-$G52*$K$4,IF($H52="▲",$G52+$G52*$K$4,$G52))</f>
        <v>1038770.4</v>
      </c>
      <c r="L52" s="452" t="s">
        <v>201</v>
      </c>
      <c r="M52" s="451">
        <f>IF($L52="▼",$E52-$E52*$M$4,IF($L52="▲",$E52+$E52*$M$4,$E52))</f>
        <v>1748595.83</v>
      </c>
      <c r="N52" s="451">
        <f>IF($L52="▼",$F52-$F52*$N$4,IF($L52="▲",$F52+$F52*$N$4,$F52))</f>
        <v>1742414.45</v>
      </c>
      <c r="O52" s="451">
        <f>IF($L52="▼",$G52-$G52*$O$4,IF($L52="▲",$G52+$G52*$O$4,$G52))</f>
        <v>1558155.6</v>
      </c>
    </row>
    <row r="53" spans="1:15">
      <c r="C53" t="s">
        <v>202</v>
      </c>
      <c r="D53" t="s">
        <v>203</v>
      </c>
      <c r="E53" s="42">
        <v>43282</v>
      </c>
      <c r="F53" s="42">
        <v>37879</v>
      </c>
      <c r="G53" s="42">
        <v>32462</v>
      </c>
      <c r="H53" s="43" t="s">
        <v>200</v>
      </c>
      <c r="I53" s="451">
        <f>IF($H53="▼",$E53-$E53*$I$4,IF($H53="▲",$E53+$E53*$I$4,$E53))</f>
        <v>42849.18</v>
      </c>
      <c r="J53" s="451">
        <f>IF($H53="▼",$F53-$F53*$J$4,IF($H53="▲",$F53+$F53*$J$4,$F53))</f>
        <v>32197.15</v>
      </c>
      <c r="K53" s="451">
        <f>IF($H53="▼",$G53-$G53*$K$4,IF($H53="▲",$G53+$G53*$K$4,$G53))</f>
        <v>25969.599999999999</v>
      </c>
      <c r="L53" s="452" t="s">
        <v>201</v>
      </c>
      <c r="M53" s="451">
        <f>IF($L53="▼",$E53-$E53*$M$4,IF($L53="▲",$E53+$E53*$M$4,$E53))</f>
        <v>43714.82</v>
      </c>
      <c r="N53" s="451">
        <f>IF($L53="▼",$F53-$F53*$N$4,IF($L53="▲",$F53+$F53*$N$4,$F53))</f>
        <v>43560.85</v>
      </c>
      <c r="O53" s="451">
        <f>IF($L53="▼",$G53-$G53*$O$4,IF($L53="▲",$G53+$G53*$O$4,$G53))</f>
        <v>38954.400000000001</v>
      </c>
    </row>
    <row r="54" spans="1:15">
      <c r="C54" s="45" t="s">
        <v>218</v>
      </c>
      <c r="D54" s="45" t="s">
        <v>199</v>
      </c>
      <c r="E54" s="42">
        <v>1731283</v>
      </c>
      <c r="F54" s="42">
        <v>1515143</v>
      </c>
      <c r="G54" s="42">
        <v>1298463</v>
      </c>
      <c r="I54" s="451"/>
      <c r="J54" s="451"/>
      <c r="K54" s="451"/>
      <c r="L54" s="451"/>
      <c r="M54" s="451"/>
      <c r="N54" s="451"/>
      <c r="O54" s="451"/>
    </row>
    <row r="55" spans="1:15">
      <c r="C55" s="45" t="s">
        <v>210</v>
      </c>
      <c r="D55" s="45" t="s">
        <v>203</v>
      </c>
      <c r="E55" s="42">
        <v>43282</v>
      </c>
      <c r="F55" s="42">
        <v>37879</v>
      </c>
      <c r="G55" s="42">
        <v>32462</v>
      </c>
      <c r="I55" s="451"/>
      <c r="J55" s="451"/>
      <c r="K55" s="451"/>
      <c r="L55" s="451"/>
      <c r="M55" s="451"/>
      <c r="N55" s="451"/>
      <c r="O55" s="451"/>
    </row>
    <row r="56" spans="1:15">
      <c r="C56" s="45" t="s">
        <v>211</v>
      </c>
      <c r="D56" s="45" t="s">
        <v>219</v>
      </c>
      <c r="E56">
        <v>30</v>
      </c>
      <c r="F56">
        <v>30</v>
      </c>
      <c r="G56">
        <v>30</v>
      </c>
      <c r="I56" s="451"/>
      <c r="J56" s="451"/>
      <c r="K56" s="451"/>
      <c r="L56" s="451"/>
      <c r="M56" s="451"/>
      <c r="N56" s="451"/>
      <c r="O56" s="451"/>
    </row>
    <row r="57" spans="1:15">
      <c r="I57" s="451"/>
      <c r="J57" s="477">
        <f>-1+(I59/F59)-0.005</f>
        <v>3.5000000000000038E-2</v>
      </c>
      <c r="K57" s="477">
        <f>-1+(I59/G59)-0.01</f>
        <v>5.1443298969072078E-2</v>
      </c>
      <c r="L57" s="477"/>
      <c r="M57" s="477"/>
      <c r="N57" s="477">
        <f>J57</f>
        <v>3.5000000000000038E-2</v>
      </c>
      <c r="O57" s="477">
        <f>K57</f>
        <v>5.1443298969072078E-2</v>
      </c>
    </row>
    <row r="58" spans="1:15">
      <c r="A58" s="1">
        <v>6</v>
      </c>
      <c r="B58" s="1">
        <v>1</v>
      </c>
      <c r="C58" s="57" t="s">
        <v>221</v>
      </c>
      <c r="D58" s="58"/>
      <c r="E58" s="58"/>
      <c r="F58" s="58"/>
      <c r="G58" s="58"/>
      <c r="H58" s="59"/>
      <c r="I58" s="458"/>
      <c r="J58" s="458"/>
      <c r="K58" s="458"/>
      <c r="L58" s="458"/>
      <c r="M58" s="458"/>
      <c r="N58" s="458"/>
      <c r="O58" s="458"/>
    </row>
    <row r="59" spans="1:15">
      <c r="C59" t="s">
        <v>198</v>
      </c>
      <c r="D59" t="s">
        <v>199</v>
      </c>
      <c r="E59" s="42">
        <v>1040000</v>
      </c>
      <c r="F59" s="42">
        <v>990000</v>
      </c>
      <c r="G59" s="42">
        <v>970000</v>
      </c>
      <c r="H59" s="43" t="s">
        <v>200</v>
      </c>
      <c r="I59" s="451">
        <f>IF($H59="▼",$E59-$E59*$I$4,IF($H59="▲",$E59+$E59*$I$4,$E59))</f>
        <v>1029600</v>
      </c>
      <c r="J59" s="451">
        <f>IF($H59="▼",$F59-$F59*$J$57,IF($H59="▲",$F59+$F59*$J$57,$F59))</f>
        <v>955350</v>
      </c>
      <c r="K59" s="451">
        <f>IF($H59="▼",$G59-$G59*$K$57,IF($H59="▲",$G59+$G59*$K$57,$G59))</f>
        <v>920100.00000000012</v>
      </c>
      <c r="L59" s="452" t="s">
        <v>201</v>
      </c>
      <c r="M59" s="451">
        <f>IF($L59="▼",$E59-$E59*$M$4,IF($L59="▲",$E59+$E59*$M$4,$E59))</f>
        <v>1050400</v>
      </c>
      <c r="N59" s="474">
        <f>IF($L59="▼",$F59-$F59*$N$57,IF($L59="▲",$F59+$F59*$N$57,$F59))</f>
        <v>1024650</v>
      </c>
      <c r="O59" s="474">
        <f>IF($L59="▼",$G59-$G59*$O$57,IF($L59="▲",$G59+$G59*$O$57,$G59))</f>
        <v>1019899.9999999999</v>
      </c>
    </row>
    <row r="60" spans="1:15">
      <c r="C60" t="s">
        <v>202</v>
      </c>
      <c r="D60" t="s">
        <v>203</v>
      </c>
      <c r="E60" s="42">
        <v>12600</v>
      </c>
      <c r="F60" s="42">
        <v>11592</v>
      </c>
      <c r="G60" s="42">
        <v>11340</v>
      </c>
      <c r="H60" s="43" t="s">
        <v>200</v>
      </c>
      <c r="I60" s="451">
        <f>IF($H60="▼",$E60-$E60*$I$4,IF($H60="▲",$E60+$E60*$I$4,$E60))</f>
        <v>12474</v>
      </c>
      <c r="J60" s="451">
        <f>IF($H60="▼",$F60-$F60*$J$57,IF($H60="▲",$F60+$F60*$J$57,$F60))</f>
        <v>11186.279999999999</v>
      </c>
      <c r="K60" s="451">
        <f>IF($H60="▼",$G60-$G60*$K$57,IF($H60="▲",$G60+$G60*$K$57,$G60))</f>
        <v>10756.632989690723</v>
      </c>
      <c r="L60" s="452" t="s">
        <v>201</v>
      </c>
      <c r="M60" s="451">
        <f>IF($L60="▼",$E60-$E60*$M$4,IF($L60="▲",$E60+$E60*$M$4,$E60))</f>
        <v>12726</v>
      </c>
      <c r="N60" s="474">
        <f>IF($L60="▼",$F60-$F60*$N$57,IF($L60="▲",$F60+$F60*$N$57,$F60))</f>
        <v>11997.720000000001</v>
      </c>
      <c r="O60" s="474">
        <f>IF($L60="▼",$G60-$G60*$O$57,IF($L60="▲",$G60+$G60*$O$57,$G60))</f>
        <v>11923.367010309277</v>
      </c>
    </row>
    <row r="61" spans="1:15">
      <c r="C61" s="45" t="s">
        <v>218</v>
      </c>
      <c r="D61" s="45"/>
      <c r="I61" s="451"/>
      <c r="J61" s="451"/>
      <c r="K61" s="451"/>
      <c r="L61" s="451"/>
      <c r="M61" s="451"/>
      <c r="N61" s="451"/>
      <c r="O61" s="451"/>
    </row>
    <row r="62" spans="1:15">
      <c r="C62" s="46" t="s">
        <v>222</v>
      </c>
      <c r="D62" s="45" t="s">
        <v>199</v>
      </c>
      <c r="E62" s="42">
        <v>640000</v>
      </c>
      <c r="F62" s="42">
        <v>590000</v>
      </c>
      <c r="G62" s="42">
        <v>580000</v>
      </c>
      <c r="I62" s="451"/>
      <c r="J62" s="451"/>
      <c r="K62" s="451"/>
      <c r="L62" s="451"/>
      <c r="M62" s="451"/>
      <c r="N62" s="451"/>
      <c r="O62" s="451"/>
    </row>
    <row r="63" spans="1:15">
      <c r="C63" s="46" t="s">
        <v>223</v>
      </c>
      <c r="D63" s="45" t="s">
        <v>199</v>
      </c>
      <c r="E63" s="42">
        <v>80000</v>
      </c>
      <c r="F63" s="42">
        <v>80000</v>
      </c>
      <c r="G63" s="42">
        <v>70000</v>
      </c>
      <c r="I63" s="451"/>
      <c r="J63" s="451"/>
      <c r="K63" s="451"/>
      <c r="L63" s="451"/>
      <c r="M63" s="451"/>
      <c r="N63" s="451"/>
      <c r="O63" s="451"/>
    </row>
    <row r="64" spans="1:15">
      <c r="C64" s="46" t="s">
        <v>224</v>
      </c>
      <c r="D64" s="45" t="s">
        <v>199</v>
      </c>
      <c r="E64" s="42">
        <v>50000</v>
      </c>
      <c r="F64" s="42">
        <v>50000</v>
      </c>
      <c r="G64" s="42">
        <v>50000</v>
      </c>
      <c r="I64" s="451"/>
      <c r="J64" s="451"/>
      <c r="K64" s="451"/>
      <c r="L64" s="451"/>
      <c r="M64" s="451"/>
      <c r="N64" s="451"/>
      <c r="O64" s="451"/>
    </row>
    <row r="65" spans="1:15">
      <c r="C65" s="46" t="s">
        <v>225</v>
      </c>
      <c r="D65" s="45" t="s">
        <v>199</v>
      </c>
      <c r="E65" s="42">
        <v>90000</v>
      </c>
      <c r="F65" s="42">
        <v>90000</v>
      </c>
      <c r="G65" s="42">
        <v>90000</v>
      </c>
      <c r="I65" s="451"/>
      <c r="J65" s="451"/>
      <c r="K65" s="451"/>
      <c r="L65" s="451"/>
      <c r="M65" s="451"/>
      <c r="N65" s="451"/>
      <c r="O65" s="451"/>
    </row>
    <row r="66" spans="1:15">
      <c r="C66" s="46" t="s">
        <v>226</v>
      </c>
      <c r="D66" s="45" t="s">
        <v>199</v>
      </c>
      <c r="E66" s="42">
        <v>40000</v>
      </c>
      <c r="F66" s="42">
        <v>40000</v>
      </c>
      <c r="G66" s="42">
        <v>40000</v>
      </c>
      <c r="I66" s="451"/>
      <c r="J66" s="451"/>
      <c r="K66" s="451"/>
      <c r="L66" s="451"/>
      <c r="M66" s="451"/>
      <c r="N66" s="451"/>
      <c r="O66" s="451"/>
    </row>
    <row r="67" spans="1:15">
      <c r="C67" s="46" t="s">
        <v>227</v>
      </c>
      <c r="D67" s="45" t="s">
        <v>199</v>
      </c>
      <c r="E67" s="42">
        <v>140000</v>
      </c>
      <c r="F67" s="42">
        <v>140000</v>
      </c>
      <c r="G67" s="42">
        <v>140000</v>
      </c>
      <c r="I67" s="451"/>
      <c r="J67" s="451"/>
      <c r="K67" s="451"/>
      <c r="L67" s="451"/>
      <c r="M67" s="451"/>
      <c r="N67" s="451"/>
      <c r="O67" s="451"/>
    </row>
    <row r="68" spans="1:15">
      <c r="C68" s="45" t="s">
        <v>210</v>
      </c>
      <c r="D68" s="45" t="s">
        <v>203</v>
      </c>
      <c r="E68" s="42">
        <v>12600</v>
      </c>
      <c r="F68" s="42">
        <v>11592</v>
      </c>
      <c r="G68" s="42">
        <v>11340</v>
      </c>
      <c r="I68" s="451"/>
      <c r="J68" s="451"/>
      <c r="K68" s="451"/>
      <c r="L68" s="451"/>
      <c r="M68" s="451"/>
      <c r="N68" s="451"/>
      <c r="O68" s="451"/>
    </row>
    <row r="69" spans="1:15">
      <c r="C69" s="45" t="s">
        <v>211</v>
      </c>
      <c r="D69" s="45" t="s">
        <v>212</v>
      </c>
      <c r="E69">
        <v>30</v>
      </c>
      <c r="F69">
        <v>30</v>
      </c>
      <c r="G69">
        <v>30</v>
      </c>
      <c r="I69" s="451"/>
      <c r="J69" s="451"/>
      <c r="K69" s="451"/>
      <c r="L69" s="451"/>
      <c r="M69" s="451"/>
      <c r="N69" s="451"/>
      <c r="O69" s="451"/>
    </row>
    <row r="70" spans="1:15">
      <c r="I70" s="451"/>
      <c r="J70" s="477">
        <f>-1+(I72/F72)-0.005</f>
        <v>9.6818181818181803E-2</v>
      </c>
      <c r="K70" s="477">
        <f>-1+(I72/G72)-0.01</f>
        <v>9.853658536585376E-2</v>
      </c>
      <c r="L70" s="477"/>
      <c r="M70" s="477"/>
      <c r="N70" s="477">
        <f>J70</f>
        <v>9.6818181818181803E-2</v>
      </c>
      <c r="O70" s="477">
        <f>K70</f>
        <v>9.853658536585376E-2</v>
      </c>
    </row>
    <row r="71" spans="1:15">
      <c r="A71" s="1">
        <v>7</v>
      </c>
      <c r="B71" s="1">
        <v>1</v>
      </c>
      <c r="C71" s="60" t="s">
        <v>228</v>
      </c>
      <c r="D71" s="61"/>
      <c r="E71" s="61"/>
      <c r="F71" s="61"/>
      <c r="G71" s="61"/>
      <c r="H71" s="62"/>
      <c r="I71" s="459"/>
      <c r="J71" s="459"/>
      <c r="K71" s="459"/>
      <c r="L71" s="459"/>
      <c r="M71" s="459"/>
      <c r="N71" s="459"/>
      <c r="O71" s="459"/>
    </row>
    <row r="72" spans="1:15">
      <c r="C72" t="s">
        <v>198</v>
      </c>
      <c r="D72" t="s">
        <v>199</v>
      </c>
      <c r="E72" s="451">
        <v>1800000</v>
      </c>
      <c r="F72" s="451">
        <v>1650000</v>
      </c>
      <c r="G72" s="451">
        <v>1640000</v>
      </c>
      <c r="H72" s="44" t="s">
        <v>201</v>
      </c>
      <c r="I72" s="451">
        <f>IF($H72="▼",$E72-$E72*$I$4,IF($H72="▲",$E72+$E72*$I$4,$E72))</f>
        <v>1818000</v>
      </c>
      <c r="J72" s="451">
        <f>IF($H72="▼",$F72-$F72*$J$70,IF($H72="▲",$F72+$F72*$J$70,$F72))</f>
        <v>1809750</v>
      </c>
      <c r="K72" s="451">
        <f>IF($H72="▼",$G72-$G72*$K$70,IF($H72="▲",$G72+$G72*$K$70,$G72))</f>
        <v>1801600.0000000002</v>
      </c>
      <c r="L72" s="460" t="s">
        <v>200</v>
      </c>
      <c r="M72" s="451">
        <f>IF($L72="▼",$E72-$E72*$M$4,IF($L72="▲",$E72+$E72*$M$4,$E72))</f>
        <v>1782000</v>
      </c>
      <c r="N72" s="474">
        <f>IF($L72="▼",$F72-$F72*$N$70,IF($L72="▲",$F72+$F72*$N$70,$F72))</f>
        <v>1490250</v>
      </c>
      <c r="O72" s="474">
        <f>IF($L72="▼",$G72-$G72*$O$70,IF($L72="▲",$G72+$G72*$O$70,$G72))</f>
        <v>1478399.9999999998</v>
      </c>
    </row>
    <row r="73" spans="1:15">
      <c r="C73" t="s">
        <v>202</v>
      </c>
      <c r="D73" t="s">
        <v>203</v>
      </c>
      <c r="E73" s="451">
        <v>58000</v>
      </c>
      <c r="F73" s="451">
        <v>51000</v>
      </c>
      <c r="G73" s="451">
        <v>49000</v>
      </c>
      <c r="H73" s="44" t="s">
        <v>201</v>
      </c>
      <c r="I73" s="451">
        <f>IF($H73="▼",$E73-$E73*$I$4,IF($H73="▲",$E73+$E73*$I$4,$E73))</f>
        <v>58580</v>
      </c>
      <c r="J73" s="451">
        <f>IF($H73="▼",$F73-$F73*$J$70,IF($H73="▲",$F73+$F73*$J$70,$F73))</f>
        <v>55937.727272727272</v>
      </c>
      <c r="K73" s="451">
        <f>IF($H73="▼",$G73-$G73*$K$70,IF($H73="▲",$G73+$G73*$K$70,$G73))</f>
        <v>53828.292682926833</v>
      </c>
      <c r="L73" s="460" t="s">
        <v>200</v>
      </c>
      <c r="M73" s="451">
        <f>IF($L73="▼",$E73-$E73*$M$4,IF($L73="▲",$E73+$E73*$M$4,$E73))</f>
        <v>57420</v>
      </c>
      <c r="N73" s="474">
        <f>IF($L73="▼",$F73-$F73*$N$70,IF($L73="▲",$F73+$F73*$N$70,$F73))</f>
        <v>46062.272727272728</v>
      </c>
      <c r="O73" s="474">
        <f>IF($L73="▼",$G73-$G73*$O$70,IF($L73="▲",$G73+$G73*$O$70,$G73))</f>
        <v>44171.707317073167</v>
      </c>
    </row>
    <row r="74" spans="1:15">
      <c r="C74" s="45" t="s">
        <v>204</v>
      </c>
      <c r="D74" s="45" t="s">
        <v>199</v>
      </c>
      <c r="E74" s="451">
        <v>1800000</v>
      </c>
      <c r="F74" s="451">
        <v>1650000</v>
      </c>
      <c r="G74" s="451">
        <v>1640000</v>
      </c>
      <c r="I74" s="451"/>
      <c r="J74" s="451"/>
      <c r="K74" s="451"/>
      <c r="L74" s="451"/>
      <c r="M74" s="451"/>
      <c r="N74" s="451"/>
      <c r="O74" s="451"/>
    </row>
    <row r="75" spans="1:15">
      <c r="C75" s="45" t="s">
        <v>210</v>
      </c>
      <c r="D75" s="45" t="s">
        <v>203</v>
      </c>
      <c r="E75" s="451">
        <v>58000</v>
      </c>
      <c r="F75" s="451">
        <v>51000</v>
      </c>
      <c r="G75" s="451">
        <v>49000</v>
      </c>
      <c r="I75" s="451"/>
      <c r="J75" s="451"/>
      <c r="K75" s="451"/>
      <c r="L75" s="451"/>
      <c r="M75" s="451"/>
      <c r="N75" s="451"/>
      <c r="O75" s="451"/>
    </row>
    <row r="76" spans="1:15">
      <c r="I76" s="451"/>
      <c r="J76" s="477">
        <f>-1+(I78/F78)-0.005</f>
        <v>7.4956709956709999E-2</v>
      </c>
      <c r="K76" s="477">
        <f>-1+(I78/G78)-0.01</f>
        <v>7.9388646288209644E-2</v>
      </c>
      <c r="L76" s="477"/>
      <c r="M76" s="477"/>
      <c r="N76" s="477">
        <f>J76</f>
        <v>7.4956709956709999E-2</v>
      </c>
      <c r="O76" s="477">
        <f>K76</f>
        <v>7.9388646288209644E-2</v>
      </c>
    </row>
    <row r="77" spans="1:15">
      <c r="A77" s="1">
        <v>8</v>
      </c>
      <c r="B77" s="1" t="s">
        <v>229</v>
      </c>
      <c r="C77" s="63" t="s">
        <v>230</v>
      </c>
      <c r="D77" s="64"/>
      <c r="E77" s="64"/>
      <c r="F77" s="64"/>
      <c r="G77" s="64"/>
      <c r="H77" s="65"/>
      <c r="I77" s="461"/>
      <c r="J77" s="461"/>
      <c r="K77" s="461"/>
      <c r="L77" s="461"/>
      <c r="M77" s="461"/>
      <c r="N77" s="461"/>
      <c r="O77" s="461"/>
    </row>
    <row r="78" spans="1:15">
      <c r="C78" t="s">
        <v>198</v>
      </c>
      <c r="D78" t="s">
        <v>199</v>
      </c>
      <c r="E78" s="42">
        <v>2470000</v>
      </c>
      <c r="F78" s="42">
        <v>2310000</v>
      </c>
      <c r="G78" s="42">
        <v>2290000</v>
      </c>
      <c r="H78" s="44" t="s">
        <v>201</v>
      </c>
      <c r="I78" s="451">
        <f>IF($H78="▼",$E78-$E78*$I$4,IF($H78="▲",$E78+$E78*$I$4,$E78))</f>
        <v>2494700</v>
      </c>
      <c r="J78" s="451">
        <f>IF($H78="▼",$F78-$F78*$J$76,IF($H78="▲",$F78+$F78*$J$76,$F78))</f>
        <v>2483150</v>
      </c>
      <c r="K78" s="451">
        <f>IF($H78="▼",$G78-$G78*$K$76,IF($H78="▲",$G78+$G78*$K$76,$G78))</f>
        <v>2471800</v>
      </c>
      <c r="L78" s="460" t="s">
        <v>200</v>
      </c>
      <c r="M78" s="451">
        <f>IF($L78="▼",$E78-$E78*$M$4,IF($L78="▲",$E78+$E78*$M$4,$E78))</f>
        <v>2445300</v>
      </c>
      <c r="N78" s="474">
        <f>IF($L78="▼",$F78-$F78*$N$76,IF($L78="▲",$F78+$F78*$N$76,$F78))</f>
        <v>2136850</v>
      </c>
      <c r="O78" s="474">
        <f>IF($L78="▼",$G78-$G78*$O$76,IF($L78="▲",$G78+$G78*$O$76,$G78))</f>
        <v>2108200</v>
      </c>
    </row>
    <row r="79" spans="1:15">
      <c r="C79" t="s">
        <v>202</v>
      </c>
      <c r="D79" t="s">
        <v>203</v>
      </c>
      <c r="E79" s="42">
        <v>73000</v>
      </c>
      <c r="F79" s="42">
        <v>66000</v>
      </c>
      <c r="G79" s="42">
        <v>64000</v>
      </c>
      <c r="H79" s="44" t="s">
        <v>201</v>
      </c>
      <c r="I79" s="451">
        <f>IF($H79="▼",$E79-$E79*$I$4,IF($H79="▲",$E79+$E79*$I$4,$E79))</f>
        <v>73730</v>
      </c>
      <c r="J79" s="451">
        <f>IF($H79="▼",$F79-$F79*$J$76,IF($H79="▲",$F79+$F79*$J$76,$F79))</f>
        <v>70947.142857142855</v>
      </c>
      <c r="K79" s="451">
        <f>IF($H79="▼",$G79-$G79*$K$76,IF($H79="▲",$G79+$G79*$K$76,$G79))</f>
        <v>69080.873362445418</v>
      </c>
      <c r="L79" s="460" t="s">
        <v>200</v>
      </c>
      <c r="M79" s="451">
        <f>IF($L79="▼",$E79-$E79*$M$4,IF($L79="▲",$E79+$E79*$M$4,$E79))</f>
        <v>72270</v>
      </c>
      <c r="N79" s="474">
        <f>IF($L79="▼",$F79-$F79*$N$76,IF($L79="▲",$F79+$F79*$N$76,$F79))</f>
        <v>61052.857142857138</v>
      </c>
      <c r="O79" s="474">
        <f>IF($L79="▼",$G79-$G79*$O$76,IF($L79="▲",$G79+$G79*$O$76,$G79))</f>
        <v>58919.126637554582</v>
      </c>
    </row>
    <row r="80" spans="1:15">
      <c r="C80" s="45" t="s">
        <v>204</v>
      </c>
      <c r="D80" s="45" t="s">
        <v>199</v>
      </c>
      <c r="E80">
        <v>2470000</v>
      </c>
      <c r="F80">
        <v>2310000</v>
      </c>
      <c r="G80" s="42">
        <v>2290000</v>
      </c>
      <c r="I80" s="451"/>
      <c r="J80" s="451"/>
      <c r="K80" s="451"/>
      <c r="L80" s="451"/>
      <c r="M80" s="451"/>
      <c r="N80" s="451"/>
      <c r="O80" s="451"/>
    </row>
    <row r="81" spans="1:15">
      <c r="C81" s="45" t="s">
        <v>210</v>
      </c>
      <c r="D81" s="45" t="s">
        <v>203</v>
      </c>
      <c r="E81" s="42">
        <v>73000</v>
      </c>
      <c r="F81" s="42">
        <v>66000</v>
      </c>
      <c r="G81" s="42">
        <v>64000</v>
      </c>
      <c r="I81" s="451"/>
      <c r="J81" s="451"/>
      <c r="K81" s="451"/>
      <c r="L81" s="451"/>
      <c r="M81" s="451"/>
      <c r="N81" s="451"/>
      <c r="O81" s="451"/>
    </row>
    <row r="82" spans="1:15">
      <c r="I82" s="451"/>
      <c r="J82" s="477">
        <f>-1+(I84/F84)-0.005</f>
        <v>9.0052631578947273E-2</v>
      </c>
      <c r="K82" s="477">
        <f>-1+(I84/G84)-0.01</f>
        <v>9.6702127659574547E-2</v>
      </c>
      <c r="L82" s="477"/>
      <c r="M82" s="477"/>
      <c r="N82" s="477">
        <f>J82</f>
        <v>9.0052631578947273E-2</v>
      </c>
      <c r="O82" s="477">
        <f>K82</f>
        <v>9.6702127659574547E-2</v>
      </c>
    </row>
    <row r="83" spans="1:15">
      <c r="A83" s="1">
        <v>9</v>
      </c>
      <c r="B83" s="1" t="s">
        <v>231</v>
      </c>
      <c r="C83" s="66" t="s">
        <v>232</v>
      </c>
      <c r="D83" s="66"/>
      <c r="E83" s="66"/>
      <c r="F83" s="66"/>
      <c r="G83" s="66"/>
      <c r="H83" s="67"/>
      <c r="I83" s="462"/>
      <c r="J83" s="462"/>
      <c r="K83" s="462"/>
      <c r="L83" s="462"/>
      <c r="M83" s="462"/>
      <c r="N83" s="462"/>
      <c r="O83" s="462"/>
    </row>
    <row r="84" spans="1:15">
      <c r="C84" t="s">
        <v>198</v>
      </c>
      <c r="D84" t="s">
        <v>199</v>
      </c>
      <c r="E84" s="42">
        <v>2060000</v>
      </c>
      <c r="F84" s="42">
        <v>1900000</v>
      </c>
      <c r="G84" s="42">
        <v>1880000</v>
      </c>
      <c r="H84" s="44" t="s">
        <v>201</v>
      </c>
      <c r="I84" s="451">
        <f>IF($H84="▼",$E84-$E84*$I$4,IF($H84="▲",$E84+$E84*$I$4,$E84))</f>
        <v>2080600</v>
      </c>
      <c r="J84" s="451">
        <f>IF($H84="▼",$F84-$F84*$J$82,IF($H84="▲",$F84+$F84*$J$82,$F84))</f>
        <v>2071099.9999999998</v>
      </c>
      <c r="K84" s="451">
        <f>IF($H84="▼",$G84-$G84*$K$82,IF($H84="▲",$G84+$G84*$K$82,$G84))</f>
        <v>2061800.0000000002</v>
      </c>
      <c r="L84" s="460" t="s">
        <v>200</v>
      </c>
      <c r="M84" s="451">
        <f>IF($L84="▼",$E84-$E84*$M$4,IF($L84="▲",$E84+$E84*$M$4,$E84))</f>
        <v>2039400</v>
      </c>
      <c r="N84" s="474">
        <f>IF($L84="▼",$F84-$F84*$N$82,IF($L84="▲",$F84+$F84*$N$82,$F84))</f>
        <v>1728900.0000000002</v>
      </c>
      <c r="O84" s="474">
        <f>IF($L84="▼",$G84-$G84*$O$82,IF($L84="▲",$G84+$G84*$O$82,$G84))</f>
        <v>1698199.9999999998</v>
      </c>
    </row>
    <row r="85" spans="1:15">
      <c r="C85" t="s">
        <v>202</v>
      </c>
      <c r="D85" t="s">
        <v>203</v>
      </c>
      <c r="E85" s="42">
        <v>65000</v>
      </c>
      <c r="F85" s="42">
        <v>58000</v>
      </c>
      <c r="G85" s="42">
        <v>56000</v>
      </c>
      <c r="H85" s="44" t="s">
        <v>201</v>
      </c>
      <c r="I85" s="451">
        <f>IF($H85="▼",$E85-$E85*$I$4,IF($H85="▲",$E85+$E85*$I$4,$E85))</f>
        <v>65650</v>
      </c>
      <c r="J85" s="451">
        <f>IF($H85="▼",$F85-$F85*$J$82,IF($H85="▲",$F85+$F85*$J$82,$F85))</f>
        <v>63223.052631578939</v>
      </c>
      <c r="K85" s="451">
        <f>IF($H85="▼",$G85-$G85*$K$82,IF($H85="▲",$G85+$G85*$K$82,$G85))</f>
        <v>61415.319148936178</v>
      </c>
      <c r="L85" s="460" t="s">
        <v>200</v>
      </c>
      <c r="M85" s="451">
        <f>IF($L85="▼",$E85-$E85*$M$4,IF($L85="▲",$E85+$E85*$M$4,$E85))</f>
        <v>64350</v>
      </c>
      <c r="N85" s="474">
        <f>IF($L85="▼",$F85-$F85*$N$82,IF($L85="▲",$F85+$F85*$N$82,$F85))</f>
        <v>52776.947368421061</v>
      </c>
      <c r="O85" s="474">
        <f>IF($L85="▼",$G85-$G85*$O$82,IF($L85="▲",$G85+$G85*$O$82,$G85))</f>
        <v>50584.680851063822</v>
      </c>
    </row>
    <row r="86" spans="1:15">
      <c r="C86" s="45" t="s">
        <v>204</v>
      </c>
      <c r="D86" s="45" t="s">
        <v>199</v>
      </c>
      <c r="E86">
        <v>2060000</v>
      </c>
      <c r="F86">
        <v>1900000</v>
      </c>
      <c r="G86" s="42">
        <v>1880000</v>
      </c>
      <c r="I86" s="451"/>
      <c r="J86" s="451"/>
      <c r="K86" s="451"/>
      <c r="L86" s="451"/>
      <c r="M86" s="451"/>
      <c r="N86" s="451"/>
      <c r="O86" s="451"/>
    </row>
    <row r="87" spans="1:15">
      <c r="C87" s="45" t="s">
        <v>210</v>
      </c>
      <c r="D87" s="45" t="s">
        <v>203</v>
      </c>
      <c r="E87" s="42">
        <v>65000</v>
      </c>
      <c r="F87" s="42">
        <v>58000</v>
      </c>
      <c r="G87" s="42">
        <v>56000</v>
      </c>
      <c r="I87" s="451"/>
      <c r="J87" s="451"/>
      <c r="K87" s="451"/>
      <c r="L87" s="451"/>
      <c r="M87" s="451"/>
      <c r="N87" s="451"/>
      <c r="O87" s="451"/>
    </row>
    <row r="88" spans="1:15">
      <c r="I88" s="451"/>
      <c r="J88" s="451"/>
      <c r="K88" s="451"/>
      <c r="L88" s="451"/>
      <c r="M88" s="451"/>
      <c r="N88" s="451"/>
      <c r="O88" s="451"/>
    </row>
    <row r="89" spans="1:15">
      <c r="A89" s="1">
        <v>10</v>
      </c>
      <c r="B89" s="1" t="s">
        <v>231</v>
      </c>
      <c r="C89" s="68" t="s">
        <v>233</v>
      </c>
      <c r="D89" s="69"/>
      <c r="E89" s="69"/>
      <c r="F89" s="69"/>
      <c r="G89" s="69"/>
      <c r="H89" s="70"/>
      <c r="I89" s="463"/>
      <c r="J89" s="463"/>
      <c r="K89" s="463"/>
      <c r="L89" s="463"/>
      <c r="M89" s="463"/>
      <c r="N89" s="463"/>
      <c r="O89" s="463"/>
    </row>
    <row r="90" spans="1:15">
      <c r="C90" t="s">
        <v>198</v>
      </c>
      <c r="D90" t="s">
        <v>199</v>
      </c>
      <c r="E90" s="42">
        <v>2310000</v>
      </c>
      <c r="F90" s="42">
        <v>2000000</v>
      </c>
      <c r="G90" s="42">
        <v>1900000</v>
      </c>
      <c r="H90" s="44" t="s">
        <v>201</v>
      </c>
      <c r="I90" s="451">
        <f>IF($H90="▼",$E90-$E90*$I$4,IF($H90="▲",$E90+$E90*$I$4,$E90))</f>
        <v>2333100</v>
      </c>
      <c r="J90" s="451">
        <f>IF($H90="▼",$F90-$F90*$J$4,IF($H90="▲",$F90+$F90*$J$4,$F90))</f>
        <v>2300000</v>
      </c>
      <c r="K90" s="451">
        <f>IF($H90="▼",$G90-$G90*$K$4,IF($H90="▲",$G90+$G90*$K$4,$G90))</f>
        <v>2280000</v>
      </c>
      <c r="L90" s="460" t="s">
        <v>200</v>
      </c>
      <c r="M90" s="451">
        <f>IF($L90="▼",$E90-$E90*$M$4,IF($L90="▲",$E90+$E90*$M$4,$E90))</f>
        <v>2286900</v>
      </c>
      <c r="N90" s="451">
        <f>IF($L90="▼",$F90-$F90*$N$4,IF($L90="▲",$F90+$F90*$N$4,$F90))</f>
        <v>1700000</v>
      </c>
      <c r="O90" s="451">
        <f>IF($L90="▼",$G90-$G90*$O$4,IF($L90="▲",$G90+$G90*$O$4,$G90))</f>
        <v>1520000</v>
      </c>
    </row>
    <row r="91" spans="1:15">
      <c r="C91" t="s">
        <v>202</v>
      </c>
      <c r="D91" t="s">
        <v>203</v>
      </c>
      <c r="E91" s="42">
        <v>93000</v>
      </c>
      <c r="F91" s="42">
        <v>78000</v>
      </c>
      <c r="G91" s="42">
        <v>73000</v>
      </c>
      <c r="H91" s="44" t="s">
        <v>201</v>
      </c>
      <c r="I91" s="451">
        <f>IF($H91="▼",$E91-$E91*$I$4,IF($H91="▲",$E91+$E91*$I$4,$E91))</f>
        <v>93930</v>
      </c>
      <c r="J91" s="451">
        <f>IF($H91="▼",$F91-$F91*$J$4,IF($H91="▲",$F91+$F91*$J$4,$F91))</f>
        <v>89700</v>
      </c>
      <c r="K91" s="451">
        <f>IF($H91="▼",$G91-$G91*$K$4,IF($H91="▲",$G91+$G91*$K$4,$G91))</f>
        <v>87600</v>
      </c>
      <c r="L91" s="460" t="s">
        <v>200</v>
      </c>
      <c r="M91" s="451">
        <f>IF($L91="▼",$E91-$E91*$M$4,IF($L91="▲",$E91+$E91*$M$4,$E91))</f>
        <v>92070</v>
      </c>
      <c r="N91" s="451">
        <f>IF($L91="▼",$F91-$F91*$N$4,IF($L91="▲",$F91+$F91*$N$4,$F91))</f>
        <v>66300</v>
      </c>
      <c r="O91" s="451">
        <f>IF($L91="▼",$G91-$G91*$O$4,IF($L91="▲",$G91+$G91*$O$4,$G91))</f>
        <v>58400</v>
      </c>
    </row>
    <row r="92" spans="1:15">
      <c r="C92" s="45" t="s">
        <v>204</v>
      </c>
      <c r="D92" s="45" t="s">
        <v>199</v>
      </c>
      <c r="E92">
        <v>2310000</v>
      </c>
      <c r="F92">
        <v>2000000</v>
      </c>
      <c r="G92" s="42">
        <v>1900000</v>
      </c>
      <c r="I92" s="451"/>
      <c r="J92" s="451"/>
      <c r="K92" s="451"/>
      <c r="L92" s="451"/>
      <c r="M92" s="451"/>
      <c r="N92" s="451"/>
      <c r="O92" s="451"/>
    </row>
    <row r="93" spans="1:15">
      <c r="C93" s="45" t="s">
        <v>210</v>
      </c>
      <c r="D93" s="45" t="s">
        <v>203</v>
      </c>
      <c r="E93" s="42">
        <v>93000</v>
      </c>
      <c r="F93" s="42">
        <v>78000</v>
      </c>
      <c r="G93" s="42">
        <v>73000</v>
      </c>
      <c r="I93" s="451"/>
      <c r="J93" s="451"/>
      <c r="K93" s="451"/>
      <c r="L93" s="451"/>
      <c r="M93" s="451"/>
      <c r="N93" s="451"/>
      <c r="O93" s="451"/>
    </row>
    <row r="94" spans="1:15">
      <c r="I94" s="451"/>
      <c r="J94" s="451"/>
      <c r="K94" s="451"/>
      <c r="L94" s="451"/>
      <c r="M94" s="451"/>
      <c r="N94" s="451"/>
      <c r="O94" s="451"/>
    </row>
    <row r="95" spans="1:15">
      <c r="A95" s="1">
        <v>11</v>
      </c>
      <c r="B95" s="1">
        <v>1</v>
      </c>
      <c r="C95" s="60" t="s">
        <v>234</v>
      </c>
      <c r="D95" s="61"/>
      <c r="E95" s="61"/>
      <c r="F95" s="61"/>
      <c r="G95" s="61"/>
      <c r="H95" s="62"/>
      <c r="I95" s="459"/>
      <c r="J95" s="459"/>
      <c r="K95" s="459"/>
      <c r="L95" s="459"/>
      <c r="M95" s="459"/>
      <c r="N95" s="459"/>
      <c r="O95" s="459"/>
    </row>
    <row r="96" spans="1:15">
      <c r="C96" t="s">
        <v>198</v>
      </c>
      <c r="D96" t="s">
        <v>199</v>
      </c>
      <c r="E96" s="451">
        <f>E72*1.61</f>
        <v>2898000</v>
      </c>
      <c r="F96" s="451">
        <f>F72*1.21</f>
        <v>1996500</v>
      </c>
      <c r="G96" s="451">
        <f>G72*1.16</f>
        <v>1902399.9999999998</v>
      </c>
      <c r="H96" s="44" t="s">
        <v>201</v>
      </c>
      <c r="I96" s="451">
        <f>IF($H96="▼",$E96-$E96*$I$4,IF($H96="▲",$E96+$E96*$I$4,$E96))</f>
        <v>2926980</v>
      </c>
      <c r="J96" s="451">
        <f>IF($H96="▼",$F96-$F96*$J$4,IF($H96="▲",$F96+$F96*$J$4,$F96))</f>
        <v>2295975</v>
      </c>
      <c r="K96" s="451">
        <f>IF($H96="▼",$G96-$G96*$K$4,IF($H96="▲",$G96+$G96*$K$4,$G96))</f>
        <v>2282880</v>
      </c>
      <c r="L96" s="460" t="s">
        <v>200</v>
      </c>
      <c r="M96" s="451">
        <f>IF($L96="▼",$E96-$E96*$M$4,IF($L96="▲",$E96+$E96*$M$4,$E96))</f>
        <v>2869020</v>
      </c>
      <c r="N96" s="451">
        <f>IF($L96="▼",$F96-$F96*$N$4,IF($L96="▲",$F96+$F96*$N$4,$F96))</f>
        <v>1697025</v>
      </c>
      <c r="O96" s="451">
        <f>IF($L96="▼",$G96-$G96*$O$4,IF($L96="▲",$G96+$G96*$O$4,$G96))</f>
        <v>1521919.9999999998</v>
      </c>
    </row>
    <row r="97" spans="1:15">
      <c r="C97" t="s">
        <v>202</v>
      </c>
      <c r="D97" t="s">
        <v>203</v>
      </c>
      <c r="E97" s="451">
        <f>E73*1.5</f>
        <v>87000</v>
      </c>
      <c r="F97" s="451">
        <f>F73*1.2</f>
        <v>61200</v>
      </c>
      <c r="G97" s="451">
        <f>G73*1.1</f>
        <v>53900.000000000007</v>
      </c>
      <c r="H97" s="44" t="s">
        <v>201</v>
      </c>
      <c r="I97" s="451">
        <f>IF($H97="▼",$E97-$E97*$I$4,IF($H97="▲",$E97+$E97*$I$4,$E97))</f>
        <v>87870</v>
      </c>
      <c r="J97" s="451">
        <f>IF($H97="▼",$F97-$F97*$J$4,IF($H97="▲",$F97+$F97*$J$4,$F97))</f>
        <v>70380</v>
      </c>
      <c r="K97" s="451">
        <f>IF($H97="▼",$G97-$G97*$K$4,IF($H97="▲",$G97+$G97*$K$4,$G97))</f>
        <v>64680.000000000007</v>
      </c>
      <c r="L97" s="460" t="s">
        <v>200</v>
      </c>
      <c r="M97" s="451">
        <f>IF($L97="▼",$E97-$E97*$M$4,IF($L97="▲",$E97+$E97*$M$4,$E97))</f>
        <v>86130</v>
      </c>
      <c r="N97" s="451">
        <f>IF($L97="▼",$F97-$F97*$N$4,IF($L97="▲",$F97+$F97*$N$4,$F97))</f>
        <v>52020</v>
      </c>
      <c r="O97" s="451">
        <f>IF($L97="▼",$G97-$G97*$O$4,IF($L97="▲",$G97+$G97*$O$4,$G97))</f>
        <v>43120.000000000007</v>
      </c>
    </row>
    <row r="98" spans="1:15">
      <c r="C98" s="45" t="s">
        <v>204</v>
      </c>
      <c r="D98" s="45" t="s">
        <v>199</v>
      </c>
      <c r="E98" s="451">
        <f>E74*1.61</f>
        <v>2898000</v>
      </c>
      <c r="F98" s="451">
        <f>F74*1.21</f>
        <v>1996500</v>
      </c>
      <c r="G98" s="451">
        <f>G74*1.16</f>
        <v>1902399.9999999998</v>
      </c>
      <c r="I98" s="451"/>
      <c r="J98" s="451"/>
      <c r="K98" s="451"/>
      <c r="L98" s="451"/>
      <c r="M98" s="451"/>
      <c r="N98" s="451"/>
      <c r="O98" s="451"/>
    </row>
    <row r="99" spans="1:15">
      <c r="C99" s="45" t="s">
        <v>210</v>
      </c>
      <c r="D99" s="45" t="s">
        <v>203</v>
      </c>
      <c r="E99" s="451">
        <f>E75*1.5</f>
        <v>87000</v>
      </c>
      <c r="F99" s="451">
        <f>F75*1.2</f>
        <v>61200</v>
      </c>
      <c r="G99" s="451">
        <f>G75*1.1</f>
        <v>53900.000000000007</v>
      </c>
      <c r="I99" s="451"/>
      <c r="J99" s="451"/>
      <c r="K99" s="451"/>
      <c r="L99" s="451"/>
      <c r="M99" s="451"/>
      <c r="N99" s="451"/>
      <c r="O99" s="451"/>
    </row>
    <row r="100" spans="1:15">
      <c r="E100" s="454"/>
      <c r="F100" s="454"/>
      <c r="G100" s="454"/>
      <c r="I100" s="451"/>
      <c r="J100" s="451"/>
      <c r="K100" s="451"/>
      <c r="L100" s="451"/>
      <c r="M100" s="451"/>
      <c r="N100" s="451"/>
      <c r="O100" s="451"/>
    </row>
    <row r="101" spans="1:15">
      <c r="A101" s="1">
        <v>12</v>
      </c>
      <c r="B101" s="1" t="s">
        <v>229</v>
      </c>
      <c r="C101" s="63" t="s">
        <v>235</v>
      </c>
      <c r="D101" s="64"/>
      <c r="E101" s="471"/>
      <c r="F101" s="471"/>
      <c r="G101" s="471"/>
      <c r="H101" s="65"/>
      <c r="I101" s="461"/>
      <c r="J101" s="461"/>
      <c r="K101" s="461"/>
      <c r="L101" s="461"/>
      <c r="M101" s="461"/>
      <c r="N101" s="461"/>
      <c r="O101" s="461"/>
    </row>
    <row r="102" spans="1:15">
      <c r="C102" t="s">
        <v>198</v>
      </c>
      <c r="D102" t="s">
        <v>199</v>
      </c>
      <c r="E102" s="451">
        <f>E78*1.61</f>
        <v>3976700.0000000005</v>
      </c>
      <c r="F102" s="451">
        <f>F78*1.21</f>
        <v>2795100</v>
      </c>
      <c r="G102" s="451">
        <f>G78*1.16</f>
        <v>2656400</v>
      </c>
      <c r="H102" s="44" t="s">
        <v>201</v>
      </c>
      <c r="I102" s="451">
        <f>IF($H102="▼",$E102-$E102*$I$4,IF($H102="▲",$E102+$E102*$I$4,$E102))</f>
        <v>4016467.0000000005</v>
      </c>
      <c r="J102" s="451">
        <f>IF($H102="▼",$F102-$F102*$J$4,IF($H102="▲",$F102+$F102*$J$4,$F102))</f>
        <v>3214365</v>
      </c>
      <c r="K102" s="451">
        <f>IF($H102="▼",$G102-$G102*$K$4,IF($H102="▲",$G102+$G102*$K$4,$G102))</f>
        <v>3187680</v>
      </c>
      <c r="L102" s="460" t="s">
        <v>200</v>
      </c>
      <c r="M102" s="451">
        <f>IF($L102="▼",$E102-$E102*$M$4,IF($L102="▲",$E102+$E102*$M$4,$E102))</f>
        <v>3936933.0000000005</v>
      </c>
      <c r="N102" s="451">
        <f>IF($L102="▼",$F102-$F102*$N$4,IF($L102="▲",$F102+$F102*$N$4,$F102))</f>
        <v>2375835</v>
      </c>
      <c r="O102" s="451">
        <f>IF($L102="▼",$G102-$G102*$O$4,IF($L102="▲",$G102+$G102*$O$4,$G102))</f>
        <v>2125120</v>
      </c>
    </row>
    <row r="103" spans="1:15">
      <c r="C103" t="s">
        <v>202</v>
      </c>
      <c r="D103" t="s">
        <v>203</v>
      </c>
      <c r="E103" s="451">
        <f>E79*1.5</f>
        <v>109500</v>
      </c>
      <c r="F103" s="451">
        <f>F79*1.2</f>
        <v>79200</v>
      </c>
      <c r="G103" s="451">
        <f>G79*1.1</f>
        <v>70400</v>
      </c>
      <c r="H103" s="44" t="s">
        <v>201</v>
      </c>
      <c r="I103" s="451">
        <f>IF($H103="▼",$E103-$E103*$I$4,IF($H103="▲",$E103+$E103*$I$4,$E103))</f>
        <v>110595</v>
      </c>
      <c r="J103" s="451">
        <f>IF($H103="▼",$F103-$F103*$J$4,IF($H103="▲",$F103+$F103*$J$4,$F103))</f>
        <v>91080</v>
      </c>
      <c r="K103" s="451">
        <f>IF($H103="▼",$G103-$G103*$K$4,IF($H103="▲",$G103+$G103*$K$4,$G103))</f>
        <v>84480</v>
      </c>
      <c r="L103" s="460" t="s">
        <v>200</v>
      </c>
      <c r="M103" s="451">
        <f>IF($L103="▼",$E103-$E103*$M$4,IF($L103="▲",$E103+$E103*$M$4,$E103))</f>
        <v>108405</v>
      </c>
      <c r="N103" s="451">
        <f>IF($L103="▼",$F103-$F103*$N$4,IF($L103="▲",$F103+$F103*$N$4,$F103))</f>
        <v>67320</v>
      </c>
      <c r="O103" s="451">
        <f>IF($L103="▼",$G103-$G103*$O$4,IF($L103="▲",$G103+$G103*$O$4,$G103))</f>
        <v>56320</v>
      </c>
    </row>
    <row r="104" spans="1:15">
      <c r="C104" s="45" t="s">
        <v>204</v>
      </c>
      <c r="D104" s="45" t="s">
        <v>199</v>
      </c>
      <c r="E104" s="451">
        <f>E80*1.61</f>
        <v>3976700.0000000005</v>
      </c>
      <c r="F104" s="451">
        <f>F80*1.21</f>
        <v>2795100</v>
      </c>
      <c r="G104" s="451">
        <f>G80*1.16</f>
        <v>2656400</v>
      </c>
      <c r="I104" s="451"/>
      <c r="J104" s="451"/>
      <c r="K104" s="451"/>
      <c r="L104" s="451"/>
      <c r="M104" s="451"/>
      <c r="N104" s="451"/>
      <c r="O104" s="451"/>
    </row>
    <row r="105" spans="1:15">
      <c r="C105" s="45" t="s">
        <v>210</v>
      </c>
      <c r="D105" s="45" t="s">
        <v>203</v>
      </c>
      <c r="E105" s="451">
        <f>E81*1.5</f>
        <v>109500</v>
      </c>
      <c r="F105" s="451">
        <f>F81*1.2</f>
        <v>79200</v>
      </c>
      <c r="G105" s="451">
        <f>G81*1.1</f>
        <v>70400</v>
      </c>
      <c r="I105" s="451"/>
      <c r="J105" s="451"/>
      <c r="K105" s="451"/>
      <c r="L105" s="451"/>
      <c r="M105" s="451"/>
      <c r="N105" s="451"/>
      <c r="O105" s="451"/>
    </row>
    <row r="106" spans="1:15">
      <c r="E106" s="454"/>
      <c r="F106" s="454"/>
      <c r="G106" s="454"/>
      <c r="I106" s="451"/>
      <c r="J106" s="451"/>
      <c r="K106" s="451"/>
      <c r="L106" s="451"/>
      <c r="M106" s="451"/>
      <c r="N106" s="451"/>
      <c r="O106" s="451"/>
    </row>
    <row r="107" spans="1:15">
      <c r="A107" s="1">
        <v>13</v>
      </c>
      <c r="B107" s="1" t="s">
        <v>231</v>
      </c>
      <c r="C107" s="66" t="s">
        <v>236</v>
      </c>
      <c r="D107" s="66"/>
      <c r="E107" s="472"/>
      <c r="F107" s="472"/>
      <c r="G107" s="472"/>
      <c r="H107" s="67"/>
      <c r="I107" s="462"/>
      <c r="J107" s="462"/>
      <c r="K107" s="462"/>
      <c r="L107" s="462"/>
      <c r="M107" s="462"/>
      <c r="N107" s="462"/>
      <c r="O107" s="462"/>
    </row>
    <row r="108" spans="1:15">
      <c r="C108" t="s">
        <v>198</v>
      </c>
      <c r="D108" t="s">
        <v>199</v>
      </c>
      <c r="E108" s="451">
        <f>E84*1.61</f>
        <v>3316600</v>
      </c>
      <c r="F108" s="451">
        <f>F84*1.21</f>
        <v>2299000</v>
      </c>
      <c r="G108" s="451">
        <f>G84*1.16</f>
        <v>2180800</v>
      </c>
      <c r="H108" s="44" t="s">
        <v>201</v>
      </c>
      <c r="I108" s="451">
        <f>IF($H108="▼",$E108-$E108*$I$4,IF($H108="▲",$E108+$E108*$I$4,$E108))</f>
        <v>3349766</v>
      </c>
      <c r="J108" s="451">
        <f>IF($H108="▼",$F108-$F108*$J$4,IF($H108="▲",$F108+$F108*$J$4,$F108))</f>
        <v>2643850</v>
      </c>
      <c r="K108" s="451">
        <f>IF($H108="▼",$G108-$G108*$K$4,IF($H108="▲",$G108+$G108*$K$4,$G108))</f>
        <v>2616960</v>
      </c>
      <c r="L108" s="460" t="s">
        <v>200</v>
      </c>
      <c r="M108" s="451">
        <f>IF($L108="▼",$E108-$E108*$M$4,IF($L108="▲",$E108+$E108*$M$4,$E108))</f>
        <v>3283434</v>
      </c>
      <c r="N108" s="451">
        <f>IF($L108="▼",$F108-$F108*$N$4,IF($L108="▲",$F108+$F108*$N$4,$F108))</f>
        <v>1954150</v>
      </c>
      <c r="O108" s="451">
        <f>IF($L108="▼",$G108-$G108*$O$4,IF($L108="▲",$G108+$G108*$O$4,$G108))</f>
        <v>1744640</v>
      </c>
    </row>
    <row r="109" spans="1:15">
      <c r="C109" t="s">
        <v>202</v>
      </c>
      <c r="D109" t="s">
        <v>203</v>
      </c>
      <c r="E109" s="451">
        <f>E85*1.5</f>
        <v>97500</v>
      </c>
      <c r="F109" s="451">
        <f>F85*1.2</f>
        <v>69600</v>
      </c>
      <c r="G109" s="451">
        <f>G85*1.1</f>
        <v>61600.000000000007</v>
      </c>
      <c r="H109" s="44" t="s">
        <v>201</v>
      </c>
      <c r="I109" s="451">
        <f>IF($H109="▼",$E109-$E109*$I$4,IF($H109="▲",$E109+$E109*$I$4,$E109))</f>
        <v>98475</v>
      </c>
      <c r="J109" s="451">
        <f>IF($H109="▼",$F109-$F109*$J$4,IF($H109="▲",$F109+$F109*$J$4,$F109))</f>
        <v>80040</v>
      </c>
      <c r="K109" s="451">
        <f>IF($H109="▼",$G109-$G109*$K$4,IF($H109="▲",$G109+$G109*$K$4,$G109))</f>
        <v>73920.000000000015</v>
      </c>
      <c r="L109" s="460" t="s">
        <v>200</v>
      </c>
      <c r="M109" s="451">
        <f>IF($L109="▼",$E109-$E109*$M$4,IF($L109="▲",$E109+$E109*$M$4,$E109))</f>
        <v>96525</v>
      </c>
      <c r="N109" s="451">
        <f>IF($L109="▼",$F109-$F109*$N$4,IF($L109="▲",$F109+$F109*$N$4,$F109))</f>
        <v>59160</v>
      </c>
      <c r="O109" s="451">
        <f>IF($L109="▼",$G109-$G109*$O$4,IF($L109="▲",$G109+$G109*$O$4,$G109))</f>
        <v>49280.000000000007</v>
      </c>
    </row>
    <row r="110" spans="1:15">
      <c r="C110" s="45" t="s">
        <v>204</v>
      </c>
      <c r="D110" s="45" t="s">
        <v>199</v>
      </c>
      <c r="E110" s="451">
        <f>E86*1.61</f>
        <v>3316600</v>
      </c>
      <c r="F110" s="451">
        <f>F86*1.21</f>
        <v>2299000</v>
      </c>
      <c r="G110" s="451">
        <f>G86*1.16</f>
        <v>2180800</v>
      </c>
      <c r="I110" s="451"/>
      <c r="J110" s="451"/>
      <c r="K110" s="451"/>
      <c r="L110" s="451"/>
      <c r="M110" s="451"/>
      <c r="N110" s="451"/>
      <c r="O110" s="451"/>
    </row>
    <row r="111" spans="1:15">
      <c r="C111" s="45" t="s">
        <v>210</v>
      </c>
      <c r="D111" s="45" t="s">
        <v>203</v>
      </c>
      <c r="E111" s="451">
        <f>E87*1.5</f>
        <v>97500</v>
      </c>
      <c r="F111" s="451">
        <f>F87*1.2</f>
        <v>69600</v>
      </c>
      <c r="G111" s="451">
        <f>G87*1.1</f>
        <v>61600.000000000007</v>
      </c>
      <c r="I111" s="451"/>
      <c r="J111" s="451"/>
      <c r="K111" s="451"/>
      <c r="L111" s="451"/>
      <c r="M111" s="451"/>
      <c r="N111" s="451"/>
      <c r="O111" s="451"/>
    </row>
    <row r="112" spans="1:15">
      <c r="E112" s="454"/>
      <c r="F112" s="454"/>
      <c r="G112" s="454"/>
      <c r="I112" s="451"/>
      <c r="J112" s="451"/>
      <c r="K112" s="451"/>
      <c r="L112" s="451"/>
      <c r="M112" s="451"/>
      <c r="N112" s="451"/>
      <c r="O112" s="451"/>
    </row>
    <row r="113" spans="1:15">
      <c r="A113" s="1">
        <v>14</v>
      </c>
      <c r="B113" s="1" t="s">
        <v>231</v>
      </c>
      <c r="C113" s="68" t="s">
        <v>237</v>
      </c>
      <c r="D113" s="69"/>
      <c r="E113" s="473"/>
      <c r="F113" s="473"/>
      <c r="G113" s="473"/>
      <c r="H113" s="70"/>
      <c r="I113" s="463"/>
      <c r="J113" s="463"/>
      <c r="K113" s="463"/>
      <c r="L113" s="463"/>
      <c r="M113" s="463"/>
      <c r="N113" s="463"/>
      <c r="O113" s="463"/>
    </row>
    <row r="114" spans="1:15">
      <c r="C114" t="s">
        <v>198</v>
      </c>
      <c r="D114" t="s">
        <v>199</v>
      </c>
      <c r="E114" s="451">
        <f>E90*1.61</f>
        <v>3719100</v>
      </c>
      <c r="F114" s="451">
        <f>F90*1.21</f>
        <v>2420000</v>
      </c>
      <c r="G114" s="451">
        <f>G90*1.16</f>
        <v>2204000</v>
      </c>
      <c r="H114" s="44" t="s">
        <v>201</v>
      </c>
      <c r="I114" s="451">
        <f>IF($H114="▼",$E114-$E114*$I$4,IF($H114="▲",$E114+$E114*$I$4,$E114))</f>
        <v>3756291</v>
      </c>
      <c r="J114" s="451">
        <f>IF($H114="▼",$F114-$F114*$J$4,IF($H114="▲",$F114+$F114*$J$4,$F114))</f>
        <v>2783000</v>
      </c>
      <c r="K114" s="451">
        <f>IF($H114="▼",$G114-$G114*$K$4,IF($H114="▲",$G114+$G114*$K$4,$G114))</f>
        <v>2644800</v>
      </c>
      <c r="L114" s="460" t="s">
        <v>200</v>
      </c>
      <c r="M114" s="451">
        <f>IF($L114="▼",$E114-$E114*$M$4,IF($L114="▲",$E114+$E114*$M$4,$E114))</f>
        <v>3681909</v>
      </c>
      <c r="N114" s="451">
        <f>IF($L114="▼",$F114-$F114*$N$4,IF($L114="▲",$F114+$F114*$N$4,$F114))</f>
        <v>2057000</v>
      </c>
      <c r="O114" s="451">
        <f>IF($L114="▼",$G114-$G114*$O$4,IF($L114="▲",$G114+$G114*$O$4,$G114))</f>
        <v>1763200</v>
      </c>
    </row>
    <row r="115" spans="1:15">
      <c r="C115" t="s">
        <v>202</v>
      </c>
      <c r="D115" t="s">
        <v>203</v>
      </c>
      <c r="E115" s="451">
        <f>E91*1.5</f>
        <v>139500</v>
      </c>
      <c r="F115" s="451">
        <f>F91*1.2</f>
        <v>93600</v>
      </c>
      <c r="G115" s="451">
        <f>G91*1.1</f>
        <v>80300</v>
      </c>
      <c r="H115" s="44" t="s">
        <v>201</v>
      </c>
      <c r="I115" s="451">
        <f>IF($H115="▼",$E115-$E115*$I$4,IF($H115="▲",$E115+$E115*$I$4,$E115))</f>
        <v>140895</v>
      </c>
      <c r="J115" s="451">
        <f>IF($H115="▼",$F115-$F115*$J$4,IF($H115="▲",$F115+$F115*$J$4,$F115))</f>
        <v>107640</v>
      </c>
      <c r="K115" s="451">
        <f>IF($H115="▼",$G115-$G115*$K$4,IF($H115="▲",$G115+$G115*$K$4,$G115))</f>
        <v>96360</v>
      </c>
      <c r="L115" s="460" t="s">
        <v>200</v>
      </c>
      <c r="M115" s="451">
        <f>IF($L115="▼",$E115-$E115*$M$4,IF($L115="▲",$E115+$E115*$M$4,$E115))</f>
        <v>138105</v>
      </c>
      <c r="N115" s="451">
        <f>IF($L115="▼",$F115-$F115*$N$4,IF($L115="▲",$F115+$F115*$N$4,$F115))</f>
        <v>79560</v>
      </c>
      <c r="O115" s="451">
        <f>IF($L115="▼",$G115-$G115*$O$4,IF($L115="▲",$G115+$G115*$O$4,$G115))</f>
        <v>64240</v>
      </c>
    </row>
    <row r="116" spans="1:15">
      <c r="C116" s="45" t="s">
        <v>204</v>
      </c>
      <c r="D116" s="45" t="s">
        <v>199</v>
      </c>
      <c r="E116" s="451">
        <f>E92*1.61</f>
        <v>3719100</v>
      </c>
      <c r="F116" s="451">
        <f>F92*1.21</f>
        <v>2420000</v>
      </c>
      <c r="G116" s="451">
        <f>G92*1.16</f>
        <v>2204000</v>
      </c>
      <c r="I116" s="451"/>
      <c r="J116" s="451"/>
      <c r="K116" s="451"/>
      <c r="L116" s="451"/>
      <c r="M116" s="451"/>
      <c r="N116" s="451"/>
      <c r="O116" s="451"/>
    </row>
    <row r="117" spans="1:15">
      <c r="C117" s="45" t="s">
        <v>210</v>
      </c>
      <c r="D117" s="45" t="s">
        <v>203</v>
      </c>
      <c r="E117" s="451">
        <f>E93*1.5</f>
        <v>139500</v>
      </c>
      <c r="F117" s="451">
        <f>F93*1.2</f>
        <v>93600</v>
      </c>
      <c r="G117" s="451">
        <f>G93*1.1</f>
        <v>80300</v>
      </c>
      <c r="I117" s="451"/>
      <c r="J117" s="451"/>
      <c r="K117" s="451"/>
      <c r="L117" s="451"/>
      <c r="M117" s="451"/>
      <c r="N117" s="451"/>
      <c r="O117" s="451"/>
    </row>
    <row r="118" spans="1:15">
      <c r="C118" s="45"/>
      <c r="D118" s="45"/>
      <c r="I118" s="451"/>
      <c r="J118" s="451"/>
      <c r="K118" s="451"/>
      <c r="L118" s="451"/>
      <c r="M118" s="451"/>
      <c r="N118" s="451"/>
      <c r="O118" s="451"/>
    </row>
    <row r="119" spans="1:15">
      <c r="A119" s="1">
        <v>15</v>
      </c>
      <c r="B119" s="1">
        <v>4.5999999999999996</v>
      </c>
      <c r="C119" s="71" t="s">
        <v>238</v>
      </c>
      <c r="D119" s="72"/>
      <c r="E119" s="72"/>
      <c r="F119" s="72"/>
      <c r="G119" s="72"/>
      <c r="H119" s="73"/>
      <c r="I119" s="464"/>
      <c r="J119" s="464"/>
      <c r="K119" s="464"/>
      <c r="L119" s="464"/>
      <c r="M119" s="464"/>
      <c r="N119" s="464"/>
      <c r="O119" s="464"/>
    </row>
    <row r="120" spans="1:15">
      <c r="C120" t="s">
        <v>198</v>
      </c>
      <c r="D120" t="s">
        <v>239</v>
      </c>
      <c r="E120" s="451">
        <v>1617.5</v>
      </c>
      <c r="F120" s="451">
        <v>1617.5</v>
      </c>
      <c r="G120" s="451">
        <v>1617.5</v>
      </c>
      <c r="H120" s="74" t="s">
        <v>240</v>
      </c>
      <c r="I120" s="451">
        <f>IF($H120="▼",$E120-$E120*$I$4,IF($H120="▲",$E120+$E120*$I$4,$E120))</f>
        <v>1617.5</v>
      </c>
      <c r="J120" s="451">
        <f>IF($H120="▼",$F120-$F120*$J$4,IF($H120="▲",$F120+$F120*$J$4,$F120))</f>
        <v>1617.5</v>
      </c>
      <c r="K120" s="451">
        <f>IF($H120="▼",$G120-$G120*$K$4,IF($H120="▲",$G120+$G120*$K$4,$G120))</f>
        <v>1617.5</v>
      </c>
      <c r="L120" s="460" t="s">
        <v>240</v>
      </c>
      <c r="M120" s="451">
        <f>IF($L120="▼",$E120-$E120*$M$4,IF($L120="▲",$E120+$E120*$M$4,$E120))</f>
        <v>1617.5</v>
      </c>
      <c r="N120" s="451">
        <f>IF($L120="▼",$F120-$F120*$N$4,IF($L120="▲",$F120+$F120*$N$4,$F120))</f>
        <v>1617.5</v>
      </c>
      <c r="O120" s="451">
        <f>IF($L120="▼",$G120-$G120*$O$4,IF($L120="▲",$G120+$G120*$O$4,$G120))</f>
        <v>1617.5</v>
      </c>
    </row>
    <row r="121" spans="1:15">
      <c r="C121" t="s">
        <v>202</v>
      </c>
      <c r="D121" t="s">
        <v>241</v>
      </c>
      <c r="E121" s="451">
        <v>40.44</v>
      </c>
      <c r="F121" s="451">
        <v>40.44</v>
      </c>
      <c r="G121" s="451">
        <v>40.44</v>
      </c>
      <c r="H121" s="74" t="s">
        <v>240</v>
      </c>
      <c r="I121" s="451">
        <f>IF($H121="▼",$E121-$E121*$I$4,IF($H121="▲",$E121+$E121*$I$4,$E121))</f>
        <v>40.44</v>
      </c>
      <c r="J121" s="451">
        <f>IF($H121="▼",$F121-$F121*$J$4,IF($H121="▲",$F121+$F121*$J$4,$F121))</f>
        <v>40.44</v>
      </c>
      <c r="K121" s="451">
        <f>IF($H121="▼",$G121-$G121*$K$4,IF($H121="▲",$G121+$G121*$K$4,$G121))</f>
        <v>40.44</v>
      </c>
      <c r="L121" s="460" t="s">
        <v>240</v>
      </c>
      <c r="M121" s="451">
        <f>IF($L121="▼",$E121-$E121*$M$4,IF($L121="▲",$E121+$E121*$M$4,$E121))</f>
        <v>40.44</v>
      </c>
      <c r="N121" s="451">
        <f>IF($L121="▼",$F121-$F121*$N$4,IF($L121="▲",$F121+$F121*$N$4,$F121))</f>
        <v>40.44</v>
      </c>
      <c r="O121" s="451">
        <f>IF($L121="▼",$G121-$G121*$O$4,IF($L121="▲",$G121+$G121*$O$4,$G121))</f>
        <v>40.44</v>
      </c>
    </row>
    <row r="122" spans="1:15">
      <c r="C122" s="45" t="s">
        <v>204</v>
      </c>
      <c r="D122" s="45" t="s">
        <v>239</v>
      </c>
      <c r="E122" s="451">
        <v>1617.5</v>
      </c>
      <c r="F122" s="451">
        <v>1617.5</v>
      </c>
      <c r="G122" s="451">
        <v>1617.5</v>
      </c>
      <c r="I122" s="451"/>
      <c r="J122" s="451"/>
      <c r="K122" s="451"/>
      <c r="L122" s="451"/>
      <c r="M122" s="451"/>
      <c r="N122" s="451"/>
      <c r="O122" s="451"/>
    </row>
    <row r="123" spans="1:15">
      <c r="C123" s="45" t="s">
        <v>210</v>
      </c>
      <c r="D123" s="45" t="s">
        <v>241</v>
      </c>
      <c r="E123" s="451">
        <v>40.44</v>
      </c>
      <c r="F123" s="451">
        <v>40.44</v>
      </c>
      <c r="G123" s="451">
        <v>40.44</v>
      </c>
      <c r="I123" s="451"/>
      <c r="J123" s="451"/>
      <c r="K123" s="451"/>
      <c r="L123" s="451"/>
      <c r="M123" s="451"/>
      <c r="N123" s="451"/>
      <c r="O123" s="451"/>
    </row>
    <row r="124" spans="1:15">
      <c r="E124" s="451"/>
      <c r="F124" s="451"/>
      <c r="G124" s="451"/>
      <c r="I124" s="451"/>
      <c r="J124" s="451"/>
      <c r="K124" s="451"/>
      <c r="L124" s="451"/>
      <c r="M124" s="451"/>
      <c r="N124" s="451"/>
      <c r="O124" s="451"/>
    </row>
    <row r="125" spans="1:15">
      <c r="A125" s="1">
        <v>16</v>
      </c>
      <c r="B125" s="1">
        <v>6</v>
      </c>
      <c r="C125" s="75" t="s">
        <v>242</v>
      </c>
      <c r="D125" s="76"/>
      <c r="E125" s="465"/>
      <c r="F125" s="465"/>
      <c r="G125" s="465"/>
      <c r="H125" s="77"/>
      <c r="I125" s="465"/>
      <c r="J125" s="465"/>
      <c r="K125" s="465"/>
      <c r="L125" s="465"/>
      <c r="M125" s="465"/>
      <c r="N125" s="465"/>
      <c r="O125" s="465"/>
    </row>
    <row r="126" spans="1:15">
      <c r="C126" t="s">
        <v>198</v>
      </c>
      <c r="D126" t="s">
        <v>199</v>
      </c>
      <c r="E126" s="451">
        <v>250000</v>
      </c>
      <c r="F126" s="451">
        <v>250000</v>
      </c>
      <c r="G126" s="451">
        <v>250000</v>
      </c>
      <c r="H126" s="74" t="s">
        <v>240</v>
      </c>
      <c r="I126" s="451">
        <f>IF($H126="▼",$E126-$E126*$I$4,IF($H126="▲",$E126+$E126*$I$4,$E126))</f>
        <v>250000</v>
      </c>
      <c r="J126" s="451">
        <f>IF($H126="▼",$F126-$F126*$J$4,IF($H126="▲",$F126+$F126*$J$4,$F126))</f>
        <v>250000</v>
      </c>
      <c r="K126" s="451">
        <f>IF($H126="▼",$G126-$G126*$K$4,IF($H126="▲",$G126+$G126*$K$4,$G126))</f>
        <v>250000</v>
      </c>
      <c r="L126" s="460" t="s">
        <v>240</v>
      </c>
      <c r="M126" s="451">
        <f>IF($L126="▼",$E126-$E126*$M$4,IF($L126="▲",$E126+$E126*$M$4,$E126))</f>
        <v>250000</v>
      </c>
      <c r="N126" s="451">
        <f>IF($L126="▼",$F126-$F126*$N$4,IF($L126="▲",$F126+$F126*$N$4,$F126))</f>
        <v>250000</v>
      </c>
      <c r="O126" s="451">
        <f>IF($L126="▼",$G126-$G126*$O$4,IF($L126="▲",$G126+$G126*$O$4,$G126))</f>
        <v>250000</v>
      </c>
    </row>
    <row r="127" spans="1:15">
      <c r="C127" t="s">
        <v>202</v>
      </c>
      <c r="D127" t="s">
        <v>203</v>
      </c>
      <c r="E127" s="451">
        <v>0</v>
      </c>
      <c r="F127" s="451">
        <v>0</v>
      </c>
      <c r="G127" s="451">
        <v>0</v>
      </c>
      <c r="H127" s="74" t="s">
        <v>240</v>
      </c>
      <c r="I127" s="451">
        <f>IF($H127="▼",$E127-$E127*$I$4,IF($H127="▲",$E127+$E127*$I$4,$E127))</f>
        <v>0</v>
      </c>
      <c r="J127" s="451">
        <f>IF($H127="▼",$F127-$F127*$J$4,IF($H127="▲",$F127+$F127*$J$4,$F127))</f>
        <v>0</v>
      </c>
      <c r="K127" s="451">
        <f>IF($H127="▼",$G127-$G127*$K$4,IF($H127="▲",$G127+$G127*$K$4,$G127))</f>
        <v>0</v>
      </c>
      <c r="L127" s="460" t="s">
        <v>240</v>
      </c>
      <c r="M127" s="451">
        <f>IF($L127="▼",$E127-$E127*$M$4,IF($L127="▲",$E127+$E127*$M$4,$E127))</f>
        <v>0</v>
      </c>
      <c r="N127" s="451">
        <f>IF($L127="▼",$F127-$F127*$N$4,IF($L127="▲",$F127+$F127*$N$4,$F127))</f>
        <v>0</v>
      </c>
      <c r="O127" s="451">
        <f>IF($L127="▼",$G127-$G127*$O$4,IF($L127="▲",$G127+$G127*$O$4,$G127))</f>
        <v>0</v>
      </c>
    </row>
    <row r="128" spans="1:15">
      <c r="C128" s="45" t="s">
        <v>204</v>
      </c>
      <c r="D128" s="45" t="s">
        <v>199</v>
      </c>
      <c r="E128" s="451">
        <v>250000</v>
      </c>
      <c r="F128" s="451">
        <v>250000</v>
      </c>
      <c r="G128" s="451">
        <v>250000</v>
      </c>
      <c r="I128" s="451"/>
      <c r="J128" s="451"/>
      <c r="K128" s="451"/>
      <c r="L128" s="451"/>
      <c r="M128" s="451"/>
      <c r="N128" s="451"/>
      <c r="O128" s="451"/>
    </row>
    <row r="129" spans="1:15">
      <c r="C129" s="45" t="s">
        <v>210</v>
      </c>
      <c r="D129" s="45" t="s">
        <v>203</v>
      </c>
      <c r="I129" s="451"/>
      <c r="J129" s="451"/>
      <c r="K129" s="451"/>
      <c r="L129" s="451"/>
      <c r="M129" s="451"/>
      <c r="N129" s="451"/>
      <c r="O129" s="451"/>
    </row>
    <row r="130" spans="1:15">
      <c r="I130" s="451"/>
      <c r="J130" s="451"/>
      <c r="K130" s="451"/>
      <c r="L130" s="451"/>
      <c r="M130" s="451"/>
      <c r="N130" s="451"/>
      <c r="O130" s="451"/>
    </row>
    <row r="131" spans="1:15">
      <c r="A131" s="1">
        <v>17</v>
      </c>
      <c r="B131" s="1" t="s">
        <v>243</v>
      </c>
      <c r="C131" s="78" t="s">
        <v>244</v>
      </c>
      <c r="D131" s="79"/>
      <c r="E131" s="79"/>
      <c r="F131" s="79"/>
      <c r="G131" s="79"/>
      <c r="H131" s="80"/>
      <c r="I131" s="466"/>
      <c r="J131" s="466"/>
      <c r="K131" s="466"/>
      <c r="L131" s="466"/>
      <c r="M131" s="466"/>
      <c r="N131" s="466"/>
      <c r="O131" s="466"/>
    </row>
    <row r="132" spans="1:15">
      <c r="C132" t="s">
        <v>198</v>
      </c>
      <c r="D132" t="s">
        <v>199</v>
      </c>
      <c r="E132" s="42">
        <f>E134</f>
        <v>850000</v>
      </c>
      <c r="F132" s="42">
        <f t="shared" ref="F132:G133" si="0">F134</f>
        <v>680000</v>
      </c>
      <c r="G132" s="42">
        <f t="shared" si="0"/>
        <v>630000</v>
      </c>
      <c r="H132" s="74" t="s">
        <v>240</v>
      </c>
      <c r="I132" s="451">
        <f>IF($H132="▼",$E132-$E132*$I$4,IF($H132="▲",$E132+$E132*$I$4,$E132))</f>
        <v>850000</v>
      </c>
      <c r="J132" s="451">
        <f>IF($H132="▼",$F132-$F132*$J$4,IF($H132="▲",$F132+$F132*$J$4,$F132))</f>
        <v>680000</v>
      </c>
      <c r="K132" s="451">
        <f>IF($H132="▼",$G132-$G132*$K$4,IF($H132="▲",$G132+$G132*$K$4,$G132))</f>
        <v>630000</v>
      </c>
      <c r="L132" s="460" t="s">
        <v>240</v>
      </c>
      <c r="M132" s="451">
        <f>IF($L132="▼",$E132-$E132*$M$4,IF($L132="▲",$E132+$E132*$M$4,$E132))</f>
        <v>850000</v>
      </c>
      <c r="N132" s="451">
        <f>IF($L132="▼",$F132-$F132*$N$4,IF($L132="▲",$F132+$F132*$N$4,$F132))</f>
        <v>680000</v>
      </c>
      <c r="O132" s="451">
        <f>IF($L132="▼",$G132-$G132*$O$4,IF($L132="▲",$G132+$G132*$O$4,$G132))</f>
        <v>630000</v>
      </c>
    </row>
    <row r="133" spans="1:15">
      <c r="C133" t="s">
        <v>202</v>
      </c>
      <c r="D133" t="s">
        <v>203</v>
      </c>
      <c r="E133" s="42">
        <f>E135</f>
        <v>18000</v>
      </c>
      <c r="F133" s="42">
        <f t="shared" si="0"/>
        <v>15000</v>
      </c>
      <c r="G133" s="42">
        <f t="shared" si="0"/>
        <v>14000</v>
      </c>
      <c r="H133" s="74" t="s">
        <v>240</v>
      </c>
      <c r="I133" s="451">
        <f>IF($H133="▼",$E133-$E133*$I$4,IF($H133="▲",$E133+$E133*$I$4,$E133))</f>
        <v>18000</v>
      </c>
      <c r="J133" s="451">
        <f>IF($H133="▼",$F133-$F133*$J$4,IF($H133="▲",$F133+$F133*$J$4,$F133))</f>
        <v>15000</v>
      </c>
      <c r="K133" s="451">
        <f>IF($H133="▼",$G133-$G133*$K$4,IF($H133="▲",$G133+$G133*$K$4,$G133))</f>
        <v>14000</v>
      </c>
      <c r="L133" s="460" t="s">
        <v>240</v>
      </c>
      <c r="M133" s="451">
        <f>IF($L133="▼",$E133-$E133*$M$4,IF($L133="▲",$E133+$E133*$M$4,$E133))</f>
        <v>18000</v>
      </c>
      <c r="N133" s="451">
        <f>IF($L133="▼",$F133-$F133*$N$4,IF($L133="▲",$F133+$F133*$N$4,$F133))</f>
        <v>15000</v>
      </c>
      <c r="O133" s="451">
        <f>IF($L133="▼",$G133-$G133*$O$4,IF($L133="▲",$G133+$G133*$O$4,$G133))</f>
        <v>14000</v>
      </c>
    </row>
    <row r="134" spans="1:15">
      <c r="C134" s="81" t="s">
        <v>204</v>
      </c>
      <c r="D134" s="45" t="s">
        <v>199</v>
      </c>
      <c r="E134" s="42">
        <v>850000</v>
      </c>
      <c r="F134" s="42">
        <v>680000</v>
      </c>
      <c r="G134" s="42">
        <v>630000</v>
      </c>
      <c r="I134" s="451"/>
      <c r="J134" s="451"/>
      <c r="K134" s="451"/>
      <c r="L134" s="451"/>
      <c r="M134" s="451"/>
      <c r="N134" s="451"/>
      <c r="O134" s="451"/>
    </row>
    <row r="135" spans="1:15">
      <c r="C135" s="81" t="s">
        <v>210</v>
      </c>
      <c r="D135" s="45" t="s">
        <v>203</v>
      </c>
      <c r="E135" s="42">
        <v>18000</v>
      </c>
      <c r="F135" s="42">
        <v>15000</v>
      </c>
      <c r="G135" s="42">
        <v>14000</v>
      </c>
      <c r="I135" s="451"/>
      <c r="J135" s="451"/>
      <c r="K135" s="451"/>
      <c r="L135" s="451"/>
      <c r="M135" s="451"/>
      <c r="N135" s="451"/>
      <c r="O135" s="451"/>
    </row>
    <row r="136" spans="1:15">
      <c r="C136" s="81" t="s">
        <v>211</v>
      </c>
      <c r="D136" t="s">
        <v>245</v>
      </c>
      <c r="E136">
        <v>25</v>
      </c>
      <c r="F136">
        <v>28</v>
      </c>
      <c r="G136">
        <v>30</v>
      </c>
      <c r="I136" s="451"/>
      <c r="J136" s="451"/>
      <c r="K136" s="451"/>
      <c r="L136" s="451"/>
      <c r="M136" s="451"/>
      <c r="N136" s="451"/>
      <c r="O136" s="451"/>
    </row>
    <row r="137" spans="1:15">
      <c r="I137" s="451"/>
      <c r="J137" s="451"/>
      <c r="K137" s="451"/>
      <c r="L137" s="451"/>
      <c r="M137" s="451"/>
      <c r="N137" s="451"/>
      <c r="O137" s="451"/>
    </row>
    <row r="138" spans="1:15">
      <c r="A138" s="1">
        <v>18</v>
      </c>
      <c r="B138" s="1">
        <v>8</v>
      </c>
      <c r="C138" s="82" t="s">
        <v>246</v>
      </c>
      <c r="D138" s="83"/>
      <c r="E138" s="83"/>
      <c r="F138" s="83"/>
      <c r="G138" s="83"/>
      <c r="H138" s="84"/>
      <c r="I138" s="467"/>
      <c r="J138" s="467"/>
      <c r="K138" s="467"/>
      <c r="L138" s="467"/>
      <c r="M138" s="467"/>
      <c r="N138" s="467"/>
      <c r="O138" s="467"/>
    </row>
    <row r="139" spans="1:15">
      <c r="C139" t="s">
        <v>198</v>
      </c>
      <c r="D139" t="s">
        <v>239</v>
      </c>
      <c r="E139">
        <v>528.57000000000005</v>
      </c>
      <c r="F139">
        <v>528.57000000000005</v>
      </c>
      <c r="G139">
        <v>528.57000000000005</v>
      </c>
      <c r="H139" s="74" t="s">
        <v>240</v>
      </c>
      <c r="I139" s="451">
        <f>IF($H139="▼",$E139-$E139*$I$4,IF($H139="▲",$E139+$E139*$I$4,$E139))</f>
        <v>528.57000000000005</v>
      </c>
      <c r="J139" s="451">
        <f>IF($H139="▼",$F139-$F139*$J$4,IF($H139="▲",$F139+$F139*$J$4,$F139))</f>
        <v>528.57000000000005</v>
      </c>
      <c r="K139" s="451">
        <f>IF($H139="▼",$G139-$G139*$K$4,IF($H139="▲",$G139+$G139*$K$4,$G139))</f>
        <v>528.57000000000005</v>
      </c>
      <c r="L139" s="460" t="s">
        <v>240</v>
      </c>
      <c r="M139" s="451">
        <f>IF($L139="▼",$E139-$E139*$M$4,IF($L139="▲",$E139+$E139*$M$4,$E139))</f>
        <v>528.57000000000005</v>
      </c>
      <c r="N139" s="451">
        <f>IF($L139="▼",$F139-$F139*$N$4,IF($L139="▲",$F139+$F139*$N$4,$F139))</f>
        <v>528.57000000000005</v>
      </c>
      <c r="O139" s="451">
        <f>IF($L139="▼",$G139-$G139*$O$4,IF($L139="▲",$G139+$G139*$O$4,$G139))</f>
        <v>528.57000000000005</v>
      </c>
    </row>
    <row r="140" spans="1:15">
      <c r="C140" t="s">
        <v>202</v>
      </c>
      <c r="D140" t="s">
        <v>241</v>
      </c>
      <c r="E140">
        <v>1.66</v>
      </c>
      <c r="F140">
        <v>1.66</v>
      </c>
      <c r="G140">
        <v>1.66</v>
      </c>
      <c r="H140" s="74" t="s">
        <v>240</v>
      </c>
      <c r="I140" s="451">
        <f>IF($H140="▼",$E140-$E140*$I$4,IF($H140="▲",$E140+$E140*$I$4,$E140))</f>
        <v>1.66</v>
      </c>
      <c r="J140" s="451">
        <f>IF($H140="▼",$F140-$F140*$J$4,IF($H140="▲",$F140+$F140*$J$4,$F140))</f>
        <v>1.66</v>
      </c>
      <c r="K140" s="451">
        <f>IF($H140="▼",$G140-$G140*$K$4,IF($H140="▲",$G140+$G140*$K$4,$G140))</f>
        <v>1.66</v>
      </c>
      <c r="L140" s="460" t="s">
        <v>240</v>
      </c>
      <c r="M140" s="451">
        <f>IF($L140="▼",$E140-$E140*$M$4,IF($L140="▲",$E140+$E140*$M$4,$E140))</f>
        <v>1.66</v>
      </c>
      <c r="N140" s="451">
        <f>IF($L140="▼",$F140-$F140*$N$4,IF($L140="▲",$F140+$F140*$N$4,$F140))</f>
        <v>1.66</v>
      </c>
      <c r="O140" s="451">
        <f>IF($L140="▼",$G140-$G140*$O$4,IF($L140="▲",$G140+$G140*$O$4,$G140))</f>
        <v>1.66</v>
      </c>
    </row>
    <row r="141" spans="1:15">
      <c r="C141" s="45" t="s">
        <v>204</v>
      </c>
      <c r="D141" s="45" t="s">
        <v>239</v>
      </c>
      <c r="E141">
        <v>528.57000000000005</v>
      </c>
      <c r="F141">
        <v>528.57000000000005</v>
      </c>
      <c r="G141">
        <v>528.57000000000005</v>
      </c>
      <c r="I141" s="451"/>
      <c r="J141" s="451"/>
      <c r="K141" s="451"/>
      <c r="L141" s="451"/>
      <c r="M141" s="451"/>
      <c r="N141" s="451"/>
      <c r="O141" s="451"/>
    </row>
    <row r="142" spans="1:15">
      <c r="C142" s="45" t="s">
        <v>210</v>
      </c>
      <c r="D142" s="45" t="s">
        <v>241</v>
      </c>
      <c r="E142">
        <v>1.66</v>
      </c>
      <c r="F142">
        <v>1.66</v>
      </c>
      <c r="G142">
        <v>1.66</v>
      </c>
      <c r="I142" s="451"/>
      <c r="J142" s="451"/>
      <c r="K142" s="451"/>
      <c r="L142" s="451"/>
      <c r="M142" s="451"/>
      <c r="N142" s="451"/>
      <c r="O142" s="451"/>
    </row>
    <row r="143" spans="1:15">
      <c r="I143" s="451"/>
      <c r="J143" s="451"/>
      <c r="K143" s="451"/>
      <c r="L143" s="451"/>
      <c r="M143" s="451"/>
      <c r="N143" s="451"/>
      <c r="O143" s="451"/>
    </row>
    <row r="144" spans="1:15">
      <c r="A144" s="1">
        <v>19</v>
      </c>
      <c r="B144" s="1">
        <v>1</v>
      </c>
      <c r="C144" s="85" t="s">
        <v>247</v>
      </c>
      <c r="D144" s="86"/>
      <c r="E144" s="86"/>
      <c r="F144" s="86"/>
      <c r="G144" s="86"/>
      <c r="H144" s="87"/>
      <c r="I144" s="468"/>
      <c r="J144" s="468"/>
      <c r="K144" s="468"/>
      <c r="L144" s="468"/>
      <c r="M144" s="468"/>
      <c r="N144" s="468"/>
      <c r="O144" s="468"/>
    </row>
    <row r="145" spans="1:15">
      <c r="C145" t="s">
        <v>198</v>
      </c>
      <c r="D145" t="s">
        <v>199</v>
      </c>
      <c r="E145" s="451">
        <f>E147</f>
        <v>550000</v>
      </c>
      <c r="F145" s="451">
        <f t="shared" ref="F145:G145" si="1">F147</f>
        <v>375000</v>
      </c>
      <c r="G145" s="451">
        <f t="shared" si="1"/>
        <v>325000</v>
      </c>
      <c r="H145" s="74" t="s">
        <v>240</v>
      </c>
      <c r="I145" s="451">
        <f>IF($H145="▼",$E145-$E145*$I$4,IF($H145="▲",$E145+$E145*$I$4,$E145))</f>
        <v>550000</v>
      </c>
      <c r="J145" s="451">
        <f>IF($H145="▼",$F145-$F145*$J$4,IF($H145="▲",$F145+$F145*$J$4,$F145))</f>
        <v>375000</v>
      </c>
      <c r="K145" s="451">
        <f>IF($H145="▼",$G145-$G145*$K$4,IF($H145="▲",$G145+$G145*$K$4,$G145))</f>
        <v>325000</v>
      </c>
      <c r="L145" s="460" t="s">
        <v>240</v>
      </c>
      <c r="M145" s="451">
        <f>IF($L145="▼",$E145-$E145*$M$4,IF($L145="▲",$E145+$E145*$M$4,$E145))</f>
        <v>550000</v>
      </c>
      <c r="N145" s="451">
        <f>IF($L145="▼",$F145-$F145*$N$4,IF($L145="▲",$F145+$F145*$N$4,$F145))</f>
        <v>375000</v>
      </c>
      <c r="O145" s="451">
        <f>IF($L145="▼",$G145-$G145*$O$4,IF($L145="▲",$G145+$G145*$O$4,$G145))</f>
        <v>325000</v>
      </c>
    </row>
    <row r="146" spans="1:15">
      <c r="C146" t="s">
        <v>202</v>
      </c>
      <c r="D146" t="s">
        <v>203</v>
      </c>
      <c r="E146" s="451">
        <f>(9+26)/2*1000</f>
        <v>17500</v>
      </c>
      <c r="F146" s="451">
        <f>(6+18)/2*1000</f>
        <v>12000</v>
      </c>
      <c r="G146" s="451">
        <f>(5+16)/2*1000</f>
        <v>10500</v>
      </c>
      <c r="H146" s="74" t="s">
        <v>240</v>
      </c>
      <c r="I146" s="451">
        <f>IF($H146="▼",$E146-$E146*$I$4,IF($H146="▲",$E146+$E146*$I$4,$E146))</f>
        <v>17500</v>
      </c>
      <c r="J146" s="451">
        <f>IF($H146="▼",$F146-$F146*$J$4,IF($H146="▲",$F146+$F146*$J$4,$F146))</f>
        <v>12000</v>
      </c>
      <c r="K146" s="451">
        <f>IF($H146="▼",$G146-$G146*$K$4,IF($H146="▲",$G146+$G146*$K$4,$G146))</f>
        <v>10500</v>
      </c>
      <c r="L146" s="460" t="s">
        <v>240</v>
      </c>
      <c r="M146" s="451">
        <f>IF($L146="▼",$E146-$E146*$M$4,IF($L146="▲",$E146+$E146*$M$4,$E146))</f>
        <v>17500</v>
      </c>
      <c r="N146" s="451">
        <f>IF($L146="▼",$F146-$F146*$N$4,IF($L146="▲",$F146+$F146*$N$4,$F146))</f>
        <v>12000</v>
      </c>
      <c r="O146" s="451">
        <f>IF($L146="▼",$G146-$G146*$O$4,IF($L146="▲",$G146+$G146*$O$4,$G146))</f>
        <v>10500</v>
      </c>
    </row>
    <row r="147" spans="1:15">
      <c r="C147" s="81" t="s">
        <v>204</v>
      </c>
      <c r="D147" s="45" t="s">
        <v>199</v>
      </c>
      <c r="E147" s="451">
        <f>(450+650)/2*1000</f>
        <v>550000</v>
      </c>
      <c r="F147" s="451">
        <f>(300+450)/2*1000</f>
        <v>375000</v>
      </c>
      <c r="G147" s="451">
        <f>(400+250)/2*1000</f>
        <v>325000</v>
      </c>
      <c r="I147" s="451"/>
      <c r="J147" s="451"/>
      <c r="K147" s="451"/>
      <c r="L147" s="451"/>
      <c r="M147" s="451"/>
      <c r="N147" s="451"/>
      <c r="O147" s="451"/>
    </row>
    <row r="148" spans="1:15">
      <c r="C148" s="81" t="s">
        <v>210</v>
      </c>
      <c r="D148" s="45" t="s">
        <v>203</v>
      </c>
      <c r="E148">
        <v>17.5</v>
      </c>
      <c r="F148">
        <v>12</v>
      </c>
      <c r="G148">
        <v>10.5</v>
      </c>
      <c r="I148" s="451"/>
      <c r="J148" s="451"/>
      <c r="K148" s="451"/>
      <c r="L148" s="451"/>
      <c r="M148" s="451"/>
      <c r="N148" s="451"/>
      <c r="O148" s="451"/>
    </row>
    <row r="149" spans="1:15">
      <c r="C149" s="81" t="s">
        <v>211</v>
      </c>
      <c r="D149" t="s">
        <v>245</v>
      </c>
      <c r="E149">
        <v>25</v>
      </c>
      <c r="F149">
        <v>18</v>
      </c>
      <c r="G149">
        <v>30</v>
      </c>
      <c r="I149" s="451"/>
      <c r="J149" s="451"/>
      <c r="K149" s="451"/>
      <c r="L149" s="451"/>
      <c r="M149" s="451"/>
      <c r="N149" s="451"/>
      <c r="O149" s="451"/>
    </row>
    <row r="150" spans="1:15">
      <c r="I150" s="451"/>
      <c r="J150" s="451"/>
      <c r="K150" s="451"/>
      <c r="L150" s="451"/>
      <c r="M150" s="451"/>
      <c r="N150" s="451"/>
      <c r="O150" s="451"/>
    </row>
    <row r="151" spans="1:15">
      <c r="A151" s="1">
        <v>20</v>
      </c>
      <c r="B151" s="1">
        <v>1</v>
      </c>
      <c r="C151" s="88" t="s">
        <v>248</v>
      </c>
      <c r="D151" s="89"/>
      <c r="E151" s="89"/>
      <c r="F151" s="89"/>
      <c r="G151" s="89"/>
      <c r="H151" s="90"/>
      <c r="I151" s="469"/>
      <c r="J151" s="469"/>
      <c r="K151" s="469"/>
      <c r="L151" s="469"/>
      <c r="M151" s="469"/>
      <c r="N151" s="469"/>
      <c r="O151" s="469"/>
    </row>
    <row r="152" spans="1:15">
      <c r="C152" t="s">
        <v>198</v>
      </c>
      <c r="D152" t="s">
        <v>199</v>
      </c>
      <c r="E152" s="451">
        <v>440000</v>
      </c>
      <c r="F152" s="451">
        <v>425000</v>
      </c>
      <c r="G152" s="451">
        <v>410000</v>
      </c>
      <c r="H152" s="74" t="s">
        <v>240</v>
      </c>
      <c r="I152" s="451">
        <f>IF($H152="▼",$E152-$E152*$I$4,IF($H152="▲",$E152+$E152*$I$4,$E152))</f>
        <v>440000</v>
      </c>
      <c r="J152" s="451">
        <f>IF($H152="▼",$F152-$F152*$J$4,IF($H152="▲",$F152+$F152*$J$4,$F152))</f>
        <v>425000</v>
      </c>
      <c r="K152" s="451">
        <f>IF($H152="▼",$G152-$G152*$K$4,IF($H152="▲",$G152+$G152*$K$4,$G152))</f>
        <v>410000</v>
      </c>
      <c r="L152" s="460" t="s">
        <v>240</v>
      </c>
      <c r="M152" s="451">
        <f>IF($L152="▼",$E152-$E152*$M$4,IF($L152="▲",$E152+$E152*$M$4,$E152))</f>
        <v>440000</v>
      </c>
      <c r="N152" s="451">
        <f>IF($L152="▼",$F152-$F152*$N$4,IF($L152="▲",$F152+$F152*$N$4,$F152))</f>
        <v>425000</v>
      </c>
      <c r="O152" s="451">
        <f>IF($L152="▼",$G152-$G152*$O$4,IF($L152="▲",$G152+$G152*$O$4,$G152))</f>
        <v>410000</v>
      </c>
    </row>
    <row r="153" spans="1:15">
      <c r="C153" t="s">
        <v>202</v>
      </c>
      <c r="D153" t="s">
        <v>203</v>
      </c>
      <c r="E153" s="451">
        <v>7745</v>
      </c>
      <c r="F153" s="451">
        <v>7584</v>
      </c>
      <c r="G153" s="451">
        <v>7423</v>
      </c>
      <c r="H153" s="74" t="s">
        <v>240</v>
      </c>
      <c r="I153" s="451">
        <f>IF($H153="▼",$E153-$E153*$I$4,IF($H153="▲",$E153+$E153*$I$4,$E153))</f>
        <v>7745</v>
      </c>
      <c r="J153" s="451">
        <f>IF($H153="▼",$F153-$F153*$J$4,IF($H153="▲",$F153+$F153*$J$4,$F153))</f>
        <v>7584</v>
      </c>
      <c r="K153" s="451">
        <f>IF($H153="▼",$G153-$G153*$K$4,IF($H153="▲",$G153+$G153*$K$4,$G153))</f>
        <v>7423</v>
      </c>
      <c r="L153" s="460" t="s">
        <v>240</v>
      </c>
      <c r="M153" s="451">
        <f>IF($L153="▼",$E153-$E153*$M$4,IF($L153="▲",$E153+$E153*$M$4,$E153))</f>
        <v>7745</v>
      </c>
      <c r="N153" s="451">
        <f>IF($L153="▼",$F153-$F153*$N$4,IF($L153="▲",$F153+$F153*$N$4,$F153))</f>
        <v>7584</v>
      </c>
      <c r="O153" s="451">
        <f>IF($L153="▼",$G153-$G153*$O$4,IF($L153="▲",$G153+$G153*$O$4,$G153))</f>
        <v>7423</v>
      </c>
    </row>
    <row r="154" spans="1:15">
      <c r="C154" s="45" t="s">
        <v>218</v>
      </c>
      <c r="D154" s="45" t="s">
        <v>199</v>
      </c>
      <c r="E154" s="451">
        <v>440000</v>
      </c>
      <c r="F154" s="451">
        <v>425000</v>
      </c>
      <c r="G154" s="451">
        <v>410000</v>
      </c>
      <c r="I154" s="451"/>
      <c r="J154" s="451"/>
      <c r="K154" s="451"/>
      <c r="L154" s="451"/>
      <c r="M154" s="451"/>
      <c r="N154" s="451"/>
      <c r="O154" s="451"/>
    </row>
    <row r="155" spans="1:15">
      <c r="C155" s="45" t="s">
        <v>210</v>
      </c>
      <c r="D155" s="45" t="s">
        <v>203</v>
      </c>
      <c r="E155" s="451">
        <v>7745</v>
      </c>
      <c r="F155" s="451">
        <v>7584</v>
      </c>
      <c r="G155" s="451">
        <v>7423</v>
      </c>
      <c r="I155" s="451"/>
      <c r="J155" s="451"/>
      <c r="K155" s="451"/>
      <c r="L155" s="451"/>
      <c r="M155" s="451"/>
      <c r="N155" s="451"/>
      <c r="O155" s="451"/>
    </row>
    <row r="156" spans="1:15">
      <c r="C156" s="45" t="s">
        <v>211</v>
      </c>
      <c r="D156" s="45" t="s">
        <v>212</v>
      </c>
      <c r="E156">
        <v>25</v>
      </c>
      <c r="F156">
        <v>25</v>
      </c>
      <c r="G156">
        <v>25</v>
      </c>
      <c r="I156" s="451"/>
      <c r="J156" s="451"/>
      <c r="K156" s="451"/>
      <c r="L156" s="451"/>
      <c r="M156" s="451"/>
      <c r="N156" s="451"/>
      <c r="O156" s="451"/>
    </row>
    <row r="157" spans="1:15">
      <c r="I157" s="451"/>
      <c r="J157" s="451"/>
      <c r="K157" s="451"/>
      <c r="L157" s="451"/>
      <c r="M157" s="451"/>
      <c r="N157" s="451"/>
      <c r="O157" s="451"/>
    </row>
    <row r="158" spans="1:15">
      <c r="A158" s="1">
        <v>21</v>
      </c>
      <c r="B158" s="1">
        <v>1</v>
      </c>
      <c r="C158" s="91" t="s">
        <v>249</v>
      </c>
      <c r="D158" s="92"/>
      <c r="E158" s="92"/>
      <c r="F158" s="92"/>
      <c r="G158" s="92"/>
      <c r="H158" s="93"/>
      <c r="I158" s="470"/>
      <c r="J158" s="470"/>
      <c r="K158" s="470"/>
      <c r="L158" s="470"/>
      <c r="M158" s="470"/>
      <c r="N158" s="470"/>
      <c r="O158" s="470"/>
    </row>
    <row r="159" spans="1:15">
      <c r="C159" t="s">
        <v>198</v>
      </c>
      <c r="D159" t="s">
        <v>199</v>
      </c>
      <c r="E159" s="451">
        <v>830000</v>
      </c>
      <c r="F159" s="451">
        <v>815000</v>
      </c>
      <c r="G159" s="451">
        <v>800000</v>
      </c>
      <c r="H159" s="74" t="s">
        <v>240</v>
      </c>
      <c r="I159" s="451">
        <f>IF($H159="▼",$E159-$E159*$I$4,IF($H159="▲",$E159+$E159*$I$4,$E159))</f>
        <v>830000</v>
      </c>
      <c r="J159" s="451">
        <f>IF($H159="▼",$F159-$F159*$J$4,IF($H159="▲",$F159+$F159*$J$4,$F159))</f>
        <v>815000</v>
      </c>
      <c r="K159" s="451">
        <f>IF($H159="▼",$G159-$G159*$K$4,IF($H159="▲",$G159+$G159*$K$4,$G159))</f>
        <v>800000</v>
      </c>
      <c r="L159" s="460" t="s">
        <v>240</v>
      </c>
      <c r="M159" s="451">
        <f>IF($L159="▼",$E159-$E159*$M$4,IF($L159="▲",$E159+$E159*$M$4,$E159))</f>
        <v>830000</v>
      </c>
      <c r="N159" s="451">
        <f>IF($L159="▼",$F159-$F159*$N$4,IF($L159="▲",$F159+$F159*$N$4,$F159))</f>
        <v>815000</v>
      </c>
      <c r="O159" s="451">
        <f>IF($L159="▼",$G159-$G159*$O$4,IF($L159="▲",$G159+$G159*$O$4,$G159))</f>
        <v>800000</v>
      </c>
    </row>
    <row r="160" spans="1:15">
      <c r="C160" t="s">
        <v>202</v>
      </c>
      <c r="D160" t="s">
        <v>203</v>
      </c>
      <c r="E160" s="451">
        <v>27800</v>
      </c>
      <c r="F160" s="451">
        <v>26900</v>
      </c>
      <c r="G160" s="451">
        <v>26000</v>
      </c>
      <c r="H160" s="74" t="s">
        <v>240</v>
      </c>
      <c r="I160" s="451">
        <f>IF($H160="▼",$E160-$E160*$I$4,IF($H160="▲",$E160+$E160*$I$4,$E160))</f>
        <v>27800</v>
      </c>
      <c r="J160" s="451">
        <f>IF($H160="▼",$F160-$F160*$J$4,IF($H160="▲",$F160+$F160*$J$4,$F160))</f>
        <v>26900</v>
      </c>
      <c r="K160" s="451">
        <f>IF($H160="▼",$G160-$G160*$K$4,IF($H160="▲",$G160+$G160*$K$4,$G160))</f>
        <v>26000</v>
      </c>
      <c r="L160" s="460" t="s">
        <v>240</v>
      </c>
      <c r="M160" s="451">
        <f>IF($L160="▼",$E160-$E160*$M$4,IF($L160="▲",$E160+$E160*$M$4,$E160))</f>
        <v>27800</v>
      </c>
      <c r="N160" s="451">
        <f>IF($L160="▼",$F160-$F160*$N$4,IF($L160="▲",$F160+$F160*$N$4,$F160))</f>
        <v>26900</v>
      </c>
      <c r="O160" s="451">
        <f>IF($L160="▼",$G160-$G160*$O$4,IF($L160="▲",$G160+$G160*$O$4,$G160))</f>
        <v>26000</v>
      </c>
    </row>
    <row r="161" spans="2:15">
      <c r="C161" s="45" t="s">
        <v>218</v>
      </c>
      <c r="D161" s="45" t="s">
        <v>199</v>
      </c>
      <c r="E161" s="451">
        <v>830000</v>
      </c>
      <c r="F161" s="451">
        <v>815000</v>
      </c>
      <c r="G161" s="451">
        <v>800000</v>
      </c>
      <c r="I161" s="451"/>
      <c r="J161" s="451"/>
      <c r="K161" s="451"/>
      <c r="L161" s="451"/>
      <c r="M161" s="451"/>
      <c r="N161" s="451"/>
      <c r="O161" s="451"/>
    </row>
    <row r="162" spans="2:15">
      <c r="C162" s="45" t="s">
        <v>210</v>
      </c>
      <c r="D162" s="45" t="s">
        <v>203</v>
      </c>
      <c r="E162" s="451">
        <v>27800</v>
      </c>
      <c r="F162" s="451">
        <v>26900</v>
      </c>
      <c r="G162" s="451">
        <v>26000</v>
      </c>
      <c r="I162" s="451"/>
      <c r="J162" s="451"/>
      <c r="K162" s="451"/>
      <c r="L162" s="451"/>
      <c r="M162" s="451"/>
      <c r="N162" s="451"/>
      <c r="O162" s="451"/>
    </row>
    <row r="163" spans="2:15">
      <c r="C163" s="45" t="s">
        <v>211</v>
      </c>
      <c r="D163" s="45" t="s">
        <v>212</v>
      </c>
      <c r="E163">
        <v>25</v>
      </c>
      <c r="F163">
        <v>25</v>
      </c>
      <c r="G163">
        <v>25</v>
      </c>
      <c r="I163" s="451"/>
      <c r="J163" s="451"/>
      <c r="K163" s="451"/>
      <c r="L163" s="451"/>
      <c r="M163" s="451"/>
      <c r="N163" s="451"/>
      <c r="O163" s="451"/>
    </row>
    <row r="164" spans="2:15">
      <c r="I164" s="450"/>
      <c r="J164" s="450"/>
      <c r="K164" s="450"/>
      <c r="L164" s="450"/>
      <c r="M164" s="450"/>
      <c r="N164" s="450"/>
      <c r="O164" s="450"/>
    </row>
    <row r="165" spans="2:15">
      <c r="I165" s="450"/>
      <c r="J165" s="450"/>
      <c r="K165" s="450"/>
      <c r="L165" s="450"/>
      <c r="M165" s="450"/>
      <c r="N165" s="450"/>
      <c r="O165" s="450"/>
    </row>
    <row r="166" spans="2:15">
      <c r="B166" s="6" t="s">
        <v>250</v>
      </c>
      <c r="C166" s="94" t="s">
        <v>251</v>
      </c>
      <c r="D166" s="604" t="s">
        <v>252</v>
      </c>
      <c r="E166" s="604"/>
      <c r="F166" s="604"/>
      <c r="G166" s="604"/>
      <c r="H166" s="604"/>
      <c r="I166" s="604"/>
      <c r="J166" s="604"/>
      <c r="K166" s="604"/>
      <c r="L166" s="604"/>
      <c r="M166" s="604"/>
      <c r="N166" s="604"/>
      <c r="O166" s="604"/>
    </row>
    <row r="167" spans="2:15" ht="50.25" customHeight="1">
      <c r="B167" s="95" t="s">
        <v>253</v>
      </c>
      <c r="C167" s="96" t="s">
        <v>254</v>
      </c>
      <c r="D167" s="605" t="s">
        <v>255</v>
      </c>
      <c r="E167" s="605"/>
      <c r="F167" s="605"/>
      <c r="G167" s="605"/>
      <c r="H167" s="605"/>
      <c r="I167" s="605"/>
      <c r="J167" s="605"/>
      <c r="K167" s="605"/>
      <c r="L167" s="605"/>
      <c r="M167" s="605"/>
      <c r="N167" s="605"/>
      <c r="O167" s="605"/>
    </row>
    <row r="168" spans="2:15">
      <c r="B168" s="95" t="s">
        <v>256</v>
      </c>
      <c r="C168" s="97">
        <v>19</v>
      </c>
      <c r="D168" s="602" t="s">
        <v>257</v>
      </c>
      <c r="E168" s="602"/>
      <c r="F168" s="602"/>
      <c r="G168" s="602"/>
      <c r="H168" s="602"/>
      <c r="I168" s="602"/>
      <c r="J168" s="602"/>
      <c r="K168" s="602"/>
      <c r="L168" s="602"/>
      <c r="M168" s="602"/>
      <c r="N168" s="602"/>
      <c r="O168" s="602"/>
    </row>
  </sheetData>
  <mergeCells count="6">
    <mergeCell ref="D168:O168"/>
    <mergeCell ref="E2:G2"/>
    <mergeCell ref="I2:K2"/>
    <mergeCell ref="M2:O2"/>
    <mergeCell ref="D166:O166"/>
    <mergeCell ref="D167:O167"/>
  </mergeCells>
  <pageMargins left="0.7" right="0.7" top="0.78740157499999996" bottom="0.78740157499999996" header="0.3" footer="0.3"/>
  <pageSetup paperSize="9" orientation="portrait" r:id="rId1"/>
  <headerFooter>
    <oddFooter>&amp;C_x000D_&amp;1#&amp;"Calibri"&amp;10&amp;K000000 ISC - Uso INTERNO / INTERNAL Use</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93AC-7089-4498-801F-DDF0923450AC}">
  <sheetPr>
    <tabColor theme="7"/>
  </sheetPr>
  <dimension ref="A1:AI67"/>
  <sheetViews>
    <sheetView topLeftCell="N45" workbookViewId="0">
      <selection activeCell="AA1" sqref="AA1:AD1048576"/>
    </sheetView>
  </sheetViews>
  <sheetFormatPr defaultColWidth="11.42578125" defaultRowHeight="15"/>
  <cols>
    <col min="1" max="1" width="11.42578125" style="110"/>
    <col min="2" max="2" width="47" style="110" customWidth="1"/>
    <col min="3" max="3" width="11.42578125" style="111"/>
    <col min="4" max="6" width="11.42578125" style="110"/>
    <col min="7" max="7" width="11.42578125" style="111"/>
    <col min="8" max="10" width="11.42578125" style="110"/>
    <col min="11" max="11" width="11.42578125" style="111"/>
    <col min="12" max="26" width="11.42578125" style="110"/>
    <col min="27" max="27" width="11.42578125" style="556"/>
    <col min="28" max="30" width="11.42578125" style="557"/>
    <col min="31" max="31" width="11.42578125" style="111"/>
    <col min="32" max="34" width="11.42578125" style="110"/>
    <col min="35" max="35" width="11.42578125" style="111"/>
    <col min="36" max="16384" width="11.42578125" style="110"/>
  </cols>
  <sheetData>
    <row r="1" spans="1:35" ht="23.25">
      <c r="B1" s="381" t="s">
        <v>22</v>
      </c>
    </row>
    <row r="2" spans="1:35" s="101" customFormat="1">
      <c r="A2" s="98"/>
      <c r="B2" s="99"/>
      <c r="C2" s="607" t="s">
        <v>258</v>
      </c>
      <c r="D2" s="608"/>
      <c r="E2" s="608"/>
      <c r="F2" s="609"/>
      <c r="G2" s="613" t="s">
        <v>259</v>
      </c>
      <c r="H2" s="614"/>
      <c r="I2" s="614"/>
      <c r="J2" s="615"/>
      <c r="K2" s="619" t="s">
        <v>260</v>
      </c>
      <c r="L2" s="620"/>
      <c r="M2" s="620"/>
      <c r="N2" s="621"/>
      <c r="O2" s="619" t="s">
        <v>261</v>
      </c>
      <c r="P2" s="620"/>
      <c r="Q2" s="620"/>
      <c r="R2" s="621"/>
      <c r="S2" s="619" t="s">
        <v>262</v>
      </c>
      <c r="T2" s="620"/>
      <c r="U2" s="620"/>
      <c r="V2" s="621"/>
      <c r="W2" s="619" t="s">
        <v>242</v>
      </c>
      <c r="X2" s="620"/>
      <c r="Y2" s="620"/>
      <c r="Z2" s="621"/>
      <c r="AA2" s="622" t="s">
        <v>263</v>
      </c>
      <c r="AB2" s="623"/>
      <c r="AC2" s="623"/>
      <c r="AD2" s="624"/>
      <c r="AE2" s="619" t="s">
        <v>264</v>
      </c>
      <c r="AF2" s="620"/>
      <c r="AG2" s="620"/>
      <c r="AH2" s="620"/>
      <c r="AI2" s="100"/>
    </row>
    <row r="3" spans="1:35" s="101" customFormat="1">
      <c r="A3" s="98"/>
      <c r="B3" s="99"/>
      <c r="C3" s="610"/>
      <c r="D3" s="611"/>
      <c r="E3" s="611"/>
      <c r="F3" s="612"/>
      <c r="G3" s="616"/>
      <c r="H3" s="617"/>
      <c r="I3" s="617"/>
      <c r="J3" s="618"/>
      <c r="K3" s="610"/>
      <c r="L3" s="611"/>
      <c r="M3" s="611"/>
      <c r="N3" s="612"/>
      <c r="O3" s="610"/>
      <c r="P3" s="611"/>
      <c r="Q3" s="611"/>
      <c r="R3" s="612"/>
      <c r="S3" s="610"/>
      <c r="T3" s="611"/>
      <c r="U3" s="611"/>
      <c r="V3" s="612"/>
      <c r="W3" s="610"/>
      <c r="X3" s="611"/>
      <c r="Y3" s="611"/>
      <c r="Z3" s="612"/>
      <c r="AA3" s="625"/>
      <c r="AB3" s="626"/>
      <c r="AC3" s="626"/>
      <c r="AD3" s="627"/>
      <c r="AE3" s="610"/>
      <c r="AF3" s="611"/>
      <c r="AG3" s="611"/>
      <c r="AH3" s="611"/>
      <c r="AI3" s="100"/>
    </row>
    <row r="4" spans="1:35" s="101" customFormat="1">
      <c r="A4" s="102"/>
      <c r="B4" s="103"/>
      <c r="C4" s="104">
        <v>2030</v>
      </c>
      <c r="D4" s="105">
        <v>2040</v>
      </c>
      <c r="E4" s="105">
        <v>2050</v>
      </c>
      <c r="F4" s="105" t="s">
        <v>196</v>
      </c>
      <c r="G4" s="104">
        <v>2030</v>
      </c>
      <c r="H4" s="105">
        <v>2040</v>
      </c>
      <c r="I4" s="105">
        <v>2050</v>
      </c>
      <c r="J4" s="105" t="s">
        <v>196</v>
      </c>
      <c r="K4" s="104">
        <v>2030</v>
      </c>
      <c r="L4" s="105">
        <v>2040</v>
      </c>
      <c r="M4" s="105">
        <v>2050</v>
      </c>
      <c r="N4" s="102" t="s">
        <v>196</v>
      </c>
      <c r="O4" s="105">
        <v>2030</v>
      </c>
      <c r="P4" s="105">
        <v>2040</v>
      </c>
      <c r="Q4" s="105">
        <v>2050</v>
      </c>
      <c r="R4" s="102" t="s">
        <v>196</v>
      </c>
      <c r="S4" s="105">
        <v>2030</v>
      </c>
      <c r="T4" s="105">
        <v>2040</v>
      </c>
      <c r="U4" s="105">
        <v>2050</v>
      </c>
      <c r="V4" s="102" t="s">
        <v>196</v>
      </c>
      <c r="W4" s="105">
        <v>2030</v>
      </c>
      <c r="X4" s="105">
        <v>2040</v>
      </c>
      <c r="Y4" s="105">
        <v>2050</v>
      </c>
      <c r="Z4" s="105" t="s">
        <v>196</v>
      </c>
      <c r="AA4" s="558">
        <v>2030</v>
      </c>
      <c r="AB4" s="559">
        <v>2040</v>
      </c>
      <c r="AC4" s="559">
        <v>2050</v>
      </c>
      <c r="AD4" s="559" t="s">
        <v>196</v>
      </c>
      <c r="AE4" s="104">
        <v>2030</v>
      </c>
      <c r="AF4" s="105">
        <v>2040</v>
      </c>
      <c r="AG4" s="105">
        <v>2050</v>
      </c>
      <c r="AH4" s="105" t="s">
        <v>196</v>
      </c>
      <c r="AI4" s="104"/>
    </row>
    <row r="5" spans="1:35">
      <c r="A5" s="106"/>
      <c r="B5" s="107" t="s">
        <v>265</v>
      </c>
      <c r="C5" s="108">
        <v>1.8</v>
      </c>
      <c r="D5" s="109">
        <v>1.65</v>
      </c>
      <c r="E5" s="109">
        <v>1.64</v>
      </c>
      <c r="F5" s="109"/>
      <c r="G5" s="108">
        <v>2.4700000000000002</v>
      </c>
      <c r="H5" s="109">
        <v>2.31</v>
      </c>
      <c r="I5" s="109">
        <v>2.29</v>
      </c>
      <c r="J5" s="109"/>
      <c r="K5" s="108">
        <v>2.06</v>
      </c>
      <c r="L5" s="109">
        <v>1.9</v>
      </c>
      <c r="M5" s="109">
        <v>1.88</v>
      </c>
      <c r="N5" s="106"/>
      <c r="O5" s="109">
        <v>2.31</v>
      </c>
      <c r="P5" s="109">
        <v>2</v>
      </c>
      <c r="Q5" s="109">
        <v>1.9</v>
      </c>
      <c r="R5" s="106"/>
      <c r="S5" s="109"/>
      <c r="T5" s="109"/>
      <c r="U5" s="109"/>
      <c r="V5" s="106"/>
      <c r="W5" s="109">
        <v>0.25</v>
      </c>
      <c r="X5" s="109">
        <v>0.25</v>
      </c>
      <c r="Y5" s="109">
        <v>0.25</v>
      </c>
      <c r="Z5" s="109"/>
      <c r="AA5" s="560"/>
      <c r="AB5" s="561"/>
      <c r="AC5" s="561"/>
      <c r="AD5" s="561"/>
      <c r="AE5" s="108">
        <v>0.85</v>
      </c>
      <c r="AF5" s="109">
        <v>0.68</v>
      </c>
      <c r="AG5" s="109">
        <v>0.63</v>
      </c>
      <c r="AH5" s="109"/>
      <c r="AI5" s="108"/>
    </row>
    <row r="6" spans="1:35">
      <c r="A6" s="106"/>
      <c r="B6" s="107" t="s">
        <v>266</v>
      </c>
      <c r="C6" s="108">
        <v>5.8000000000000003E-2</v>
      </c>
      <c r="D6" s="109">
        <v>5.0999999999999997E-2</v>
      </c>
      <c r="E6" s="109">
        <v>4.9000000000000002E-2</v>
      </c>
      <c r="F6" s="109"/>
      <c r="G6" s="108">
        <v>7.2999999999999995E-2</v>
      </c>
      <c r="H6" s="109">
        <v>6.6000000000000003E-2</v>
      </c>
      <c r="I6" s="109">
        <v>6.4000000000000001E-2</v>
      </c>
      <c r="J6" s="109"/>
      <c r="K6" s="108">
        <v>6.5000000000000002E-2</v>
      </c>
      <c r="L6" s="109">
        <v>5.8000000000000003E-2</v>
      </c>
      <c r="M6" s="109">
        <v>5.6000000000000001E-2</v>
      </c>
      <c r="N6" s="106"/>
      <c r="O6" s="109">
        <v>9.2999999999999999E-2</v>
      </c>
      <c r="P6" s="109">
        <v>7.8E-2</v>
      </c>
      <c r="Q6" s="109">
        <v>7.2999999999999995E-2</v>
      </c>
      <c r="R6" s="106"/>
      <c r="S6" s="109"/>
      <c r="T6" s="109"/>
      <c r="U6" s="109"/>
      <c r="V6" s="106"/>
      <c r="W6" s="109"/>
      <c r="X6" s="109"/>
      <c r="Y6" s="109"/>
      <c r="Z6" s="109"/>
      <c r="AA6" s="560"/>
      <c r="AB6" s="561"/>
      <c r="AC6" s="561"/>
      <c r="AD6" s="561"/>
      <c r="AE6" s="108">
        <v>1.7999999999999999E-2</v>
      </c>
      <c r="AF6" s="109">
        <v>1.4999999999999999E-2</v>
      </c>
      <c r="AG6" s="109">
        <v>1.4E-2</v>
      </c>
      <c r="AH6" s="109"/>
      <c r="AI6" s="108"/>
    </row>
    <row r="7" spans="1:35">
      <c r="A7" s="106"/>
      <c r="B7" s="107" t="s">
        <v>267</v>
      </c>
      <c r="C7" s="108"/>
      <c r="D7" s="109"/>
      <c r="E7" s="109"/>
      <c r="F7" s="109"/>
      <c r="G7" s="108"/>
      <c r="H7" s="109"/>
      <c r="I7" s="109"/>
      <c r="J7" s="109"/>
      <c r="K7" s="108"/>
      <c r="L7" s="109"/>
      <c r="M7" s="109"/>
      <c r="N7" s="106"/>
      <c r="O7" s="109"/>
      <c r="P7" s="109"/>
      <c r="Q7" s="109"/>
      <c r="R7" s="106"/>
      <c r="S7" s="110">
        <v>1.6175E-3</v>
      </c>
      <c r="T7" s="110">
        <v>1.6175E-3</v>
      </c>
      <c r="U7" s="110">
        <v>1.6175E-3</v>
      </c>
      <c r="V7" s="106"/>
      <c r="W7" s="109"/>
      <c r="X7" s="109"/>
      <c r="Y7" s="109"/>
      <c r="Z7" s="109"/>
      <c r="AA7" s="556">
        <v>5.2857100000000003E-4</v>
      </c>
      <c r="AB7" s="557">
        <v>5.2857100000000003E-4</v>
      </c>
      <c r="AC7" s="557">
        <v>5.2857100000000003E-4</v>
      </c>
      <c r="AD7" s="561"/>
      <c r="AE7" s="108"/>
      <c r="AF7" s="109"/>
      <c r="AG7" s="109"/>
      <c r="AH7" s="109"/>
      <c r="AI7" s="108"/>
    </row>
    <row r="8" spans="1:35">
      <c r="A8" s="112"/>
      <c r="B8" s="113" t="s">
        <v>268</v>
      </c>
      <c r="C8" s="114"/>
      <c r="D8" s="115"/>
      <c r="E8" s="115"/>
      <c r="F8" s="115"/>
      <c r="G8" s="114"/>
      <c r="H8" s="115"/>
      <c r="I8" s="115"/>
      <c r="J8" s="115"/>
      <c r="K8" s="114"/>
      <c r="L8" s="115"/>
      <c r="M8" s="115"/>
      <c r="N8" s="112"/>
      <c r="O8" s="115"/>
      <c r="P8" s="115"/>
      <c r="Q8" s="115"/>
      <c r="R8" s="112"/>
      <c r="S8" s="115">
        <v>4.0399999999999999E-5</v>
      </c>
      <c r="T8" s="115">
        <v>4.0399999999999999E-5</v>
      </c>
      <c r="U8" s="115">
        <v>4.0399999999999999E-5</v>
      </c>
      <c r="V8" s="112"/>
      <c r="W8" s="115"/>
      <c r="X8" s="115"/>
      <c r="Y8" s="115"/>
      <c r="Z8" s="115"/>
      <c r="AA8" s="562">
        <v>1.6592600000000001E-6</v>
      </c>
      <c r="AB8" s="563">
        <v>1.6592600000000001E-6</v>
      </c>
      <c r="AC8" s="563">
        <v>1.6592600000000001E-6</v>
      </c>
      <c r="AD8" s="564"/>
      <c r="AE8" s="114"/>
      <c r="AF8" s="115"/>
      <c r="AG8" s="115"/>
      <c r="AH8" s="115"/>
      <c r="AI8" s="114"/>
    </row>
    <row r="9" spans="1:35">
      <c r="A9" s="116"/>
      <c r="B9" s="117"/>
      <c r="C9" s="118"/>
      <c r="D9" s="119"/>
      <c r="E9" s="119"/>
      <c r="F9" s="119"/>
      <c r="G9" s="118"/>
      <c r="H9" s="119"/>
      <c r="I9" s="119"/>
      <c r="J9" s="119"/>
      <c r="K9" s="118"/>
      <c r="L9" s="119"/>
      <c r="M9" s="119"/>
      <c r="N9" s="116"/>
      <c r="O9" s="119"/>
      <c r="P9" s="119"/>
      <c r="Q9" s="119"/>
      <c r="R9" s="116"/>
      <c r="S9" s="119"/>
      <c r="T9" s="119"/>
      <c r="U9" s="119"/>
      <c r="V9" s="116"/>
      <c r="W9" s="119"/>
      <c r="X9" s="119"/>
      <c r="Y9" s="119"/>
      <c r="Z9" s="119"/>
      <c r="AA9" s="565"/>
      <c r="AB9" s="566"/>
      <c r="AC9" s="566"/>
      <c r="AD9" s="566"/>
      <c r="AE9" s="118"/>
      <c r="AF9" s="119"/>
      <c r="AG9" s="119"/>
      <c r="AH9" s="119"/>
      <c r="AI9" s="118"/>
    </row>
    <row r="10" spans="1:35">
      <c r="A10" s="628" t="s">
        <v>265</v>
      </c>
      <c r="B10" s="107" t="s">
        <v>269</v>
      </c>
      <c r="C10" s="108">
        <v>1.56</v>
      </c>
      <c r="D10" s="109">
        <v>1.4</v>
      </c>
      <c r="E10" s="109">
        <v>1.38</v>
      </c>
      <c r="F10" s="109"/>
      <c r="G10" s="108">
        <v>1.56</v>
      </c>
      <c r="H10" s="109">
        <v>1.4</v>
      </c>
      <c r="I10" s="109">
        <v>1.38</v>
      </c>
      <c r="J10" s="109"/>
      <c r="K10" s="108">
        <v>1.56</v>
      </c>
      <c r="L10" s="109">
        <v>1.4</v>
      </c>
      <c r="M10" s="109">
        <v>1.38</v>
      </c>
      <c r="N10" s="120"/>
      <c r="O10" s="109">
        <v>1.57</v>
      </c>
      <c r="P10" s="109">
        <v>1.42</v>
      </c>
      <c r="Q10" s="109">
        <v>1.4</v>
      </c>
      <c r="R10" s="120"/>
      <c r="S10" s="109"/>
      <c r="T10" s="109"/>
      <c r="U10" s="109"/>
      <c r="V10" s="120"/>
      <c r="W10" s="109"/>
      <c r="X10" s="109"/>
      <c r="Y10" s="109"/>
      <c r="Z10" s="109"/>
      <c r="AA10" s="560"/>
      <c r="AB10" s="561"/>
      <c r="AC10" s="561"/>
      <c r="AD10" s="561"/>
      <c r="AE10" s="108"/>
      <c r="AF10" s="109"/>
      <c r="AG10" s="109"/>
      <c r="AH10" s="109"/>
      <c r="AI10" s="108"/>
    </row>
    <row r="11" spans="1:35">
      <c r="A11" s="628"/>
      <c r="B11" s="121" t="s">
        <v>270</v>
      </c>
      <c r="C11" s="108">
        <v>0.67</v>
      </c>
      <c r="D11" s="109">
        <v>0.61</v>
      </c>
      <c r="E11" s="109">
        <v>0.61</v>
      </c>
      <c r="F11" s="109" t="s">
        <v>271</v>
      </c>
      <c r="G11" s="108">
        <v>0.67</v>
      </c>
      <c r="H11" s="109">
        <v>0.61</v>
      </c>
      <c r="I11" s="109">
        <v>0.61</v>
      </c>
      <c r="J11" s="109" t="s">
        <v>271</v>
      </c>
      <c r="K11" s="108">
        <v>0.67</v>
      </c>
      <c r="L11" s="109">
        <v>0.61</v>
      </c>
      <c r="M11" s="109">
        <v>0.61</v>
      </c>
      <c r="N11" s="106" t="s">
        <v>271</v>
      </c>
      <c r="O11" s="109">
        <v>0.67</v>
      </c>
      <c r="P11" s="109">
        <v>0.61</v>
      </c>
      <c r="Q11" s="109">
        <v>0.61</v>
      </c>
      <c r="R11" s="120" t="s">
        <v>271</v>
      </c>
      <c r="S11" s="109"/>
      <c r="T11" s="109"/>
      <c r="U11" s="109"/>
      <c r="V11" s="120"/>
      <c r="W11" s="109"/>
      <c r="X11" s="109"/>
      <c r="Y11" s="109"/>
      <c r="Z11" s="109"/>
      <c r="AA11" s="560"/>
      <c r="AB11" s="561"/>
      <c r="AC11" s="561"/>
      <c r="AD11" s="561"/>
      <c r="AE11" s="108"/>
      <c r="AF11" s="109"/>
      <c r="AG11" s="109"/>
      <c r="AH11" s="109"/>
      <c r="AI11" s="108"/>
    </row>
    <row r="12" spans="1:35">
      <c r="A12" s="628"/>
      <c r="B12" s="121" t="s">
        <v>272</v>
      </c>
      <c r="C12" s="108">
        <v>0.22</v>
      </c>
      <c r="D12" s="109">
        <v>0.22</v>
      </c>
      <c r="E12" s="109">
        <v>0.21</v>
      </c>
      <c r="F12" s="109" t="s">
        <v>271</v>
      </c>
      <c r="G12" s="108">
        <v>0.22</v>
      </c>
      <c r="H12" s="109">
        <v>0.22</v>
      </c>
      <c r="I12" s="109">
        <v>0.21</v>
      </c>
      <c r="J12" s="109" t="s">
        <v>271</v>
      </c>
      <c r="K12" s="108">
        <v>0.22</v>
      </c>
      <c r="L12" s="109">
        <v>0.22</v>
      </c>
      <c r="M12" s="109">
        <v>0.21</v>
      </c>
      <c r="N12" s="106" t="s">
        <v>271</v>
      </c>
      <c r="O12" s="109">
        <v>0.22</v>
      </c>
      <c r="P12" s="109">
        <v>0.22</v>
      </c>
      <c r="Q12" s="109">
        <v>0.21</v>
      </c>
      <c r="R12" s="106" t="s">
        <v>271</v>
      </c>
      <c r="S12" s="109"/>
      <c r="T12" s="109"/>
      <c r="U12" s="109"/>
      <c r="V12" s="120"/>
      <c r="W12" s="109"/>
      <c r="X12" s="109"/>
      <c r="Y12" s="109"/>
      <c r="Z12" s="109"/>
      <c r="AA12" s="560"/>
      <c r="AB12" s="561"/>
      <c r="AC12" s="561"/>
      <c r="AD12" s="561"/>
      <c r="AE12" s="108"/>
      <c r="AF12" s="109"/>
      <c r="AG12" s="109"/>
      <c r="AH12" s="109"/>
      <c r="AI12" s="108"/>
    </row>
    <row r="13" spans="1:35">
      <c r="A13" s="628"/>
      <c r="B13" s="121" t="s">
        <v>273</v>
      </c>
      <c r="C13" s="108">
        <v>0.65</v>
      </c>
      <c r="D13" s="109">
        <v>0.56000000000000005</v>
      </c>
      <c r="E13" s="109">
        <v>0.55000000000000004</v>
      </c>
      <c r="F13" s="109" t="s">
        <v>271</v>
      </c>
      <c r="G13" s="108">
        <v>0.65</v>
      </c>
      <c r="H13" s="109">
        <v>0.56000000000000005</v>
      </c>
      <c r="I13" s="109">
        <v>0.55000000000000004</v>
      </c>
      <c r="J13" s="109" t="s">
        <v>271</v>
      </c>
      <c r="K13" s="108">
        <v>0.65</v>
      </c>
      <c r="L13" s="109">
        <v>0.56000000000000005</v>
      </c>
      <c r="M13" s="109">
        <v>0.55000000000000004</v>
      </c>
      <c r="N13" s="106" t="s">
        <v>271</v>
      </c>
      <c r="O13" s="109">
        <v>0.65</v>
      </c>
      <c r="P13" s="109">
        <v>0.56000000000000005</v>
      </c>
      <c r="Q13" s="109">
        <v>0.55000000000000004</v>
      </c>
      <c r="R13" s="106" t="s">
        <v>271</v>
      </c>
      <c r="S13" s="109"/>
      <c r="T13" s="109"/>
      <c r="U13" s="109"/>
      <c r="V13" s="106"/>
      <c r="W13" s="109"/>
      <c r="X13" s="109"/>
      <c r="Y13" s="109"/>
      <c r="Z13" s="109"/>
      <c r="AA13" s="560"/>
      <c r="AB13" s="561"/>
      <c r="AC13" s="561"/>
      <c r="AD13" s="561"/>
      <c r="AE13" s="108"/>
      <c r="AF13" s="109"/>
      <c r="AG13" s="109"/>
      <c r="AH13" s="109"/>
      <c r="AI13" s="108"/>
    </row>
    <row r="14" spans="1:35">
      <c r="A14" s="628"/>
      <c r="B14" s="121" t="s">
        <v>274</v>
      </c>
      <c r="C14" s="108">
        <v>0.02</v>
      </c>
      <c r="D14" s="109">
        <v>0.01</v>
      </c>
      <c r="E14" s="109">
        <v>0.01</v>
      </c>
      <c r="F14" s="109" t="s">
        <v>271</v>
      </c>
      <c r="G14" s="108">
        <v>0.02</v>
      </c>
      <c r="H14" s="109">
        <v>0.01</v>
      </c>
      <c r="I14" s="109">
        <v>0.01</v>
      </c>
      <c r="J14" s="109" t="s">
        <v>271</v>
      </c>
      <c r="K14" s="108">
        <v>0.02</v>
      </c>
      <c r="L14" s="109">
        <v>0.01</v>
      </c>
      <c r="M14" s="109">
        <v>0.01</v>
      </c>
      <c r="N14" s="106" t="s">
        <v>271</v>
      </c>
      <c r="O14" s="109"/>
      <c r="P14" s="109"/>
      <c r="Q14" s="109"/>
      <c r="R14" s="106"/>
      <c r="S14" s="109" t="s">
        <v>275</v>
      </c>
      <c r="T14" s="109">
        <v>2.31</v>
      </c>
      <c r="U14" s="109" t="s">
        <v>276</v>
      </c>
      <c r="V14" s="106"/>
      <c r="W14" s="109"/>
      <c r="X14" s="109"/>
      <c r="Y14" s="109"/>
      <c r="Z14" s="109"/>
      <c r="AA14" s="560"/>
      <c r="AB14" s="561"/>
      <c r="AC14" s="561"/>
      <c r="AD14" s="561"/>
      <c r="AE14" s="108"/>
      <c r="AF14" s="109"/>
      <c r="AG14" s="109"/>
      <c r="AH14" s="109"/>
      <c r="AI14" s="108"/>
    </row>
    <row r="15" spans="1:35">
      <c r="A15" s="628"/>
      <c r="B15" s="121" t="s">
        <v>277</v>
      </c>
      <c r="C15" s="108"/>
      <c r="D15" s="109"/>
      <c r="E15" s="109"/>
      <c r="F15" s="109"/>
      <c r="G15" s="108"/>
      <c r="H15" s="109"/>
      <c r="I15" s="109"/>
      <c r="J15" s="109"/>
      <c r="K15" s="108"/>
      <c r="L15" s="109"/>
      <c r="M15" s="109"/>
      <c r="N15" s="106"/>
      <c r="O15" s="110">
        <v>0.03</v>
      </c>
      <c r="P15" s="110">
        <v>2.8125000000000001E-2</v>
      </c>
      <c r="Q15" s="110">
        <v>2.765625E-2</v>
      </c>
      <c r="R15" s="106" t="s">
        <v>278</v>
      </c>
      <c r="S15" s="109" t="s">
        <v>279</v>
      </c>
      <c r="T15" s="109">
        <v>2.71</v>
      </c>
      <c r="U15" s="109" t="s">
        <v>280</v>
      </c>
      <c r="V15" s="106"/>
      <c r="W15" s="109"/>
      <c r="X15" s="109"/>
      <c r="Y15" s="109"/>
      <c r="Z15" s="109"/>
      <c r="AA15" s="560"/>
      <c r="AB15" s="561"/>
      <c r="AC15" s="561"/>
      <c r="AD15" s="561"/>
      <c r="AE15" s="108"/>
      <c r="AF15" s="109"/>
      <c r="AG15" s="109"/>
      <c r="AH15" s="109"/>
      <c r="AI15" s="108"/>
    </row>
    <row r="16" spans="1:35">
      <c r="A16" s="628"/>
      <c r="B16" s="107"/>
      <c r="C16" s="108"/>
      <c r="D16" s="109"/>
      <c r="E16" s="109"/>
      <c r="F16" s="109"/>
      <c r="G16" s="108"/>
      <c r="H16" s="109"/>
      <c r="I16" s="109"/>
      <c r="J16" s="109"/>
      <c r="K16" s="108"/>
      <c r="L16" s="109"/>
      <c r="M16" s="109"/>
      <c r="N16" s="106"/>
      <c r="O16" s="109"/>
      <c r="P16" s="109"/>
      <c r="Q16" s="109"/>
      <c r="R16" s="106"/>
      <c r="S16" s="109"/>
      <c r="T16" s="109">
        <v>1.9</v>
      </c>
      <c r="U16" s="109"/>
      <c r="V16" s="106"/>
      <c r="W16" s="109"/>
      <c r="X16" s="109"/>
      <c r="Y16" s="109"/>
      <c r="Z16" s="109"/>
      <c r="AA16" s="560"/>
      <c r="AB16" s="561"/>
      <c r="AC16" s="561"/>
      <c r="AD16" s="561"/>
      <c r="AE16" s="108"/>
      <c r="AF16" s="109"/>
      <c r="AG16" s="109"/>
      <c r="AH16" s="109"/>
      <c r="AI16" s="108"/>
    </row>
    <row r="17" spans="1:35">
      <c r="A17" s="628"/>
      <c r="B17" s="107" t="s">
        <v>281</v>
      </c>
      <c r="C17" s="108"/>
      <c r="D17" s="109"/>
      <c r="E17" s="109"/>
      <c r="F17" s="109"/>
      <c r="G17" s="108"/>
      <c r="H17" s="109"/>
      <c r="I17" s="109"/>
      <c r="J17" s="109"/>
      <c r="K17" s="108"/>
      <c r="L17" s="109"/>
      <c r="M17" s="109"/>
      <c r="N17" s="106"/>
      <c r="O17" s="109">
        <v>0.66</v>
      </c>
      <c r="P17" s="109">
        <v>0.5</v>
      </c>
      <c r="Q17" s="109">
        <v>0.43</v>
      </c>
      <c r="R17" s="106"/>
      <c r="S17" s="109"/>
      <c r="T17" s="109"/>
      <c r="U17" s="109"/>
      <c r="V17" s="106"/>
      <c r="W17" s="109"/>
      <c r="X17" s="109"/>
      <c r="Y17" s="109"/>
      <c r="Z17" s="109"/>
      <c r="AA17" s="560"/>
      <c r="AB17" s="561"/>
      <c r="AC17" s="561"/>
      <c r="AD17" s="561"/>
      <c r="AE17" s="108">
        <v>0.85</v>
      </c>
      <c r="AF17" s="109">
        <v>0.68</v>
      </c>
      <c r="AG17" s="109">
        <v>0.63</v>
      </c>
      <c r="AH17" s="109"/>
      <c r="AI17" s="108"/>
    </row>
    <row r="18" spans="1:35">
      <c r="A18" s="628"/>
      <c r="B18" s="121" t="s">
        <v>282</v>
      </c>
      <c r="C18" s="108"/>
      <c r="D18" s="109"/>
      <c r="E18" s="109"/>
      <c r="F18" s="109"/>
      <c r="G18" s="108"/>
      <c r="H18" s="109"/>
      <c r="I18" s="109"/>
      <c r="J18" s="109"/>
      <c r="K18" s="108"/>
      <c r="L18" s="109"/>
      <c r="M18" s="109"/>
      <c r="N18" s="106"/>
      <c r="O18" s="109">
        <v>0.61</v>
      </c>
      <c r="P18" s="109">
        <v>0.45</v>
      </c>
      <c r="Q18" s="109">
        <v>0.38</v>
      </c>
      <c r="R18" s="106" t="s">
        <v>278</v>
      </c>
      <c r="S18" s="109"/>
      <c r="T18" s="109"/>
      <c r="U18" s="109"/>
      <c r="V18" s="106"/>
      <c r="W18" s="109"/>
      <c r="X18" s="109"/>
      <c r="Y18" s="109"/>
      <c r="Z18" s="109"/>
      <c r="AA18" s="560"/>
      <c r="AB18" s="561"/>
      <c r="AC18" s="561"/>
      <c r="AD18" s="561"/>
      <c r="AE18" s="108">
        <v>0.56999999999999995</v>
      </c>
      <c r="AF18" s="109">
        <v>0.39</v>
      </c>
      <c r="AG18" s="109">
        <v>0.34</v>
      </c>
      <c r="AH18" s="109" t="s">
        <v>283</v>
      </c>
      <c r="AI18" s="108"/>
    </row>
    <row r="19" spans="1:35">
      <c r="A19" s="628"/>
      <c r="B19" s="121" t="s">
        <v>284</v>
      </c>
      <c r="C19" s="108"/>
      <c r="D19" s="109"/>
      <c r="E19" s="109"/>
      <c r="F19" s="109"/>
      <c r="G19" s="108"/>
      <c r="H19" s="109"/>
      <c r="I19" s="109"/>
      <c r="J19" s="109"/>
      <c r="K19" s="108"/>
      <c r="L19" s="109"/>
      <c r="M19" s="109"/>
      <c r="N19" s="106"/>
      <c r="O19" s="109">
        <v>0.01</v>
      </c>
      <c r="P19" s="109">
        <v>0.01</v>
      </c>
      <c r="Q19" s="109">
        <v>0.01</v>
      </c>
      <c r="R19" s="106" t="s">
        <v>285</v>
      </c>
      <c r="S19" s="109"/>
      <c r="T19" s="109"/>
      <c r="U19" s="109"/>
      <c r="V19" s="106"/>
      <c r="W19" s="109"/>
      <c r="X19" s="109"/>
      <c r="Y19" s="109"/>
      <c r="Z19" s="109"/>
      <c r="AA19" s="560"/>
      <c r="AB19" s="561"/>
      <c r="AC19" s="561"/>
      <c r="AD19" s="561"/>
      <c r="AE19" s="108">
        <v>0.01</v>
      </c>
      <c r="AF19" s="109">
        <v>0.01</v>
      </c>
      <c r="AG19" s="109">
        <v>0.01</v>
      </c>
      <c r="AH19" s="109" t="s">
        <v>285</v>
      </c>
      <c r="AI19" s="108"/>
    </row>
    <row r="20" spans="1:35">
      <c r="A20" s="628"/>
      <c r="B20" s="121" t="s">
        <v>286</v>
      </c>
      <c r="C20" s="108"/>
      <c r="D20" s="109"/>
      <c r="E20" s="109"/>
      <c r="F20" s="109"/>
      <c r="G20" s="108"/>
      <c r="H20" s="109"/>
      <c r="I20" s="109"/>
      <c r="J20" s="109"/>
      <c r="K20" s="108"/>
      <c r="L20" s="109"/>
      <c r="M20" s="109"/>
      <c r="N20" s="106"/>
      <c r="O20" s="109"/>
      <c r="P20" s="109"/>
      <c r="Q20" s="109"/>
      <c r="R20" s="106"/>
      <c r="S20" s="109"/>
      <c r="T20" s="109"/>
      <c r="U20" s="109"/>
      <c r="V20" s="106"/>
      <c r="W20" s="109"/>
      <c r="X20" s="109"/>
      <c r="Y20" s="109"/>
      <c r="Z20" s="109"/>
      <c r="AA20" s="560"/>
      <c r="AB20" s="561"/>
      <c r="AC20" s="561"/>
      <c r="AD20" s="561"/>
      <c r="AE20" s="108">
        <v>0.04</v>
      </c>
      <c r="AF20" s="109">
        <v>0.04</v>
      </c>
      <c r="AG20" s="109">
        <v>0.04</v>
      </c>
      <c r="AH20" s="109" t="s">
        <v>285</v>
      </c>
      <c r="AI20" s="108"/>
    </row>
    <row r="21" spans="1:35">
      <c r="A21" s="628"/>
      <c r="B21" s="121" t="s">
        <v>287</v>
      </c>
      <c r="C21" s="108"/>
      <c r="D21" s="109"/>
      <c r="E21" s="109"/>
      <c r="F21" s="109"/>
      <c r="G21" s="108"/>
      <c r="H21" s="109"/>
      <c r="I21" s="109"/>
      <c r="J21" s="109"/>
      <c r="K21" s="108"/>
      <c r="L21" s="109"/>
      <c r="M21" s="109"/>
      <c r="N21" s="106"/>
      <c r="O21" s="109"/>
      <c r="P21" s="109"/>
      <c r="Q21" s="109"/>
      <c r="R21" s="106"/>
      <c r="S21" s="109"/>
      <c r="T21" s="109"/>
      <c r="U21" s="109"/>
      <c r="V21" s="106"/>
      <c r="W21" s="109"/>
      <c r="X21" s="109"/>
      <c r="Y21" s="109"/>
      <c r="Z21" s="109"/>
      <c r="AA21" s="560"/>
      <c r="AB21" s="561"/>
      <c r="AC21" s="561"/>
      <c r="AD21" s="561"/>
      <c r="AE21" s="108">
        <v>0.2</v>
      </c>
      <c r="AF21" s="109">
        <v>0.2</v>
      </c>
      <c r="AG21" s="109">
        <v>0.2</v>
      </c>
      <c r="AH21" s="109" t="s">
        <v>288</v>
      </c>
      <c r="AI21" s="108"/>
    </row>
    <row r="22" spans="1:35">
      <c r="A22" s="628"/>
      <c r="B22" s="110" t="s">
        <v>289</v>
      </c>
      <c r="C22" s="108"/>
      <c r="D22" s="109"/>
      <c r="E22" s="109"/>
      <c r="F22" s="109"/>
      <c r="G22" s="108"/>
      <c r="H22" s="109"/>
      <c r="I22" s="109"/>
      <c r="J22" s="109"/>
      <c r="K22" s="108"/>
      <c r="L22" s="109"/>
      <c r="M22" s="109"/>
      <c r="N22" s="106"/>
      <c r="O22" s="109">
        <v>3.4200000000000001E-2</v>
      </c>
      <c r="P22" s="109">
        <v>3.4200000000000001E-2</v>
      </c>
      <c r="Q22" s="109">
        <v>3.4200000000000001E-2</v>
      </c>
      <c r="R22" s="106" t="s">
        <v>290</v>
      </c>
      <c r="S22" s="109"/>
      <c r="U22" s="109"/>
      <c r="V22" s="106"/>
      <c r="W22" s="109"/>
      <c r="X22" s="109"/>
      <c r="Y22" s="109"/>
      <c r="Z22" s="109"/>
      <c r="AA22" s="560"/>
      <c r="AB22" s="561"/>
      <c r="AC22" s="561"/>
      <c r="AD22" s="561"/>
      <c r="AE22" s="108">
        <v>0.03</v>
      </c>
      <c r="AF22" s="109">
        <v>0.03</v>
      </c>
      <c r="AG22" s="109">
        <v>0.03</v>
      </c>
      <c r="AH22" s="109" t="s">
        <v>290</v>
      </c>
      <c r="AI22" s="108"/>
    </row>
    <row r="23" spans="1:35">
      <c r="A23" s="628"/>
      <c r="B23" s="107"/>
      <c r="C23" s="108"/>
      <c r="D23" s="109"/>
      <c r="E23" s="109"/>
      <c r="F23" s="109"/>
      <c r="G23" s="108"/>
      <c r="H23" s="109"/>
      <c r="I23" s="109"/>
      <c r="J23" s="109"/>
      <c r="K23" s="108"/>
      <c r="L23" s="109"/>
      <c r="M23" s="109"/>
      <c r="N23" s="106"/>
      <c r="O23" s="109"/>
      <c r="P23" s="109"/>
      <c r="Q23" s="109"/>
      <c r="R23" s="106"/>
      <c r="S23" s="109"/>
      <c r="T23" s="109"/>
      <c r="U23" s="109"/>
      <c r="V23" s="106"/>
      <c r="W23" s="109"/>
      <c r="X23" s="109"/>
      <c r="Y23" s="109"/>
      <c r="Z23" s="109"/>
      <c r="AA23" s="560"/>
      <c r="AB23" s="561"/>
      <c r="AC23" s="561"/>
      <c r="AD23" s="561"/>
      <c r="AE23" s="108"/>
      <c r="AF23" s="109"/>
      <c r="AG23" s="109"/>
      <c r="AH23" s="109"/>
      <c r="AI23" s="108"/>
    </row>
    <row r="24" spans="1:35">
      <c r="A24" s="628"/>
      <c r="B24" s="107" t="s">
        <v>291</v>
      </c>
      <c r="C24" s="108"/>
      <c r="D24" s="109"/>
      <c r="E24" s="109"/>
      <c r="F24" s="109"/>
      <c r="G24" s="108"/>
      <c r="H24" s="109"/>
      <c r="I24" s="109"/>
      <c r="J24" s="109"/>
      <c r="K24" s="108"/>
      <c r="L24" s="109"/>
      <c r="M24" s="109"/>
      <c r="N24" s="106"/>
      <c r="O24" s="109">
        <v>7.4999999999999997E-2</v>
      </c>
      <c r="P24" s="109">
        <v>7.4999999999999997E-2</v>
      </c>
      <c r="Q24" s="109">
        <v>7.4999999999999997E-2</v>
      </c>
      <c r="R24" s="106"/>
      <c r="S24" s="109"/>
      <c r="T24" s="109"/>
      <c r="U24" s="109"/>
      <c r="V24" s="106"/>
      <c r="W24" s="109"/>
      <c r="X24" s="109"/>
      <c r="Y24" s="109"/>
      <c r="Z24" s="109"/>
      <c r="AA24" s="560">
        <v>5.40984E-4</v>
      </c>
      <c r="AB24" s="561">
        <v>5.40984E-4</v>
      </c>
      <c r="AC24" s="561">
        <v>5.40984E-4</v>
      </c>
      <c r="AD24" s="561"/>
      <c r="AE24" s="108"/>
      <c r="AF24" s="109"/>
      <c r="AG24" s="109"/>
      <c r="AH24" s="109"/>
      <c r="AI24" s="108"/>
    </row>
    <row r="25" spans="1:35">
      <c r="A25" s="628"/>
      <c r="B25" s="121" t="s">
        <v>292</v>
      </c>
      <c r="C25" s="108"/>
      <c r="D25" s="109"/>
      <c r="E25" s="109"/>
      <c r="F25" s="109"/>
      <c r="G25" s="108"/>
      <c r="H25" s="109"/>
      <c r="I25" s="109"/>
      <c r="J25" s="109"/>
      <c r="K25" s="108"/>
      <c r="L25" s="109"/>
      <c r="M25" s="109"/>
      <c r="N25" s="106"/>
      <c r="O25" s="109">
        <v>7.4999999999999997E-2</v>
      </c>
      <c r="P25" s="109">
        <v>7.4999999999999997E-2</v>
      </c>
      <c r="Q25" s="109">
        <v>7.4999999999999997E-2</v>
      </c>
      <c r="R25" s="106" t="s">
        <v>285</v>
      </c>
      <c r="S25" s="109"/>
      <c r="T25" s="109"/>
      <c r="U25" s="109"/>
      <c r="V25" s="106"/>
      <c r="W25" s="109"/>
      <c r="X25" s="109"/>
      <c r="Y25" s="109"/>
      <c r="Z25" s="109"/>
      <c r="AA25" s="560"/>
      <c r="AB25" s="561"/>
      <c r="AC25" s="561"/>
      <c r="AD25" s="561"/>
      <c r="AE25" s="108"/>
      <c r="AF25" s="109"/>
      <c r="AG25" s="109"/>
      <c r="AH25" s="109"/>
      <c r="AI25" s="108"/>
    </row>
    <row r="26" spans="1:35">
      <c r="A26" s="628"/>
      <c r="B26" s="121" t="s">
        <v>293</v>
      </c>
      <c r="C26" s="108"/>
      <c r="D26" s="109"/>
      <c r="E26" s="109"/>
      <c r="F26" s="109"/>
      <c r="G26" s="108"/>
      <c r="H26" s="109"/>
      <c r="I26" s="109"/>
      <c r="J26" s="109"/>
      <c r="K26" s="108"/>
      <c r="L26" s="109"/>
      <c r="M26" s="109"/>
      <c r="N26" s="106"/>
      <c r="O26" s="109"/>
      <c r="P26" s="109"/>
      <c r="Q26" s="109"/>
      <c r="R26" s="106"/>
      <c r="S26" s="109"/>
      <c r="T26" s="109"/>
      <c r="U26" s="109"/>
      <c r="V26" s="106"/>
      <c r="W26" s="109"/>
      <c r="X26" s="109"/>
      <c r="Y26" s="109"/>
      <c r="Z26" s="109"/>
      <c r="AA26" s="560">
        <v>5.2857100000000003E-4</v>
      </c>
      <c r="AB26" s="561">
        <v>5.2857100000000003E-4</v>
      </c>
      <c r="AC26" s="561">
        <v>5.2857100000000003E-4</v>
      </c>
      <c r="AD26" s="561" t="s">
        <v>294</v>
      </c>
      <c r="AE26" s="108"/>
      <c r="AF26" s="109"/>
      <c r="AG26" s="109"/>
      <c r="AH26" s="109"/>
      <c r="AI26" s="108"/>
    </row>
    <row r="27" spans="1:35">
      <c r="A27" s="628"/>
      <c r="B27" s="121" t="s">
        <v>295</v>
      </c>
      <c r="C27" s="108"/>
      <c r="D27" s="109"/>
      <c r="E27" s="109"/>
      <c r="F27" s="109"/>
      <c r="G27" s="108"/>
      <c r="H27" s="109"/>
      <c r="I27" s="109"/>
      <c r="J27" s="109"/>
      <c r="K27" s="108"/>
      <c r="L27" s="109"/>
      <c r="M27" s="109"/>
      <c r="N27" s="106"/>
      <c r="O27" s="109"/>
      <c r="P27" s="109"/>
      <c r="Q27" s="109"/>
      <c r="R27" s="106"/>
      <c r="S27" s="109"/>
      <c r="T27" s="109"/>
      <c r="U27" s="109"/>
      <c r="V27" s="106"/>
      <c r="W27" s="109"/>
      <c r="X27" s="109"/>
      <c r="Y27" s="109"/>
      <c r="Z27" s="109"/>
      <c r="AA27" s="560">
        <v>1.2413E-5</v>
      </c>
      <c r="AB27" s="561">
        <v>1.2413E-5</v>
      </c>
      <c r="AC27" s="561">
        <v>1.2413E-5</v>
      </c>
      <c r="AD27" s="561" t="s">
        <v>296</v>
      </c>
      <c r="AE27" s="108"/>
      <c r="AF27" s="109"/>
      <c r="AG27" s="109"/>
      <c r="AH27" s="109"/>
      <c r="AI27" s="108"/>
    </row>
    <row r="28" spans="1:35">
      <c r="A28" s="628"/>
      <c r="B28" s="107"/>
      <c r="C28" s="108"/>
      <c r="D28" s="109"/>
      <c r="E28" s="109"/>
      <c r="F28" s="109"/>
      <c r="G28" s="108"/>
      <c r="H28" s="109"/>
      <c r="I28" s="109"/>
      <c r="J28" s="109"/>
      <c r="K28" s="108"/>
      <c r="L28" s="109"/>
      <c r="M28" s="109"/>
      <c r="N28" s="106"/>
      <c r="O28" s="109"/>
      <c r="P28" s="109"/>
      <c r="Q28" s="109"/>
      <c r="R28" s="106"/>
      <c r="S28" s="109"/>
      <c r="T28" s="109"/>
      <c r="U28" s="109"/>
      <c r="V28" s="106"/>
      <c r="W28" s="109"/>
      <c r="X28" s="109"/>
      <c r="Y28" s="109"/>
      <c r="Z28" s="109"/>
      <c r="AA28" s="560"/>
      <c r="AB28" s="561"/>
      <c r="AC28" s="561"/>
      <c r="AD28" s="561"/>
      <c r="AE28" s="108"/>
      <c r="AF28" s="109"/>
      <c r="AG28" s="109"/>
      <c r="AH28" s="109"/>
      <c r="AI28" s="108"/>
    </row>
    <row r="29" spans="1:35">
      <c r="A29" s="628"/>
      <c r="B29" s="107" t="s">
        <v>297</v>
      </c>
      <c r="C29" s="108">
        <v>0.24</v>
      </c>
      <c r="D29" s="109">
        <v>0.25</v>
      </c>
      <c r="E29" s="109">
        <v>0.26</v>
      </c>
      <c r="F29" s="109" t="s">
        <v>271</v>
      </c>
      <c r="G29" s="108">
        <v>0.91174999999999995</v>
      </c>
      <c r="H29" s="109">
        <v>0.91174999999999995</v>
      </c>
      <c r="I29" s="109">
        <v>0.91174999999999995</v>
      </c>
      <c r="J29" s="109"/>
      <c r="K29" s="108">
        <v>0.5</v>
      </c>
      <c r="L29" s="109">
        <v>0.5</v>
      </c>
      <c r="M29" s="109">
        <v>0.5</v>
      </c>
      <c r="N29" s="106"/>
      <c r="O29" s="109"/>
      <c r="P29" s="109"/>
      <c r="Q29" s="109"/>
      <c r="R29" s="106"/>
      <c r="S29" s="109"/>
      <c r="T29" s="109"/>
      <c r="U29" s="109"/>
      <c r="V29" s="106"/>
      <c r="W29" s="109"/>
      <c r="X29" s="109"/>
      <c r="Y29" s="109"/>
      <c r="Z29" s="109"/>
      <c r="AA29" s="560"/>
      <c r="AB29" s="561"/>
      <c r="AC29" s="561"/>
      <c r="AD29" s="561"/>
      <c r="AE29" s="108"/>
      <c r="AF29" s="109"/>
      <c r="AG29" s="109"/>
      <c r="AH29" s="109"/>
      <c r="AI29" s="108"/>
    </row>
    <row r="30" spans="1:35">
      <c r="A30" s="628"/>
      <c r="B30" s="121" t="s">
        <v>298</v>
      </c>
      <c r="C30" s="108"/>
      <c r="D30" s="109"/>
      <c r="E30" s="109"/>
      <c r="F30" s="109"/>
      <c r="G30" s="108">
        <v>0.16175</v>
      </c>
      <c r="H30" s="109">
        <v>0.16175</v>
      </c>
      <c r="I30" s="109">
        <v>0.16175</v>
      </c>
      <c r="J30" s="109"/>
      <c r="K30" s="108"/>
      <c r="L30" s="109"/>
      <c r="M30" s="109"/>
      <c r="N30" s="106"/>
      <c r="O30" s="109"/>
      <c r="P30" s="109"/>
      <c r="Q30" s="109"/>
      <c r="R30" s="106"/>
      <c r="S30" s="109">
        <v>1.6175E-3</v>
      </c>
      <c r="T30" s="109">
        <v>1.6175E-3</v>
      </c>
      <c r="U30" s="109">
        <v>1.6175E-3</v>
      </c>
      <c r="V30" s="106" t="s">
        <v>299</v>
      </c>
      <c r="W30" s="109"/>
      <c r="X30" s="109"/>
      <c r="Y30" s="109"/>
      <c r="Z30" s="109"/>
      <c r="AA30" s="560"/>
      <c r="AB30" s="561"/>
      <c r="AC30" s="561"/>
      <c r="AD30" s="561"/>
      <c r="AE30" s="108"/>
      <c r="AF30" s="109"/>
      <c r="AG30" s="109"/>
      <c r="AH30" s="109"/>
      <c r="AI30" s="108"/>
    </row>
    <row r="31" spans="1:35">
      <c r="A31" s="628"/>
      <c r="B31" s="121" t="s">
        <v>300</v>
      </c>
      <c r="C31" s="108"/>
      <c r="D31" s="109"/>
      <c r="E31" s="109"/>
      <c r="F31" s="109"/>
      <c r="G31" s="108">
        <v>0.5</v>
      </c>
      <c r="H31" s="109">
        <v>0.5</v>
      </c>
      <c r="I31" s="109">
        <v>0.5</v>
      </c>
      <c r="J31" s="109"/>
      <c r="K31" s="108">
        <v>0.5</v>
      </c>
      <c r="L31" s="109">
        <v>0.5</v>
      </c>
      <c r="M31" s="109">
        <v>0.5</v>
      </c>
      <c r="N31" s="106"/>
      <c r="O31" s="109"/>
      <c r="P31" s="109"/>
      <c r="Q31" s="109"/>
      <c r="R31" s="106"/>
      <c r="S31" s="109"/>
      <c r="T31" s="109"/>
      <c r="U31" s="109"/>
      <c r="V31" s="106"/>
      <c r="W31" s="109"/>
      <c r="X31" s="109"/>
      <c r="Y31" s="109"/>
      <c r="Z31" s="109"/>
      <c r="AA31" s="560"/>
      <c r="AB31" s="561"/>
      <c r="AC31" s="561"/>
      <c r="AD31" s="561"/>
      <c r="AE31" s="108"/>
      <c r="AF31" s="109"/>
      <c r="AG31" s="109"/>
      <c r="AH31" s="109"/>
      <c r="AI31" s="108"/>
    </row>
    <row r="32" spans="1:35">
      <c r="A32" s="106"/>
      <c r="B32" s="121" t="s">
        <v>301</v>
      </c>
      <c r="C32" s="108"/>
      <c r="D32" s="109"/>
      <c r="E32" s="109"/>
      <c r="F32" s="109"/>
      <c r="G32" s="108">
        <v>0.25</v>
      </c>
      <c r="H32" s="109">
        <v>0.25</v>
      </c>
      <c r="I32" s="109">
        <v>0.25</v>
      </c>
      <c r="J32" s="109"/>
      <c r="K32" s="108"/>
      <c r="L32" s="109"/>
      <c r="M32" s="109"/>
      <c r="N32" s="106"/>
      <c r="O32" s="109"/>
      <c r="P32" s="109"/>
      <c r="Q32" s="109"/>
      <c r="R32" s="106"/>
      <c r="S32" s="109"/>
      <c r="T32" s="109"/>
      <c r="U32" s="109"/>
      <c r="V32" s="106"/>
      <c r="W32" s="109"/>
      <c r="X32" s="109"/>
      <c r="Y32" s="109"/>
      <c r="Z32" s="109"/>
      <c r="AA32" s="560"/>
      <c r="AB32" s="561"/>
      <c r="AC32" s="561"/>
      <c r="AD32" s="561"/>
      <c r="AE32" s="108"/>
      <c r="AF32" s="109"/>
      <c r="AG32" s="109"/>
      <c r="AH32" s="109"/>
      <c r="AI32" s="108"/>
    </row>
    <row r="33" spans="1:35">
      <c r="A33" s="106"/>
      <c r="B33" s="107"/>
      <c r="C33" s="108"/>
      <c r="D33" s="109"/>
      <c r="E33" s="109"/>
      <c r="F33" s="109"/>
      <c r="G33" s="108"/>
      <c r="H33" s="109"/>
      <c r="I33" s="109"/>
      <c r="J33" s="109"/>
      <c r="K33" s="108"/>
      <c r="L33" s="109"/>
      <c r="M33" s="109"/>
      <c r="N33" s="106"/>
      <c r="O33" s="109"/>
      <c r="P33" s="109"/>
      <c r="Q33" s="109"/>
      <c r="R33" s="106"/>
      <c r="S33" s="109"/>
      <c r="T33" s="109"/>
      <c r="U33" s="109"/>
      <c r="V33" s="106"/>
      <c r="W33" s="109"/>
      <c r="X33" s="109"/>
      <c r="Y33" s="109"/>
      <c r="Z33" s="109"/>
      <c r="AA33" s="560"/>
      <c r="AB33" s="561"/>
      <c r="AC33" s="561"/>
      <c r="AD33" s="561"/>
      <c r="AE33" s="108"/>
      <c r="AF33" s="109"/>
      <c r="AG33" s="109"/>
      <c r="AH33" s="109"/>
      <c r="AI33" s="108"/>
    </row>
    <row r="34" spans="1:35">
      <c r="A34" s="122"/>
      <c r="B34" s="107"/>
      <c r="C34" s="108"/>
      <c r="D34" s="109"/>
      <c r="E34" s="109"/>
      <c r="F34" s="109"/>
      <c r="G34" s="108"/>
      <c r="H34" s="109"/>
      <c r="I34" s="109"/>
      <c r="J34" s="109"/>
      <c r="K34" s="108"/>
      <c r="L34" s="109"/>
      <c r="M34" s="109"/>
      <c r="N34" s="106"/>
      <c r="O34" s="109"/>
      <c r="P34" s="109"/>
      <c r="Q34" s="109"/>
      <c r="R34" s="106"/>
      <c r="S34" s="109"/>
      <c r="T34" s="109"/>
      <c r="U34" s="109"/>
      <c r="V34" s="106"/>
      <c r="W34" s="109"/>
      <c r="X34" s="109"/>
      <c r="Y34" s="109"/>
      <c r="Z34" s="109"/>
      <c r="AA34" s="560"/>
      <c r="AB34" s="561"/>
      <c r="AC34" s="561"/>
      <c r="AD34" s="561"/>
      <c r="AE34" s="108"/>
      <c r="AF34" s="109"/>
      <c r="AG34" s="109"/>
      <c r="AH34" s="109"/>
      <c r="AI34" s="108"/>
    </row>
    <row r="35" spans="1:35">
      <c r="A35" s="106"/>
      <c r="B35" s="107"/>
      <c r="C35" s="108"/>
      <c r="D35" s="109"/>
      <c r="E35" s="109"/>
      <c r="F35" s="109"/>
      <c r="G35" s="108"/>
      <c r="H35" s="109"/>
      <c r="I35" s="109"/>
      <c r="J35" s="109"/>
      <c r="K35" s="108"/>
      <c r="L35" s="109"/>
      <c r="M35" s="109"/>
      <c r="N35" s="106"/>
      <c r="O35" s="109"/>
      <c r="P35" s="109"/>
      <c r="Q35" s="109"/>
      <c r="R35" s="106"/>
      <c r="S35" s="109"/>
      <c r="T35" s="109"/>
      <c r="U35" s="109"/>
      <c r="V35" s="106"/>
      <c r="W35" s="109"/>
      <c r="X35" s="109"/>
      <c r="Y35" s="109"/>
      <c r="Z35" s="109"/>
      <c r="AA35" s="560"/>
      <c r="AB35" s="561"/>
      <c r="AC35" s="561"/>
      <c r="AD35" s="561"/>
      <c r="AE35" s="108"/>
      <c r="AF35" s="109"/>
      <c r="AG35" s="109"/>
      <c r="AH35" s="109"/>
      <c r="AI35" s="108"/>
    </row>
    <row r="36" spans="1:35">
      <c r="A36" s="106"/>
      <c r="B36" s="107"/>
      <c r="C36" s="108"/>
      <c r="D36" s="109"/>
      <c r="E36" s="109"/>
      <c r="F36" s="109"/>
      <c r="G36" s="108"/>
      <c r="H36" s="109"/>
      <c r="I36" s="109"/>
      <c r="J36" s="109"/>
      <c r="K36" s="108"/>
      <c r="L36" s="109"/>
      <c r="M36" s="109"/>
      <c r="N36" s="106"/>
      <c r="O36" s="109"/>
      <c r="P36" s="109"/>
      <c r="Q36" s="109"/>
      <c r="R36" s="106"/>
      <c r="S36" s="109"/>
      <c r="T36" s="109"/>
      <c r="U36" s="109"/>
      <c r="V36" s="106"/>
      <c r="W36" s="109"/>
      <c r="X36" s="109"/>
      <c r="Y36" s="109"/>
      <c r="Z36" s="109"/>
      <c r="AA36" s="560"/>
      <c r="AB36" s="561"/>
      <c r="AC36" s="561"/>
      <c r="AD36" s="561"/>
      <c r="AE36" s="108"/>
      <c r="AF36" s="109"/>
      <c r="AG36" s="109"/>
      <c r="AH36" s="109"/>
      <c r="AI36" s="108"/>
    </row>
    <row r="37" spans="1:35">
      <c r="A37" s="106"/>
      <c r="B37" s="107"/>
      <c r="C37" s="108"/>
      <c r="D37" s="109"/>
      <c r="E37" s="109"/>
      <c r="F37" s="109"/>
      <c r="G37" s="108"/>
      <c r="H37" s="109"/>
      <c r="I37" s="109"/>
      <c r="J37" s="109"/>
      <c r="K37" s="108"/>
      <c r="L37" s="109"/>
      <c r="M37" s="109"/>
      <c r="N37" s="106"/>
      <c r="O37" s="109"/>
      <c r="P37" s="109"/>
      <c r="Q37" s="109"/>
      <c r="R37" s="106"/>
      <c r="S37" s="109"/>
      <c r="T37" s="109"/>
      <c r="U37" s="109"/>
      <c r="V37" s="106"/>
      <c r="W37" s="109"/>
      <c r="X37" s="109"/>
      <c r="Y37" s="109"/>
      <c r="Z37" s="109"/>
      <c r="AA37" s="560"/>
      <c r="AB37" s="561"/>
      <c r="AC37" s="561"/>
      <c r="AD37" s="561"/>
      <c r="AE37" s="108"/>
      <c r="AF37" s="109"/>
      <c r="AG37" s="109"/>
      <c r="AH37" s="109"/>
      <c r="AI37" s="108"/>
    </row>
    <row r="38" spans="1:35">
      <c r="A38" s="629" t="s">
        <v>202</v>
      </c>
      <c r="B38" s="121" t="s">
        <v>302</v>
      </c>
      <c r="C38" s="108">
        <v>3.89</v>
      </c>
      <c r="D38" s="109">
        <v>3.42</v>
      </c>
      <c r="E38" s="109">
        <v>3.25</v>
      </c>
      <c r="F38" s="109" t="s">
        <v>271</v>
      </c>
      <c r="G38" s="108">
        <v>3.89</v>
      </c>
      <c r="H38" s="109">
        <v>3.42</v>
      </c>
      <c r="I38" s="109">
        <v>3.25</v>
      </c>
      <c r="J38" s="109" t="s">
        <v>271</v>
      </c>
      <c r="K38" s="108">
        <v>3.89</v>
      </c>
      <c r="L38" s="109">
        <v>3.42</v>
      </c>
      <c r="M38" s="109">
        <v>3.25</v>
      </c>
      <c r="N38" s="106" t="s">
        <v>271</v>
      </c>
      <c r="O38" s="109">
        <v>3.89</v>
      </c>
      <c r="P38" s="109">
        <v>3.42</v>
      </c>
      <c r="Q38" s="109">
        <v>3.25</v>
      </c>
      <c r="R38" s="106" t="s">
        <v>271</v>
      </c>
      <c r="S38" s="109"/>
      <c r="T38" s="109"/>
      <c r="U38" s="109"/>
      <c r="V38" s="106"/>
      <c r="W38" s="109"/>
      <c r="X38" s="109"/>
      <c r="Y38" s="109"/>
      <c r="Z38" s="109"/>
      <c r="AA38" s="560"/>
      <c r="AB38" s="561"/>
      <c r="AC38" s="561"/>
      <c r="AD38" s="561"/>
      <c r="AE38" s="108"/>
      <c r="AF38" s="109"/>
      <c r="AG38" s="109"/>
      <c r="AH38" s="109"/>
      <c r="AI38" s="108"/>
    </row>
    <row r="39" spans="1:35">
      <c r="A39" s="629"/>
      <c r="B39" s="121" t="s">
        <v>303</v>
      </c>
      <c r="C39" s="108">
        <v>39000</v>
      </c>
      <c r="D39" s="109">
        <v>34000</v>
      </c>
      <c r="E39" s="109">
        <v>33000</v>
      </c>
      <c r="F39" s="109" t="s">
        <v>271</v>
      </c>
      <c r="G39" s="108">
        <v>39000</v>
      </c>
      <c r="H39" s="109">
        <v>34000</v>
      </c>
      <c r="I39" s="109">
        <v>33000</v>
      </c>
      <c r="J39" s="109" t="s">
        <v>271</v>
      </c>
      <c r="K39" s="108">
        <v>39000</v>
      </c>
      <c r="L39" s="109">
        <v>34000</v>
      </c>
      <c r="M39" s="109">
        <v>33000</v>
      </c>
      <c r="N39" s="106" t="s">
        <v>271</v>
      </c>
      <c r="O39" s="109">
        <v>39000</v>
      </c>
      <c r="P39" s="109">
        <v>34000</v>
      </c>
      <c r="Q39" s="109">
        <v>33000</v>
      </c>
      <c r="R39" s="106" t="s">
        <v>271</v>
      </c>
      <c r="S39" s="109"/>
      <c r="T39" s="109"/>
      <c r="U39" s="109"/>
      <c r="V39" s="106"/>
      <c r="W39" s="109"/>
      <c r="X39" s="109"/>
      <c r="Y39" s="109"/>
      <c r="Z39" s="109"/>
      <c r="AA39" s="560"/>
      <c r="AB39" s="561"/>
      <c r="AC39" s="561"/>
      <c r="AD39" s="561"/>
      <c r="AE39" s="108"/>
      <c r="AF39" s="109"/>
      <c r="AG39" s="109"/>
      <c r="AH39" s="109"/>
      <c r="AI39" s="108"/>
    </row>
    <row r="40" spans="1:35">
      <c r="A40" s="629"/>
      <c r="B40" s="121" t="s">
        <v>304</v>
      </c>
      <c r="C40" s="108"/>
      <c r="D40" s="109"/>
      <c r="E40" s="109"/>
      <c r="F40" s="109"/>
      <c r="G40" s="108">
        <v>4043.75</v>
      </c>
      <c r="H40" s="109">
        <v>4043.75</v>
      </c>
      <c r="I40" s="109">
        <v>4043.75</v>
      </c>
      <c r="J40" s="109"/>
      <c r="K40" s="108"/>
      <c r="L40" s="109"/>
      <c r="M40" s="109"/>
      <c r="N40" s="106"/>
      <c r="O40" s="109"/>
      <c r="P40" s="109"/>
      <c r="Q40" s="109"/>
      <c r="R40" s="106"/>
      <c r="S40" s="123">
        <v>4.04375E-5</v>
      </c>
      <c r="T40" s="123">
        <v>4.04375E-5</v>
      </c>
      <c r="U40" s="123">
        <v>4.04375E-5</v>
      </c>
      <c r="V40" s="106"/>
      <c r="W40" s="109"/>
      <c r="X40" s="109"/>
      <c r="Y40" s="109"/>
      <c r="Z40" s="109"/>
      <c r="AA40" s="560"/>
      <c r="AB40" s="561"/>
      <c r="AC40" s="561"/>
      <c r="AD40" s="561"/>
      <c r="AE40" s="108"/>
      <c r="AF40" s="109"/>
      <c r="AG40" s="109"/>
      <c r="AH40" s="109"/>
      <c r="AI40" s="108"/>
    </row>
    <row r="41" spans="1:35">
      <c r="A41" s="629"/>
      <c r="B41" s="121" t="s">
        <v>305</v>
      </c>
      <c r="C41" s="108"/>
      <c r="D41" s="109"/>
      <c r="E41" s="109"/>
      <c r="F41" s="109"/>
      <c r="G41" s="108">
        <v>11250</v>
      </c>
      <c r="H41" s="109">
        <v>11250</v>
      </c>
      <c r="I41" s="109">
        <v>11250</v>
      </c>
      <c r="J41" s="109"/>
      <c r="K41" s="108">
        <v>7500</v>
      </c>
      <c r="L41" s="109">
        <v>7500</v>
      </c>
      <c r="M41" s="109">
        <v>7500</v>
      </c>
      <c r="N41" s="106"/>
      <c r="O41" s="109"/>
      <c r="P41" s="109"/>
      <c r="Q41" s="109"/>
      <c r="R41" s="106"/>
      <c r="S41" s="109"/>
      <c r="T41" s="109"/>
      <c r="U41" s="109"/>
      <c r="V41" s="106"/>
      <c r="W41" s="109"/>
      <c r="X41" s="109"/>
      <c r="Y41" s="109"/>
      <c r="Z41" s="109"/>
      <c r="AA41" s="560"/>
      <c r="AB41" s="561"/>
      <c r="AC41" s="561"/>
      <c r="AD41" s="561"/>
      <c r="AE41" s="108"/>
      <c r="AF41" s="109"/>
      <c r="AG41" s="109"/>
      <c r="AH41" s="109"/>
      <c r="AI41" s="108"/>
    </row>
    <row r="42" spans="1:35">
      <c r="A42" s="629"/>
      <c r="B42" s="121" t="s">
        <v>306</v>
      </c>
      <c r="C42" s="108"/>
      <c r="D42" s="109"/>
      <c r="E42" s="109"/>
      <c r="F42" s="109"/>
      <c r="G42" s="108"/>
      <c r="H42" s="109"/>
      <c r="I42" s="109"/>
      <c r="J42" s="109"/>
      <c r="K42" s="108"/>
      <c r="L42" s="109"/>
      <c r="M42" s="109"/>
      <c r="N42" s="106"/>
      <c r="O42" s="109">
        <v>30738</v>
      </c>
      <c r="P42" s="109">
        <v>22690</v>
      </c>
      <c r="Q42" s="109">
        <v>18908</v>
      </c>
      <c r="R42" s="106"/>
      <c r="S42" s="109"/>
      <c r="T42" s="109"/>
      <c r="U42" s="109"/>
      <c r="V42" s="106"/>
      <c r="W42" s="109"/>
      <c r="X42" s="109"/>
      <c r="Y42" s="109"/>
      <c r="Z42" s="109"/>
      <c r="AA42" s="560"/>
      <c r="AB42" s="561"/>
      <c r="AC42" s="561"/>
      <c r="AD42" s="561"/>
      <c r="AE42" s="108"/>
      <c r="AF42" s="109"/>
      <c r="AG42" s="109"/>
      <c r="AH42" s="109"/>
      <c r="AI42" s="108"/>
    </row>
    <row r="43" spans="1:35">
      <c r="A43" s="629"/>
      <c r="B43" s="121" t="s">
        <v>307</v>
      </c>
      <c r="C43" s="108"/>
      <c r="D43" s="109"/>
      <c r="E43" s="109"/>
      <c r="F43" s="109"/>
      <c r="G43" s="108"/>
      <c r="H43" s="109"/>
      <c r="I43" s="109"/>
      <c r="J43" s="109"/>
      <c r="K43" s="108"/>
      <c r="L43" s="109"/>
      <c r="M43" s="109"/>
      <c r="N43" s="106"/>
      <c r="O43" s="109">
        <v>286</v>
      </c>
      <c r="P43" s="109">
        <v>286</v>
      </c>
      <c r="Q43" s="109">
        <v>286</v>
      </c>
      <c r="R43" s="106"/>
      <c r="S43" s="109"/>
      <c r="T43" s="109"/>
      <c r="U43" s="109"/>
      <c r="V43" s="106"/>
      <c r="W43" s="109"/>
      <c r="X43" s="109"/>
      <c r="Y43" s="109"/>
      <c r="Z43" s="109"/>
      <c r="AA43" s="560"/>
      <c r="AB43" s="561"/>
      <c r="AC43" s="561"/>
      <c r="AD43" s="561"/>
      <c r="AE43" s="108"/>
      <c r="AF43" s="109"/>
      <c r="AG43" s="109"/>
      <c r="AH43" s="109"/>
      <c r="AI43" s="108"/>
    </row>
    <row r="44" spans="1:35">
      <c r="A44" s="106"/>
      <c r="B44" s="121" t="s">
        <v>308</v>
      </c>
      <c r="C44" s="108"/>
      <c r="D44" s="109"/>
      <c r="E44" s="109"/>
      <c r="F44" s="109"/>
      <c r="G44" s="108"/>
      <c r="H44" s="109"/>
      <c r="I44" s="109"/>
      <c r="J44" s="109"/>
      <c r="K44" s="108"/>
      <c r="L44" s="109"/>
      <c r="M44" s="109"/>
      <c r="N44" s="106"/>
      <c r="O44" s="109">
        <v>4.5752320000000003E-3</v>
      </c>
      <c r="P44" s="109">
        <v>4.5752320000000003E-3</v>
      </c>
      <c r="Q44" s="109">
        <v>4.5752320000000003E-3</v>
      </c>
      <c r="R44" s="106" t="s">
        <v>290</v>
      </c>
      <c r="S44" s="109"/>
      <c r="T44" s="109"/>
      <c r="U44" s="109"/>
      <c r="V44" s="106"/>
      <c r="W44" s="109"/>
      <c r="X44" s="109"/>
      <c r="Y44" s="109"/>
      <c r="Z44" s="109"/>
      <c r="AA44" s="560"/>
      <c r="AB44" s="561"/>
      <c r="AC44" s="561"/>
      <c r="AD44" s="561"/>
      <c r="AE44" s="108">
        <v>4.5752320000000003E-3</v>
      </c>
      <c r="AF44" s="109">
        <v>4.5752320000000003E-3</v>
      </c>
      <c r="AG44" s="109">
        <v>4.5752320000000003E-3</v>
      </c>
      <c r="AH44" s="109" t="s">
        <v>290</v>
      </c>
      <c r="AI44" s="108"/>
    </row>
    <row r="45" spans="1:35">
      <c r="A45" s="106"/>
      <c r="B45" s="107" t="s">
        <v>309</v>
      </c>
      <c r="C45" s="108"/>
      <c r="D45" s="109"/>
      <c r="E45" s="109"/>
      <c r="F45" s="109"/>
      <c r="G45" s="108"/>
      <c r="H45" s="109"/>
      <c r="I45" s="109"/>
      <c r="J45" s="109"/>
      <c r="K45" s="108"/>
      <c r="L45" s="109"/>
      <c r="M45" s="109"/>
      <c r="N45" s="106"/>
      <c r="O45" s="109"/>
      <c r="P45" s="109"/>
      <c r="Q45" s="109"/>
      <c r="R45" s="106"/>
      <c r="S45" s="109"/>
      <c r="T45" s="109"/>
      <c r="U45" s="109"/>
      <c r="V45" s="106"/>
      <c r="W45" s="109"/>
      <c r="X45" s="109"/>
      <c r="Y45" s="109"/>
      <c r="Z45" s="109"/>
      <c r="AA45" s="567">
        <v>1.6592600000000001E-6</v>
      </c>
      <c r="AB45" s="568">
        <v>1.6592600000000001E-6</v>
      </c>
      <c r="AC45" s="568">
        <v>1.6592600000000001E-6</v>
      </c>
      <c r="AD45" s="561" t="s">
        <v>290</v>
      </c>
      <c r="AE45" s="108"/>
      <c r="AF45" s="109"/>
      <c r="AG45" s="109"/>
      <c r="AH45" s="109"/>
      <c r="AI45" s="108"/>
    </row>
    <row r="46" spans="1:35">
      <c r="A46" s="106"/>
      <c r="B46" s="121"/>
      <c r="C46" s="108"/>
      <c r="D46" s="109"/>
      <c r="E46" s="109"/>
      <c r="F46" s="109"/>
      <c r="G46" s="108"/>
      <c r="H46" s="109"/>
      <c r="I46" s="109"/>
      <c r="J46" s="109"/>
      <c r="K46" s="108"/>
      <c r="L46" s="109"/>
      <c r="M46" s="109"/>
      <c r="N46" s="106"/>
      <c r="O46" s="109"/>
      <c r="P46" s="109"/>
      <c r="Q46" s="109"/>
      <c r="R46" s="106"/>
      <c r="S46" s="109"/>
      <c r="T46" s="109"/>
      <c r="U46" s="109"/>
      <c r="V46" s="106"/>
      <c r="W46" s="109"/>
      <c r="X46" s="109"/>
      <c r="Y46" s="109"/>
      <c r="Z46" s="109"/>
      <c r="AA46" s="560"/>
      <c r="AB46" s="561"/>
      <c r="AC46" s="561"/>
      <c r="AD46" s="561"/>
      <c r="AE46" s="108"/>
      <c r="AF46" s="109"/>
      <c r="AG46" s="109"/>
      <c r="AH46" s="109"/>
      <c r="AI46" s="108"/>
    </row>
    <row r="47" spans="1:35">
      <c r="A47" s="606" t="s">
        <v>310</v>
      </c>
      <c r="B47" s="121" t="s">
        <v>311</v>
      </c>
      <c r="C47" s="108">
        <v>4800</v>
      </c>
      <c r="D47" s="109">
        <v>4850</v>
      </c>
      <c r="E47" s="109">
        <v>4900</v>
      </c>
      <c r="F47" s="109" t="s">
        <v>271</v>
      </c>
      <c r="G47" s="108">
        <v>4800</v>
      </c>
      <c r="H47" s="109">
        <v>4850</v>
      </c>
      <c r="I47" s="109">
        <v>4900</v>
      </c>
      <c r="J47" s="109" t="s">
        <v>271</v>
      </c>
      <c r="K47" s="108">
        <v>4800</v>
      </c>
      <c r="L47" s="109">
        <v>4850</v>
      </c>
      <c r="M47" s="109">
        <v>4900</v>
      </c>
      <c r="N47" s="106" t="s">
        <v>271</v>
      </c>
      <c r="O47" s="109">
        <v>4800</v>
      </c>
      <c r="P47" s="109">
        <v>4850</v>
      </c>
      <c r="Q47" s="109">
        <v>4900</v>
      </c>
      <c r="R47" s="106" t="s">
        <v>271</v>
      </c>
      <c r="S47" s="109"/>
      <c r="T47" s="109"/>
      <c r="U47" s="109"/>
      <c r="V47" s="106"/>
      <c r="W47" s="109"/>
      <c r="X47" s="109"/>
      <c r="Y47" s="109"/>
      <c r="Z47" s="109"/>
      <c r="AA47" s="560"/>
      <c r="AB47" s="561"/>
      <c r="AC47" s="561"/>
      <c r="AD47" s="561"/>
      <c r="AE47" s="108"/>
      <c r="AF47" s="109"/>
      <c r="AG47" s="109"/>
      <c r="AH47" s="109"/>
      <c r="AI47" s="108"/>
    </row>
    <row r="48" spans="1:35">
      <c r="A48" s="606"/>
      <c r="B48" s="121" t="s">
        <v>312</v>
      </c>
      <c r="C48" s="108"/>
      <c r="D48" s="109"/>
      <c r="E48" s="109"/>
      <c r="F48" s="109"/>
      <c r="G48" s="108">
        <v>100</v>
      </c>
      <c r="H48" s="109">
        <v>100</v>
      </c>
      <c r="I48" s="109">
        <v>100</v>
      </c>
      <c r="J48" s="109"/>
      <c r="K48" s="108"/>
      <c r="L48" s="109"/>
      <c r="M48" s="109"/>
      <c r="N48" s="106"/>
      <c r="O48" s="109"/>
      <c r="P48" s="109"/>
      <c r="Q48" s="109"/>
      <c r="R48" s="106"/>
      <c r="S48" s="109"/>
      <c r="T48" s="109"/>
      <c r="U48" s="109"/>
      <c r="V48" s="106"/>
      <c r="W48" s="109"/>
      <c r="X48" s="109"/>
      <c r="Y48" s="109"/>
      <c r="Z48" s="109"/>
      <c r="AA48" s="560"/>
      <c r="AB48" s="561"/>
      <c r="AC48" s="561"/>
      <c r="AD48" s="561"/>
      <c r="AE48" s="108"/>
      <c r="AF48" s="109"/>
      <c r="AG48" s="109"/>
      <c r="AH48" s="109"/>
      <c r="AI48" s="108"/>
    </row>
    <row r="49" spans="1:35">
      <c r="A49" s="606"/>
      <c r="B49" s="121" t="s">
        <v>313</v>
      </c>
      <c r="C49" s="108"/>
      <c r="D49" s="109"/>
      <c r="E49" s="109"/>
      <c r="F49" s="109"/>
      <c r="G49" s="124">
        <v>2.5000000000000001E-2</v>
      </c>
      <c r="H49" s="125">
        <v>2.5000000000000001E-2</v>
      </c>
      <c r="I49" s="125">
        <v>2.5000000000000001E-2</v>
      </c>
      <c r="J49" s="109" t="s">
        <v>288</v>
      </c>
      <c r="K49" s="124">
        <v>2.5000000000000001E-2</v>
      </c>
      <c r="L49" s="125">
        <v>2.5000000000000001E-2</v>
      </c>
      <c r="M49" s="125">
        <v>2.5000000000000001E-2</v>
      </c>
      <c r="N49" s="106" t="s">
        <v>288</v>
      </c>
      <c r="O49" s="109"/>
      <c r="P49" s="109"/>
      <c r="Q49" s="109"/>
      <c r="R49" s="106"/>
      <c r="S49" s="125">
        <v>2.5000000000000001E-2</v>
      </c>
      <c r="T49" s="125">
        <v>2.5000000000000001E-2</v>
      </c>
      <c r="U49" s="125">
        <v>2.5000000000000001E-2</v>
      </c>
      <c r="V49" s="106" t="s">
        <v>288</v>
      </c>
      <c r="W49" s="109"/>
      <c r="X49" s="109"/>
      <c r="Y49" s="109"/>
      <c r="Z49" s="109"/>
      <c r="AA49" s="560"/>
      <c r="AB49" s="561"/>
      <c r="AC49" s="561"/>
      <c r="AD49" s="561"/>
      <c r="AE49" s="108"/>
      <c r="AF49" s="109"/>
      <c r="AG49" s="109"/>
      <c r="AH49" s="109"/>
      <c r="AI49" s="108"/>
    </row>
    <row r="50" spans="1:35">
      <c r="A50" s="606"/>
      <c r="B50" s="121" t="s">
        <v>314</v>
      </c>
      <c r="C50" s="108"/>
      <c r="D50" s="109"/>
      <c r="E50" s="109"/>
      <c r="F50" s="109"/>
      <c r="G50" s="124">
        <v>1.4999999999999999E-2</v>
      </c>
      <c r="H50" s="125">
        <v>1.4999999999999999E-2</v>
      </c>
      <c r="I50" s="125">
        <v>1.4999999999999999E-2</v>
      </c>
      <c r="J50" s="109" t="s">
        <v>288</v>
      </c>
      <c r="K50" s="124">
        <v>1.4999999999999999E-2</v>
      </c>
      <c r="L50" s="125">
        <v>1.4999999999999999E-2</v>
      </c>
      <c r="M50" s="125">
        <v>1.4999999999999999E-2</v>
      </c>
      <c r="N50" s="106" t="s">
        <v>288</v>
      </c>
      <c r="O50" s="109"/>
      <c r="P50" s="109"/>
      <c r="Q50" s="109"/>
      <c r="R50" s="106"/>
      <c r="S50" s="109"/>
      <c r="T50" s="109"/>
      <c r="U50" s="109"/>
      <c r="V50" s="106"/>
      <c r="W50" s="109"/>
      <c r="X50" s="109"/>
      <c r="Y50" s="109"/>
      <c r="Z50" s="109"/>
      <c r="AA50" s="560"/>
      <c r="AB50" s="561"/>
      <c r="AC50" s="561"/>
      <c r="AD50" s="561"/>
      <c r="AE50" s="108"/>
      <c r="AF50" s="109"/>
      <c r="AG50" s="109"/>
      <c r="AH50" s="109"/>
      <c r="AI50" s="108"/>
    </row>
    <row r="51" spans="1:35">
      <c r="A51" s="606"/>
      <c r="B51" s="121" t="s">
        <v>315</v>
      </c>
      <c r="C51" s="108"/>
      <c r="D51" s="109"/>
      <c r="E51" s="109"/>
      <c r="F51" s="109"/>
      <c r="G51" s="108"/>
      <c r="H51" s="109"/>
      <c r="I51" s="109"/>
      <c r="J51" s="109"/>
      <c r="K51" s="108"/>
      <c r="L51" s="109"/>
      <c r="M51" s="109"/>
      <c r="N51" s="106"/>
      <c r="O51" s="125">
        <v>0.05</v>
      </c>
      <c r="P51" s="124">
        <v>0.05</v>
      </c>
      <c r="Q51" s="124">
        <v>0.05</v>
      </c>
      <c r="R51" s="106" t="s">
        <v>283</v>
      </c>
      <c r="S51" s="109"/>
      <c r="T51" s="109"/>
      <c r="U51" s="109"/>
      <c r="V51" s="106"/>
      <c r="W51" s="109"/>
      <c r="X51" s="109"/>
      <c r="Y51" s="109"/>
      <c r="Z51" s="109"/>
      <c r="AA51" s="560"/>
      <c r="AB51" s="561"/>
      <c r="AC51" s="561"/>
      <c r="AD51" s="561"/>
      <c r="AE51" s="126">
        <v>0.02</v>
      </c>
      <c r="AF51" s="126">
        <v>0.02</v>
      </c>
      <c r="AG51" s="126">
        <v>0.02</v>
      </c>
      <c r="AH51" s="109" t="s">
        <v>283</v>
      </c>
      <c r="AI51" s="108"/>
    </row>
    <row r="52" spans="1:35">
      <c r="A52" s="606"/>
      <c r="B52" s="121" t="s">
        <v>316</v>
      </c>
      <c r="C52" s="108"/>
      <c r="D52" s="109"/>
      <c r="E52" s="109"/>
      <c r="F52" s="109"/>
      <c r="G52" s="108"/>
      <c r="H52" s="109"/>
      <c r="I52" s="109"/>
      <c r="J52" s="109"/>
      <c r="K52" s="108"/>
      <c r="L52" s="109"/>
      <c r="M52" s="109"/>
      <c r="N52" s="106"/>
      <c r="O52" s="125">
        <v>0.02</v>
      </c>
      <c r="P52" s="124">
        <v>0.02</v>
      </c>
      <c r="Q52" s="124">
        <v>0.02</v>
      </c>
      <c r="R52" s="106" t="s">
        <v>285</v>
      </c>
      <c r="S52" s="109"/>
      <c r="T52" s="109"/>
      <c r="U52" s="109"/>
      <c r="V52" s="106"/>
      <c r="W52" s="109"/>
      <c r="X52" s="109"/>
      <c r="Y52" s="109"/>
      <c r="Z52" s="109"/>
      <c r="AA52" s="560"/>
      <c r="AB52" s="561"/>
      <c r="AC52" s="561"/>
      <c r="AD52" s="561"/>
      <c r="AE52" s="124">
        <v>0.02</v>
      </c>
      <c r="AF52" s="124">
        <v>0.02</v>
      </c>
      <c r="AG52" s="124">
        <v>0.02</v>
      </c>
      <c r="AH52" s="109" t="s">
        <v>285</v>
      </c>
      <c r="AI52" s="108"/>
    </row>
    <row r="53" spans="1:35">
      <c r="A53" s="606"/>
      <c r="B53" s="121" t="s">
        <v>317</v>
      </c>
      <c r="C53" s="108"/>
      <c r="D53" s="109"/>
      <c r="E53" s="109"/>
      <c r="F53" s="109"/>
      <c r="G53" s="108"/>
      <c r="H53" s="109"/>
      <c r="I53" s="109"/>
      <c r="J53" s="109"/>
      <c r="K53" s="108"/>
      <c r="L53" s="109"/>
      <c r="M53" s="109"/>
      <c r="N53" s="106"/>
      <c r="O53" s="109"/>
      <c r="P53" s="109"/>
      <c r="Q53" s="109"/>
      <c r="R53" s="106"/>
      <c r="S53" s="109"/>
      <c r="T53" s="109"/>
      <c r="U53" s="109"/>
      <c r="V53" s="106"/>
      <c r="W53" s="109"/>
      <c r="X53" s="109"/>
      <c r="Y53" s="109"/>
      <c r="Z53" s="109"/>
      <c r="AA53" s="560"/>
      <c r="AB53" s="561"/>
      <c r="AC53" s="561"/>
      <c r="AD53" s="561"/>
      <c r="AE53" s="126">
        <v>0.01</v>
      </c>
      <c r="AF53" s="127">
        <v>0.01</v>
      </c>
      <c r="AG53" s="127">
        <v>0.01</v>
      </c>
      <c r="AH53" s="109" t="s">
        <v>288</v>
      </c>
      <c r="AI53" s="108"/>
    </row>
    <row r="54" spans="1:35">
      <c r="A54" s="606"/>
      <c r="B54" s="107"/>
      <c r="C54" s="108"/>
      <c r="D54" s="109"/>
      <c r="E54" s="109"/>
      <c r="F54" s="109"/>
      <c r="G54" s="108"/>
      <c r="H54" s="109"/>
      <c r="I54" s="109"/>
      <c r="J54" s="109"/>
      <c r="K54" s="108"/>
      <c r="L54" s="109"/>
      <c r="M54" s="109"/>
      <c r="N54" s="106"/>
      <c r="O54" s="109"/>
      <c r="P54" s="109"/>
      <c r="Q54" s="109"/>
      <c r="R54" s="106"/>
      <c r="S54" s="109"/>
      <c r="T54" s="109"/>
      <c r="U54" s="109"/>
      <c r="V54" s="106"/>
      <c r="W54" s="109"/>
      <c r="X54" s="109"/>
      <c r="Y54" s="109"/>
      <c r="Z54" s="109"/>
      <c r="AA54" s="560"/>
      <c r="AB54" s="561"/>
      <c r="AC54" s="561"/>
      <c r="AD54" s="561"/>
      <c r="AE54" s="108"/>
      <c r="AF54" s="109"/>
      <c r="AG54" s="109"/>
      <c r="AH54" s="109"/>
      <c r="AI54" s="108"/>
    </row>
    <row r="55" spans="1:35">
      <c r="A55" s="106"/>
      <c r="B55" s="107"/>
      <c r="C55" s="108"/>
      <c r="D55" s="109"/>
      <c r="E55" s="109"/>
      <c r="F55" s="109"/>
      <c r="G55" s="108"/>
      <c r="N55" s="128"/>
      <c r="R55" s="128"/>
      <c r="V55" s="128"/>
      <c r="Y55" s="109"/>
      <c r="Z55" s="109"/>
      <c r="AA55" s="560"/>
      <c r="AB55" s="561"/>
      <c r="AC55" s="561"/>
      <c r="AD55" s="561"/>
      <c r="AE55" s="108"/>
      <c r="AF55" s="109"/>
      <c r="AG55" s="109"/>
      <c r="AH55" s="109"/>
      <c r="AI55" s="108"/>
    </row>
    <row r="56" spans="1:35">
      <c r="A56" s="606" t="s">
        <v>318</v>
      </c>
      <c r="B56" s="110" t="s">
        <v>319</v>
      </c>
      <c r="C56" s="108"/>
      <c r="D56" s="109"/>
      <c r="E56" s="109"/>
      <c r="F56" s="109"/>
      <c r="G56" s="111">
        <v>1.235E-3</v>
      </c>
      <c r="H56" s="110">
        <v>1.235E-3</v>
      </c>
      <c r="I56" s="110">
        <v>1.235E-3</v>
      </c>
      <c r="J56" s="110" t="s">
        <v>288</v>
      </c>
      <c r="K56" s="111">
        <v>1.235E-3</v>
      </c>
      <c r="L56" s="110">
        <v>1.235E-3</v>
      </c>
      <c r="M56" s="110">
        <v>1.235E-3</v>
      </c>
      <c r="N56" s="128" t="s">
        <v>288</v>
      </c>
      <c r="R56" s="128"/>
      <c r="S56" s="110">
        <v>1.235E-3</v>
      </c>
      <c r="T56" s="110">
        <v>1.235E-3</v>
      </c>
      <c r="U56" s="110">
        <v>1.235E-3</v>
      </c>
      <c r="V56" s="106" t="s">
        <v>288</v>
      </c>
      <c r="W56" s="110">
        <v>1.235E-3</v>
      </c>
      <c r="X56" s="110">
        <v>1.235E-3</v>
      </c>
      <c r="Y56" s="110">
        <v>1.235E-3</v>
      </c>
      <c r="Z56" s="109" t="s">
        <v>288</v>
      </c>
      <c r="AI56" s="108"/>
    </row>
    <row r="57" spans="1:35">
      <c r="A57" s="606"/>
      <c r="B57" s="110" t="s">
        <v>319</v>
      </c>
      <c r="C57" s="108"/>
      <c r="D57" s="109"/>
      <c r="E57" s="109"/>
      <c r="F57" s="109"/>
      <c r="G57" s="111">
        <v>2E-3</v>
      </c>
      <c r="H57" s="110">
        <v>2E-3</v>
      </c>
      <c r="I57" s="110">
        <v>2E-3</v>
      </c>
      <c r="J57" s="110" t="s">
        <v>320</v>
      </c>
      <c r="K57" s="111">
        <v>2E-3</v>
      </c>
      <c r="L57" s="110">
        <v>2E-3</v>
      </c>
      <c r="M57" s="110">
        <v>2E-3</v>
      </c>
      <c r="N57" s="128" t="s">
        <v>320</v>
      </c>
      <c r="R57" s="128"/>
      <c r="S57" s="110">
        <v>2E-3</v>
      </c>
      <c r="T57" s="110">
        <v>2E-3</v>
      </c>
      <c r="U57" s="110">
        <v>2E-3</v>
      </c>
      <c r="V57" s="128" t="s">
        <v>320</v>
      </c>
      <c r="AI57" s="108"/>
    </row>
    <row r="58" spans="1:35">
      <c r="A58" s="606"/>
      <c r="B58" s="110" t="s">
        <v>321</v>
      </c>
      <c r="C58" s="108"/>
      <c r="D58" s="109"/>
      <c r="E58" s="109"/>
      <c r="F58" s="109"/>
      <c r="G58" s="111">
        <v>0.5</v>
      </c>
      <c r="H58" s="110">
        <v>0.5</v>
      </c>
      <c r="I58" s="110">
        <v>0.5</v>
      </c>
      <c r="J58" s="110" t="s">
        <v>320</v>
      </c>
      <c r="K58" s="111">
        <v>0.5</v>
      </c>
      <c r="L58" s="110">
        <v>0.5</v>
      </c>
      <c r="M58" s="110">
        <v>0.5</v>
      </c>
      <c r="N58" s="128" t="s">
        <v>320</v>
      </c>
      <c r="R58" s="128"/>
      <c r="S58" s="110">
        <v>0.5</v>
      </c>
      <c r="T58" s="110">
        <v>0.5</v>
      </c>
      <c r="U58" s="110">
        <v>0.5</v>
      </c>
      <c r="V58" s="128" t="s">
        <v>320</v>
      </c>
      <c r="W58" s="110">
        <v>0.5</v>
      </c>
      <c r="X58" s="110">
        <v>0.5</v>
      </c>
      <c r="Y58" s="110">
        <v>0.5</v>
      </c>
      <c r="Z58" s="110" t="s">
        <v>320</v>
      </c>
      <c r="AI58" s="108"/>
    </row>
    <row r="59" spans="1:35">
      <c r="A59" s="606"/>
      <c r="B59" s="110" t="s">
        <v>322</v>
      </c>
      <c r="C59" s="108"/>
      <c r="D59" s="109"/>
      <c r="E59" s="109"/>
      <c r="F59" s="109"/>
      <c r="G59" s="111">
        <v>0.25</v>
      </c>
      <c r="H59" s="110">
        <v>0.25</v>
      </c>
      <c r="I59" s="110">
        <v>0.25</v>
      </c>
      <c r="J59" s="110" t="s">
        <v>320</v>
      </c>
      <c r="K59" s="111">
        <v>0.25</v>
      </c>
      <c r="L59" s="110">
        <v>0.25</v>
      </c>
      <c r="M59" s="110">
        <v>0.25</v>
      </c>
      <c r="N59" s="128" t="s">
        <v>320</v>
      </c>
      <c r="R59" s="128"/>
      <c r="V59" s="128"/>
      <c r="W59" s="110">
        <v>0.25</v>
      </c>
      <c r="X59" s="110">
        <v>0.25</v>
      </c>
      <c r="Y59" s="110">
        <v>0.25</v>
      </c>
      <c r="Z59" s="110" t="s">
        <v>320</v>
      </c>
      <c r="AA59" s="560"/>
      <c r="AB59" s="561"/>
      <c r="AC59" s="561"/>
      <c r="AD59" s="561"/>
      <c r="AE59" s="108"/>
      <c r="AF59" s="109"/>
      <c r="AG59" s="109"/>
      <c r="AH59" s="109"/>
      <c r="AI59" s="108"/>
    </row>
    <row r="60" spans="1:35">
      <c r="A60" s="606"/>
      <c r="B60" s="107" t="s">
        <v>323</v>
      </c>
      <c r="C60" s="108"/>
      <c r="D60" s="109"/>
      <c r="E60" s="109"/>
      <c r="F60" s="109"/>
      <c r="G60" s="108"/>
      <c r="H60" s="109"/>
      <c r="I60" s="109"/>
      <c r="J60" s="109"/>
      <c r="K60" s="108"/>
      <c r="L60" s="109"/>
      <c r="M60" s="109"/>
      <c r="N60" s="106"/>
      <c r="O60" s="109"/>
      <c r="P60" s="109"/>
      <c r="Q60" s="109"/>
      <c r="R60" s="106"/>
      <c r="S60" s="109"/>
      <c r="T60" s="109"/>
      <c r="U60" s="109"/>
      <c r="V60" s="106"/>
      <c r="W60" s="109"/>
      <c r="X60" s="109"/>
      <c r="Y60" s="109"/>
      <c r="Z60" s="109"/>
      <c r="AA60" s="560">
        <v>5.2857100000000003E-4</v>
      </c>
      <c r="AB60" s="561">
        <v>5.2857100000000003E-4</v>
      </c>
      <c r="AC60" s="561">
        <v>5.2857100000000003E-4</v>
      </c>
      <c r="AD60" s="561" t="s">
        <v>324</v>
      </c>
      <c r="AE60" s="108"/>
      <c r="AF60" s="109"/>
      <c r="AG60" s="109"/>
      <c r="AH60" s="109"/>
      <c r="AI60" s="108"/>
    </row>
    <row r="61" spans="1:35">
      <c r="A61" s="606"/>
      <c r="B61" s="107"/>
      <c r="C61" s="108"/>
      <c r="D61" s="109"/>
      <c r="E61" s="109"/>
      <c r="F61" s="109"/>
      <c r="G61" s="108"/>
      <c r="H61" s="109"/>
      <c r="I61" s="109"/>
      <c r="J61" s="109"/>
      <c r="K61" s="108"/>
      <c r="L61" s="109"/>
      <c r="M61" s="109"/>
      <c r="N61" s="106"/>
      <c r="O61" s="109"/>
      <c r="P61" s="109"/>
      <c r="Q61" s="109"/>
      <c r="R61" s="106"/>
      <c r="S61" s="109"/>
      <c r="T61" s="109"/>
      <c r="U61" s="109"/>
      <c r="V61" s="106"/>
      <c r="W61" s="109"/>
      <c r="X61" s="109"/>
      <c r="Y61" s="109"/>
      <c r="Z61" s="109"/>
      <c r="AA61" s="560"/>
      <c r="AB61" s="561"/>
      <c r="AC61" s="561"/>
      <c r="AD61" s="561"/>
      <c r="AE61" s="108"/>
      <c r="AF61" s="109"/>
      <c r="AG61" s="109"/>
      <c r="AH61" s="109"/>
      <c r="AI61" s="108"/>
    </row>
    <row r="62" spans="1:35">
      <c r="A62" s="606"/>
      <c r="B62" s="107"/>
      <c r="C62" s="108"/>
      <c r="D62" s="109"/>
      <c r="E62" s="109"/>
      <c r="F62" s="109"/>
      <c r="G62" s="108"/>
      <c r="H62" s="109"/>
      <c r="I62" s="109"/>
      <c r="J62" s="109"/>
      <c r="K62" s="108"/>
      <c r="L62" s="109"/>
      <c r="M62" s="109"/>
      <c r="N62" s="106"/>
      <c r="O62" s="109"/>
      <c r="P62" s="109"/>
      <c r="Q62" s="109"/>
      <c r="R62" s="106"/>
      <c r="S62" s="109"/>
      <c r="T62" s="109"/>
      <c r="U62" s="109"/>
      <c r="V62" s="106"/>
      <c r="W62" s="109"/>
      <c r="X62" s="109"/>
      <c r="Y62" s="109"/>
      <c r="Z62" s="109"/>
      <c r="AA62" s="560">
        <v>1.849112E-3</v>
      </c>
      <c r="AB62" s="561"/>
      <c r="AC62" s="561"/>
      <c r="AD62" s="561"/>
      <c r="AE62" s="108"/>
      <c r="AF62" s="109"/>
      <c r="AG62" s="109"/>
      <c r="AH62" s="109"/>
      <c r="AI62" s="108"/>
    </row>
    <row r="63" spans="1:35">
      <c r="A63" s="106"/>
      <c r="B63" s="107"/>
      <c r="C63" s="108"/>
      <c r="D63" s="109"/>
      <c r="E63" s="109"/>
      <c r="F63" s="109"/>
      <c r="G63" s="108"/>
      <c r="H63" s="109"/>
      <c r="I63" s="109"/>
      <c r="J63" s="109"/>
      <c r="K63" s="108"/>
      <c r="L63" s="109"/>
      <c r="M63" s="109"/>
      <c r="N63" s="106"/>
      <c r="O63" s="109"/>
      <c r="P63" s="109"/>
      <c r="Q63" s="109"/>
      <c r="R63" s="106"/>
      <c r="S63" s="109"/>
      <c r="T63" s="109"/>
      <c r="U63" s="109"/>
      <c r="V63" s="106"/>
      <c r="W63" s="109"/>
      <c r="X63" s="109"/>
      <c r="Y63" s="109"/>
      <c r="Z63" s="109"/>
      <c r="AA63" s="560"/>
      <c r="AB63" s="561"/>
      <c r="AC63" s="561"/>
      <c r="AD63" s="561"/>
      <c r="AE63" s="108"/>
      <c r="AF63" s="109"/>
      <c r="AG63" s="109"/>
      <c r="AH63" s="109"/>
      <c r="AI63" s="108"/>
    </row>
    <row r="64" spans="1:35">
      <c r="A64" s="106"/>
      <c r="B64" s="107"/>
      <c r="C64" s="108"/>
      <c r="D64" s="109"/>
      <c r="E64" s="109"/>
      <c r="F64" s="109"/>
      <c r="G64" s="108"/>
      <c r="H64" s="109"/>
      <c r="I64" s="109"/>
      <c r="J64" s="109"/>
      <c r="K64" s="108"/>
      <c r="L64" s="109"/>
      <c r="M64" s="109"/>
      <c r="N64" s="106"/>
      <c r="O64" s="109"/>
      <c r="P64" s="109"/>
      <c r="Q64" s="109"/>
      <c r="R64" s="106"/>
      <c r="S64" s="109"/>
      <c r="T64" s="109"/>
      <c r="U64" s="109"/>
      <c r="V64" s="106"/>
      <c r="W64" s="109"/>
      <c r="X64" s="109"/>
      <c r="Y64" s="109"/>
      <c r="Z64" s="109"/>
      <c r="AA64" s="560"/>
      <c r="AB64" s="561"/>
      <c r="AC64" s="561"/>
      <c r="AD64" s="561"/>
      <c r="AE64" s="108"/>
      <c r="AF64" s="109"/>
      <c r="AG64" s="109"/>
      <c r="AH64" s="109"/>
      <c r="AI64" s="108"/>
    </row>
    <row r="65" spans="1:35">
      <c r="A65" s="106"/>
      <c r="B65" s="107"/>
      <c r="C65" s="108"/>
      <c r="D65" s="109"/>
      <c r="E65" s="109"/>
      <c r="F65" s="109"/>
      <c r="G65" s="108"/>
      <c r="H65" s="109"/>
      <c r="I65" s="109"/>
      <c r="J65" s="109"/>
      <c r="K65" s="108"/>
      <c r="L65" s="109"/>
      <c r="M65" s="109"/>
      <c r="N65" s="106"/>
      <c r="O65" s="109"/>
      <c r="P65" s="109"/>
      <c r="Q65" s="109"/>
      <c r="R65" s="106"/>
      <c r="S65" s="109"/>
      <c r="T65" s="109"/>
      <c r="U65" s="109"/>
      <c r="V65" s="106"/>
      <c r="W65" s="109"/>
      <c r="X65" s="109"/>
      <c r="Y65" s="109"/>
      <c r="Z65" s="109"/>
      <c r="AA65" s="560"/>
      <c r="AB65" s="561"/>
      <c r="AC65" s="561"/>
      <c r="AD65" s="561"/>
      <c r="AE65" s="108"/>
      <c r="AF65" s="109"/>
      <c r="AG65" s="109"/>
      <c r="AH65" s="109"/>
      <c r="AI65" s="108"/>
    </row>
    <row r="66" spans="1:35">
      <c r="A66" s="106"/>
      <c r="B66" s="107"/>
      <c r="C66" s="108"/>
      <c r="D66" s="109"/>
      <c r="E66" s="109"/>
      <c r="F66" s="109"/>
      <c r="G66" s="108"/>
      <c r="H66" s="109"/>
      <c r="I66" s="109"/>
      <c r="J66" s="109"/>
      <c r="K66" s="108"/>
      <c r="L66" s="109"/>
      <c r="M66" s="109"/>
      <c r="N66" s="106"/>
      <c r="O66" s="109"/>
      <c r="P66" s="109"/>
      <c r="Q66" s="109"/>
      <c r="R66" s="106"/>
      <c r="S66" s="109"/>
      <c r="T66" s="109"/>
      <c r="U66" s="109"/>
      <c r="V66" s="106"/>
      <c r="W66" s="109"/>
      <c r="X66" s="109"/>
      <c r="Y66" s="109"/>
      <c r="Z66" s="109"/>
      <c r="AA66" s="560"/>
      <c r="AB66" s="561"/>
      <c r="AC66" s="561"/>
      <c r="AD66" s="561"/>
      <c r="AE66" s="108"/>
      <c r="AF66" s="109"/>
      <c r="AG66" s="109"/>
      <c r="AH66" s="109"/>
      <c r="AI66" s="108"/>
    </row>
    <row r="67" spans="1:35">
      <c r="A67" s="106"/>
      <c r="B67" s="107"/>
      <c r="C67" s="108"/>
      <c r="D67" s="109"/>
      <c r="E67" s="109"/>
      <c r="F67" s="109"/>
      <c r="G67" s="108"/>
      <c r="H67" s="109"/>
      <c r="I67" s="109"/>
      <c r="J67" s="109"/>
      <c r="K67" s="108"/>
      <c r="L67" s="109"/>
      <c r="M67" s="109"/>
      <c r="N67" s="106"/>
      <c r="O67" s="109"/>
      <c r="P67" s="109"/>
      <c r="Q67" s="109"/>
      <c r="R67" s="106"/>
      <c r="S67" s="109"/>
      <c r="T67" s="109"/>
      <c r="U67" s="109"/>
      <c r="V67" s="106"/>
      <c r="W67" s="109"/>
      <c r="X67" s="109"/>
      <c r="Y67" s="109"/>
      <c r="Z67" s="109"/>
      <c r="AA67" s="560"/>
      <c r="AB67" s="561"/>
      <c r="AC67" s="561"/>
      <c r="AD67" s="561"/>
      <c r="AE67" s="108"/>
      <c r="AF67" s="109"/>
      <c r="AG67" s="109"/>
      <c r="AH67" s="109"/>
      <c r="AI67" s="108"/>
    </row>
  </sheetData>
  <mergeCells count="12">
    <mergeCell ref="AA2:AD3"/>
    <mergeCell ref="AE2:AH3"/>
    <mergeCell ref="A10:A31"/>
    <mergeCell ref="A38:A43"/>
    <mergeCell ref="A47:A54"/>
    <mergeCell ref="S2:V3"/>
    <mergeCell ref="W2:Z3"/>
    <mergeCell ref="A56:A62"/>
    <mergeCell ref="C2:F3"/>
    <mergeCell ref="G2:J3"/>
    <mergeCell ref="K2:N3"/>
    <mergeCell ref="O2:R3"/>
  </mergeCells>
  <pageMargins left="0.7" right="0.7" top="0.78740157499999996" bottom="0.78740157499999996" header="0.3" footer="0.3"/>
  <headerFooter>
    <oddFooter>&amp;C_x000D_&amp;1#&amp;"Calibri"&amp;10&amp;K000000 ISC - Uso INTERNO / INTERNAL Use</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F7E2-2FC9-48EE-BFD7-E1D4A71832EE}">
  <sheetPr>
    <tabColor theme="5"/>
  </sheetPr>
  <dimension ref="B1:O1"/>
  <sheetViews>
    <sheetView topLeftCell="A29" zoomScale="85" zoomScaleNormal="85" workbookViewId="0">
      <selection activeCell="Q46" sqref="Q46"/>
    </sheetView>
  </sheetViews>
  <sheetFormatPr defaultColWidth="9.140625" defaultRowHeight="15"/>
  <cols>
    <col min="1" max="16384" width="9.140625" style="61"/>
  </cols>
  <sheetData>
    <row r="1" spans="2:15" ht="23.25">
      <c r="B1" s="384" t="s">
        <v>325</v>
      </c>
      <c r="C1" s="385"/>
      <c r="D1" s="385"/>
      <c r="E1" s="385"/>
      <c r="F1" s="385"/>
      <c r="G1" s="385"/>
      <c r="H1" s="385"/>
      <c r="I1" s="385"/>
      <c r="J1" s="385"/>
      <c r="K1" s="385"/>
      <c r="L1" s="385"/>
      <c r="M1" s="385"/>
      <c r="N1" s="385"/>
      <c r="O1" s="385"/>
    </row>
  </sheetData>
  <pageMargins left="0.7" right="0.7" top="0.75" bottom="0.75" header="0.3" footer="0.3"/>
  <headerFooter>
    <oddFooter>&amp;C_x000D_&amp;1#&amp;"Calibri"&amp;10&amp;K000000 ISC - Uso INTERNO / INTERNAL Use</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87D72-56CB-4D64-ACE7-F3196F8EB837}">
  <sheetPr>
    <tabColor theme="7"/>
  </sheetPr>
  <dimension ref="B1:L39"/>
  <sheetViews>
    <sheetView showGridLines="0" zoomScaleNormal="100" workbookViewId="0">
      <selection activeCell="G14" sqref="G14"/>
    </sheetView>
  </sheetViews>
  <sheetFormatPr defaultColWidth="9.140625" defaultRowHeight="15"/>
  <cols>
    <col min="1" max="1" width="3.5703125" customWidth="1"/>
    <col min="2" max="2" width="44.42578125" bestFit="1" customWidth="1"/>
    <col min="3" max="3" width="17" customWidth="1"/>
    <col min="4" max="6" width="11.140625" customWidth="1"/>
    <col min="7" max="7" width="60.5703125" bestFit="1" customWidth="1"/>
    <col min="8" max="8" width="60.5703125" customWidth="1"/>
    <col min="9" max="9" width="55.85546875" hidden="1" customWidth="1"/>
  </cols>
  <sheetData>
    <row r="1" spans="2:12" ht="14.45" customHeight="1">
      <c r="B1" s="384" t="s">
        <v>326</v>
      </c>
      <c r="D1" s="632" t="s">
        <v>327</v>
      </c>
      <c r="E1" s="632"/>
      <c r="F1" s="632"/>
      <c r="G1" s="633" t="s">
        <v>328</v>
      </c>
    </row>
    <row r="2" spans="2:12" ht="14.45" customHeight="1">
      <c r="D2" s="632"/>
      <c r="E2" s="632"/>
      <c r="F2" s="632"/>
      <c r="G2" s="633"/>
    </row>
    <row r="3" spans="2:12" ht="15" customHeight="1">
      <c r="B3" s="131" t="s">
        <v>329</v>
      </c>
      <c r="C3" s="132" t="s">
        <v>330</v>
      </c>
      <c r="D3" s="133">
        <v>2030</v>
      </c>
      <c r="E3" s="133">
        <v>2040</v>
      </c>
      <c r="F3" s="133">
        <v>2050</v>
      </c>
      <c r="G3" s="133" t="s">
        <v>331</v>
      </c>
      <c r="H3" s="133" t="s">
        <v>332</v>
      </c>
    </row>
    <row r="4" spans="2:12" ht="15.75" customHeight="1">
      <c r="B4" s="134" t="s">
        <v>333</v>
      </c>
      <c r="C4" s="135" t="s">
        <v>334</v>
      </c>
      <c r="D4" s="136">
        <f>'3.4.'!$E$25</f>
        <v>1.6808484848484848</v>
      </c>
      <c r="E4" s="136">
        <f>'3.4.'!$E$25</f>
        <v>1.6808484848484848</v>
      </c>
      <c r="F4" s="136">
        <f>'3.4.'!$E$25</f>
        <v>1.6808484848484848</v>
      </c>
      <c r="G4" s="137" t="s">
        <v>335</v>
      </c>
      <c r="H4" s="137" t="s">
        <v>336</v>
      </c>
    </row>
    <row r="5" spans="2:12" ht="15.75" customHeight="1">
      <c r="B5" s="138" t="s">
        <v>337</v>
      </c>
      <c r="C5" s="139" t="s">
        <v>334</v>
      </c>
      <c r="D5" s="140">
        <v>1.4</v>
      </c>
      <c r="E5" s="140">
        <v>1.4</v>
      </c>
      <c r="F5" s="140">
        <v>1.4</v>
      </c>
      <c r="G5" s="141" t="s">
        <v>338</v>
      </c>
      <c r="H5" s="634" t="s">
        <v>339</v>
      </c>
    </row>
    <row r="6" spans="2:12" ht="26.1" customHeight="1">
      <c r="B6" s="142" t="s">
        <v>340</v>
      </c>
      <c r="C6" s="139" t="s">
        <v>334</v>
      </c>
      <c r="D6" s="140">
        <v>1.8</v>
      </c>
      <c r="E6" s="140">
        <v>1.8</v>
      </c>
      <c r="F6" s="140">
        <v>1.8</v>
      </c>
      <c r="G6" s="141" t="s">
        <v>338</v>
      </c>
      <c r="H6" s="635"/>
    </row>
    <row r="7" spans="2:12" ht="15.75" customHeight="1">
      <c r="B7" s="138" t="s">
        <v>341</v>
      </c>
      <c r="C7" s="139" t="s">
        <v>334</v>
      </c>
      <c r="D7" s="140">
        <v>2.37</v>
      </c>
      <c r="E7" s="140">
        <v>2.37</v>
      </c>
      <c r="F7" s="140">
        <v>2.37</v>
      </c>
      <c r="G7" s="141" t="s">
        <v>338</v>
      </c>
      <c r="H7" s="635"/>
    </row>
    <row r="8" spans="2:12" ht="15.75" customHeight="1">
      <c r="B8" s="138" t="s">
        <v>342</v>
      </c>
      <c r="C8" s="139" t="s">
        <v>334</v>
      </c>
      <c r="D8" s="140">
        <v>3.1</v>
      </c>
      <c r="E8" s="140">
        <v>3.1</v>
      </c>
      <c r="F8" s="140">
        <v>3.1</v>
      </c>
      <c r="G8" s="141" t="s">
        <v>338</v>
      </c>
      <c r="H8" s="636"/>
    </row>
    <row r="9" spans="2:12" ht="15.75" customHeight="1">
      <c r="B9" s="144" t="s">
        <v>343</v>
      </c>
      <c r="C9" s="139" t="s">
        <v>334</v>
      </c>
      <c r="D9" s="140">
        <f>'3.4.'!H24</f>
        <v>1.7768679631525077</v>
      </c>
      <c r="E9" s="145">
        <f>(D9+F9)/2</f>
        <v>1.6479017400204707</v>
      </c>
      <c r="F9" s="140">
        <f>'3.4.'!J24</f>
        <v>1.518935516888434</v>
      </c>
      <c r="G9" s="141" t="s">
        <v>344</v>
      </c>
      <c r="H9" s="630"/>
    </row>
    <row r="10" spans="2:12" ht="15.75" customHeight="1">
      <c r="B10" s="144" t="s">
        <v>345</v>
      </c>
      <c r="C10" s="139" t="s">
        <v>334</v>
      </c>
      <c r="D10" s="140">
        <f>'3.4.'!H23</f>
        <v>6.2894512368495885</v>
      </c>
      <c r="E10" s="145">
        <f>(D10+F10)/2</f>
        <v>5.652544782485073</v>
      </c>
      <c r="F10" s="140">
        <f>'3.4.'!J23</f>
        <v>5.0156383281205574</v>
      </c>
      <c r="G10" s="141" t="s">
        <v>344</v>
      </c>
      <c r="H10" s="631"/>
    </row>
    <row r="11" spans="2:12" ht="15.75" customHeight="1">
      <c r="B11" s="144" t="s">
        <v>346</v>
      </c>
      <c r="C11" s="139" t="s">
        <v>334</v>
      </c>
      <c r="D11" s="140">
        <f>'3.4.'!H20</f>
        <v>9.1740614334470987</v>
      </c>
      <c r="E11" s="145">
        <f>(D11+F11)/2</f>
        <v>8.887372013651877</v>
      </c>
      <c r="F11" s="140">
        <f>'3.4.'!J20</f>
        <v>8.6006825938566553</v>
      </c>
      <c r="G11" s="141" t="s">
        <v>344</v>
      </c>
      <c r="H11" s="631"/>
      <c r="J11" s="146"/>
    </row>
    <row r="12" spans="2:12" ht="15.75" customHeight="1">
      <c r="B12" s="550" t="s">
        <v>347</v>
      </c>
      <c r="C12" s="139" t="s">
        <v>348</v>
      </c>
      <c r="D12" s="140">
        <f>'3.4.'!H19</f>
        <v>113.39999999999999</v>
      </c>
      <c r="E12" s="140">
        <f>'3.4.'!I19</f>
        <v>147</v>
      </c>
      <c r="F12" s="140">
        <f>'3.4.'!J19</f>
        <v>168</v>
      </c>
      <c r="G12" s="141" t="s">
        <v>344</v>
      </c>
      <c r="H12" s="637"/>
    </row>
    <row r="13" spans="2:12" ht="15.75" customHeight="1">
      <c r="B13" s="144" t="s">
        <v>349</v>
      </c>
      <c r="C13" s="139" t="s">
        <v>334</v>
      </c>
      <c r="D13" s="140">
        <f>'3.4.'!H26</f>
        <v>17.64</v>
      </c>
      <c r="E13" s="140">
        <f>'3.4.'!I26</f>
        <v>15.12</v>
      </c>
      <c r="F13" s="140">
        <f>'3.4.'!J26</f>
        <v>15.12</v>
      </c>
      <c r="G13" s="141" t="s">
        <v>350</v>
      </c>
      <c r="H13" s="630"/>
    </row>
    <row r="14" spans="2:12" ht="15.75" customHeight="1">
      <c r="B14" s="550" t="s">
        <v>351</v>
      </c>
      <c r="C14" s="139" t="s">
        <v>352</v>
      </c>
      <c r="D14" s="140">
        <f>'3.5.'!D26</f>
        <v>18.803793537698528</v>
      </c>
      <c r="E14" s="145">
        <f>(D14+F14)/2</f>
        <v>18.038378078081973</v>
      </c>
      <c r="F14" s="140">
        <f>'3.5.'!E26</f>
        <v>17.272962618465417</v>
      </c>
      <c r="G14" s="141" t="s">
        <v>353</v>
      </c>
      <c r="H14" s="637"/>
    </row>
    <row r="15" spans="2:12" ht="15.75" customHeight="1">
      <c r="B15" s="138" t="s">
        <v>354</v>
      </c>
      <c r="C15" s="139" t="s">
        <v>352</v>
      </c>
      <c r="D15" s="140">
        <f>'3.4.'!H31</f>
        <v>27.552</v>
      </c>
      <c r="E15" s="140">
        <f>'3.4.'!I31</f>
        <v>24.990000000000002</v>
      </c>
      <c r="F15" s="140">
        <f>'3.4.'!J31</f>
        <v>23.52</v>
      </c>
      <c r="G15" s="141" t="s">
        <v>355</v>
      </c>
      <c r="H15" s="141"/>
      <c r="L15" s="3"/>
    </row>
    <row r="16" spans="2:12" ht="15.75" customHeight="1">
      <c r="B16" s="144" t="s">
        <v>356</v>
      </c>
      <c r="C16" s="139" t="s">
        <v>334</v>
      </c>
      <c r="D16" s="140">
        <f>'3.4.'!H21</f>
        <v>11.742798634812287</v>
      </c>
      <c r="E16" s="145">
        <f>(D16+F16)/2</f>
        <v>11.375836177474403</v>
      </c>
      <c r="F16" s="140">
        <f>'3.4.'!J21</f>
        <v>11.008873720136519</v>
      </c>
      <c r="G16" s="141" t="s">
        <v>357</v>
      </c>
      <c r="H16" s="147" t="s">
        <v>358</v>
      </c>
    </row>
    <row r="17" spans="2:12" ht="15.75" customHeight="1">
      <c r="B17" s="144" t="s">
        <v>359</v>
      </c>
      <c r="C17" s="139" t="s">
        <v>334</v>
      </c>
      <c r="D17" s="140">
        <f>'3.4.'!H22</f>
        <v>9.6327645051194537</v>
      </c>
      <c r="E17" s="145">
        <f>(D17+F17)/2</f>
        <v>9.3317406143344712</v>
      </c>
      <c r="F17" s="140">
        <f>'3.4.'!J22</f>
        <v>9.0307167235494887</v>
      </c>
      <c r="G17" s="141" t="s">
        <v>360</v>
      </c>
      <c r="H17" s="147" t="s">
        <v>361</v>
      </c>
    </row>
    <row r="18" spans="2:12" ht="15.75" customHeight="1">
      <c r="B18" s="144" t="s">
        <v>362</v>
      </c>
      <c r="C18" s="139" t="s">
        <v>334</v>
      </c>
      <c r="D18" s="140">
        <v>1.86</v>
      </c>
      <c r="E18" s="140">
        <v>2.71</v>
      </c>
      <c r="F18" s="140">
        <v>3.93</v>
      </c>
      <c r="G18" s="141" t="s">
        <v>363</v>
      </c>
      <c r="H18" s="147"/>
    </row>
    <row r="19" spans="2:12" ht="15.75" customHeight="1">
      <c r="B19" s="138" t="s">
        <v>364</v>
      </c>
      <c r="C19" s="139" t="s">
        <v>334</v>
      </c>
      <c r="D19" s="140">
        <f>'3.3'!C19</f>
        <v>38.302585769400075</v>
      </c>
      <c r="E19" s="140">
        <f>'3.3'!D19</f>
        <v>30.117603582546735</v>
      </c>
      <c r="F19" s="140">
        <f>'3.3'!E19</f>
        <v>24.111307234938817</v>
      </c>
      <c r="G19" s="141" t="s">
        <v>365</v>
      </c>
      <c r="H19" s="141"/>
      <c r="I19" s="147"/>
      <c r="J19" s="148"/>
      <c r="L19" s="148"/>
    </row>
    <row r="20" spans="2:12" ht="15.75" customHeight="1">
      <c r="B20" s="149" t="s">
        <v>366</v>
      </c>
      <c r="C20" s="139" t="s">
        <v>334</v>
      </c>
      <c r="D20" s="518">
        <f>'3.2.'!C27</f>
        <v>7.4970245331058694</v>
      </c>
      <c r="E20" s="140">
        <f>'3.2.'!D27</f>
        <v>8.9869771315129992</v>
      </c>
      <c r="F20" s="140"/>
      <c r="G20" s="141" t="s">
        <v>367</v>
      </c>
      <c r="H20" s="141"/>
      <c r="I20" s="150"/>
      <c r="J20" s="148"/>
      <c r="L20" s="148"/>
    </row>
    <row r="21" spans="2:12" ht="15.75" customHeight="1">
      <c r="B21" s="149" t="s">
        <v>368</v>
      </c>
      <c r="C21" s="139" t="s">
        <v>334</v>
      </c>
      <c r="D21" s="140"/>
      <c r="E21" s="140">
        <f>'3.2.'!N27</f>
        <v>10.862506122169499</v>
      </c>
      <c r="F21" s="140">
        <f>'3.2.'!O27</f>
        <v>17.931544885174038</v>
      </c>
      <c r="G21" s="141" t="s">
        <v>367</v>
      </c>
      <c r="H21" s="141"/>
      <c r="I21" s="150"/>
      <c r="J21" s="148"/>
      <c r="L21" s="148"/>
    </row>
    <row r="22" spans="2:12" ht="15.75" customHeight="1">
      <c r="B22" s="149" t="s">
        <v>369</v>
      </c>
      <c r="C22" s="151" t="s">
        <v>334</v>
      </c>
      <c r="D22" s="152"/>
      <c r="E22" s="152">
        <f>'3.2.'!H27</f>
        <v>9.7860672367103323</v>
      </c>
      <c r="F22" s="152">
        <f>'3.2.'!I27</f>
        <v>15.766522784635857</v>
      </c>
      <c r="G22" s="141" t="s">
        <v>367</v>
      </c>
      <c r="H22" s="141"/>
      <c r="I22" s="150"/>
      <c r="J22" s="148"/>
      <c r="L22" s="148"/>
    </row>
    <row r="23" spans="2:12" ht="16.5" customHeight="1">
      <c r="B23" s="153"/>
      <c r="C23" s="143"/>
      <c r="E23" s="386" t="s">
        <v>370</v>
      </c>
    </row>
    <row r="25" spans="2:12">
      <c r="B25" s="154"/>
      <c r="C25" s="154"/>
      <c r="E25" t="s">
        <v>371</v>
      </c>
      <c r="I25" s="155"/>
    </row>
    <row r="26" spans="2:12">
      <c r="D26">
        <f>D15*3.6</f>
        <v>99.187200000000004</v>
      </c>
      <c r="E26">
        <f t="shared" ref="E26:F26" si="0">E15*3.6</f>
        <v>89.964000000000013</v>
      </c>
      <c r="F26">
        <f t="shared" si="0"/>
        <v>84.671999999999997</v>
      </c>
    </row>
    <row r="27" spans="2:12">
      <c r="B27" s="3"/>
      <c r="C27" s="3"/>
    </row>
    <row r="28" spans="2:12">
      <c r="B28" s="3"/>
      <c r="C28" s="3"/>
    </row>
    <row r="29" spans="2:12">
      <c r="D29">
        <f>D15*3.6</f>
        <v>99.187200000000004</v>
      </c>
      <c r="E29">
        <f t="shared" ref="E29:F29" si="1">E15*3.6</f>
        <v>89.964000000000013</v>
      </c>
      <c r="F29">
        <f t="shared" si="1"/>
        <v>84.671999999999997</v>
      </c>
    </row>
    <row r="31" spans="2:12">
      <c r="I31" s="133" t="s">
        <v>332</v>
      </c>
    </row>
    <row r="32" spans="2:12" ht="14.45" customHeight="1">
      <c r="I32" s="630" t="s">
        <v>372</v>
      </c>
    </row>
    <row r="33" spans="9:11">
      <c r="I33" s="631"/>
    </row>
    <row r="34" spans="9:11">
      <c r="I34" s="631"/>
    </row>
    <row r="35" spans="9:11">
      <c r="I35" s="631"/>
    </row>
    <row r="36" spans="9:11">
      <c r="I36" s="631"/>
    </row>
    <row r="37" spans="9:11">
      <c r="I37" s="631"/>
    </row>
    <row r="39" spans="9:11">
      <c r="I39" s="156"/>
      <c r="J39" s="156"/>
      <c r="K39" s="156"/>
    </row>
  </sheetData>
  <mergeCells count="6">
    <mergeCell ref="I32:I37"/>
    <mergeCell ref="D1:F2"/>
    <mergeCell ref="G1:G2"/>
    <mergeCell ref="H5:H8"/>
    <mergeCell ref="H9:H12"/>
    <mergeCell ref="H13:H14"/>
  </mergeCells>
  <pageMargins left="0.7" right="0.7" top="0.75" bottom="0.75" header="0.3" footer="0.3"/>
  <pageSetup paperSize="9" orientation="portrait" r:id="rId1"/>
  <headerFooter>
    <oddFooter>&amp;C_x000D_&amp;1#&amp;"Calibri"&amp;10&amp;K000000 ISC - Uso INTERNO / INTERNAL Use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6B81D-FD9D-4D6C-8273-8C2B7C7D2308}">
  <sheetPr>
    <tabColor theme="7"/>
  </sheetPr>
  <dimension ref="B1:Y33"/>
  <sheetViews>
    <sheetView showGridLines="0" workbookViewId="0">
      <selection activeCell="S29" sqref="S29:Y33"/>
    </sheetView>
  </sheetViews>
  <sheetFormatPr defaultColWidth="8.85546875" defaultRowHeight="15"/>
  <cols>
    <col min="2" max="2" width="20" bestFit="1" customWidth="1"/>
    <col min="3" max="4" width="10.5703125" bestFit="1" customWidth="1"/>
    <col min="7" max="7" width="18" bestFit="1" customWidth="1"/>
    <col min="10" max="10" width="50.42578125" bestFit="1" customWidth="1"/>
    <col min="13" max="13" width="18" bestFit="1" customWidth="1"/>
    <col min="16" max="16" width="50.42578125" bestFit="1" customWidth="1"/>
    <col min="19" max="19" width="11.85546875" bestFit="1" customWidth="1"/>
  </cols>
  <sheetData>
    <row r="1" spans="2:18" ht="23.25">
      <c r="B1" s="384" t="s">
        <v>373</v>
      </c>
      <c r="C1" s="156"/>
      <c r="D1" s="156"/>
    </row>
    <row r="2" spans="2:18" ht="23.25">
      <c r="B2" s="384"/>
      <c r="C2" s="156"/>
      <c r="D2" s="156"/>
    </row>
    <row r="3" spans="2:18">
      <c r="B3" s="157" t="s">
        <v>374</v>
      </c>
      <c r="C3" s="157"/>
      <c r="D3" s="157"/>
      <c r="F3" s="157" t="s">
        <v>375</v>
      </c>
      <c r="G3" s="157"/>
      <c r="H3" s="157"/>
      <c r="I3" s="157"/>
      <c r="J3" s="157"/>
      <c r="L3" s="157" t="s">
        <v>145</v>
      </c>
      <c r="M3" s="157"/>
      <c r="N3" s="157"/>
      <c r="O3" s="157"/>
      <c r="P3" s="157"/>
    </row>
    <row r="4" spans="2:18">
      <c r="B4" s="156"/>
      <c r="C4" s="156"/>
      <c r="D4" s="156"/>
    </row>
    <row r="5" spans="2:18">
      <c r="B5" s="156" t="s">
        <v>376</v>
      </c>
      <c r="C5" s="156"/>
      <c r="D5" s="156"/>
      <c r="F5" s="158" t="s">
        <v>377</v>
      </c>
      <c r="G5" s="159"/>
      <c r="H5" s="159">
        <v>2040</v>
      </c>
      <c r="I5" s="159">
        <v>2050</v>
      </c>
      <c r="J5" s="159" t="s">
        <v>252</v>
      </c>
      <c r="L5" s="158" t="s">
        <v>377</v>
      </c>
      <c r="M5" s="159"/>
      <c r="N5" s="159">
        <v>2040</v>
      </c>
      <c r="O5" s="159">
        <v>2050</v>
      </c>
      <c r="P5" s="159" t="s">
        <v>252</v>
      </c>
    </row>
    <row r="6" spans="2:18">
      <c r="B6" s="160" t="s">
        <v>378</v>
      </c>
      <c r="C6" s="160">
        <v>2030</v>
      </c>
      <c r="D6" s="160">
        <v>2040</v>
      </c>
      <c r="F6" s="639" t="s">
        <v>379</v>
      </c>
      <c r="G6" s="161" t="s">
        <v>345</v>
      </c>
      <c r="H6" s="162">
        <v>1348.0309724988449</v>
      </c>
      <c r="I6" s="162">
        <v>193.48896126456293</v>
      </c>
      <c r="J6" s="163" t="s">
        <v>380</v>
      </c>
      <c r="L6" s="639" t="s">
        <v>379</v>
      </c>
      <c r="M6" s="161" t="s">
        <v>345</v>
      </c>
      <c r="N6" s="162">
        <v>1245.3431466313177</v>
      </c>
      <c r="O6" s="162">
        <v>126.5396292812502</v>
      </c>
      <c r="P6" s="163" t="s">
        <v>380</v>
      </c>
    </row>
    <row r="7" spans="2:18">
      <c r="B7" s="164" t="s">
        <v>381</v>
      </c>
      <c r="C7" s="165">
        <v>4364.8829193708789</v>
      </c>
      <c r="D7" s="165">
        <v>68430.53185162702</v>
      </c>
      <c r="F7" s="640"/>
      <c r="G7" s="166" t="s">
        <v>351</v>
      </c>
      <c r="H7" s="167">
        <v>45</v>
      </c>
      <c r="I7" s="167">
        <v>90</v>
      </c>
      <c r="J7" s="168" t="s">
        <v>382</v>
      </c>
      <c r="L7" s="640"/>
      <c r="M7" s="166" t="s">
        <v>351</v>
      </c>
      <c r="N7" s="167">
        <v>45</v>
      </c>
      <c r="O7" s="167">
        <v>90</v>
      </c>
      <c r="P7" s="168" t="s">
        <v>382</v>
      </c>
    </row>
    <row r="8" spans="2:18">
      <c r="B8" s="164" t="s">
        <v>383</v>
      </c>
      <c r="C8" s="165">
        <v>74871.684212734195</v>
      </c>
      <c r="D8" s="165">
        <v>47735.048326490883</v>
      </c>
      <c r="F8" s="641"/>
      <c r="G8" s="166" t="s">
        <v>354</v>
      </c>
      <c r="H8" s="167">
        <v>50</v>
      </c>
      <c r="I8" s="167">
        <v>100</v>
      </c>
      <c r="J8" s="168" t="s">
        <v>384</v>
      </c>
      <c r="L8" s="641"/>
      <c r="M8" s="166" t="s">
        <v>354</v>
      </c>
      <c r="N8" s="167">
        <v>50</v>
      </c>
      <c r="O8" s="167">
        <v>100</v>
      </c>
      <c r="P8" s="168" t="s">
        <v>384</v>
      </c>
    </row>
    <row r="9" spans="2:18">
      <c r="B9" s="164" t="s">
        <v>351</v>
      </c>
      <c r="C9" s="165">
        <v>219117.36420527683</v>
      </c>
      <c r="D9" s="165">
        <v>318686.30802856782</v>
      </c>
      <c r="F9" s="642" t="s">
        <v>385</v>
      </c>
      <c r="G9" s="169" t="s">
        <v>345</v>
      </c>
      <c r="H9" s="170">
        <v>104.5082528864171</v>
      </c>
      <c r="I9" s="170">
        <v>9.5671458889679428</v>
      </c>
      <c r="J9" s="171" t="s">
        <v>386</v>
      </c>
      <c r="L9" s="642" t="s">
        <v>385</v>
      </c>
      <c r="M9" s="169" t="s">
        <v>345</v>
      </c>
      <c r="N9" s="170">
        <v>104.5082528864171</v>
      </c>
      <c r="O9" s="170">
        <v>9.5671458889679428</v>
      </c>
      <c r="P9" s="171" t="s">
        <v>386</v>
      </c>
    </row>
    <row r="10" spans="2:18">
      <c r="B10" s="164" t="s">
        <v>387</v>
      </c>
      <c r="C10" s="165">
        <v>2024797.1236312995</v>
      </c>
      <c r="D10" s="165">
        <v>1102054.3846067283</v>
      </c>
      <c r="F10" s="642"/>
      <c r="G10" s="169" t="s">
        <v>351</v>
      </c>
      <c r="H10" s="170">
        <v>651.72094227760999</v>
      </c>
      <c r="I10" s="170">
        <v>856.13460399199994</v>
      </c>
      <c r="J10" s="171" t="s">
        <v>388</v>
      </c>
      <c r="L10" s="642"/>
      <c r="M10" s="169" t="s">
        <v>351</v>
      </c>
      <c r="N10" s="170">
        <v>766.73052032659996</v>
      </c>
      <c r="O10" s="170">
        <v>1070.1682549899999</v>
      </c>
      <c r="P10" s="171" t="s">
        <v>388</v>
      </c>
    </row>
    <row r="11" spans="2:18">
      <c r="B11" s="164" t="s">
        <v>389</v>
      </c>
      <c r="C11" s="165">
        <v>24464.815995013232</v>
      </c>
      <c r="D11" s="165">
        <v>43712.938597226253</v>
      </c>
      <c r="F11" s="643"/>
      <c r="G11" s="172" t="s">
        <v>390</v>
      </c>
      <c r="H11" s="173">
        <v>46.075124969427591</v>
      </c>
      <c r="I11" s="173">
        <v>36.860099975542077</v>
      </c>
      <c r="J11" s="174" t="s">
        <v>391</v>
      </c>
      <c r="L11" s="643"/>
      <c r="M11" s="172" t="s">
        <v>390</v>
      </c>
      <c r="N11" s="173">
        <v>62.336933782166732</v>
      </c>
      <c r="O11" s="173">
        <v>74.804320538600081</v>
      </c>
      <c r="P11" s="174" t="s">
        <v>391</v>
      </c>
      <c r="Q11" s="156"/>
      <c r="R11" s="156"/>
    </row>
    <row r="12" spans="2:18">
      <c r="B12" s="156"/>
      <c r="C12" s="156"/>
      <c r="D12" s="156"/>
      <c r="E12" s="156"/>
      <c r="F12" s="156"/>
      <c r="G12" s="156"/>
      <c r="H12" s="156"/>
      <c r="I12" s="156"/>
      <c r="J12" s="156"/>
      <c r="K12" s="156"/>
      <c r="L12" s="156"/>
      <c r="M12" s="156"/>
      <c r="N12" s="156"/>
      <c r="O12" s="156"/>
      <c r="P12" s="156"/>
      <c r="Q12" s="156"/>
      <c r="R12" s="156"/>
    </row>
    <row r="13" spans="2:18">
      <c r="B13" s="157" t="s">
        <v>392</v>
      </c>
      <c r="C13" s="157"/>
      <c r="D13" s="157"/>
      <c r="E13" s="156"/>
      <c r="F13" s="156"/>
      <c r="G13" s="157" t="s">
        <v>393</v>
      </c>
      <c r="H13" s="157"/>
      <c r="I13" s="157"/>
      <c r="J13" s="156"/>
      <c r="K13" s="156"/>
      <c r="L13" s="156"/>
      <c r="M13" s="157" t="s">
        <v>394</v>
      </c>
      <c r="N13" s="157"/>
      <c r="O13" s="157"/>
      <c r="P13" s="156"/>
    </row>
    <row r="14" spans="2:18">
      <c r="B14" s="156"/>
      <c r="C14" s="156"/>
      <c r="D14" s="156"/>
    </row>
    <row r="15" spans="2:18">
      <c r="B15" s="175" t="s">
        <v>395</v>
      </c>
      <c r="C15" s="175">
        <v>2030</v>
      </c>
      <c r="D15" s="175">
        <v>2040</v>
      </c>
      <c r="G15" s="175" t="s">
        <v>395</v>
      </c>
      <c r="H15" s="175">
        <v>2040</v>
      </c>
      <c r="I15" s="175">
        <v>2050</v>
      </c>
      <c r="M15" s="175" t="s">
        <v>395</v>
      </c>
      <c r="N15" s="175">
        <v>2040</v>
      </c>
      <c r="O15" s="175">
        <v>2050</v>
      </c>
    </row>
    <row r="16" spans="2:18">
      <c r="B16" s="156" t="s">
        <v>396</v>
      </c>
      <c r="C16" s="176">
        <v>2124133.6238390468</v>
      </c>
      <c r="D16" s="176">
        <v>1193502.3715304455</v>
      </c>
      <c r="G16" s="156" t="s">
        <v>396</v>
      </c>
      <c r="H16" s="176">
        <v>1724.9689791270173</v>
      </c>
      <c r="I16" s="176">
        <v>349.50453610954935</v>
      </c>
      <c r="M16" s="156" t="s">
        <v>396</v>
      </c>
      <c r="N16" s="176">
        <v>1469.5260159924055</v>
      </c>
      <c r="O16" s="176">
        <v>70.64701895158737</v>
      </c>
    </row>
    <row r="17" spans="2:25">
      <c r="B17" s="156" t="s">
        <v>351</v>
      </c>
      <c r="C17" s="176">
        <v>219117.36420527683</v>
      </c>
      <c r="D17" s="176">
        <v>318686.30802856782</v>
      </c>
      <c r="G17" s="156" t="s">
        <v>351</v>
      </c>
      <c r="H17" s="176">
        <v>735.05746829394013</v>
      </c>
      <c r="I17" s="176">
        <v>1053.1514294909998</v>
      </c>
      <c r="M17" s="156" t="s">
        <v>351</v>
      </c>
      <c r="N17" s="176">
        <v>811.73052032660007</v>
      </c>
      <c r="O17" s="176">
        <v>1160.1682549899999</v>
      </c>
    </row>
    <row r="18" spans="2:25">
      <c r="B18" s="177" t="s">
        <v>397</v>
      </c>
      <c r="C18" s="178">
        <v>4364.8829193708789</v>
      </c>
      <c r="D18" s="178">
        <v>68430.53185162702</v>
      </c>
      <c r="G18" s="177" t="s">
        <v>397</v>
      </c>
      <c r="H18" s="178">
        <v>70</v>
      </c>
      <c r="I18" s="178">
        <v>280</v>
      </c>
      <c r="M18" s="177" t="s">
        <v>397</v>
      </c>
      <c r="N18" s="178">
        <v>129.62663231337692</v>
      </c>
      <c r="O18" s="178">
        <v>300</v>
      </c>
    </row>
    <row r="19" spans="2:25">
      <c r="B19" s="156" t="s">
        <v>395</v>
      </c>
      <c r="C19" s="176">
        <f>SUM(C16:C18)</f>
        <v>2347615.8709636941</v>
      </c>
      <c r="D19" s="176">
        <f>SUM(D16:D18)</f>
        <v>1580619.2114106403</v>
      </c>
      <c r="G19" s="156" t="s">
        <v>395</v>
      </c>
      <c r="H19" s="176">
        <f>SUM(H16:H18)</f>
        <v>2530.0264474209575</v>
      </c>
      <c r="I19" s="176">
        <f>SUM(I16:I18)</f>
        <v>1682.6559656005493</v>
      </c>
      <c r="M19" s="156" t="s">
        <v>395</v>
      </c>
      <c r="N19" s="176">
        <f>SUM(N16:N18)</f>
        <v>2410.8831686323824</v>
      </c>
      <c r="O19" s="176">
        <f>SUM(O16:O18)</f>
        <v>1530.8152739415873</v>
      </c>
    </row>
    <row r="20" spans="2:25">
      <c r="B20" s="156"/>
      <c r="C20" s="156"/>
      <c r="D20" s="156"/>
      <c r="G20" s="156"/>
      <c r="H20" s="156"/>
      <c r="I20" s="156"/>
      <c r="M20" s="156"/>
      <c r="N20" s="156"/>
      <c r="O20" s="156"/>
    </row>
    <row r="21" spans="2:25">
      <c r="B21" s="175" t="s">
        <v>398</v>
      </c>
      <c r="C21" s="175">
        <v>2030</v>
      </c>
      <c r="D21" s="175">
        <v>2040</v>
      </c>
      <c r="G21" s="175" t="s">
        <v>398</v>
      </c>
      <c r="H21" s="175">
        <v>2040</v>
      </c>
      <c r="I21" s="175">
        <v>2050</v>
      </c>
      <c r="M21" s="175" t="s">
        <v>398</v>
      </c>
      <c r="N21" s="175">
        <v>2040</v>
      </c>
      <c r="O21" s="175">
        <v>2050</v>
      </c>
    </row>
    <row r="22" spans="2:25">
      <c r="B22" s="156" t="s">
        <v>396</v>
      </c>
      <c r="C22" s="179">
        <f t="shared" ref="C22:D24" si="0">C16/C$19</f>
        <v>0.90480459350749409</v>
      </c>
      <c r="D22" s="179">
        <f t="shared" si="0"/>
        <v>0.75508532536770301</v>
      </c>
      <c r="G22" s="156" t="s">
        <v>396</v>
      </c>
      <c r="H22" s="179">
        <f>H16/$H$19</f>
        <v>0.6817987934021027</v>
      </c>
      <c r="I22" s="179">
        <f>I16/$I$19</f>
        <v>0.20771003892338102</v>
      </c>
      <c r="M22" s="156" t="s">
        <v>396</v>
      </c>
      <c r="N22" s="179">
        <f t="shared" ref="N22:N24" si="1">N16/$N$19</f>
        <v>0.60953846088942631</v>
      </c>
      <c r="O22" s="179">
        <f>O16/$O$19</f>
        <v>4.6149930794512774E-2</v>
      </c>
    </row>
    <row r="23" spans="2:25">
      <c r="B23" s="156" t="s">
        <v>351</v>
      </c>
      <c r="C23" s="179">
        <f t="shared" si="0"/>
        <v>9.3336123219907086E-2</v>
      </c>
      <c r="D23" s="179">
        <f t="shared" si="0"/>
        <v>0.20162117841409308</v>
      </c>
      <c r="G23" s="156" t="s">
        <v>351</v>
      </c>
      <c r="H23" s="179">
        <f>H17/$H$19</f>
        <v>0.29053351163314456</v>
      </c>
      <c r="I23" s="179">
        <f>I17/$I$19</f>
        <v>0.62588636716069534</v>
      </c>
      <c r="M23" s="156" t="s">
        <v>351</v>
      </c>
      <c r="N23" s="179">
        <f t="shared" si="1"/>
        <v>0.33669425830662258</v>
      </c>
      <c r="O23" s="179">
        <f>O17/$O$19</f>
        <v>0.75787606430315091</v>
      </c>
    </row>
    <row r="24" spans="2:25">
      <c r="B24" s="177" t="s">
        <v>397</v>
      </c>
      <c r="C24" s="393">
        <f t="shared" si="0"/>
        <v>1.859283272599064E-3</v>
      </c>
      <c r="D24" s="393">
        <f t="shared" si="0"/>
        <v>4.3293496218203921E-2</v>
      </c>
      <c r="G24" s="177" t="s">
        <v>397</v>
      </c>
      <c r="H24" s="180">
        <f>H18/$H$19</f>
        <v>2.7667694964752704E-2</v>
      </c>
      <c r="I24" s="180">
        <f>I18/$I$19</f>
        <v>0.16640359391592352</v>
      </c>
      <c r="M24" s="177" t="s">
        <v>397</v>
      </c>
      <c r="N24" s="180">
        <f t="shared" si="1"/>
        <v>5.3767280803951191E-2</v>
      </c>
      <c r="O24" s="180">
        <f>O18/$O$19</f>
        <v>0.19597400490233635</v>
      </c>
    </row>
    <row r="25" spans="2:25">
      <c r="B25" s="156"/>
      <c r="C25" s="156"/>
      <c r="D25" s="156"/>
    </row>
    <row r="26" spans="2:25">
      <c r="B26" s="175" t="s">
        <v>399</v>
      </c>
      <c r="C26" s="175">
        <v>2030</v>
      </c>
      <c r="D26" s="175">
        <v>2040</v>
      </c>
      <c r="G26" s="175" t="s">
        <v>399</v>
      </c>
      <c r="H26" s="175">
        <v>2040</v>
      </c>
      <c r="I26" s="175">
        <v>2050</v>
      </c>
      <c r="M26" s="175" t="s">
        <v>399</v>
      </c>
      <c r="N26" s="175">
        <v>2040</v>
      </c>
      <c r="O26" s="175">
        <v>2050</v>
      </c>
    </row>
    <row r="27" spans="2:25">
      <c r="B27" s="177" t="s">
        <v>400</v>
      </c>
      <c r="C27" s="181">
        <f>C22*'3.1.'!D10+'3.2.'!C23*'3.1.'!D14+'3.2.'!C24*'3.1.'!D15</f>
        <v>7.4970245331058694</v>
      </c>
      <c r="D27" s="181">
        <f>D22*'3.1.'!E10+'3.2.'!D23*'3.1.'!E14+'3.2.'!D24*'3.1.'!E15</f>
        <v>8.9869771315129992</v>
      </c>
      <c r="G27" s="177" t="s">
        <v>400</v>
      </c>
      <c r="H27" s="181">
        <f>H22*'3.1.'!E10+'3.2.'!H23*'3.1.'!E14+'3.2.'!H24*'3.1.'!E15</f>
        <v>9.7860672367103323</v>
      </c>
      <c r="I27" s="181">
        <f>I22*'3.1.'!F10+'3.2.'!I23*'3.1.'!F14+'3.2.'!I24*'3.1.'!F15</f>
        <v>15.766522784635857</v>
      </c>
      <c r="M27" s="177" t="s">
        <v>400</v>
      </c>
      <c r="N27" s="181">
        <f>N22*'3.1.'!E10+'3.2.'!N23*'3.1.'!E14+'3.2.'!N24*'3.1.'!E15</f>
        <v>10.862506122169499</v>
      </c>
      <c r="O27" s="181">
        <f>O22*'3.1.'!F10+'3.2.'!O23*'3.1.'!F14+'3.2.'!O24*'3.1.'!F15</f>
        <v>17.931544885174038</v>
      </c>
    </row>
    <row r="29" spans="2:25">
      <c r="N29">
        <v>0.27700000000000002</v>
      </c>
      <c r="S29" s="238"/>
      <c r="T29" s="638" t="s">
        <v>401</v>
      </c>
      <c r="U29" s="638"/>
      <c r="V29" s="638" t="s">
        <v>191</v>
      </c>
      <c r="W29" s="638"/>
      <c r="X29" s="638" t="s">
        <v>193</v>
      </c>
      <c r="Y29" s="638"/>
    </row>
    <row r="30" spans="2:25">
      <c r="S30" s="238"/>
      <c r="T30" s="131">
        <v>2030</v>
      </c>
      <c r="U30" s="131">
        <v>2040</v>
      </c>
      <c r="V30" s="131">
        <v>2040</v>
      </c>
      <c r="W30" s="131">
        <v>2050</v>
      </c>
      <c r="X30" s="131">
        <v>2040</v>
      </c>
      <c r="Y30" s="131">
        <v>2050</v>
      </c>
    </row>
    <row r="31" spans="2:25">
      <c r="N31">
        <f>N27/N29</f>
        <v>39.214823545738263</v>
      </c>
      <c r="O31">
        <f>O27/N29</f>
        <v>64.73481908005067</v>
      </c>
      <c r="S31" t="s">
        <v>396</v>
      </c>
      <c r="T31" s="247">
        <v>0.90480459350749409</v>
      </c>
      <c r="U31" s="247">
        <v>0.75508532536770301</v>
      </c>
      <c r="V31" s="247">
        <v>0.6817987934021027</v>
      </c>
      <c r="W31" s="247">
        <v>0.20771003892338102</v>
      </c>
      <c r="X31" s="247">
        <v>0.60953846088942631</v>
      </c>
      <c r="Y31" s="247">
        <v>4.6149930794512774E-2</v>
      </c>
    </row>
    <row r="32" spans="2:25">
      <c r="S32" t="s">
        <v>351</v>
      </c>
      <c r="T32" s="247">
        <v>9.3336123219907086E-2</v>
      </c>
      <c r="U32" s="247">
        <v>0.20162117841409308</v>
      </c>
      <c r="V32" s="247">
        <v>0.29053351163314456</v>
      </c>
      <c r="W32" s="247">
        <v>0.62588636716069534</v>
      </c>
      <c r="X32" s="247">
        <v>0.33669425830662258</v>
      </c>
      <c r="Y32" s="247">
        <v>0.75787606430315091</v>
      </c>
    </row>
    <row r="33" spans="19:25">
      <c r="S33" s="198" t="s">
        <v>397</v>
      </c>
      <c r="T33" s="248">
        <v>1.859283272599064E-3</v>
      </c>
      <c r="U33" s="248">
        <v>4.3293496218203921E-2</v>
      </c>
      <c r="V33" s="248">
        <v>2.7667694964752704E-2</v>
      </c>
      <c r="W33" s="248">
        <v>0.16640359391592352</v>
      </c>
      <c r="X33" s="248">
        <v>5.3767280803951191E-2</v>
      </c>
      <c r="Y33" s="248">
        <v>0.19597400490233635</v>
      </c>
    </row>
  </sheetData>
  <mergeCells count="7">
    <mergeCell ref="V29:W29"/>
    <mergeCell ref="X29:Y29"/>
    <mergeCell ref="F6:F8"/>
    <mergeCell ref="L6:L8"/>
    <mergeCell ref="F9:F11"/>
    <mergeCell ref="L9:L11"/>
    <mergeCell ref="T29:U29"/>
  </mergeCells>
  <pageMargins left="0.7" right="0.7" top="0.75" bottom="0.75" header="0.3" footer="0.3"/>
  <headerFooter>
    <oddFooter>&amp;C_x000D_&amp;1#&amp;"Calibri"&amp;10&amp;K000000 ISC - Uso INTERNO / INTERNAL Use</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C8AC7-9C6B-4E9F-85F2-17BA654E9468}">
  <sheetPr>
    <tabColor theme="7"/>
  </sheetPr>
  <dimension ref="A1:Y42"/>
  <sheetViews>
    <sheetView showGridLines="0" workbookViewId="0">
      <selection activeCell="H12" sqref="H12"/>
    </sheetView>
  </sheetViews>
  <sheetFormatPr defaultColWidth="8.85546875" defaultRowHeight="15"/>
  <cols>
    <col min="1" max="1" width="25.5703125" bestFit="1" customWidth="1"/>
    <col min="2" max="2" width="13.140625" bestFit="1" customWidth="1"/>
    <col min="12" max="12" width="15.5703125" customWidth="1"/>
  </cols>
  <sheetData>
    <row r="1" spans="1:25" ht="23.25">
      <c r="A1" s="384" t="s">
        <v>402</v>
      </c>
    </row>
    <row r="2" spans="1:25">
      <c r="A2" t="s">
        <v>403</v>
      </c>
    </row>
    <row r="4" spans="1:25" ht="15.75" thickBot="1">
      <c r="C4">
        <v>2030</v>
      </c>
      <c r="D4">
        <v>2040</v>
      </c>
      <c r="E4">
        <v>2050</v>
      </c>
    </row>
    <row r="5" spans="1:25" ht="31.5">
      <c r="B5" t="s">
        <v>404</v>
      </c>
      <c r="C5" s="182">
        <v>1</v>
      </c>
      <c r="D5" s="182">
        <v>1</v>
      </c>
      <c r="E5" s="182">
        <v>1</v>
      </c>
      <c r="K5" s="183"/>
      <c r="L5" s="184" t="s">
        <v>405</v>
      </c>
      <c r="M5" s="184"/>
      <c r="N5" s="184"/>
      <c r="O5" s="185"/>
      <c r="P5" s="156"/>
      <c r="Q5" s="156"/>
      <c r="R5" s="156"/>
      <c r="S5" s="183" t="s">
        <v>406</v>
      </c>
      <c r="T5" s="184"/>
      <c r="U5" s="184"/>
      <c r="V5" s="184"/>
      <c r="W5" s="185"/>
      <c r="Y5" s="387" t="s">
        <v>407</v>
      </c>
    </row>
    <row r="6" spans="1:25" ht="32.25" thickBot="1">
      <c r="C6" t="s">
        <v>408</v>
      </c>
      <c r="K6" s="186"/>
      <c r="L6" s="156">
        <v>2030</v>
      </c>
      <c r="M6" s="156"/>
      <c r="N6" s="156"/>
      <c r="O6" s="187"/>
      <c r="P6" s="156"/>
      <c r="Q6" s="156"/>
      <c r="R6" s="156"/>
      <c r="S6" s="186"/>
      <c r="T6" s="156"/>
      <c r="U6" s="156"/>
      <c r="V6" s="156"/>
      <c r="W6" s="187"/>
      <c r="Y6" s="388" t="s">
        <v>409</v>
      </c>
    </row>
    <row r="7" spans="1:25" ht="32.25" thickTop="1">
      <c r="H7" t="s">
        <v>410</v>
      </c>
      <c r="K7" s="186"/>
      <c r="L7" s="188" t="s">
        <v>58</v>
      </c>
      <c r="M7" s="189" t="s">
        <v>411</v>
      </c>
      <c r="N7" s="190" t="s">
        <v>412</v>
      </c>
      <c r="O7" s="187"/>
      <c r="P7" s="156"/>
      <c r="Q7" s="156"/>
      <c r="R7" s="156"/>
      <c r="S7" s="186"/>
      <c r="T7" s="156"/>
      <c r="U7" s="156"/>
      <c r="V7" s="156"/>
      <c r="W7" s="187"/>
      <c r="Y7" s="388" t="s">
        <v>413</v>
      </c>
    </row>
    <row r="8" spans="1:25" ht="32.25" thickBot="1">
      <c r="A8" s="191" t="s">
        <v>414</v>
      </c>
      <c r="B8" s="191"/>
      <c r="C8" s="191">
        <v>2030</v>
      </c>
      <c r="D8" s="191">
        <v>2040</v>
      </c>
      <c r="E8" s="191">
        <v>2050</v>
      </c>
      <c r="K8" s="186"/>
      <c r="L8" s="192" t="s">
        <v>415</v>
      </c>
      <c r="M8" s="193" t="s">
        <v>416</v>
      </c>
      <c r="N8" s="194">
        <v>107.98436467199924</v>
      </c>
      <c r="O8" s="187"/>
      <c r="P8" s="156"/>
      <c r="Q8" s="156"/>
      <c r="R8" s="156"/>
      <c r="S8" s="186"/>
      <c r="T8" s="156">
        <v>2030</v>
      </c>
      <c r="U8" s="156"/>
      <c r="V8" s="156"/>
      <c r="W8" s="187"/>
      <c r="Y8" s="388" t="s">
        <v>417</v>
      </c>
    </row>
    <row r="9" spans="1:25" ht="32.25" thickTop="1">
      <c r="A9" s="195" t="s">
        <v>418</v>
      </c>
      <c r="B9" s="195" t="s">
        <v>419</v>
      </c>
      <c r="C9" s="196">
        <f>N13</f>
        <v>115.59009394535244</v>
      </c>
      <c r="D9" s="196">
        <f>N25</f>
        <v>90.630409587556116</v>
      </c>
      <c r="E9" s="196">
        <f>N36</f>
        <v>72.210657204277268</v>
      </c>
      <c r="K9" s="186"/>
      <c r="L9" s="192" t="s">
        <v>420</v>
      </c>
      <c r="M9" s="193" t="s">
        <v>421</v>
      </c>
      <c r="N9" s="194">
        <v>112.46043009129896</v>
      </c>
      <c r="O9" s="187"/>
      <c r="P9" s="156"/>
      <c r="Q9" s="156"/>
      <c r="R9" s="156"/>
      <c r="S9" s="186"/>
      <c r="T9" s="188" t="s">
        <v>58</v>
      </c>
      <c r="U9" s="189" t="s">
        <v>411</v>
      </c>
      <c r="V9" s="190" t="s">
        <v>412</v>
      </c>
      <c r="W9" s="187"/>
      <c r="Y9" s="388" t="s">
        <v>422</v>
      </c>
    </row>
    <row r="10" spans="1:25" ht="31.5">
      <c r="A10" t="s">
        <v>423</v>
      </c>
      <c r="B10" t="s">
        <v>419</v>
      </c>
      <c r="C10" s="197">
        <f>V15</f>
        <v>149.87968344547858</v>
      </c>
      <c r="D10" s="197">
        <f>V27</f>
        <v>117.8514922795307</v>
      </c>
      <c r="E10" s="197">
        <f>V38</f>
        <v>94.348593528021468</v>
      </c>
      <c r="K10" s="186"/>
      <c r="L10" s="192" t="s">
        <v>424</v>
      </c>
      <c r="M10" s="193" t="s">
        <v>425</v>
      </c>
      <c r="N10" s="194">
        <v>112.86074266340961</v>
      </c>
      <c r="O10" s="187"/>
      <c r="P10" s="156"/>
      <c r="Q10" s="156"/>
      <c r="R10" s="156"/>
      <c r="S10" s="186"/>
      <c r="T10" s="192" t="s">
        <v>415</v>
      </c>
      <c r="U10" s="193" t="s">
        <v>416</v>
      </c>
      <c r="V10" s="194">
        <v>139.14040967172517</v>
      </c>
      <c r="W10" s="187"/>
      <c r="Y10" s="388" t="s">
        <v>426</v>
      </c>
    </row>
    <row r="11" spans="1:25">
      <c r="A11" s="198" t="s">
        <v>427</v>
      </c>
      <c r="B11" s="198" t="s">
        <v>419</v>
      </c>
      <c r="C11" s="181">
        <f>C9*(1-C5)+C10*C5</f>
        <v>149.87968344547858</v>
      </c>
      <c r="D11" s="181">
        <f>D9*(1-D5)+D10*D5</f>
        <v>117.8514922795307</v>
      </c>
      <c r="E11" s="181">
        <f>E9*(1-E5)+E10*E5</f>
        <v>94.348593528021468</v>
      </c>
      <c r="F11" s="197"/>
      <c r="K11" s="186"/>
      <c r="L11" s="192" t="s">
        <v>428</v>
      </c>
      <c r="M11" s="193" t="s">
        <v>429</v>
      </c>
      <c r="N11" s="194">
        <v>113.61149883154501</v>
      </c>
      <c r="O11" s="187"/>
      <c r="P11" s="156"/>
      <c r="Q11" s="156"/>
      <c r="R11" s="156"/>
      <c r="S11" s="186"/>
      <c r="T11" s="192" t="s">
        <v>420</v>
      </c>
      <c r="U11" s="193" t="s">
        <v>421</v>
      </c>
      <c r="V11" s="194">
        <v>145.23053744133841</v>
      </c>
      <c r="W11" s="187"/>
    </row>
    <row r="12" spans="1:25">
      <c r="B12" s="8" t="s">
        <v>430</v>
      </c>
      <c r="C12" s="199">
        <f>C11/3.6</f>
        <v>41.633245401521826</v>
      </c>
      <c r="D12" s="199">
        <f>D11/3.6</f>
        <v>32.736525633202973</v>
      </c>
      <c r="E12" s="199">
        <f>E11/3.6</f>
        <v>26.207942646672628</v>
      </c>
      <c r="K12" s="186"/>
      <c r="L12" s="192" t="s">
        <v>431</v>
      </c>
      <c r="M12" s="193" t="s">
        <v>432</v>
      </c>
      <c r="N12" s="194">
        <v>115.05306991128934</v>
      </c>
      <c r="O12" s="187"/>
      <c r="P12" s="156"/>
      <c r="Q12" s="156"/>
      <c r="R12" s="156"/>
      <c r="S12" s="186"/>
      <c r="T12" s="192" t="s">
        <v>424</v>
      </c>
      <c r="U12" s="193" t="s">
        <v>425</v>
      </c>
      <c r="V12" s="194">
        <v>145.49254511577286</v>
      </c>
      <c r="W12" s="187"/>
    </row>
    <row r="13" spans="1:25">
      <c r="K13" s="186"/>
      <c r="L13" s="192" t="s">
        <v>433</v>
      </c>
      <c r="M13" s="193" t="s">
        <v>434</v>
      </c>
      <c r="N13" s="194">
        <v>115.59009394535244</v>
      </c>
      <c r="O13" s="187"/>
      <c r="P13" s="156"/>
      <c r="Q13" s="156"/>
      <c r="R13" s="156"/>
      <c r="S13" s="186"/>
      <c r="T13" s="192" t="s">
        <v>428</v>
      </c>
      <c r="U13" s="193" t="s">
        <v>429</v>
      </c>
      <c r="V13" s="194">
        <v>147.10374051581476</v>
      </c>
      <c r="W13" s="187"/>
    </row>
    <row r="14" spans="1:25">
      <c r="K14" s="186"/>
      <c r="L14" s="156"/>
      <c r="M14" s="156"/>
      <c r="N14" s="200">
        <v>112.92670001914911</v>
      </c>
      <c r="O14" s="187"/>
      <c r="P14" s="156"/>
      <c r="Q14" s="156"/>
      <c r="R14" s="156"/>
      <c r="S14" s="186"/>
      <c r="T14" s="192" t="s">
        <v>431</v>
      </c>
      <c r="U14" s="193" t="s">
        <v>432</v>
      </c>
      <c r="V14" s="194">
        <v>148.95990836758338</v>
      </c>
      <c r="W14" s="187"/>
    </row>
    <row r="15" spans="1:25">
      <c r="A15" s="191" t="s">
        <v>414</v>
      </c>
      <c r="B15" s="191"/>
      <c r="C15" s="191">
        <v>2030</v>
      </c>
      <c r="D15" s="191">
        <v>2040</v>
      </c>
      <c r="E15" s="191">
        <v>2050</v>
      </c>
      <c r="K15" s="186"/>
      <c r="L15" s="156"/>
      <c r="M15" s="156"/>
      <c r="N15" s="156"/>
      <c r="O15" s="187"/>
      <c r="P15" s="156"/>
      <c r="Q15" s="156"/>
      <c r="R15" s="156"/>
      <c r="S15" s="186"/>
      <c r="T15" s="192" t="s">
        <v>433</v>
      </c>
      <c r="U15" s="193" t="s">
        <v>434</v>
      </c>
      <c r="V15" s="194">
        <v>149.87968344547858</v>
      </c>
      <c r="W15" s="187"/>
    </row>
    <row r="16" spans="1:25">
      <c r="A16" s="195" t="s">
        <v>418</v>
      </c>
      <c r="B16" s="195" t="s">
        <v>435</v>
      </c>
      <c r="C16" s="196">
        <f>C9*0.92</f>
        <v>106.34288642972425</v>
      </c>
      <c r="D16" s="196">
        <f t="shared" ref="D16:E16" si="0">D9*0.92</f>
        <v>83.379976820551633</v>
      </c>
      <c r="E16" s="196">
        <f t="shared" si="0"/>
        <v>66.433804627935089</v>
      </c>
      <c r="K16" s="186"/>
      <c r="L16" s="156"/>
      <c r="M16" s="156"/>
      <c r="N16" s="156"/>
      <c r="O16" s="187"/>
      <c r="P16" s="156"/>
      <c r="Q16" s="156"/>
      <c r="R16" s="156"/>
      <c r="S16" s="186"/>
      <c r="T16" s="156"/>
      <c r="U16" s="156"/>
      <c r="V16" s="156">
        <v>145.96780409295221</v>
      </c>
      <c r="W16" s="187"/>
    </row>
    <row r="17" spans="1:23">
      <c r="A17" t="s">
        <v>423</v>
      </c>
      <c r="B17" t="s">
        <v>435</v>
      </c>
      <c r="C17" s="197">
        <f t="shared" ref="C17:E18" si="1">C10*0.92</f>
        <v>137.88930876984028</v>
      </c>
      <c r="D17" s="197">
        <f t="shared" si="1"/>
        <v>108.42337289716825</v>
      </c>
      <c r="E17" s="197">
        <f t="shared" si="1"/>
        <v>86.800706045779748</v>
      </c>
      <c r="K17" s="186"/>
      <c r="L17" s="156"/>
      <c r="M17" s="156"/>
      <c r="N17" s="156"/>
      <c r="O17" s="187"/>
      <c r="P17" s="156"/>
      <c r="Q17" s="156"/>
      <c r="R17" s="156"/>
      <c r="S17" s="186"/>
      <c r="T17" s="156"/>
      <c r="U17" s="156"/>
      <c r="V17" s="156"/>
      <c r="W17" s="187"/>
    </row>
    <row r="18" spans="1:23" ht="15.75" thickBot="1">
      <c r="A18" s="198" t="s">
        <v>427</v>
      </c>
      <c r="B18" s="198" t="s">
        <v>435</v>
      </c>
      <c r="C18" s="181">
        <f>C11*0.92</f>
        <v>137.88930876984028</v>
      </c>
      <c r="D18" s="181">
        <f t="shared" si="1"/>
        <v>108.42337289716825</v>
      </c>
      <c r="E18" s="181">
        <f t="shared" si="1"/>
        <v>86.800706045779748</v>
      </c>
      <c r="K18" s="186"/>
      <c r="L18" s="156">
        <v>2040</v>
      </c>
      <c r="M18" s="156"/>
      <c r="N18" s="156"/>
      <c r="O18" s="187"/>
      <c r="P18" s="156"/>
      <c r="Q18" s="156"/>
      <c r="R18" s="156"/>
      <c r="S18" s="186"/>
      <c r="T18" s="156"/>
      <c r="U18" s="156"/>
      <c r="V18" s="156"/>
      <c r="W18" s="187"/>
    </row>
    <row r="19" spans="1:23" ht="15.75" thickTop="1">
      <c r="B19" s="8" t="s">
        <v>334</v>
      </c>
      <c r="C19" s="199">
        <f>C18/3.6</f>
        <v>38.302585769400075</v>
      </c>
      <c r="D19" s="199">
        <f>D18/3.6</f>
        <v>30.117603582546735</v>
      </c>
      <c r="E19" s="199">
        <f>E18/3.6</f>
        <v>24.111307234938817</v>
      </c>
      <c r="K19" s="186"/>
      <c r="L19" s="188" t="s">
        <v>58</v>
      </c>
      <c r="M19" s="189" t="s">
        <v>411</v>
      </c>
      <c r="N19" s="190" t="s">
        <v>412</v>
      </c>
      <c r="O19" s="187"/>
      <c r="P19" s="156"/>
      <c r="Q19" s="156"/>
      <c r="R19" s="156"/>
      <c r="S19" s="186"/>
      <c r="T19" s="156"/>
      <c r="U19" s="156"/>
      <c r="V19" s="156"/>
      <c r="W19" s="187"/>
    </row>
    <row r="20" spans="1:23" ht="15.75" thickBot="1">
      <c r="K20" s="186"/>
      <c r="L20" s="192" t="s">
        <v>415</v>
      </c>
      <c r="M20" s="193" t="s">
        <v>416</v>
      </c>
      <c r="N20" s="201">
        <v>85.518155802606685</v>
      </c>
      <c r="O20" s="187"/>
      <c r="P20" s="156"/>
      <c r="Q20" s="156"/>
      <c r="R20" s="156"/>
      <c r="S20" s="186"/>
      <c r="T20" s="156">
        <v>2040</v>
      </c>
      <c r="U20" s="156"/>
      <c r="V20" s="156"/>
      <c r="W20" s="187"/>
    </row>
    <row r="21" spans="1:23" ht="15.75" thickTop="1">
      <c r="K21" s="186"/>
      <c r="L21" s="192" t="s">
        <v>420</v>
      </c>
      <c r="M21" s="193" t="s">
        <v>421</v>
      </c>
      <c r="N21" s="201">
        <v>88.7954804154203</v>
      </c>
      <c r="O21" s="187"/>
      <c r="P21" s="156"/>
      <c r="Q21" s="156"/>
      <c r="R21" s="156"/>
      <c r="S21" s="186"/>
      <c r="T21" s="188" t="s">
        <v>58</v>
      </c>
      <c r="U21" s="189" t="s">
        <v>411</v>
      </c>
      <c r="V21" s="190" t="s">
        <v>412</v>
      </c>
      <c r="W21" s="187"/>
    </row>
    <row r="22" spans="1:23">
      <c r="K22" s="186"/>
      <c r="L22" s="192" t="s">
        <v>424</v>
      </c>
      <c r="M22" s="193" t="s">
        <v>425</v>
      </c>
      <c r="N22" s="201">
        <v>89.203595784330773</v>
      </c>
      <c r="O22" s="187"/>
      <c r="P22" s="156"/>
      <c r="Q22" s="156"/>
      <c r="R22" s="202"/>
      <c r="S22" s="186"/>
      <c r="T22" s="192" t="s">
        <v>415</v>
      </c>
      <c r="U22" s="193" t="s">
        <v>416</v>
      </c>
      <c r="V22" s="201">
        <v>110.3296062327499</v>
      </c>
      <c r="W22" s="187"/>
    </row>
    <row r="23" spans="1:23">
      <c r="K23" s="186"/>
      <c r="L23" s="192" t="s">
        <v>428</v>
      </c>
      <c r="M23" s="193" t="s">
        <v>429</v>
      </c>
      <c r="N23" s="201">
        <v>89.307926535601069</v>
      </c>
      <c r="O23" s="187"/>
      <c r="P23" s="156"/>
      <c r="Q23" s="156"/>
      <c r="R23" s="202"/>
      <c r="S23" s="186"/>
      <c r="T23" s="192" t="s">
        <v>420</v>
      </c>
      <c r="U23" s="193" t="s">
        <v>421</v>
      </c>
      <c r="V23" s="201">
        <v>114.87297167141332</v>
      </c>
      <c r="W23" s="187"/>
    </row>
    <row r="24" spans="1:23">
      <c r="K24" s="186"/>
      <c r="L24" s="192" t="s">
        <v>431</v>
      </c>
      <c r="M24" s="193" t="s">
        <v>432</v>
      </c>
      <c r="N24" s="201">
        <v>90.316778740709978</v>
      </c>
      <c r="O24" s="187"/>
      <c r="P24" s="156"/>
      <c r="Q24" s="156"/>
      <c r="R24" s="202"/>
      <c r="S24" s="186"/>
      <c r="T24" s="192" t="s">
        <v>424</v>
      </c>
      <c r="U24" s="193" t="s">
        <v>425</v>
      </c>
      <c r="V24" s="201">
        <v>115.14504747075078</v>
      </c>
      <c r="W24" s="187"/>
    </row>
    <row r="25" spans="1:23">
      <c r="K25" s="186"/>
      <c r="L25" s="192" t="s">
        <v>433</v>
      </c>
      <c r="M25" s="193" t="s">
        <v>434</v>
      </c>
      <c r="N25" s="201">
        <v>90.630409587556116</v>
      </c>
      <c r="O25" s="187"/>
      <c r="P25" s="156"/>
      <c r="Q25" s="156"/>
      <c r="R25" s="202"/>
      <c r="S25" s="186"/>
      <c r="T25" s="192" t="s">
        <v>428</v>
      </c>
      <c r="U25" s="193" t="s">
        <v>429</v>
      </c>
      <c r="V25" s="201">
        <v>115.92214555870865</v>
      </c>
      <c r="W25" s="187"/>
    </row>
    <row r="26" spans="1:23">
      <c r="K26" s="186"/>
      <c r="L26" s="156"/>
      <c r="M26" s="156"/>
      <c r="N26" s="200">
        <v>88.962057811037482</v>
      </c>
      <c r="O26" s="187"/>
      <c r="P26" s="156"/>
      <c r="Q26" s="156"/>
      <c r="R26" s="202"/>
      <c r="S26" s="186"/>
      <c r="T26" s="192" t="s">
        <v>431</v>
      </c>
      <c r="U26" s="193" t="s">
        <v>432</v>
      </c>
      <c r="V26" s="201">
        <v>117.21996647546383</v>
      </c>
      <c r="W26" s="187"/>
    </row>
    <row r="27" spans="1:23">
      <c r="K27" s="186"/>
      <c r="L27" s="156"/>
      <c r="M27" s="156"/>
      <c r="N27" s="156"/>
      <c r="O27" s="187"/>
      <c r="P27" s="156"/>
      <c r="Q27" s="156"/>
      <c r="R27" s="202"/>
      <c r="S27" s="186"/>
      <c r="T27" s="192" t="s">
        <v>433</v>
      </c>
      <c r="U27" s="193" t="s">
        <v>434</v>
      </c>
      <c r="V27" s="201">
        <v>117.8514922795307</v>
      </c>
      <c r="W27" s="187"/>
    </row>
    <row r="28" spans="1:23">
      <c r="K28" s="186"/>
      <c r="L28" s="156"/>
      <c r="M28" s="156"/>
      <c r="N28" s="156"/>
      <c r="O28" s="187"/>
      <c r="P28" s="156"/>
      <c r="Q28" s="156"/>
      <c r="R28" s="156"/>
      <c r="S28" s="186"/>
      <c r="T28" s="156"/>
      <c r="U28" s="156"/>
      <c r="V28" s="156">
        <v>115.22353828143621</v>
      </c>
      <c r="W28" s="187"/>
    </row>
    <row r="29" spans="1:23" ht="15.75" thickBot="1">
      <c r="K29" s="186"/>
      <c r="L29" s="156">
        <v>2050</v>
      </c>
      <c r="M29" s="156"/>
      <c r="N29" s="156"/>
      <c r="O29" s="187"/>
      <c r="P29" s="156"/>
      <c r="Q29" s="156"/>
      <c r="R29" s="156"/>
      <c r="S29" s="186"/>
      <c r="T29" s="156"/>
      <c r="U29" s="156"/>
      <c r="V29" s="156"/>
      <c r="W29" s="187"/>
    </row>
    <row r="30" spans="1:23" ht="15.75" thickTop="1">
      <c r="K30" s="186"/>
      <c r="L30" s="188" t="s">
        <v>58</v>
      </c>
      <c r="M30" s="189" t="s">
        <v>411</v>
      </c>
      <c r="N30" s="190" t="s">
        <v>412</v>
      </c>
      <c r="O30" s="187"/>
      <c r="P30" s="156"/>
      <c r="Q30" s="156"/>
      <c r="R30" s="156"/>
      <c r="S30" s="186"/>
      <c r="T30" s="156"/>
      <c r="U30" s="156"/>
      <c r="V30" s="156"/>
      <c r="W30" s="187"/>
    </row>
    <row r="31" spans="1:23" ht="15.75" thickBot="1">
      <c r="K31" s="186"/>
      <c r="L31" s="192" t="s">
        <v>415</v>
      </c>
      <c r="M31" s="193" t="s">
        <v>416</v>
      </c>
      <c r="N31" s="201">
        <v>68.984566289556128</v>
      </c>
      <c r="O31" s="187"/>
      <c r="P31" s="156"/>
      <c r="Q31" s="156"/>
      <c r="R31" s="156"/>
      <c r="S31" s="186"/>
      <c r="T31" s="156">
        <v>2050</v>
      </c>
      <c r="U31" s="156"/>
      <c r="V31" s="156"/>
      <c r="W31" s="187"/>
    </row>
    <row r="32" spans="1:23" ht="15.75" thickTop="1">
      <c r="K32" s="186"/>
      <c r="L32" s="192" t="s">
        <v>420</v>
      </c>
      <c r="M32" s="193" t="s">
        <v>421</v>
      </c>
      <c r="N32" s="201">
        <v>71.371715585684441</v>
      </c>
      <c r="O32" s="187"/>
      <c r="P32" s="156"/>
      <c r="Q32" s="156"/>
      <c r="R32" s="156"/>
      <c r="S32" s="186"/>
      <c r="T32" s="188" t="s">
        <v>58</v>
      </c>
      <c r="U32" s="189" t="s">
        <v>411</v>
      </c>
      <c r="V32" s="190" t="s">
        <v>412</v>
      </c>
      <c r="W32" s="187"/>
    </row>
    <row r="33" spans="11:23">
      <c r="K33" s="186"/>
      <c r="L33" s="192" t="s">
        <v>428</v>
      </c>
      <c r="M33" s="193" t="s">
        <v>429</v>
      </c>
      <c r="N33" s="201">
        <v>71.430841039739235</v>
      </c>
      <c r="O33" s="187"/>
      <c r="P33" s="156"/>
      <c r="Q33" s="156"/>
      <c r="R33" s="156"/>
      <c r="S33" s="186"/>
      <c r="T33" s="192" t="s">
        <v>415</v>
      </c>
      <c r="U33" s="193" t="s">
        <v>416</v>
      </c>
      <c r="V33" s="201">
        <v>89.260466023470713</v>
      </c>
      <c r="W33" s="187"/>
    </row>
    <row r="34" spans="11:23">
      <c r="K34" s="186"/>
      <c r="L34" s="192" t="s">
        <v>424</v>
      </c>
      <c r="M34" s="193" t="s">
        <v>425</v>
      </c>
      <c r="N34" s="201">
        <v>71.775373748088597</v>
      </c>
      <c r="O34" s="187"/>
      <c r="P34" s="156"/>
      <c r="Q34" s="156"/>
      <c r="R34" s="202"/>
      <c r="S34" s="203"/>
      <c r="T34" s="192" t="s">
        <v>420</v>
      </c>
      <c r="U34" s="193" t="s">
        <v>421</v>
      </c>
      <c r="V34" s="201">
        <v>92.655218150282138</v>
      </c>
      <c r="W34" s="187"/>
    </row>
    <row r="35" spans="11:23">
      <c r="K35" s="186"/>
      <c r="L35" s="192" t="s">
        <v>431</v>
      </c>
      <c r="M35" s="193" t="s">
        <v>432</v>
      </c>
      <c r="N35" s="201">
        <v>72.186657334661632</v>
      </c>
      <c r="O35" s="187"/>
      <c r="P35" s="156"/>
      <c r="Q35" s="156"/>
      <c r="R35" s="202"/>
      <c r="S35" s="203"/>
      <c r="T35" s="192" t="s">
        <v>424</v>
      </c>
      <c r="U35" s="193" t="s">
        <v>425</v>
      </c>
      <c r="V35" s="201">
        <v>92.921542715417857</v>
      </c>
      <c r="W35" s="187"/>
    </row>
    <row r="36" spans="11:23">
      <c r="K36" s="186"/>
      <c r="L36" s="192" t="s">
        <v>433</v>
      </c>
      <c r="M36" s="193" t="s">
        <v>434</v>
      </c>
      <c r="N36" s="201">
        <v>72.210657204277268</v>
      </c>
      <c r="O36" s="187"/>
      <c r="P36" s="156"/>
      <c r="Q36" s="156"/>
      <c r="R36" s="202"/>
      <c r="S36" s="203"/>
      <c r="T36" s="192" t="s">
        <v>428</v>
      </c>
      <c r="U36" s="193" t="s">
        <v>429</v>
      </c>
      <c r="V36" s="201">
        <v>93.119462145802018</v>
      </c>
      <c r="W36" s="187"/>
    </row>
    <row r="37" spans="11:23">
      <c r="K37" s="186"/>
      <c r="L37" s="156"/>
      <c r="M37" s="156"/>
      <c r="N37" s="200">
        <v>71.32663520033455</v>
      </c>
      <c r="O37" s="187"/>
      <c r="P37" s="156"/>
      <c r="Q37" s="156"/>
      <c r="R37" s="202"/>
      <c r="S37" s="203"/>
      <c r="T37" s="192" t="s">
        <v>431</v>
      </c>
      <c r="U37" s="193" t="s">
        <v>432</v>
      </c>
      <c r="V37" s="201">
        <v>94.090785113929428</v>
      </c>
      <c r="W37" s="187"/>
    </row>
    <row r="38" spans="11:23">
      <c r="K38" s="186"/>
      <c r="L38" s="156"/>
      <c r="M38" s="156"/>
      <c r="N38" s="156"/>
      <c r="O38" s="187"/>
      <c r="P38" s="156"/>
      <c r="Q38" s="156"/>
      <c r="R38" s="202"/>
      <c r="S38" s="203"/>
      <c r="T38" s="192" t="s">
        <v>433</v>
      </c>
      <c r="U38" s="193" t="s">
        <v>434</v>
      </c>
      <c r="V38" s="201">
        <v>94.348593528021468</v>
      </c>
      <c r="W38" s="187"/>
    </row>
    <row r="39" spans="11:23">
      <c r="K39" s="186"/>
      <c r="L39" s="156"/>
      <c r="M39" s="156"/>
      <c r="N39" s="156"/>
      <c r="O39" s="187"/>
      <c r="P39" s="156"/>
      <c r="Q39" s="156"/>
      <c r="R39" s="202"/>
      <c r="S39" s="203"/>
      <c r="T39" s="156"/>
      <c r="U39" s="156"/>
      <c r="V39" s="156">
        <v>92.732677946153942</v>
      </c>
      <c r="W39" s="187"/>
    </row>
    <row r="40" spans="11:23">
      <c r="K40" s="186"/>
      <c r="L40" s="156"/>
      <c r="M40" s="156"/>
      <c r="N40" s="156"/>
      <c r="O40" s="187"/>
      <c r="P40" s="156"/>
      <c r="Q40" s="156"/>
      <c r="R40" s="156"/>
      <c r="S40" s="186"/>
      <c r="T40" s="156"/>
      <c r="U40" s="156"/>
      <c r="V40" s="156"/>
      <c r="W40" s="187"/>
    </row>
    <row r="41" spans="11:23">
      <c r="K41" s="186"/>
      <c r="L41" s="156"/>
      <c r="M41" s="156"/>
      <c r="N41" s="156"/>
      <c r="O41" s="187"/>
      <c r="P41" s="156"/>
      <c r="Q41" s="156"/>
      <c r="R41" s="156"/>
      <c r="S41" s="186"/>
      <c r="T41" s="156"/>
      <c r="U41" s="156"/>
      <c r="V41" s="156"/>
      <c r="W41" s="187"/>
    </row>
    <row r="42" spans="11:23" ht="15.75" thickBot="1">
      <c r="K42" s="204"/>
      <c r="L42" s="205"/>
      <c r="M42" s="205"/>
      <c r="N42" s="205"/>
      <c r="O42" s="206"/>
      <c r="P42" s="156"/>
      <c r="Q42" s="156"/>
      <c r="R42" s="156"/>
      <c r="S42" s="204"/>
      <c r="T42" s="205"/>
      <c r="U42" s="205"/>
      <c r="V42" s="205"/>
      <c r="W42" s="206"/>
    </row>
  </sheetData>
  <conditionalFormatting sqref="N8:N13">
    <cfRule type="colorScale" priority="17">
      <colorScale>
        <cfvo type="percent" val="0"/>
        <cfvo type="percent" val="50"/>
        <cfvo type="percent" val="100"/>
        <color rgb="FF00B050"/>
        <color rgb="FFFFC000"/>
        <color rgb="FFC00000"/>
      </colorScale>
    </cfRule>
  </conditionalFormatting>
  <conditionalFormatting sqref="N14">
    <cfRule type="colorScale" priority="5">
      <colorScale>
        <cfvo type="percent" val="0"/>
        <cfvo type="percent" val="50"/>
        <cfvo type="percent" val="100"/>
        <color rgb="FF00B050"/>
        <color rgb="FFFFC000"/>
        <color rgb="FFC00000"/>
      </colorScale>
    </cfRule>
    <cfRule type="colorScale" priority="6">
      <colorScale>
        <cfvo type="percent" val="0"/>
        <cfvo type="percent" val="50"/>
        <cfvo type="percent" val="100"/>
        <color rgb="FF00B050"/>
        <color rgb="FFFFC000"/>
        <color rgb="FFC00000"/>
      </colorScale>
    </cfRule>
  </conditionalFormatting>
  <conditionalFormatting sqref="N20:N25 N27 N29">
    <cfRule type="colorScale" priority="18">
      <colorScale>
        <cfvo type="percent" val="0"/>
        <cfvo type="percent" val="50"/>
        <cfvo type="percent" val="100"/>
        <color rgb="FF00B050"/>
        <color rgb="FFFFC000"/>
        <color rgb="FFC00000"/>
      </colorScale>
    </cfRule>
  </conditionalFormatting>
  <conditionalFormatting sqref="N26">
    <cfRule type="colorScale" priority="3">
      <colorScale>
        <cfvo type="percent" val="0"/>
        <cfvo type="percent" val="50"/>
        <cfvo type="percent" val="100"/>
        <color rgb="FF00B050"/>
        <color rgb="FFFFC000"/>
        <color rgb="FFC00000"/>
      </colorScale>
    </cfRule>
    <cfRule type="colorScale" priority="4">
      <colorScale>
        <cfvo type="percent" val="0"/>
        <cfvo type="percent" val="50"/>
        <cfvo type="percent" val="100"/>
        <color rgb="FF00B050"/>
        <color rgb="FFFFC000"/>
        <color rgb="FFC00000"/>
      </colorScale>
    </cfRule>
  </conditionalFormatting>
  <conditionalFormatting sqref="N31:N36">
    <cfRule type="colorScale" priority="19">
      <colorScale>
        <cfvo type="percent" val="0"/>
        <cfvo type="percent" val="50"/>
        <cfvo type="percent" val="100"/>
        <color rgb="FF00B050"/>
        <color rgb="FFFFC000"/>
        <color rgb="FFC00000"/>
      </colorScale>
    </cfRule>
  </conditionalFormatting>
  <conditionalFormatting sqref="N37">
    <cfRule type="colorScale" priority="1">
      <colorScale>
        <cfvo type="percent" val="0"/>
        <cfvo type="percent" val="50"/>
        <cfvo type="percent" val="100"/>
        <color rgb="FF00B050"/>
        <color rgb="FFFFC000"/>
        <color rgb="FFC00000"/>
      </colorScale>
    </cfRule>
    <cfRule type="colorScale" priority="2">
      <colorScale>
        <cfvo type="percent" val="0"/>
        <cfvo type="percent" val="50"/>
        <cfvo type="percent" val="100"/>
        <color rgb="FF00B050"/>
        <color rgb="FFFFC000"/>
        <color rgb="FFC00000"/>
      </colorScale>
    </cfRule>
  </conditionalFormatting>
  <conditionalFormatting sqref="R22:R31">
    <cfRule type="colorScale" priority="16">
      <colorScale>
        <cfvo type="percent" val="0"/>
        <cfvo type="percent" val="50"/>
        <cfvo type="percent" val="100"/>
        <color rgb="FF00B050"/>
        <color rgb="FFFFC000"/>
        <color rgb="FFC00000"/>
      </colorScale>
    </cfRule>
  </conditionalFormatting>
  <conditionalFormatting sqref="R34:R42">
    <cfRule type="colorScale" priority="11">
      <colorScale>
        <cfvo type="percent" val="0"/>
        <cfvo type="percent" val="50"/>
        <cfvo type="percent" val="100"/>
        <color rgb="FF00B050"/>
        <color rgb="FFFFC000"/>
        <color rgb="FFC00000"/>
      </colorScale>
    </cfRule>
  </conditionalFormatting>
  <conditionalFormatting sqref="S34:S42">
    <cfRule type="colorScale" priority="10">
      <colorScale>
        <cfvo type="min"/>
        <cfvo type="num" val="0"/>
        <cfvo type="max"/>
        <color rgb="FF002060"/>
        <color rgb="FFFFFFFF"/>
        <color rgb="FFFF0000"/>
      </colorScale>
    </cfRule>
  </conditionalFormatting>
  <conditionalFormatting sqref="V7 N8:N14 V10:V17 N20:N27 V22:V30 N29 N31:N37 V33:V39 V42">
    <cfRule type="containsErrors" dxfId="0" priority="13">
      <formula>ISERROR(N7)</formula>
    </cfRule>
  </conditionalFormatting>
  <conditionalFormatting sqref="V10:V17 V42">
    <cfRule type="colorScale" priority="12">
      <colorScale>
        <cfvo type="percent" val="0"/>
        <cfvo type="percent" val="50"/>
        <cfvo type="percent" val="100"/>
        <color rgb="FF00B050"/>
        <color rgb="FFFFC000"/>
        <color rgb="FFC00000"/>
      </colorScale>
    </cfRule>
  </conditionalFormatting>
  <conditionalFormatting sqref="V22:V30 V7">
    <cfRule type="colorScale" priority="15">
      <colorScale>
        <cfvo type="percent" val="0"/>
        <cfvo type="percent" val="50"/>
        <cfvo type="percent" val="100"/>
        <color rgb="FF00B050"/>
        <color rgb="FFFFC000"/>
        <color rgb="FFC00000"/>
      </colorScale>
    </cfRule>
  </conditionalFormatting>
  <conditionalFormatting sqref="V28">
    <cfRule type="colorScale" priority="9">
      <colorScale>
        <cfvo type="percent" val="0"/>
        <cfvo type="percent" val="50"/>
        <cfvo type="percent" val="100"/>
        <color rgb="FF00B050"/>
        <color rgb="FFFFC000"/>
        <color rgb="FFC00000"/>
      </colorScale>
    </cfRule>
  </conditionalFormatting>
  <conditionalFormatting sqref="V33:V38">
    <cfRule type="colorScale" priority="14">
      <colorScale>
        <cfvo type="percent" val="0"/>
        <cfvo type="percent" val="50"/>
        <cfvo type="percent" val="100"/>
        <color rgb="FF00B050"/>
        <color rgb="FFFFC000"/>
        <color rgb="FFC00000"/>
      </colorScale>
    </cfRule>
  </conditionalFormatting>
  <conditionalFormatting sqref="V39">
    <cfRule type="colorScale" priority="7">
      <colorScale>
        <cfvo type="percent" val="0"/>
        <cfvo type="percent" val="50"/>
        <cfvo type="percent" val="100"/>
        <color rgb="FF00B050"/>
        <color rgb="FFFFC000"/>
        <color rgb="FFC00000"/>
      </colorScale>
    </cfRule>
    <cfRule type="colorScale" priority="8">
      <colorScale>
        <cfvo type="percent" val="0"/>
        <cfvo type="percent" val="50"/>
        <cfvo type="percent" val="100"/>
        <color rgb="FF00B050"/>
        <color rgb="FFFFC000"/>
        <color rgb="FFC00000"/>
      </colorScale>
    </cfRule>
  </conditionalFormatting>
  <pageMargins left="0.7" right="0.7" top="0.75" bottom="0.75" header="0.3" footer="0.3"/>
  <pageSetup paperSize="9" orientation="portrait" r:id="rId1"/>
  <headerFooter>
    <oddFooter>&amp;C_x000D_&amp;1#&amp;"Calibri"&amp;10&amp;K000000 ISC - Uso INTERNO / INTERNAL Use</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AD159-FF4F-4AC6-9577-687E7C6A24CD}">
  <sheetPr>
    <tabColor theme="7"/>
  </sheetPr>
  <dimension ref="A1:V100"/>
  <sheetViews>
    <sheetView workbookViewId="0">
      <selection activeCell="E37" sqref="E37"/>
    </sheetView>
  </sheetViews>
  <sheetFormatPr defaultColWidth="8.5703125" defaultRowHeight="15"/>
  <cols>
    <col min="1" max="1" width="64.140625" customWidth="1"/>
    <col min="2" max="2" width="14" bestFit="1" customWidth="1"/>
    <col min="7" max="7" width="8.5703125" customWidth="1"/>
    <col min="14" max="14" width="41.85546875" bestFit="1" customWidth="1"/>
    <col min="18" max="18" width="11.42578125" bestFit="1" customWidth="1"/>
  </cols>
  <sheetData>
    <row r="1" spans="1:20" ht="23.25">
      <c r="A1" s="384" t="s">
        <v>436</v>
      </c>
    </row>
    <row r="3" spans="1:20">
      <c r="A3" s="207" t="s">
        <v>437</v>
      </c>
      <c r="K3" t="s">
        <v>438</v>
      </c>
      <c r="L3" t="s">
        <v>439</v>
      </c>
      <c r="M3" t="s">
        <v>440</v>
      </c>
    </row>
    <row r="4" spans="1:20">
      <c r="A4" t="s">
        <v>441</v>
      </c>
      <c r="B4" t="s">
        <v>442</v>
      </c>
      <c r="C4">
        <v>0.84</v>
      </c>
      <c r="D4" t="s">
        <v>443</v>
      </c>
    </row>
    <row r="6" spans="1:20" ht="14.45" customHeight="1">
      <c r="C6" s="8"/>
      <c r="D6" s="8"/>
      <c r="E6" s="644" t="s">
        <v>444</v>
      </c>
      <c r="F6" s="644"/>
      <c r="G6" s="644"/>
      <c r="H6" s="645" t="s">
        <v>445</v>
      </c>
      <c r="I6" s="645"/>
      <c r="J6" s="645"/>
      <c r="K6" s="646" t="s">
        <v>446</v>
      </c>
      <c r="L6" s="646"/>
      <c r="M6" s="646"/>
    </row>
    <row r="7" spans="1:20">
      <c r="C7" s="8">
        <v>2010</v>
      </c>
      <c r="D7" s="8">
        <v>2021</v>
      </c>
      <c r="E7" s="208">
        <v>2030</v>
      </c>
      <c r="F7" s="208">
        <v>2040</v>
      </c>
      <c r="G7" s="208">
        <v>2050</v>
      </c>
      <c r="H7" s="209">
        <v>2030</v>
      </c>
      <c r="I7" s="209">
        <v>2040</v>
      </c>
      <c r="J7" s="209">
        <v>2050</v>
      </c>
      <c r="K7" s="210">
        <v>2030</v>
      </c>
      <c r="L7" s="210">
        <v>2040</v>
      </c>
      <c r="M7" s="210">
        <v>2050</v>
      </c>
    </row>
    <row r="8" spans="1:20">
      <c r="A8" t="s">
        <v>447</v>
      </c>
      <c r="B8" t="s">
        <v>448</v>
      </c>
      <c r="E8" s="211">
        <v>140</v>
      </c>
      <c r="F8" s="211">
        <v>205</v>
      </c>
      <c r="G8" s="211">
        <v>250</v>
      </c>
      <c r="H8" s="212">
        <v>135</v>
      </c>
      <c r="I8" s="212">
        <v>175</v>
      </c>
      <c r="J8" s="212">
        <v>200</v>
      </c>
      <c r="K8" s="213">
        <v>90</v>
      </c>
      <c r="L8" s="213">
        <v>98</v>
      </c>
      <c r="M8" s="213">
        <v>113</v>
      </c>
      <c r="R8" s="214" t="s">
        <v>449</v>
      </c>
      <c r="S8" s="214"/>
      <c r="T8" s="214"/>
    </row>
    <row r="9" spans="1:20">
      <c r="A9" t="s">
        <v>450</v>
      </c>
      <c r="B9" t="s">
        <v>451</v>
      </c>
      <c r="C9">
        <v>96</v>
      </c>
      <c r="D9">
        <v>69</v>
      </c>
      <c r="E9" s="211">
        <v>35</v>
      </c>
      <c r="F9" s="211"/>
      <c r="G9" s="211">
        <v>24</v>
      </c>
      <c r="H9" s="212">
        <v>64</v>
      </c>
      <c r="I9" s="212"/>
      <c r="J9" s="212">
        <v>60</v>
      </c>
      <c r="K9" s="213">
        <v>82</v>
      </c>
      <c r="L9" s="213"/>
      <c r="M9" s="213">
        <v>95</v>
      </c>
      <c r="N9">
        <f>18*0.84/3.6</f>
        <v>4.1999999999999993</v>
      </c>
      <c r="R9" t="s">
        <v>452</v>
      </c>
      <c r="S9">
        <v>5.86</v>
      </c>
      <c r="T9" t="s">
        <v>453</v>
      </c>
    </row>
    <row r="10" spans="1:20">
      <c r="A10" t="s">
        <v>387</v>
      </c>
      <c r="B10" t="s">
        <v>454</v>
      </c>
      <c r="C10">
        <v>9</v>
      </c>
      <c r="D10">
        <v>9.5</v>
      </c>
      <c r="E10" s="211">
        <v>4.5999999999999996</v>
      </c>
      <c r="F10" s="211"/>
      <c r="G10" s="211">
        <v>3.8</v>
      </c>
      <c r="H10" s="212">
        <v>7.9</v>
      </c>
      <c r="I10" s="212"/>
      <c r="J10" s="212">
        <v>6.3</v>
      </c>
      <c r="K10" s="213">
        <v>8.5</v>
      </c>
      <c r="L10" s="213"/>
      <c r="M10" s="213">
        <v>9.1999999999999993</v>
      </c>
      <c r="R10" t="s">
        <v>455</v>
      </c>
      <c r="S10">
        <v>1.0550999999999999</v>
      </c>
      <c r="T10" t="s">
        <v>453</v>
      </c>
    </row>
    <row r="11" spans="1:20">
      <c r="A11" t="s">
        <v>456</v>
      </c>
      <c r="B11" t="s">
        <v>448</v>
      </c>
      <c r="C11">
        <v>113</v>
      </c>
      <c r="D11">
        <v>120</v>
      </c>
      <c r="E11" s="211">
        <v>52</v>
      </c>
      <c r="F11" s="211"/>
      <c r="G11" s="211">
        <v>42</v>
      </c>
      <c r="H11" s="212">
        <v>62</v>
      </c>
      <c r="I11" s="212"/>
      <c r="J11" s="212">
        <v>53</v>
      </c>
      <c r="K11" s="213">
        <v>60</v>
      </c>
      <c r="L11" s="213"/>
      <c r="M11" s="213">
        <v>64</v>
      </c>
      <c r="R11" t="s">
        <v>457</v>
      </c>
      <c r="S11">
        <v>29.31</v>
      </c>
      <c r="T11" t="s">
        <v>453</v>
      </c>
    </row>
    <row r="12" spans="1:20">
      <c r="A12" t="s">
        <v>333</v>
      </c>
      <c r="B12" t="s">
        <v>458</v>
      </c>
      <c r="E12" s="211">
        <v>35</v>
      </c>
      <c r="F12" s="211">
        <v>35</v>
      </c>
      <c r="G12" s="211">
        <v>35</v>
      </c>
      <c r="H12" s="212">
        <v>35</v>
      </c>
      <c r="I12" s="212">
        <v>35</v>
      </c>
      <c r="J12" s="212">
        <v>35</v>
      </c>
      <c r="K12" s="213">
        <v>35</v>
      </c>
      <c r="L12" s="213">
        <v>35</v>
      </c>
      <c r="M12" s="213">
        <v>35</v>
      </c>
      <c r="N12" s="215" t="s">
        <v>459</v>
      </c>
      <c r="R12" t="s">
        <v>460</v>
      </c>
      <c r="S12">
        <v>3.6</v>
      </c>
      <c r="T12" t="s">
        <v>453</v>
      </c>
    </row>
    <row r="13" spans="1:20">
      <c r="A13" t="s">
        <v>461</v>
      </c>
      <c r="B13" t="s">
        <v>462</v>
      </c>
      <c r="D13">
        <v>24</v>
      </c>
      <c r="E13" s="211">
        <v>15</v>
      </c>
      <c r="F13" s="211">
        <v>14</v>
      </c>
      <c r="G13" s="211">
        <v>14</v>
      </c>
      <c r="H13" s="212">
        <v>21</v>
      </c>
      <c r="I13" s="212">
        <v>18</v>
      </c>
      <c r="J13" s="212">
        <v>18</v>
      </c>
      <c r="K13" s="213">
        <v>21</v>
      </c>
      <c r="L13" s="213">
        <v>21</v>
      </c>
      <c r="M13" s="213">
        <v>22</v>
      </c>
      <c r="N13" s="215"/>
      <c r="R13" t="s">
        <v>463</v>
      </c>
      <c r="S13">
        <v>0.27700000000000002</v>
      </c>
      <c r="T13" t="s">
        <v>148</v>
      </c>
    </row>
    <row r="14" spans="1:20">
      <c r="A14" t="s">
        <v>464</v>
      </c>
      <c r="B14" t="s">
        <v>462</v>
      </c>
      <c r="D14">
        <v>78</v>
      </c>
      <c r="E14" s="211">
        <v>40</v>
      </c>
      <c r="F14" s="211">
        <v>34</v>
      </c>
      <c r="G14" s="211">
        <v>31</v>
      </c>
      <c r="H14" s="212">
        <v>44</v>
      </c>
      <c r="I14" s="212">
        <v>38</v>
      </c>
      <c r="J14" s="212">
        <v>35</v>
      </c>
      <c r="K14" s="213">
        <v>48</v>
      </c>
      <c r="L14" s="213">
        <v>42</v>
      </c>
      <c r="M14" s="213">
        <v>39</v>
      </c>
      <c r="N14" s="215"/>
    </row>
    <row r="15" spans="1:20">
      <c r="A15" t="s">
        <v>465</v>
      </c>
      <c r="B15" t="s">
        <v>462</v>
      </c>
      <c r="D15">
        <v>58</v>
      </c>
      <c r="E15" s="211">
        <v>30</v>
      </c>
      <c r="F15" s="211">
        <v>25</v>
      </c>
      <c r="G15" s="211">
        <v>22</v>
      </c>
      <c r="H15" s="212">
        <v>28</v>
      </c>
      <c r="I15" s="212">
        <v>23</v>
      </c>
      <c r="J15" s="212">
        <v>21</v>
      </c>
      <c r="K15" s="213">
        <v>32</v>
      </c>
      <c r="L15" s="213">
        <v>27</v>
      </c>
      <c r="M15" s="213">
        <v>25</v>
      </c>
      <c r="N15" s="215"/>
    </row>
    <row r="17" spans="1:22" ht="14.45" customHeight="1">
      <c r="C17" s="8"/>
      <c r="D17" s="8"/>
      <c r="E17" s="603" t="s">
        <v>444</v>
      </c>
      <c r="F17" s="603"/>
      <c r="G17" s="603"/>
      <c r="H17" s="603" t="s">
        <v>445</v>
      </c>
      <c r="I17" s="603"/>
      <c r="J17" s="603"/>
      <c r="K17" s="603" t="s">
        <v>446</v>
      </c>
      <c r="L17" s="603"/>
      <c r="M17" s="603"/>
    </row>
    <row r="18" spans="1:22">
      <c r="C18" s="8">
        <v>2010</v>
      </c>
      <c r="D18" s="8">
        <v>2021</v>
      </c>
      <c r="E18" s="8">
        <v>2030</v>
      </c>
      <c r="F18" s="8">
        <v>2040</v>
      </c>
      <c r="G18" s="8">
        <v>2050</v>
      </c>
      <c r="H18" s="8">
        <v>2030</v>
      </c>
      <c r="I18" s="8">
        <v>2040</v>
      </c>
      <c r="J18" s="8">
        <v>2050</v>
      </c>
      <c r="K18" s="8">
        <v>2030</v>
      </c>
      <c r="L18" s="8">
        <v>2040</v>
      </c>
      <c r="M18" s="8">
        <v>2050</v>
      </c>
    </row>
    <row r="19" spans="1:22">
      <c r="A19" t="s">
        <v>447</v>
      </c>
      <c r="B19" t="s">
        <v>466</v>
      </c>
      <c r="E19" s="32">
        <f>E8*$C$4</f>
        <v>117.6</v>
      </c>
      <c r="F19" s="32">
        <f t="shared" ref="F19:M19" si="0">F8*$C$4</f>
        <v>172.2</v>
      </c>
      <c r="G19" s="32">
        <f t="shared" si="0"/>
        <v>210</v>
      </c>
      <c r="H19" s="32">
        <f t="shared" si="0"/>
        <v>113.39999999999999</v>
      </c>
      <c r="I19" s="32">
        <f t="shared" si="0"/>
        <v>147</v>
      </c>
      <c r="J19" s="32">
        <f t="shared" si="0"/>
        <v>168</v>
      </c>
      <c r="K19" s="32">
        <f t="shared" si="0"/>
        <v>75.599999999999994</v>
      </c>
      <c r="L19" s="32">
        <f t="shared" si="0"/>
        <v>82.32</v>
      </c>
      <c r="M19" s="32">
        <f t="shared" si="0"/>
        <v>94.92</v>
      </c>
    </row>
    <row r="20" spans="1:22">
      <c r="A20" t="s">
        <v>346</v>
      </c>
      <c r="B20" t="s">
        <v>467</v>
      </c>
      <c r="E20" s="32"/>
      <c r="F20" s="32"/>
      <c r="G20" s="32"/>
      <c r="H20" s="23">
        <f>H9*$C$4/$S$9</f>
        <v>9.1740614334470987</v>
      </c>
      <c r="I20" s="32"/>
      <c r="J20" s="23">
        <f>J9*$C$4/$S$9</f>
        <v>8.6006825938566553</v>
      </c>
      <c r="K20" s="32"/>
      <c r="L20" s="32"/>
      <c r="M20" s="32"/>
    </row>
    <row r="21" spans="1:22">
      <c r="A21" s="216" t="s">
        <v>468</v>
      </c>
      <c r="B21" s="216" t="s">
        <v>467</v>
      </c>
      <c r="C21" s="217">
        <f t="shared" ref="C21:D21" si="1">C9*$C$4/$S$9*1.28</f>
        <v>17.614197952218429</v>
      </c>
      <c r="D21" s="217">
        <f t="shared" si="1"/>
        <v>12.660204778156997</v>
      </c>
      <c r="E21" s="217">
        <f>E9*$C$4/$S$9*1.28</f>
        <v>6.4218430034129685</v>
      </c>
      <c r="F21" s="217"/>
      <c r="G21" s="217">
        <f t="shared" ref="G21:M21" si="2">G9*$C$4/$S$9*1.28</f>
        <v>4.4035494880546073</v>
      </c>
      <c r="H21" s="217">
        <f t="shared" si="2"/>
        <v>11.742798634812287</v>
      </c>
      <c r="I21" s="217"/>
      <c r="J21" s="217">
        <f t="shared" si="2"/>
        <v>11.008873720136519</v>
      </c>
      <c r="K21" s="217">
        <f>K9*$C$4/$S$9*1.28</f>
        <v>15.045460750853239</v>
      </c>
      <c r="L21" s="217"/>
      <c r="M21" s="217">
        <f t="shared" si="2"/>
        <v>17.430716723549487</v>
      </c>
    </row>
    <row r="22" spans="1:22">
      <c r="A22" s="216" t="s">
        <v>469</v>
      </c>
      <c r="B22" s="216" t="s">
        <v>467</v>
      </c>
      <c r="C22" s="217">
        <f>C9*$C$4/$S$9*1.05</f>
        <v>14.449146757679181</v>
      </c>
      <c r="D22" s="217">
        <f>D9*$C$4/$S$9*1.05</f>
        <v>10.385324232081912</v>
      </c>
      <c r="E22" s="217">
        <f>E9*$C$4/$S$9*1.05</f>
        <v>5.2679180887372015</v>
      </c>
      <c r="F22" s="216"/>
      <c r="G22" s="217">
        <f>G9*$C$4/$S$9*1.05</f>
        <v>3.6122866894197951</v>
      </c>
      <c r="H22" s="217">
        <f>H9*$C$4/$S$9*1.05</f>
        <v>9.6327645051194537</v>
      </c>
      <c r="I22" s="216"/>
      <c r="J22" s="217">
        <f>J9*$C$4/$S$9*1.05</f>
        <v>9.0307167235494887</v>
      </c>
      <c r="K22" s="217">
        <f>K9*$C$4/$S$9*1.05</f>
        <v>12.3419795221843</v>
      </c>
      <c r="L22" s="216"/>
      <c r="M22" s="217">
        <f>M9*$C$4/$S$9*1.05</f>
        <v>14.298634812286689</v>
      </c>
    </row>
    <row r="23" spans="1:22">
      <c r="A23" t="s">
        <v>387</v>
      </c>
      <c r="B23" t="s">
        <v>467</v>
      </c>
      <c r="C23" s="23">
        <f t="shared" ref="C23:D23" si="3">C10*$C$4/$S$10</f>
        <v>7.1651976116007958</v>
      </c>
      <c r="D23" s="23">
        <f t="shared" si="3"/>
        <v>7.5632641455786178</v>
      </c>
      <c r="E23" s="23">
        <f>E10*$C$4/$S$10</f>
        <v>3.6622121125959621</v>
      </c>
      <c r="F23" s="23"/>
      <c r="G23" s="23">
        <f t="shared" ref="G23:M23" si="4">G10*$C$4/$S$10</f>
        <v>3.025305658231447</v>
      </c>
      <c r="H23" s="23">
        <f>H10*$C$4/$S$10</f>
        <v>6.2894512368495885</v>
      </c>
      <c r="I23" s="23"/>
      <c r="J23" s="23">
        <f t="shared" si="4"/>
        <v>5.0156383281205574</v>
      </c>
      <c r="K23" s="23">
        <f t="shared" si="4"/>
        <v>6.7671310776229747</v>
      </c>
      <c r="L23" s="23"/>
      <c r="M23" s="23">
        <f t="shared" si="4"/>
        <v>7.3244242251919243</v>
      </c>
    </row>
    <row r="24" spans="1:22">
      <c r="A24" t="s">
        <v>456</v>
      </c>
      <c r="B24" t="s">
        <v>467</v>
      </c>
      <c r="C24" s="23">
        <f t="shared" ref="C24:D24" si="5">C11*$C$4/$S$11</f>
        <v>3.2384851586489254</v>
      </c>
      <c r="D24" s="23">
        <f t="shared" si="5"/>
        <v>3.4390992835209828</v>
      </c>
      <c r="E24" s="23">
        <f>E11*$C$4/$S$11</f>
        <v>1.4902763561924259</v>
      </c>
      <c r="G24" s="23">
        <f t="shared" ref="G24:H24" si="6">G11*$C$4/$S$11</f>
        <v>1.2036847492323439</v>
      </c>
      <c r="H24" s="23">
        <f t="shared" si="6"/>
        <v>1.7768679631525077</v>
      </c>
      <c r="J24" s="23">
        <f t="shared" ref="J24:K24" si="7">J11*$C$4/$S$11</f>
        <v>1.518935516888434</v>
      </c>
      <c r="K24" s="23">
        <f t="shared" si="7"/>
        <v>1.7195496417604914</v>
      </c>
      <c r="M24" s="23">
        <f>M11*$C$4/$S$11</f>
        <v>1.834186284544524</v>
      </c>
      <c r="R24" s="218"/>
      <c r="S24" s="219"/>
      <c r="U24" s="218"/>
      <c r="V24" s="1"/>
    </row>
    <row r="25" spans="1:22">
      <c r="A25" t="s">
        <v>333</v>
      </c>
      <c r="B25" t="s">
        <v>467</v>
      </c>
      <c r="E25" s="217">
        <f>B51*$C$4/$S$12</f>
        <v>1.6808484848484848</v>
      </c>
    </row>
    <row r="26" spans="1:22">
      <c r="A26" t="s">
        <v>461</v>
      </c>
      <c r="B26" t="s">
        <v>467</v>
      </c>
      <c r="E26" s="32">
        <f t="shared" ref="E26:M28" si="8">E13*$C$4</f>
        <v>12.6</v>
      </c>
      <c r="F26" s="32">
        <f t="shared" si="8"/>
        <v>11.76</v>
      </c>
      <c r="G26" s="32">
        <f t="shared" si="8"/>
        <v>11.76</v>
      </c>
      <c r="H26" s="220">
        <f t="shared" si="8"/>
        <v>17.64</v>
      </c>
      <c r="I26" s="220">
        <f t="shared" si="8"/>
        <v>15.12</v>
      </c>
      <c r="J26" s="220">
        <f t="shared" si="8"/>
        <v>15.12</v>
      </c>
      <c r="K26" s="32">
        <f t="shared" si="8"/>
        <v>17.64</v>
      </c>
      <c r="L26" s="32">
        <f t="shared" si="8"/>
        <v>17.64</v>
      </c>
      <c r="M26" s="32">
        <f t="shared" si="8"/>
        <v>18.48</v>
      </c>
    </row>
    <row r="27" spans="1:22" ht="20.25" customHeight="1">
      <c r="A27" t="s">
        <v>464</v>
      </c>
      <c r="B27" t="s">
        <v>467</v>
      </c>
      <c r="E27" s="32">
        <f t="shared" si="8"/>
        <v>33.6</v>
      </c>
      <c r="F27" s="32">
        <f t="shared" si="8"/>
        <v>28.56</v>
      </c>
      <c r="G27" s="32">
        <f t="shared" si="8"/>
        <v>26.04</v>
      </c>
      <c r="H27" s="220">
        <f>H14*$C$4</f>
        <v>36.96</v>
      </c>
      <c r="I27" s="220">
        <f t="shared" si="8"/>
        <v>31.919999999999998</v>
      </c>
      <c r="J27" s="220">
        <f t="shared" si="8"/>
        <v>29.4</v>
      </c>
      <c r="K27" s="32">
        <f t="shared" si="8"/>
        <v>40.32</v>
      </c>
      <c r="L27" s="32">
        <f t="shared" si="8"/>
        <v>35.28</v>
      </c>
      <c r="M27" s="32">
        <f t="shared" si="8"/>
        <v>32.76</v>
      </c>
    </row>
    <row r="28" spans="1:22" ht="18" customHeight="1">
      <c r="A28" t="s">
        <v>465</v>
      </c>
      <c r="B28" t="s">
        <v>467</v>
      </c>
      <c r="E28" s="32">
        <f t="shared" si="8"/>
        <v>25.2</v>
      </c>
      <c r="F28" s="32">
        <f t="shared" si="8"/>
        <v>21</v>
      </c>
      <c r="G28" s="32">
        <f t="shared" si="8"/>
        <v>18.48</v>
      </c>
      <c r="H28" s="220">
        <f t="shared" si="8"/>
        <v>23.52</v>
      </c>
      <c r="I28" s="220">
        <f t="shared" si="8"/>
        <v>19.32</v>
      </c>
      <c r="J28" s="220">
        <f t="shared" si="8"/>
        <v>17.64</v>
      </c>
      <c r="K28" s="32">
        <f t="shared" si="8"/>
        <v>26.88</v>
      </c>
      <c r="L28" s="32">
        <f t="shared" si="8"/>
        <v>22.68</v>
      </c>
      <c r="M28" s="32">
        <f t="shared" si="8"/>
        <v>21</v>
      </c>
    </row>
    <row r="29" spans="1:22">
      <c r="G29" t="s">
        <v>470</v>
      </c>
      <c r="H29">
        <v>0.3</v>
      </c>
      <c r="I29">
        <v>0.45</v>
      </c>
      <c r="J29">
        <v>0.5</v>
      </c>
    </row>
    <row r="30" spans="1:22">
      <c r="G30" t="s">
        <v>471</v>
      </c>
      <c r="H30">
        <f>1-H29</f>
        <v>0.7</v>
      </c>
      <c r="I30">
        <f t="shared" ref="I30:J30" si="9">1-I29</f>
        <v>0.55000000000000004</v>
      </c>
      <c r="J30">
        <f t="shared" si="9"/>
        <v>0.5</v>
      </c>
    </row>
    <row r="31" spans="1:22">
      <c r="G31" t="s">
        <v>472</v>
      </c>
      <c r="H31">
        <f>H27*H29+H28*H30</f>
        <v>27.552</v>
      </c>
      <c r="I31">
        <f t="shared" ref="I31:J31" si="10">I27*I29+I28*I30</f>
        <v>24.990000000000002</v>
      </c>
      <c r="J31">
        <f t="shared" si="10"/>
        <v>23.52</v>
      </c>
    </row>
    <row r="36" spans="1:9">
      <c r="A36" s="3" t="s">
        <v>473</v>
      </c>
    </row>
    <row r="37" spans="1:9" ht="15.75" thickBot="1"/>
    <row r="38" spans="1:9" ht="15.75" thickBot="1">
      <c r="A38" s="221" t="s">
        <v>474</v>
      </c>
      <c r="B38" s="222"/>
      <c r="C38" s="222"/>
      <c r="D38" s="223"/>
      <c r="E38" s="647" t="s">
        <v>395</v>
      </c>
      <c r="F38" s="648"/>
      <c r="G38" s="648"/>
      <c r="H38" s="648"/>
      <c r="I38" s="224"/>
    </row>
    <row r="39" spans="1:9" ht="65.25" thickBot="1">
      <c r="A39" s="225" t="s">
        <v>149</v>
      </c>
      <c r="B39" s="226" t="s">
        <v>333</v>
      </c>
      <c r="C39" s="226" t="s">
        <v>475</v>
      </c>
      <c r="D39" s="226" t="s">
        <v>476</v>
      </c>
      <c r="E39" s="226" t="s">
        <v>477</v>
      </c>
      <c r="F39" s="226" t="s">
        <v>333</v>
      </c>
      <c r="G39" s="226" t="s">
        <v>475</v>
      </c>
      <c r="H39" s="226" t="s">
        <v>476</v>
      </c>
      <c r="I39" s="226" t="s">
        <v>477</v>
      </c>
    </row>
    <row r="40" spans="1:9" ht="16.5" thickTop="1" thickBot="1">
      <c r="A40" s="227">
        <v>2011</v>
      </c>
      <c r="B40" s="228">
        <v>7.01</v>
      </c>
      <c r="C40" s="229">
        <v>27.08</v>
      </c>
      <c r="D40" s="229" t="s">
        <v>478</v>
      </c>
      <c r="E40" s="229">
        <v>38.799999999999997</v>
      </c>
      <c r="F40" s="229">
        <v>24.7</v>
      </c>
      <c r="G40" s="229">
        <v>35.090000000000003</v>
      </c>
      <c r="H40" s="229">
        <v>8.8800000000000008</v>
      </c>
      <c r="I40" s="229">
        <v>44.54</v>
      </c>
    </row>
    <row r="41" spans="1:9" ht="15.75" thickBot="1">
      <c r="A41" s="230">
        <v>2012</v>
      </c>
      <c r="B41" s="231">
        <v>7.61</v>
      </c>
      <c r="C41" s="232">
        <v>28.34</v>
      </c>
      <c r="D41" s="232" t="s">
        <v>478</v>
      </c>
      <c r="E41" s="232">
        <v>30.45</v>
      </c>
      <c r="F41" s="232">
        <v>27.42</v>
      </c>
      <c r="G41" s="232">
        <v>37.200000000000003</v>
      </c>
      <c r="H41" s="232">
        <v>11.34</v>
      </c>
      <c r="I41" s="232">
        <v>35.67</v>
      </c>
    </row>
    <row r="42" spans="1:9" ht="15.75" thickBot="1">
      <c r="A42" s="230">
        <v>2013</v>
      </c>
      <c r="B42" s="231">
        <v>8.14</v>
      </c>
      <c r="C42" s="232">
        <v>28.94</v>
      </c>
      <c r="D42" s="232" t="s">
        <v>478</v>
      </c>
      <c r="E42" s="232">
        <v>32.56</v>
      </c>
      <c r="F42" s="232">
        <v>27.29</v>
      </c>
      <c r="G42" s="232">
        <v>37.92</v>
      </c>
      <c r="H42" s="232">
        <v>10.88</v>
      </c>
      <c r="I42" s="232">
        <v>37.92</v>
      </c>
    </row>
    <row r="43" spans="1:9" ht="15.75" thickBot="1">
      <c r="A43" s="230">
        <v>2014</v>
      </c>
      <c r="B43" s="231">
        <v>7.71</v>
      </c>
      <c r="C43" s="232">
        <v>29.39</v>
      </c>
      <c r="D43" s="232" t="s">
        <v>478</v>
      </c>
      <c r="E43" s="232">
        <v>37.06</v>
      </c>
      <c r="F43" s="232">
        <v>26.79</v>
      </c>
      <c r="G43" s="232">
        <v>39.04</v>
      </c>
      <c r="H43" s="232">
        <v>11.9</v>
      </c>
      <c r="I43" s="232">
        <v>42.6</v>
      </c>
    </row>
    <row r="44" spans="1:9" ht="15.75" thickBot="1">
      <c r="A44" s="230">
        <v>2015</v>
      </c>
      <c r="B44" s="231">
        <v>7.48</v>
      </c>
      <c r="C44" s="232">
        <v>26.7</v>
      </c>
      <c r="D44" s="232" t="s">
        <v>478</v>
      </c>
      <c r="E44" s="232">
        <v>28.22</v>
      </c>
      <c r="F44" s="232">
        <v>25.71</v>
      </c>
      <c r="G44" s="232">
        <v>37.26</v>
      </c>
      <c r="H44" s="232">
        <v>13.42</v>
      </c>
      <c r="I44" s="232">
        <v>33.24</v>
      </c>
    </row>
    <row r="45" spans="1:9" ht="15.75" thickBot="1">
      <c r="A45" s="230">
        <v>2016</v>
      </c>
      <c r="B45" s="231">
        <v>7.45</v>
      </c>
      <c r="C45" s="232">
        <v>25.5</v>
      </c>
      <c r="D45" s="232" t="s">
        <v>478</v>
      </c>
      <c r="E45" s="232">
        <v>24.97</v>
      </c>
      <c r="F45" s="232">
        <v>25.36</v>
      </c>
      <c r="G45" s="232">
        <v>36.08</v>
      </c>
      <c r="H45" s="232">
        <v>10.98</v>
      </c>
      <c r="I45" s="232">
        <v>30.19</v>
      </c>
    </row>
    <row r="46" spans="1:9" ht="15.75" thickBot="1">
      <c r="A46" s="230">
        <v>2017</v>
      </c>
      <c r="B46" s="231">
        <v>7.47</v>
      </c>
      <c r="C46" s="232">
        <v>25.27</v>
      </c>
      <c r="D46" s="232" t="s">
        <v>478</v>
      </c>
      <c r="E46" s="232">
        <v>26.48</v>
      </c>
      <c r="F46" s="232">
        <v>24.38</v>
      </c>
      <c r="G46" s="232">
        <v>35.409999999999997</v>
      </c>
      <c r="H46" s="232">
        <v>10.29</v>
      </c>
      <c r="I46" s="232">
        <v>31.76</v>
      </c>
    </row>
    <row r="47" spans="1:9" ht="15.75" thickBot="1">
      <c r="A47" s="230">
        <v>2018</v>
      </c>
      <c r="B47" s="231">
        <v>7.15</v>
      </c>
      <c r="C47" s="232">
        <v>25.4</v>
      </c>
      <c r="D47" s="232" t="s">
        <v>478</v>
      </c>
      <c r="E47" s="232">
        <v>27.35</v>
      </c>
      <c r="F47" s="232">
        <v>23.86</v>
      </c>
      <c r="G47" s="232">
        <v>35.86</v>
      </c>
      <c r="H47" s="232">
        <v>10.65</v>
      </c>
      <c r="I47" s="232">
        <v>32.43</v>
      </c>
    </row>
    <row r="48" spans="1:9" ht="15.75" thickBot="1">
      <c r="A48" s="230">
        <v>2019</v>
      </c>
      <c r="B48" s="231">
        <v>6.81</v>
      </c>
      <c r="C48" s="232">
        <v>24.28</v>
      </c>
      <c r="D48" s="232" t="s">
        <v>478</v>
      </c>
      <c r="E48" s="232">
        <v>23.11</v>
      </c>
      <c r="F48" s="232">
        <v>23.73</v>
      </c>
      <c r="G48" s="232">
        <v>36.659999999999997</v>
      </c>
      <c r="H48" s="232">
        <v>10.8</v>
      </c>
      <c r="I48" s="232">
        <v>28.33</v>
      </c>
    </row>
    <row r="49" spans="1:9" ht="15.75" thickBot="1">
      <c r="A49" s="230">
        <v>2020</v>
      </c>
      <c r="B49" s="231">
        <v>6.1</v>
      </c>
      <c r="C49" s="232">
        <v>22.87</v>
      </c>
      <c r="D49" s="232" t="s">
        <v>478</v>
      </c>
      <c r="E49" s="232">
        <v>19.649999999999999</v>
      </c>
      <c r="F49" s="232">
        <v>21.92</v>
      </c>
      <c r="G49" s="232">
        <v>34.86</v>
      </c>
      <c r="H49" s="232">
        <v>12.71</v>
      </c>
      <c r="I49" s="232">
        <v>24.55</v>
      </c>
    </row>
    <row r="50" spans="1:9" ht="15.75" thickBot="1">
      <c r="A50" s="233">
        <v>2021</v>
      </c>
      <c r="B50" s="234">
        <v>6.31</v>
      </c>
      <c r="C50" s="235">
        <v>24.64</v>
      </c>
      <c r="D50" s="235" t="s">
        <v>478</v>
      </c>
      <c r="E50" s="235">
        <v>25.78</v>
      </c>
      <c r="F50" s="235">
        <v>22.74</v>
      </c>
      <c r="G50" s="235">
        <v>35.659999999999997</v>
      </c>
      <c r="H50" s="235">
        <v>12.3</v>
      </c>
      <c r="I50" s="235">
        <v>30.18</v>
      </c>
    </row>
    <row r="51" spans="1:9">
      <c r="B51" s="155">
        <f>AVERAGE(B40:B50)</f>
        <v>7.2036363636363632</v>
      </c>
    </row>
    <row r="62" spans="1:9">
      <c r="A62" s="207" t="s">
        <v>437</v>
      </c>
    </row>
    <row r="83" spans="1:21">
      <c r="B83" t="s">
        <v>442</v>
      </c>
      <c r="C83">
        <v>0.89</v>
      </c>
      <c r="D83" t="s">
        <v>479</v>
      </c>
    </row>
    <row r="85" spans="1:21" hidden="1">
      <c r="C85" s="8"/>
      <c r="D85" s="8"/>
      <c r="E85" s="644" t="s">
        <v>480</v>
      </c>
      <c r="F85" s="644"/>
      <c r="G85" s="644"/>
      <c r="H85" s="645" t="s">
        <v>481</v>
      </c>
      <c r="I85" s="645"/>
      <c r="J85" s="645"/>
      <c r="K85" s="646" t="s">
        <v>446</v>
      </c>
      <c r="L85" s="646"/>
      <c r="M85" s="646"/>
    </row>
    <row r="86" spans="1:21" hidden="1">
      <c r="C86" s="8"/>
      <c r="D86" s="8"/>
      <c r="E86" s="208">
        <v>2025</v>
      </c>
      <c r="F86" s="208">
        <v>2040</v>
      </c>
      <c r="G86" s="208"/>
      <c r="H86" s="209">
        <v>2025</v>
      </c>
      <c r="I86" s="209">
        <v>2040</v>
      </c>
      <c r="J86" s="209"/>
      <c r="K86" s="210">
        <v>2030</v>
      </c>
      <c r="L86" s="210">
        <v>2040</v>
      </c>
      <c r="M86" s="210"/>
    </row>
    <row r="87" spans="1:21" hidden="1">
      <c r="A87" t="s">
        <v>447</v>
      </c>
      <c r="B87" t="s">
        <v>448</v>
      </c>
      <c r="E87" s="211"/>
      <c r="F87" s="211"/>
      <c r="G87" s="211"/>
      <c r="H87" s="212"/>
      <c r="I87" s="212">
        <v>140</v>
      </c>
      <c r="J87" s="212"/>
      <c r="K87" s="213"/>
      <c r="L87" s="213">
        <v>52</v>
      </c>
      <c r="M87" s="213"/>
      <c r="R87" t="s">
        <v>452</v>
      </c>
      <c r="S87">
        <v>5.86</v>
      </c>
      <c r="T87" t="s">
        <v>453</v>
      </c>
    </row>
    <row r="88" spans="1:21" hidden="1">
      <c r="A88" t="s">
        <v>450</v>
      </c>
      <c r="B88" t="s">
        <v>451</v>
      </c>
      <c r="E88" s="211">
        <v>59</v>
      </c>
      <c r="F88" s="211">
        <v>72</v>
      </c>
      <c r="G88" s="211"/>
      <c r="H88" s="212">
        <v>57</v>
      </c>
      <c r="I88" s="212">
        <v>53</v>
      </c>
      <c r="J88" s="212"/>
      <c r="K88" s="213">
        <v>76</v>
      </c>
      <c r="L88" s="213">
        <v>85</v>
      </c>
      <c r="M88" s="213"/>
      <c r="R88" t="s">
        <v>455</v>
      </c>
      <c r="S88">
        <v>1.0550999999999999</v>
      </c>
      <c r="T88" t="s">
        <v>453</v>
      </c>
      <c r="U88" t="s">
        <v>482</v>
      </c>
    </row>
    <row r="89" spans="1:21" hidden="1">
      <c r="A89" t="s">
        <v>387</v>
      </c>
      <c r="B89" t="s">
        <v>454</v>
      </c>
      <c r="E89" s="211">
        <v>6.3</v>
      </c>
      <c r="F89" s="211">
        <v>7.6</v>
      </c>
      <c r="G89" s="211"/>
      <c r="H89" s="212">
        <v>4.8</v>
      </c>
      <c r="I89" s="212">
        <v>4.9000000000000004</v>
      </c>
      <c r="J89" s="212"/>
      <c r="K89" s="213">
        <v>7.5</v>
      </c>
      <c r="L89" s="213">
        <v>7.9</v>
      </c>
      <c r="M89" s="213"/>
      <c r="R89" t="s">
        <v>457</v>
      </c>
      <c r="S89">
        <v>29.31</v>
      </c>
      <c r="T89" t="s">
        <v>453</v>
      </c>
    </row>
    <row r="90" spans="1:21" hidden="1">
      <c r="A90" t="s">
        <v>456</v>
      </c>
      <c r="B90" t="s">
        <v>448</v>
      </c>
      <c r="E90" s="211">
        <v>60</v>
      </c>
      <c r="F90" s="211">
        <v>64</v>
      </c>
      <c r="G90" s="211"/>
      <c r="H90" s="212">
        <v>57</v>
      </c>
      <c r="I90" s="212">
        <v>55</v>
      </c>
      <c r="J90" s="212"/>
      <c r="K90" s="213">
        <v>71</v>
      </c>
      <c r="L90" s="213">
        <v>69</v>
      </c>
      <c r="M90" s="213"/>
      <c r="R90" t="s">
        <v>460</v>
      </c>
      <c r="S90">
        <v>3.6</v>
      </c>
      <c r="T90" t="s">
        <v>453</v>
      </c>
    </row>
    <row r="91" spans="1:21" hidden="1">
      <c r="A91" s="215"/>
      <c r="B91" s="215"/>
      <c r="C91" s="215"/>
      <c r="D91" s="215"/>
      <c r="E91" s="215"/>
      <c r="F91" s="215"/>
      <c r="G91" s="215"/>
      <c r="H91" s="215"/>
      <c r="I91" s="215"/>
      <c r="J91" s="215"/>
      <c r="K91" s="215"/>
      <c r="L91" s="215"/>
      <c r="M91" s="215"/>
      <c r="N91" s="215"/>
    </row>
    <row r="92" spans="1:21" hidden="1"/>
    <row r="93" spans="1:21" hidden="1">
      <c r="C93" s="8"/>
      <c r="D93" s="8"/>
      <c r="E93" s="603" t="s">
        <v>480</v>
      </c>
      <c r="F93" s="603"/>
      <c r="G93" s="603"/>
      <c r="H93" s="603" t="s">
        <v>481</v>
      </c>
      <c r="I93" s="603"/>
      <c r="J93" s="603"/>
      <c r="K93" s="603" t="s">
        <v>446</v>
      </c>
      <c r="L93" s="603"/>
      <c r="M93" s="603"/>
    </row>
    <row r="94" spans="1:21" hidden="1">
      <c r="C94" s="8"/>
      <c r="D94" s="8"/>
      <c r="E94" s="8">
        <v>2030</v>
      </c>
      <c r="F94" s="8">
        <v>2040</v>
      </c>
      <c r="G94" s="8">
        <v>2050</v>
      </c>
      <c r="H94" s="8">
        <v>2030</v>
      </c>
      <c r="I94" s="8">
        <v>2040</v>
      </c>
      <c r="J94" s="8">
        <v>2050</v>
      </c>
      <c r="K94" s="8">
        <v>2030</v>
      </c>
      <c r="L94" s="8">
        <v>2040</v>
      </c>
      <c r="M94" s="8">
        <v>2050</v>
      </c>
    </row>
    <row r="95" spans="1:21" hidden="1">
      <c r="A95" t="s">
        <v>447</v>
      </c>
      <c r="B95" t="s">
        <v>466</v>
      </c>
      <c r="E95" s="32"/>
      <c r="F95" s="32"/>
      <c r="G95" s="32"/>
      <c r="H95" s="32"/>
      <c r="I95" s="32">
        <f>I87*$C$83</f>
        <v>124.60000000000001</v>
      </c>
      <c r="J95" s="32"/>
      <c r="K95" s="32"/>
      <c r="L95" s="32">
        <f>L87*$C$83</f>
        <v>46.28</v>
      </c>
      <c r="M95" s="32"/>
    </row>
    <row r="96" spans="1:21" hidden="1">
      <c r="A96" t="s">
        <v>468</v>
      </c>
      <c r="B96" t="s">
        <v>467</v>
      </c>
      <c r="C96" s="23"/>
      <c r="D96" s="23"/>
      <c r="E96" s="23">
        <f>E88*$C$83/$S$9*1.28</f>
        <v>11.46976109215017</v>
      </c>
      <c r="F96" s="23">
        <f>F88*$C$83/$S$9*1.28</f>
        <v>13.996996587030715</v>
      </c>
      <c r="G96" s="23"/>
      <c r="H96" s="23">
        <f>H88*$C$83/$S$9*1.28</f>
        <v>11.080955631399318</v>
      </c>
      <c r="I96" s="23">
        <f>I88*$C$83/$S$9*1.28</f>
        <v>10.30334470989761</v>
      </c>
      <c r="J96" s="23"/>
      <c r="K96" s="23">
        <f>K88*$C$83/$S$9*1.28</f>
        <v>14.774607508532423</v>
      </c>
      <c r="L96" s="23">
        <f>L88*$C$83/$S$9*1.28</f>
        <v>16.524232081911265</v>
      </c>
      <c r="M96" s="23"/>
    </row>
    <row r="97" spans="1:22" hidden="1">
      <c r="A97" t="s">
        <v>469</v>
      </c>
      <c r="B97" t="s">
        <v>467</v>
      </c>
      <c r="C97" s="23"/>
      <c r="D97" s="23"/>
      <c r="E97" s="23">
        <f>E88*$C$83/$S$9*1.05</f>
        <v>9.4087883959044376</v>
      </c>
      <c r="F97" s="23">
        <f>F88*$C$83/$S$9*1.05</f>
        <v>11.481911262798633</v>
      </c>
      <c r="G97" s="23"/>
      <c r="H97" s="23">
        <f>H88*$C$83/$S$9*1.05</f>
        <v>9.0898464163822528</v>
      </c>
      <c r="I97" s="23">
        <f>I88*$C$83/$S$9*1.05</f>
        <v>8.4519624573378831</v>
      </c>
      <c r="J97" s="23"/>
      <c r="K97" s="23">
        <f>K88*$C$83/$S$9*1.05</f>
        <v>12.119795221843003</v>
      </c>
      <c r="L97" s="23">
        <f>L88*$C$83/$S$9*1.05</f>
        <v>13.555034129692833</v>
      </c>
      <c r="M97" s="23"/>
    </row>
    <row r="98" spans="1:22" hidden="1">
      <c r="A98" t="s">
        <v>387</v>
      </c>
      <c r="B98" t="s">
        <v>467</v>
      </c>
      <c r="C98" s="23"/>
      <c r="D98" s="23"/>
      <c r="E98" s="23">
        <f>E89*$C$83/$S$10</f>
        <v>5.3141882286039239</v>
      </c>
      <c r="F98" s="23">
        <f>F89*$C$83/$S$10</f>
        <v>6.410766751966638</v>
      </c>
      <c r="G98" s="23"/>
      <c r="H98" s="23">
        <f>H89*$C$83/$S$10</f>
        <v>4.0489053170315614</v>
      </c>
      <c r="I98" s="23">
        <f>I89*$C$83/$S$10</f>
        <v>4.1332575111363861</v>
      </c>
      <c r="J98" s="23"/>
      <c r="K98" s="23">
        <f>K89*$C$83/$S$10</f>
        <v>6.3264145578618143</v>
      </c>
      <c r="L98" s="23">
        <f>L89*$C$83/$S$10</f>
        <v>6.663823334281112</v>
      </c>
      <c r="M98" s="23"/>
    </row>
    <row r="99" spans="1:22" hidden="1">
      <c r="A99" t="s">
        <v>456</v>
      </c>
      <c r="B99" t="s">
        <v>467</v>
      </c>
      <c r="C99" s="23"/>
      <c r="D99" s="23"/>
      <c r="E99" s="23">
        <f>E90*$C$83/$S$11</f>
        <v>1.8219037871033776</v>
      </c>
      <c r="F99" s="23">
        <f>F90*$C$83/$S$11</f>
        <v>1.9433640395769363</v>
      </c>
      <c r="G99" s="23"/>
      <c r="H99" s="23">
        <f>H90*$C$83/$S$11</f>
        <v>1.7308085977482091</v>
      </c>
      <c r="I99" s="23">
        <f>I90*$C$83/$S$11</f>
        <v>1.6700784715114296</v>
      </c>
      <c r="J99" s="23"/>
      <c r="K99" s="23">
        <f>K90*$C$83/$S$11</f>
        <v>2.1559194814056637</v>
      </c>
      <c r="L99" s="23">
        <f>L90*$C$83/$S$11</f>
        <v>2.0951893551688845</v>
      </c>
      <c r="M99" s="23"/>
      <c r="R99" s="218"/>
      <c r="S99" s="219"/>
      <c r="U99" s="218"/>
      <c r="V99" s="1"/>
    </row>
    <row r="100" spans="1:22">
      <c r="E100" s="23"/>
    </row>
  </sheetData>
  <mergeCells count="13">
    <mergeCell ref="E38:H38"/>
    <mergeCell ref="E85:G85"/>
    <mergeCell ref="H85:J85"/>
    <mergeCell ref="K85:M85"/>
    <mergeCell ref="E93:G93"/>
    <mergeCell ref="H93:J93"/>
    <mergeCell ref="K93:M93"/>
    <mergeCell ref="E6:G6"/>
    <mergeCell ref="H6:J6"/>
    <mergeCell ref="K6:M6"/>
    <mergeCell ref="E17:G17"/>
    <mergeCell ref="H17:J17"/>
    <mergeCell ref="K17:M17"/>
  </mergeCells>
  <hyperlinks>
    <hyperlink ref="A36" r:id="rId1" xr:uid="{A717F6ED-0B1F-4019-ABB4-8C78EDA5133C}"/>
  </hyperlinks>
  <pageMargins left="0.7" right="0.7" top="0.75" bottom="0.75" header="0.3" footer="0.3"/>
  <headerFooter>
    <oddFooter>&amp;C_x000D_&amp;1#&amp;"Calibri"&amp;10&amp;K000000 ISC - Uso INTERNO / INTERNAL Use</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19952-2022-4149-BE5C-152C7A120B77}">
  <sheetPr>
    <tabColor theme="7"/>
  </sheetPr>
  <dimension ref="B1:R42"/>
  <sheetViews>
    <sheetView showGridLines="0" zoomScale="85" zoomScaleNormal="85" workbookViewId="0">
      <selection activeCell="B34" sqref="B34"/>
    </sheetView>
  </sheetViews>
  <sheetFormatPr defaultColWidth="8.85546875" defaultRowHeight="15"/>
  <cols>
    <col min="2" max="2" width="79" bestFit="1" customWidth="1"/>
    <col min="3" max="3" width="22.42578125" bestFit="1" customWidth="1"/>
    <col min="8" max="8" width="58.5703125" customWidth="1"/>
    <col min="9" max="9" width="4.85546875" customWidth="1"/>
    <col min="17" max="17" width="7.5703125" bestFit="1" customWidth="1"/>
    <col min="18" max="18" width="10.42578125" bestFit="1" customWidth="1"/>
  </cols>
  <sheetData>
    <row r="1" spans="2:12" ht="23.25">
      <c r="B1" s="384" t="s">
        <v>483</v>
      </c>
    </row>
    <row r="3" spans="2:12">
      <c r="B3" s="131" t="s">
        <v>484</v>
      </c>
      <c r="C3" s="236"/>
      <c r="D3" s="236"/>
      <c r="E3" s="236"/>
      <c r="G3" s="238" t="s">
        <v>485</v>
      </c>
      <c r="H3" s="238"/>
      <c r="I3" s="238">
        <v>2050</v>
      </c>
    </row>
    <row r="4" spans="2:12">
      <c r="B4" s="237" t="s">
        <v>149</v>
      </c>
      <c r="C4" s="237">
        <v>2020</v>
      </c>
      <c r="D4" s="237">
        <v>2030</v>
      </c>
      <c r="E4" s="237">
        <v>2050</v>
      </c>
      <c r="G4" t="s">
        <v>486</v>
      </c>
      <c r="I4" s="240">
        <f>C62</f>
        <v>0</v>
      </c>
    </row>
    <row r="5" spans="2:12">
      <c r="B5" s="195" t="s">
        <v>487</v>
      </c>
      <c r="C5" s="239">
        <f>'3.6.'!T34</f>
        <v>69.796073902038714</v>
      </c>
      <c r="D5" s="239">
        <f>'3.6.'!U34</f>
        <v>68.177836555505465</v>
      </c>
      <c r="E5" s="239">
        <f>'3.6.'!V34</f>
        <v>66.179358583734938</v>
      </c>
      <c r="G5" s="198" t="s">
        <v>488</v>
      </c>
      <c r="H5" s="198"/>
      <c r="I5" s="242">
        <f>C63</f>
        <v>0</v>
      </c>
    </row>
    <row r="6" spans="2:12">
      <c r="B6" s="198" t="s">
        <v>489</v>
      </c>
      <c r="C6" s="241">
        <f>'3.7.'!T20</f>
        <v>82.615893632440645</v>
      </c>
      <c r="D6" s="241">
        <f>'3.7.'!U20</f>
        <v>61.338796600960819</v>
      </c>
      <c r="E6" s="241">
        <f>'3.7.'!V20</f>
        <v>56.056034721396358</v>
      </c>
    </row>
    <row r="8" spans="2:12">
      <c r="B8" s="243" t="s">
        <v>490</v>
      </c>
      <c r="C8" s="243">
        <v>2030</v>
      </c>
      <c r="D8" s="243">
        <v>2050</v>
      </c>
    </row>
    <row r="9" spans="2:12">
      <c r="B9" t="s">
        <v>491</v>
      </c>
      <c r="C9">
        <v>420</v>
      </c>
      <c r="D9">
        <v>1001</v>
      </c>
    </row>
    <row r="10" spans="2:12">
      <c r="B10" s="198" t="s">
        <v>492</v>
      </c>
      <c r="C10" s="198">
        <v>32</v>
      </c>
      <c r="D10" s="198">
        <v>653</v>
      </c>
      <c r="H10" s="244" t="str">
        <f>B3</f>
        <v>Overview biomethane costs (€/MWh) including feedstock</v>
      </c>
      <c r="I10" s="245"/>
      <c r="J10" s="245"/>
      <c r="K10" s="245"/>
      <c r="L10" s="245"/>
    </row>
    <row r="11" spans="2:12">
      <c r="B11" t="s">
        <v>395</v>
      </c>
      <c r="C11">
        <f>C10+C9</f>
        <v>452</v>
      </c>
      <c r="D11">
        <f>D10+D9</f>
        <v>1654</v>
      </c>
      <c r="H11" t="str">
        <f>B4</f>
        <v>Year</v>
      </c>
      <c r="J11">
        <f t="shared" ref="J11:L13" si="0">C4</f>
        <v>2020</v>
      </c>
      <c r="K11">
        <f t="shared" si="0"/>
        <v>2030</v>
      </c>
      <c r="L11">
        <f t="shared" si="0"/>
        <v>2050</v>
      </c>
    </row>
    <row r="12" spans="2:12">
      <c r="H12" s="195" t="str">
        <f>B5</f>
        <v>biomethane - Anaerobic digestion including upgrade and injection</v>
      </c>
      <c r="I12" s="239"/>
      <c r="J12" s="239">
        <f t="shared" si="0"/>
        <v>69.796073902038714</v>
      </c>
      <c r="K12" s="239">
        <f t="shared" si="0"/>
        <v>68.177836555505465</v>
      </c>
      <c r="L12" s="239">
        <f t="shared" si="0"/>
        <v>66.179358583734938</v>
      </c>
    </row>
    <row r="13" spans="2:12">
      <c r="B13" s="246" t="s">
        <v>493</v>
      </c>
      <c r="C13" s="246">
        <v>2030</v>
      </c>
      <c r="D13" s="246">
        <v>2050</v>
      </c>
      <c r="H13" s="198" t="str">
        <f>B6</f>
        <v>SNG - Thermal gasification</v>
      </c>
      <c r="I13" s="241"/>
      <c r="J13" s="241">
        <f t="shared" si="0"/>
        <v>82.615893632440645</v>
      </c>
      <c r="K13" s="241">
        <f t="shared" si="0"/>
        <v>61.338796600960819</v>
      </c>
      <c r="L13" s="241">
        <f t="shared" si="0"/>
        <v>56.056034721396358</v>
      </c>
    </row>
    <row r="14" spans="2:12">
      <c r="B14" t="s">
        <v>494</v>
      </c>
      <c r="C14" s="247">
        <f>C9/($C$9+$C$10)</f>
        <v>0.92920353982300885</v>
      </c>
      <c r="D14" s="247">
        <f>D9/($D$9+$D$10)</f>
        <v>0.60519951632406288</v>
      </c>
      <c r="H14" t="s">
        <v>495</v>
      </c>
    </row>
    <row r="15" spans="2:12">
      <c r="B15" s="198" t="s">
        <v>496</v>
      </c>
      <c r="C15" s="248">
        <f>C10/($C$9+$C$10)</f>
        <v>7.0796460176991149E-2</v>
      </c>
      <c r="D15" s="248">
        <f>D10/($D$9+$D$10)</f>
        <v>0.39480048367593712</v>
      </c>
    </row>
    <row r="16" spans="2:12">
      <c r="B16" t="s">
        <v>497</v>
      </c>
    </row>
    <row r="21" spans="2:18">
      <c r="B21" s="249" t="s">
        <v>498</v>
      </c>
      <c r="C21" s="249">
        <f>C4</f>
        <v>2020</v>
      </c>
      <c r="D21" s="249">
        <f>D4</f>
        <v>2030</v>
      </c>
      <c r="E21" s="249">
        <f>E4</f>
        <v>2050</v>
      </c>
    </row>
    <row r="22" spans="2:18" ht="15.75" thickBot="1">
      <c r="B22" s="250"/>
      <c r="C22" s="251">
        <f>C5</f>
        <v>69.796073902038714</v>
      </c>
      <c r="D22" s="251">
        <f>D5*C14+D6*C15</f>
        <v>67.693656735714697</v>
      </c>
      <c r="E22" s="251">
        <f>E5*D14+E6*D15</f>
        <v>62.182665426475509</v>
      </c>
    </row>
    <row r="23" spans="2:18" ht="15.75" thickTop="1">
      <c r="B23" t="s">
        <v>499</v>
      </c>
      <c r="R23" s="252"/>
    </row>
    <row r="25" spans="2:18">
      <c r="B25" s="249" t="s">
        <v>500</v>
      </c>
      <c r="C25" s="249">
        <f>C21</f>
        <v>2020</v>
      </c>
      <c r="D25" s="249">
        <f t="shared" ref="D25:E25" si="1">D21</f>
        <v>2030</v>
      </c>
      <c r="E25" s="249">
        <f t="shared" si="1"/>
        <v>2050</v>
      </c>
    </row>
    <row r="26" spans="2:18" ht="15.75" thickBot="1">
      <c r="B26" s="250"/>
      <c r="C26" s="251">
        <f>C22/3.6</f>
        <v>19.387798306121866</v>
      </c>
      <c r="D26" s="251">
        <f t="shared" ref="D26:E26" si="2">D22/3.6</f>
        <v>18.803793537698528</v>
      </c>
      <c r="E26" s="251">
        <f t="shared" si="2"/>
        <v>17.272962618465417</v>
      </c>
    </row>
    <row r="27" spans="2:18" ht="15.75" thickTop="1">
      <c r="B27" t="s">
        <v>499</v>
      </c>
    </row>
    <row r="34" spans="2:2">
      <c r="B34" s="258"/>
    </row>
    <row r="35" spans="2:2">
      <c r="B35" s="258"/>
    </row>
    <row r="36" spans="2:2">
      <c r="B36" s="258"/>
    </row>
    <row r="37" spans="2:2">
      <c r="B37" s="258"/>
    </row>
    <row r="38" spans="2:2">
      <c r="B38" s="258"/>
    </row>
    <row r="39" spans="2:2">
      <c r="B39" s="258"/>
    </row>
    <row r="40" spans="2:2">
      <c r="B40" s="258"/>
    </row>
    <row r="41" spans="2:2">
      <c r="B41" s="258"/>
    </row>
    <row r="42" spans="2:2">
      <c r="B42" s="258"/>
    </row>
  </sheetData>
  <pageMargins left="0.7" right="0.7" top="0.75" bottom="0.75" header="0.3" footer="0.3"/>
  <pageSetup paperSize="9" orientation="portrait" r:id="rId1"/>
  <headerFooter>
    <oddFooter>&amp;C_x000D_&amp;1#&amp;"Calibri"&amp;10&amp;K000000 ISC - Uso INTERNO / INTERNAL Use</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5FAD0-9C9D-4C5E-A561-44661C357B87}">
  <sheetPr>
    <tabColor theme="7"/>
  </sheetPr>
  <dimension ref="A1:V75"/>
  <sheetViews>
    <sheetView zoomScale="85" zoomScaleNormal="85" workbookViewId="0">
      <selection activeCell="A50" sqref="A50:K50"/>
    </sheetView>
  </sheetViews>
  <sheetFormatPr defaultColWidth="8.85546875" defaultRowHeight="15"/>
  <cols>
    <col min="2" max="2" width="45.5703125" bestFit="1" customWidth="1"/>
    <col min="3" max="3" width="12.42578125" customWidth="1"/>
    <col min="4" max="4" width="12" bestFit="1" customWidth="1"/>
    <col min="5" max="5" width="11" bestFit="1" customWidth="1"/>
    <col min="6" max="10" width="12" bestFit="1" customWidth="1"/>
    <col min="11" max="11" width="5.42578125" bestFit="1" customWidth="1"/>
    <col min="12" max="12" width="4.85546875" bestFit="1" customWidth="1"/>
    <col min="15" max="15" width="42.5703125" bestFit="1" customWidth="1"/>
    <col min="16" max="16" width="12" bestFit="1" customWidth="1"/>
    <col min="17" max="17" width="25.42578125" bestFit="1" customWidth="1"/>
    <col min="18" max="18" width="18" customWidth="1"/>
    <col min="19" max="19" width="57.140625" bestFit="1" customWidth="1"/>
    <col min="20" max="22" width="11.5703125" bestFit="1" customWidth="1"/>
    <col min="26" max="26" width="12" bestFit="1" customWidth="1"/>
    <col min="30" max="30" width="12.5703125" bestFit="1" customWidth="1"/>
    <col min="31" max="31" width="4.85546875" bestFit="1" customWidth="1"/>
  </cols>
  <sheetData>
    <row r="1" spans="1:22">
      <c r="B1" t="s">
        <v>501</v>
      </c>
    </row>
    <row r="3" spans="1:22" ht="23.25">
      <c r="B3" s="384" t="s">
        <v>502</v>
      </c>
    </row>
    <row r="5" spans="1:22" ht="15.75" thickBot="1">
      <c r="B5" s="263" t="s">
        <v>503</v>
      </c>
      <c r="C5" s="264"/>
      <c r="D5" s="264"/>
      <c r="E5" s="264"/>
      <c r="F5" s="264"/>
      <c r="G5" s="264"/>
      <c r="H5" s="264"/>
      <c r="I5" s="264"/>
      <c r="J5" s="264"/>
      <c r="K5" s="264"/>
      <c r="L5" s="264"/>
      <c r="O5" s="263" t="s">
        <v>504</v>
      </c>
      <c r="P5" s="264"/>
      <c r="Q5" s="264"/>
      <c r="R5" s="264"/>
      <c r="S5" s="264"/>
      <c r="T5" s="264"/>
      <c r="U5" s="264"/>
      <c r="V5" s="264"/>
    </row>
    <row r="6" spans="1:22">
      <c r="A6" s="255"/>
      <c r="B6" s="253"/>
      <c r="C6" s="253"/>
      <c r="D6" s="253"/>
      <c r="E6" s="253"/>
      <c r="F6" s="253"/>
      <c r="G6" s="253"/>
      <c r="H6" s="253"/>
      <c r="I6" s="253"/>
      <c r="J6" s="253"/>
      <c r="K6" s="253"/>
      <c r="L6" s="254"/>
    </row>
    <row r="7" spans="1:22">
      <c r="A7" s="256"/>
      <c r="B7" s="265" t="s">
        <v>251</v>
      </c>
      <c r="C7" s="651" t="s">
        <v>505</v>
      </c>
      <c r="D7" s="652"/>
      <c r="E7" s="652"/>
      <c r="F7" s="652"/>
      <c r="G7" s="652"/>
      <c r="H7" s="652"/>
      <c r="I7" s="652"/>
      <c r="J7" s="652"/>
      <c r="K7" s="652"/>
      <c r="L7" s="653"/>
      <c r="O7" s="244" t="s">
        <v>506</v>
      </c>
      <c r="P7" s="245"/>
      <c r="Q7" s="245"/>
      <c r="S7" s="266" t="s">
        <v>507</v>
      </c>
      <c r="T7" s="267"/>
      <c r="U7" s="267"/>
      <c r="V7" s="267"/>
    </row>
    <row r="8" spans="1:22">
      <c r="A8" s="256"/>
      <c r="B8" s="268"/>
      <c r="C8" s="269">
        <v>2015</v>
      </c>
      <c r="D8" s="269">
        <v>2020</v>
      </c>
      <c r="E8" s="269">
        <v>2030</v>
      </c>
      <c r="F8" s="269">
        <v>2050</v>
      </c>
      <c r="G8" s="654" t="s">
        <v>508</v>
      </c>
      <c r="H8" s="655"/>
      <c r="I8" s="654" t="s">
        <v>509</v>
      </c>
      <c r="J8" s="655"/>
      <c r="K8" s="269" t="s">
        <v>510</v>
      </c>
      <c r="L8" s="270" t="s">
        <v>511</v>
      </c>
      <c r="O8" t="s">
        <v>512</v>
      </c>
      <c r="P8" s="197">
        <f>D11</f>
        <v>8.6829269484640879</v>
      </c>
      <c r="Q8" t="s">
        <v>513</v>
      </c>
      <c r="S8" t="s">
        <v>149</v>
      </c>
      <c r="T8" s="32">
        <v>2020</v>
      </c>
      <c r="U8" s="32">
        <v>2030</v>
      </c>
      <c r="V8" s="32">
        <v>2050</v>
      </c>
    </row>
    <row r="9" spans="1:22">
      <c r="A9" s="256"/>
      <c r="B9" s="271" t="s">
        <v>514</v>
      </c>
      <c r="C9" s="272"/>
      <c r="D9" s="272"/>
      <c r="E9" s="272"/>
      <c r="F9" s="272"/>
      <c r="G9" s="272" t="s">
        <v>515</v>
      </c>
      <c r="H9" s="272" t="s">
        <v>516</v>
      </c>
      <c r="I9" s="272" t="s">
        <v>515</v>
      </c>
      <c r="J9" s="272" t="s">
        <v>516</v>
      </c>
      <c r="K9" s="272"/>
      <c r="L9" s="273"/>
      <c r="O9" t="s">
        <v>517</v>
      </c>
      <c r="P9" s="42">
        <f>D14</f>
        <v>365000</v>
      </c>
      <c r="Q9" t="s">
        <v>518</v>
      </c>
      <c r="S9" s="198" t="s">
        <v>519</v>
      </c>
      <c r="T9" s="241">
        <f>D31*D11</f>
        <v>14.85381395551847</v>
      </c>
      <c r="U9" s="241">
        <f>E31*E11</f>
        <v>13.368432559966623</v>
      </c>
      <c r="V9" s="241">
        <f>F31*F11</f>
        <v>12.031589303969961</v>
      </c>
    </row>
    <row r="10" spans="1:22">
      <c r="A10" s="256"/>
      <c r="B10" s="274" t="s">
        <v>520</v>
      </c>
      <c r="G10" s="275"/>
      <c r="H10" s="275"/>
      <c r="I10" s="275"/>
      <c r="J10" s="275"/>
      <c r="L10" s="257"/>
      <c r="O10" t="s">
        <v>521</v>
      </c>
      <c r="P10">
        <v>10</v>
      </c>
      <c r="Q10" t="s">
        <v>522</v>
      </c>
      <c r="S10" s="195" t="s">
        <v>523</v>
      </c>
      <c r="T10" s="196">
        <f t="shared" ref="T10:V10" si="0">T9*$P$16</f>
        <v>1.1919084614399982</v>
      </c>
      <c r="U10" s="196">
        <f t="shared" si="0"/>
        <v>1.0727176152959985</v>
      </c>
      <c r="V10" s="196">
        <f t="shared" si="0"/>
        <v>0.96544585376639858</v>
      </c>
    </row>
    <row r="11" spans="1:22">
      <c r="A11" s="256"/>
      <c r="B11" s="276" t="s">
        <v>524</v>
      </c>
      <c r="C11" s="277">
        <v>9.2417432910061201</v>
      </c>
      <c r="D11" s="277">
        <v>8.6829269484640879</v>
      </c>
      <c r="E11" s="277">
        <v>8.6829269484640879</v>
      </c>
      <c r="F11" s="277">
        <v>8.6829269484640879</v>
      </c>
      <c r="G11" s="277">
        <v>8.3175689619055078</v>
      </c>
      <c r="H11" s="277">
        <v>9.5512196433104979</v>
      </c>
      <c r="I11" s="277">
        <v>8.3175689619055078</v>
      </c>
      <c r="J11" s="277">
        <v>9.5512196433104979</v>
      </c>
      <c r="K11" s="278" t="s">
        <v>525</v>
      </c>
      <c r="L11" s="279"/>
      <c r="O11" t="s">
        <v>526</v>
      </c>
      <c r="P11">
        <v>20</v>
      </c>
      <c r="Q11" t="s">
        <v>527</v>
      </c>
      <c r="S11" s="198" t="s">
        <v>528</v>
      </c>
      <c r="T11" s="181">
        <f>(D35*D14)/1000000</f>
        <v>1.6906963066411287</v>
      </c>
      <c r="U11" s="181">
        <f>(E35*E14)/1000000</f>
        <v>1.7166358372765085</v>
      </c>
      <c r="V11" s="181">
        <f>(F35*F14)/1000000</f>
        <v>1.6994424934413019</v>
      </c>
    </row>
    <row r="12" spans="1:22">
      <c r="A12" s="256"/>
      <c r="B12" s="25"/>
      <c r="C12" s="25"/>
      <c r="D12" s="25"/>
      <c r="E12" s="278"/>
      <c r="F12" s="278"/>
      <c r="G12" s="278"/>
      <c r="H12" s="278"/>
      <c r="I12" s="278"/>
      <c r="J12" s="278"/>
      <c r="K12" s="278"/>
      <c r="L12" s="281"/>
      <c r="S12" s="8" t="s">
        <v>529</v>
      </c>
      <c r="T12" s="199">
        <f t="shared" ref="T12:V12" si="1">T11+T10</f>
        <v>2.8826047680811269</v>
      </c>
      <c r="U12" s="199">
        <f t="shared" si="1"/>
        <v>2.7893534525725068</v>
      </c>
      <c r="V12" s="199">
        <f t="shared" si="1"/>
        <v>2.6648883472077003</v>
      </c>
    </row>
    <row r="13" spans="1:22">
      <c r="A13" s="256"/>
      <c r="B13" s="282" t="s">
        <v>530</v>
      </c>
      <c r="C13" s="278"/>
      <c r="D13" s="278"/>
      <c r="E13" s="278"/>
      <c r="F13" s="278"/>
      <c r="G13" s="278"/>
      <c r="H13" s="278"/>
      <c r="I13" s="278"/>
      <c r="J13" s="278"/>
      <c r="K13" s="278"/>
      <c r="L13" s="281"/>
      <c r="O13" s="283" t="s">
        <v>531</v>
      </c>
      <c r="P13" s="284"/>
      <c r="Q13" s="284"/>
    </row>
    <row r="14" spans="1:22">
      <c r="A14" s="256"/>
      <c r="B14" s="285" t="s">
        <v>532</v>
      </c>
      <c r="C14" s="286">
        <v>365000</v>
      </c>
      <c r="D14" s="286">
        <v>365000</v>
      </c>
      <c r="E14" s="286">
        <v>365000</v>
      </c>
      <c r="F14" s="286">
        <v>365000</v>
      </c>
      <c r="G14" s="286">
        <v>365000</v>
      </c>
      <c r="H14" s="286">
        <v>365000</v>
      </c>
      <c r="I14" s="286">
        <v>365000</v>
      </c>
      <c r="J14" s="286">
        <v>365000</v>
      </c>
      <c r="K14" s="278" t="s">
        <v>533</v>
      </c>
      <c r="L14" s="279" t="s">
        <v>534</v>
      </c>
      <c r="O14" t="s">
        <v>535</v>
      </c>
      <c r="P14">
        <v>5</v>
      </c>
      <c r="Q14" t="s">
        <v>536</v>
      </c>
      <c r="S14" t="s">
        <v>537</v>
      </c>
      <c r="T14" s="42">
        <f>D11*24*(365-10)</f>
        <v>73978.537600914031</v>
      </c>
      <c r="U14" s="42">
        <f>E11*24*(365-10)</f>
        <v>73978.537600914031</v>
      </c>
      <c r="V14" s="42">
        <f>F11*24*(365-10)</f>
        <v>73978.537600914031</v>
      </c>
    </row>
    <row r="15" spans="1:22">
      <c r="A15" s="256"/>
      <c r="B15" s="287" t="s">
        <v>538</v>
      </c>
      <c r="C15" s="277">
        <v>3.6969498399920031</v>
      </c>
      <c r="D15" s="277">
        <v>3.8195864970641451</v>
      </c>
      <c r="E15" s="277">
        <v>3.8195864970641451</v>
      </c>
      <c r="F15" s="277">
        <v>3.8195864970641451</v>
      </c>
      <c r="G15" s="277">
        <v>1.9194756290809074</v>
      </c>
      <c r="H15" s="277">
        <v>6.7181647017831763</v>
      </c>
      <c r="I15" s="277">
        <v>1.9194756290809074</v>
      </c>
      <c r="J15" s="277">
        <v>6.7181647017831763</v>
      </c>
      <c r="K15" s="288" t="s">
        <v>525</v>
      </c>
      <c r="L15" s="279" t="s">
        <v>534</v>
      </c>
      <c r="O15" t="s">
        <v>539</v>
      </c>
      <c r="P15">
        <v>20</v>
      </c>
      <c r="Q15" t="s">
        <v>219</v>
      </c>
    </row>
    <row r="16" spans="1:22" ht="15.75" thickBot="1">
      <c r="A16" s="256"/>
      <c r="B16" s="289" t="s">
        <v>540</v>
      </c>
      <c r="C16" s="277">
        <v>8.1999027314237374</v>
      </c>
      <c r="D16" s="277">
        <v>7.9596457265634744</v>
      </c>
      <c r="E16" s="277">
        <v>7.9596457265634744</v>
      </c>
      <c r="F16" s="277">
        <v>7.9596457265634744</v>
      </c>
      <c r="G16" s="277">
        <f>G15*C16/C15</f>
        <v>4.257432244153974</v>
      </c>
      <c r="H16" s="277">
        <f t="shared" ref="H16:J16" si="2">H15*D16/D15</f>
        <v>14</v>
      </c>
      <c r="I16" s="277">
        <f t="shared" si="2"/>
        <v>4</v>
      </c>
      <c r="J16" s="277">
        <f t="shared" si="2"/>
        <v>14</v>
      </c>
      <c r="K16" s="288"/>
      <c r="L16" s="279"/>
      <c r="O16" t="s">
        <v>541</v>
      </c>
      <c r="P16" s="290">
        <f>(P14/100)/(1 - POWER(1 + (P14/100),-P15))</f>
        <v>8.0242587190691314E-2</v>
      </c>
      <c r="S16" s="259" t="s">
        <v>542</v>
      </c>
      <c r="T16" s="291">
        <f>(T12*1000000)/D43</f>
        <v>38.965419722564398</v>
      </c>
      <c r="U16" s="291">
        <f>(U12*1000000)/E43</f>
        <v>37.704901219053617</v>
      </c>
      <c r="V16" s="291">
        <f>(V12*1000000)/F43</f>
        <v>36.022452371034369</v>
      </c>
    </row>
    <row r="17" spans="1:22" ht="15.75" thickTop="1">
      <c r="A17" s="256"/>
      <c r="B17" s="25" t="s">
        <v>543</v>
      </c>
      <c r="C17" s="277">
        <v>8.3858637444973674</v>
      </c>
      <c r="D17" s="277">
        <v>8.9255616752262199</v>
      </c>
      <c r="E17" s="277">
        <v>8.9255616752262199</v>
      </c>
      <c r="F17" s="277">
        <v>8.9255616752262199</v>
      </c>
      <c r="G17" s="277">
        <v>7.1980336090534029</v>
      </c>
      <c r="H17" s="277">
        <v>11.996722681755671</v>
      </c>
      <c r="I17" s="277">
        <v>7.1980336090534029</v>
      </c>
      <c r="J17" s="277">
        <v>11.996722681755671</v>
      </c>
      <c r="K17" s="292" t="s">
        <v>525</v>
      </c>
      <c r="L17" s="279" t="s">
        <v>534</v>
      </c>
    </row>
    <row r="18" spans="1:22">
      <c r="A18" s="256"/>
      <c r="B18" s="293" t="s">
        <v>544</v>
      </c>
      <c r="C18" s="277">
        <v>18.600000000000001</v>
      </c>
      <c r="D18" s="277">
        <v>18.600000000000001</v>
      </c>
      <c r="E18" s="277">
        <v>18.600000000000001</v>
      </c>
      <c r="F18" s="277">
        <v>18.600000000000001</v>
      </c>
      <c r="G18" s="277">
        <f t="shared" ref="G18:J18" si="3">G17*C18/C17</f>
        <v>15.965370915577404</v>
      </c>
      <c r="H18" s="277">
        <f t="shared" si="3"/>
        <v>25</v>
      </c>
      <c r="I18" s="277">
        <f t="shared" si="3"/>
        <v>15</v>
      </c>
      <c r="J18" s="277">
        <f t="shared" si="3"/>
        <v>25</v>
      </c>
      <c r="K18" s="292"/>
      <c r="L18" s="294"/>
      <c r="O18" s="295" t="s">
        <v>545</v>
      </c>
      <c r="P18" s="296"/>
      <c r="Q18" s="296"/>
      <c r="S18" t="s">
        <v>546</v>
      </c>
      <c r="T18" s="290">
        <f>($Q$28*$P$9)/1000000</f>
        <v>2.0171144323375767</v>
      </c>
      <c r="U18" s="290">
        <f t="shared" ref="U18:V18" si="4">($Q$28*$P$9)/1000000</f>
        <v>2.0171144323375767</v>
      </c>
      <c r="V18" s="290">
        <f t="shared" si="4"/>
        <v>2.0171144323375767</v>
      </c>
    </row>
    <row r="19" spans="1:22">
      <c r="A19" s="256"/>
      <c r="B19" s="285"/>
      <c r="C19" s="297"/>
      <c r="D19" s="297"/>
      <c r="E19" s="297"/>
      <c r="F19" s="297"/>
      <c r="G19" s="298"/>
      <c r="H19" s="298"/>
      <c r="I19" s="288"/>
      <c r="J19" s="288"/>
      <c r="K19" s="288"/>
      <c r="L19" s="299"/>
      <c r="O19" s="198" t="s">
        <v>547</v>
      </c>
      <c r="P19" s="198" t="s">
        <v>548</v>
      </c>
      <c r="Q19" s="198" t="s">
        <v>549</v>
      </c>
      <c r="S19" s="198" t="s">
        <v>550</v>
      </c>
      <c r="T19" s="181">
        <f>(T18*1000000)/T14</f>
        <v>27.26621122492498</v>
      </c>
      <c r="U19" s="181">
        <f t="shared" ref="U19:V19" si="5">(U18*1000000)/U14</f>
        <v>27.26621122492498</v>
      </c>
      <c r="V19" s="181">
        <f t="shared" si="5"/>
        <v>27.26621122492498</v>
      </c>
    </row>
    <row r="20" spans="1:22">
      <c r="A20" s="256"/>
      <c r="B20" s="300" t="s">
        <v>551</v>
      </c>
      <c r="C20" s="301"/>
      <c r="D20" s="301"/>
      <c r="E20" s="302"/>
      <c r="F20" s="302"/>
      <c r="G20" s="288"/>
      <c r="H20" s="288"/>
      <c r="I20" s="288"/>
      <c r="J20" s="288"/>
      <c r="K20" s="288"/>
      <c r="L20" s="303"/>
      <c r="O20" s="195" t="s">
        <v>552</v>
      </c>
      <c r="P20" s="304">
        <v>0.83789139679172331</v>
      </c>
      <c r="Q20" s="304">
        <v>3.3557046979865772</v>
      </c>
    </row>
    <row r="21" spans="1:22" ht="15.75" thickBot="1">
      <c r="A21" s="256"/>
      <c r="B21" s="305" t="s">
        <v>553</v>
      </c>
      <c r="C21" s="306">
        <v>100</v>
      </c>
      <c r="D21" s="306">
        <v>100</v>
      </c>
      <c r="E21" s="306">
        <v>100</v>
      </c>
      <c r="F21" s="307">
        <v>100</v>
      </c>
      <c r="G21" s="307">
        <v>95.792225493464429</v>
      </c>
      <c r="H21" s="307">
        <v>110.00000000000001</v>
      </c>
      <c r="I21" s="307">
        <v>95.792225493464429</v>
      </c>
      <c r="J21" s="306">
        <v>110.00000000000001</v>
      </c>
      <c r="K21" s="288" t="s">
        <v>554</v>
      </c>
      <c r="L21" s="308"/>
      <c r="O21" t="s">
        <v>555</v>
      </c>
      <c r="P21" s="23">
        <v>8.4638327610316366E-2</v>
      </c>
      <c r="Q21" s="23">
        <v>6.7114093959731544</v>
      </c>
      <c r="S21" s="259" t="s">
        <v>556</v>
      </c>
      <c r="T21" s="291">
        <f>T19+T16</f>
        <v>66.231630947489379</v>
      </c>
      <c r="U21" s="291">
        <f t="shared" ref="U21:V21" si="6">U19+U16</f>
        <v>64.971112443978598</v>
      </c>
      <c r="V21" s="291">
        <f t="shared" si="6"/>
        <v>63.288663595959349</v>
      </c>
    </row>
    <row r="22" spans="1:22" ht="15.75" thickTop="1">
      <c r="A22" s="256"/>
      <c r="B22" s="285" t="s">
        <v>557</v>
      </c>
      <c r="C22" s="309">
        <v>0.79848662034292872</v>
      </c>
      <c r="D22" s="309">
        <v>0.75020488834729715</v>
      </c>
      <c r="E22" s="309">
        <v>0.75020488834729715</v>
      </c>
      <c r="F22" s="309">
        <v>0.75020488834729715</v>
      </c>
      <c r="G22" s="309">
        <v>0.71863795830863586</v>
      </c>
      <c r="H22" s="309">
        <v>0.82522537718202693</v>
      </c>
      <c r="I22" s="309">
        <v>0.71863795830863586</v>
      </c>
      <c r="J22" s="309">
        <v>0.82522537718202693</v>
      </c>
      <c r="K22" s="288" t="s">
        <v>558</v>
      </c>
      <c r="L22" s="279" t="s">
        <v>559</v>
      </c>
      <c r="O22" t="s">
        <v>560</v>
      </c>
      <c r="P22" s="23">
        <v>2.4390632528287944E-3</v>
      </c>
      <c r="Q22" s="23">
        <v>6.7114093959731544</v>
      </c>
    </row>
    <row r="23" spans="1:22">
      <c r="A23" s="256"/>
      <c r="B23" s="285" t="s">
        <v>561</v>
      </c>
      <c r="C23" s="292"/>
      <c r="D23" s="292"/>
      <c r="E23" s="292"/>
      <c r="F23" s="292"/>
      <c r="G23" s="292"/>
      <c r="H23" s="292"/>
      <c r="I23" s="292"/>
      <c r="J23" s="292"/>
      <c r="K23" s="288" t="s">
        <v>562</v>
      </c>
      <c r="L23" s="303"/>
      <c r="O23" t="s">
        <v>563</v>
      </c>
      <c r="P23" s="23">
        <v>0</v>
      </c>
      <c r="Q23" s="23">
        <v>67.382550335570471</v>
      </c>
      <c r="S23" s="310" t="s">
        <v>564</v>
      </c>
      <c r="T23" s="311"/>
      <c r="U23" s="311"/>
      <c r="V23" s="311"/>
    </row>
    <row r="24" spans="1:22">
      <c r="A24" s="256"/>
      <c r="B24" s="285"/>
      <c r="C24" s="292"/>
      <c r="D24" s="292"/>
      <c r="E24" s="292"/>
      <c r="F24" s="292"/>
      <c r="G24" s="292"/>
      <c r="H24" s="292"/>
      <c r="I24" s="292"/>
      <c r="J24" s="292"/>
      <c r="K24" s="288"/>
      <c r="L24" s="303"/>
      <c r="O24" t="s">
        <v>565</v>
      </c>
      <c r="P24" s="23">
        <v>1.2008799662457062E-2</v>
      </c>
      <c r="Q24" s="23">
        <v>40.268456375838923</v>
      </c>
      <c r="S24" t="s">
        <v>566</v>
      </c>
      <c r="T24" s="42">
        <v>302000</v>
      </c>
      <c r="U24" s="42">
        <v>272000</v>
      </c>
      <c r="V24" s="42">
        <v>245000</v>
      </c>
    </row>
    <row r="25" spans="1:22">
      <c r="A25" s="256"/>
      <c r="B25" s="285" t="s">
        <v>567</v>
      </c>
      <c r="C25" s="288">
        <v>0</v>
      </c>
      <c r="D25" s="288">
        <v>0</v>
      </c>
      <c r="E25" s="312">
        <v>0</v>
      </c>
      <c r="F25" s="313">
        <v>0</v>
      </c>
      <c r="G25" s="288"/>
      <c r="H25" s="288"/>
      <c r="I25" s="288"/>
      <c r="J25" s="288"/>
      <c r="K25" s="288"/>
      <c r="L25" s="303"/>
      <c r="O25" t="s">
        <v>568</v>
      </c>
      <c r="P25" s="23">
        <v>1.2462465427483218E-2</v>
      </c>
      <c r="Q25" s="23">
        <v>18.859060402684563</v>
      </c>
      <c r="S25" t="s">
        <v>569</v>
      </c>
      <c r="T25" s="42">
        <v>121000</v>
      </c>
      <c r="U25" s="42">
        <v>109000</v>
      </c>
      <c r="V25" s="42">
        <v>98000</v>
      </c>
    </row>
    <row r="26" spans="1:22">
      <c r="A26" s="256"/>
      <c r="B26" s="285" t="s">
        <v>570</v>
      </c>
      <c r="C26" s="288">
        <v>10</v>
      </c>
      <c r="D26" s="288">
        <v>10</v>
      </c>
      <c r="E26" s="312">
        <v>10</v>
      </c>
      <c r="F26" s="313">
        <v>10</v>
      </c>
      <c r="G26" s="288"/>
      <c r="H26" s="288"/>
      <c r="I26" s="288"/>
      <c r="J26" s="288"/>
      <c r="K26" s="288"/>
      <c r="L26" s="299"/>
      <c r="O26" t="s">
        <v>571</v>
      </c>
      <c r="P26" s="23">
        <v>0</v>
      </c>
      <c r="Q26" s="23">
        <v>34.899328859060404</v>
      </c>
      <c r="S26" t="s">
        <v>572</v>
      </c>
      <c r="T26" s="42">
        <f>(T25+T24)*$P$31</f>
        <v>2504160</v>
      </c>
      <c r="U26" s="42">
        <f t="shared" ref="U26:V26" si="7">(U25+U24)*$P$31</f>
        <v>2255520</v>
      </c>
      <c r="V26" s="42">
        <f t="shared" si="7"/>
        <v>2030560</v>
      </c>
    </row>
    <row r="27" spans="1:22">
      <c r="A27" s="256"/>
      <c r="B27" s="276" t="s">
        <v>573</v>
      </c>
      <c r="C27" s="288">
        <v>20</v>
      </c>
      <c r="D27" s="288">
        <v>20</v>
      </c>
      <c r="E27" s="312">
        <v>20</v>
      </c>
      <c r="F27" s="313">
        <v>20</v>
      </c>
      <c r="G27" s="278"/>
      <c r="H27" s="278"/>
      <c r="I27" s="278"/>
      <c r="J27" s="278"/>
      <c r="K27" s="278"/>
      <c r="L27" s="281"/>
      <c r="O27" s="198" t="s">
        <v>574</v>
      </c>
      <c r="P27" s="314">
        <v>5.0559947255191202E-2</v>
      </c>
      <c r="Q27" s="314">
        <v>27.919463087248321</v>
      </c>
      <c r="T27" s="42"/>
      <c r="U27" s="42"/>
      <c r="V27" s="42"/>
    </row>
    <row r="28" spans="1:22" ht="15.75" thickBot="1">
      <c r="A28" s="256"/>
      <c r="B28" s="276" t="s">
        <v>575</v>
      </c>
      <c r="C28" s="288">
        <v>1</v>
      </c>
      <c r="D28" s="288">
        <v>1</v>
      </c>
      <c r="E28" s="312">
        <v>1</v>
      </c>
      <c r="F28" s="313">
        <v>1</v>
      </c>
      <c r="G28" s="278"/>
      <c r="H28" s="278"/>
      <c r="I28" s="278"/>
      <c r="J28" s="278"/>
      <c r="K28" s="278"/>
      <c r="L28" s="281"/>
      <c r="O28" s="315" t="s">
        <v>576</v>
      </c>
      <c r="P28" s="315"/>
      <c r="Q28" s="316">
        <f>SUMPRODUCT(P20:P27,Q20:Q27)</f>
        <v>5.526340910513909</v>
      </c>
      <c r="S28" t="s">
        <v>577</v>
      </c>
      <c r="T28" s="42">
        <v>10600</v>
      </c>
      <c r="U28" s="42">
        <v>9500</v>
      </c>
      <c r="V28" s="42">
        <v>8600</v>
      </c>
    </row>
    <row r="29" spans="1:22" ht="15.75" thickTop="1">
      <c r="A29" s="256"/>
      <c r="B29" s="276"/>
      <c r="C29" s="278"/>
      <c r="D29" s="278"/>
      <c r="E29" s="278"/>
      <c r="F29" s="278"/>
      <c r="G29" s="278"/>
      <c r="H29" s="278"/>
      <c r="I29" s="278"/>
      <c r="J29" s="278"/>
      <c r="K29" s="278"/>
      <c r="L29" s="281"/>
      <c r="S29" t="s">
        <v>578</v>
      </c>
      <c r="T29" s="42">
        <f>T28*$P$31</f>
        <v>62752</v>
      </c>
      <c r="U29" s="42">
        <f t="shared" ref="U29:V29" si="8">U28*$P$31</f>
        <v>56240</v>
      </c>
      <c r="V29" s="42">
        <f t="shared" si="8"/>
        <v>50912</v>
      </c>
    </row>
    <row r="30" spans="1:22">
      <c r="A30" s="256"/>
      <c r="B30" s="265" t="s">
        <v>579</v>
      </c>
      <c r="C30" s="317"/>
      <c r="D30" s="317"/>
      <c r="E30" s="317"/>
      <c r="F30" s="317"/>
      <c r="G30" s="317"/>
      <c r="H30" s="317"/>
      <c r="I30" s="317"/>
      <c r="J30" s="317"/>
      <c r="K30" s="317"/>
      <c r="L30" s="318"/>
      <c r="O30" s="319" t="s">
        <v>580</v>
      </c>
      <c r="P30" s="320"/>
      <c r="Q30" s="320"/>
      <c r="T30" s="42"/>
      <c r="U30" s="42"/>
      <c r="V30" s="42"/>
    </row>
    <row r="31" spans="1:22">
      <c r="A31" s="256"/>
      <c r="B31" s="276" t="s">
        <v>581</v>
      </c>
      <c r="C31" s="321">
        <v>1.8141415733691493</v>
      </c>
      <c r="D31" s="321">
        <v>1.7106920331911744</v>
      </c>
      <c r="E31" s="321">
        <v>1.5396228298720569</v>
      </c>
      <c r="F31" s="321">
        <v>1.3856605468848513</v>
      </c>
      <c r="G31" s="321">
        <v>1.5396228298720569</v>
      </c>
      <c r="H31" s="321">
        <v>1.9007689257679714</v>
      </c>
      <c r="I31" s="321">
        <v>1.2470944921963663</v>
      </c>
      <c r="J31" s="321">
        <v>1.5396228298720569</v>
      </c>
      <c r="K31" s="278" t="s">
        <v>582</v>
      </c>
      <c r="L31" s="322" t="s">
        <v>583</v>
      </c>
      <c r="O31" t="s">
        <v>584</v>
      </c>
      <c r="P31">
        <v>5.92</v>
      </c>
      <c r="Q31" t="s">
        <v>585</v>
      </c>
      <c r="S31" s="198" t="s">
        <v>586</v>
      </c>
      <c r="T31" s="323">
        <f t="shared" ref="T31:V31" si="9">T26*$P$16+T29</f>
        <v>263692.27713944158</v>
      </c>
      <c r="U31" s="323">
        <f t="shared" si="9"/>
        <v>237228.76026034806</v>
      </c>
      <c r="V31" s="323">
        <f t="shared" si="9"/>
        <v>213849.38784593015</v>
      </c>
    </row>
    <row r="32" spans="1:22" ht="15.75" thickBot="1">
      <c r="A32" s="256"/>
      <c r="B32" s="285" t="s">
        <v>587</v>
      </c>
      <c r="C32" s="324" t="s">
        <v>588</v>
      </c>
      <c r="D32" s="324" t="s">
        <v>588</v>
      </c>
      <c r="E32" s="278"/>
      <c r="F32" s="278"/>
      <c r="G32" s="278"/>
      <c r="H32" s="278"/>
      <c r="I32" s="278"/>
      <c r="J32" s="278"/>
      <c r="K32" s="278"/>
      <c r="L32" s="281"/>
      <c r="O32" t="s">
        <v>589</v>
      </c>
      <c r="P32" s="42">
        <v>1000</v>
      </c>
      <c r="Q32" t="s">
        <v>590</v>
      </c>
      <c r="S32" s="315" t="s">
        <v>591</v>
      </c>
      <c r="T32" s="325">
        <f t="shared" ref="T32:V32" si="10">T31/T14</f>
        <v>3.5644429545493419</v>
      </c>
      <c r="U32" s="325">
        <f t="shared" si="10"/>
        <v>3.2067241115268681</v>
      </c>
      <c r="V32" s="325">
        <f t="shared" si="10"/>
        <v>2.8906949877755892</v>
      </c>
    </row>
    <row r="33" spans="1:22" ht="15.75" thickTop="1">
      <c r="A33" s="256"/>
      <c r="B33" s="276" t="s">
        <v>592</v>
      </c>
      <c r="C33" s="324" t="s">
        <v>588</v>
      </c>
      <c r="D33" s="324" t="s">
        <v>588</v>
      </c>
      <c r="E33" s="278"/>
      <c r="F33" s="278"/>
      <c r="G33" s="278"/>
      <c r="H33" s="278"/>
      <c r="I33" s="278"/>
      <c r="J33" s="278"/>
      <c r="K33" s="278"/>
      <c r="L33" s="281"/>
      <c r="O33" t="s">
        <v>593</v>
      </c>
      <c r="P33" s="42">
        <v>594</v>
      </c>
      <c r="Q33" t="s">
        <v>590</v>
      </c>
    </row>
    <row r="34" spans="1:22" ht="15.75" thickBot="1">
      <c r="A34" s="256"/>
      <c r="B34" s="276" t="s">
        <v>594</v>
      </c>
      <c r="C34" s="326">
        <f>C35*$A$12/C11</f>
        <v>0</v>
      </c>
      <c r="D34" s="326">
        <f t="shared" ref="D34:J34" si="11">D35*$A$12/D11</f>
        <v>0</v>
      </c>
      <c r="E34" s="326">
        <f t="shared" si="11"/>
        <v>0</v>
      </c>
      <c r="F34" s="326">
        <f t="shared" si="11"/>
        <v>0</v>
      </c>
      <c r="G34" s="326">
        <f t="shared" si="11"/>
        <v>0</v>
      </c>
      <c r="H34" s="326">
        <f t="shared" si="11"/>
        <v>0</v>
      </c>
      <c r="I34" s="326">
        <f t="shared" si="11"/>
        <v>0</v>
      </c>
      <c r="J34" s="326">
        <f t="shared" si="11"/>
        <v>0</v>
      </c>
      <c r="K34" s="278"/>
      <c r="L34" s="281"/>
      <c r="O34" t="s">
        <v>595</v>
      </c>
      <c r="P34" s="42">
        <f>(P33*24*365*11)/1000</f>
        <v>57237.84</v>
      </c>
      <c r="Q34" t="s">
        <v>148</v>
      </c>
      <c r="S34" s="315" t="s">
        <v>596</v>
      </c>
      <c r="T34" s="325">
        <f t="shared" ref="T34:V34" si="12">T32+T21</f>
        <v>69.796073902038714</v>
      </c>
      <c r="U34" s="325">
        <f t="shared" si="12"/>
        <v>68.177836555505465</v>
      </c>
      <c r="V34" s="325">
        <f t="shared" si="12"/>
        <v>66.179358583734938</v>
      </c>
    </row>
    <row r="35" spans="1:22" ht="15.75" thickTop="1">
      <c r="A35" s="256"/>
      <c r="B35" s="268" t="s">
        <v>597</v>
      </c>
      <c r="C35" s="327">
        <f>SUM(C36:C38)</f>
        <v>5.0332098576529329</v>
      </c>
      <c r="D35" s="327">
        <f>SUM(D36:D38)</f>
        <v>4.6320446757291194</v>
      </c>
      <c r="E35" s="327">
        <f t="shared" ref="E35:J35" si="13">SUM(E36:E38)</f>
        <v>4.7031118829493384</v>
      </c>
      <c r="F35" s="327">
        <f t="shared" si="13"/>
        <v>4.6560068313460325</v>
      </c>
      <c r="G35" s="328">
        <f t="shared" si="13"/>
        <v>3.5183906273995653</v>
      </c>
      <c r="H35" s="328">
        <f t="shared" si="13"/>
        <v>6.4261400408198313</v>
      </c>
      <c r="I35" s="328">
        <f t="shared" si="13"/>
        <v>3.4182015918040287</v>
      </c>
      <c r="J35" s="328">
        <f t="shared" si="13"/>
        <v>6.6057513868398958</v>
      </c>
      <c r="K35" s="278" t="s">
        <v>598</v>
      </c>
      <c r="L35" s="329" t="s">
        <v>599</v>
      </c>
      <c r="O35" t="s">
        <v>600</v>
      </c>
      <c r="P35" s="42">
        <v>40</v>
      </c>
      <c r="Q35" t="s">
        <v>601</v>
      </c>
    </row>
    <row r="36" spans="1:22">
      <c r="A36" s="256"/>
      <c r="B36" s="330" t="s">
        <v>602</v>
      </c>
      <c r="C36" s="327">
        <v>4.1066159855732369</v>
      </c>
      <c r="D36" s="327">
        <v>3.6728291205962398</v>
      </c>
      <c r="E36" s="327">
        <v>3.4891876645664275</v>
      </c>
      <c r="F36" s="327">
        <v>3.3147282813381058</v>
      </c>
      <c r="G36" s="328">
        <v>2.8146278025529408</v>
      </c>
      <c r="H36" s="328">
        <v>5.0501400408198309</v>
      </c>
      <c r="I36" s="328">
        <v>2.5402015918040286</v>
      </c>
      <c r="J36" s="328">
        <v>4.5577513868398958</v>
      </c>
      <c r="K36" s="278" t="s">
        <v>598</v>
      </c>
      <c r="L36" s="329" t="s">
        <v>599</v>
      </c>
      <c r="O36" t="s">
        <v>603</v>
      </c>
      <c r="P36" s="42">
        <v>36</v>
      </c>
      <c r="Q36" t="s">
        <v>604</v>
      </c>
    </row>
    <row r="37" spans="1:22">
      <c r="A37" s="256"/>
      <c r="B37" s="330" t="s">
        <v>605</v>
      </c>
      <c r="C37" s="327">
        <f>C16*0.063</f>
        <v>0.51659387207969543</v>
      </c>
      <c r="D37" s="327">
        <f>D16*0.069</f>
        <v>0.54921555513287978</v>
      </c>
      <c r="E37" s="327">
        <f>E16*0.101</f>
        <v>0.80392421838291095</v>
      </c>
      <c r="F37" s="327">
        <f>F16*0.117</f>
        <v>0.93127855000792659</v>
      </c>
      <c r="G37" s="327">
        <f>G16*0.069</f>
        <v>0.29376282484662425</v>
      </c>
      <c r="H37" s="327">
        <f>H16*0.069</f>
        <v>0.96600000000000008</v>
      </c>
      <c r="I37" s="327">
        <f>I16*0.117</f>
        <v>0.46800000000000003</v>
      </c>
      <c r="J37" s="327">
        <f>J16*0.117</f>
        <v>1.6380000000000001</v>
      </c>
      <c r="K37" s="278" t="s">
        <v>606</v>
      </c>
      <c r="L37" s="331"/>
      <c r="O37" s="198" t="s">
        <v>607</v>
      </c>
      <c r="P37" s="323">
        <v>60</v>
      </c>
      <c r="Q37" s="198" t="s">
        <v>536</v>
      </c>
    </row>
    <row r="38" spans="1:22">
      <c r="A38" s="256"/>
      <c r="B38" s="330" t="s">
        <v>608</v>
      </c>
      <c r="C38" s="327">
        <v>0.41</v>
      </c>
      <c r="D38" s="327">
        <v>0.41</v>
      </c>
      <c r="E38" s="327">
        <v>0.41</v>
      </c>
      <c r="F38" s="327">
        <v>0.41</v>
      </c>
      <c r="G38" s="327">
        <v>0.41</v>
      </c>
      <c r="H38" s="327">
        <v>0.41</v>
      </c>
      <c r="I38" s="327">
        <v>0.41</v>
      </c>
      <c r="J38" s="327">
        <v>0.41</v>
      </c>
      <c r="K38" s="278"/>
      <c r="L38" s="331"/>
    </row>
    <row r="39" spans="1:22">
      <c r="A39" s="256"/>
      <c r="B39" s="268"/>
      <c r="C39" s="326"/>
      <c r="D39" s="326"/>
      <c r="E39" s="326"/>
      <c r="F39" s="326"/>
      <c r="G39" s="326"/>
      <c r="H39" s="326"/>
      <c r="I39" s="326"/>
      <c r="J39" s="326"/>
      <c r="K39" s="278"/>
      <c r="L39" s="331"/>
    </row>
    <row r="40" spans="1:22">
      <c r="A40" s="256"/>
      <c r="B40" s="332" t="s">
        <v>609</v>
      </c>
      <c r="C40" s="333"/>
      <c r="D40" s="333"/>
      <c r="E40" s="333"/>
      <c r="F40" s="333"/>
      <c r="G40" s="334"/>
      <c r="H40" s="334"/>
      <c r="I40" s="292"/>
      <c r="J40" s="292"/>
      <c r="K40" s="292"/>
      <c r="L40" s="335"/>
    </row>
    <row r="41" spans="1:22">
      <c r="A41" s="256"/>
      <c r="B41" s="336" t="s">
        <v>610</v>
      </c>
      <c r="C41" s="327">
        <v>0.44</v>
      </c>
      <c r="D41" s="327">
        <v>0.42</v>
      </c>
      <c r="E41" s="327">
        <v>0.42</v>
      </c>
      <c r="F41" s="327">
        <v>0.42</v>
      </c>
      <c r="G41" s="337">
        <v>0.17</v>
      </c>
      <c r="H41" s="337">
        <v>0.88</v>
      </c>
      <c r="I41" s="337">
        <v>0.17</v>
      </c>
      <c r="J41" s="337">
        <v>0.88</v>
      </c>
      <c r="K41" s="292" t="s">
        <v>562</v>
      </c>
      <c r="L41" s="335" t="s">
        <v>611</v>
      </c>
    </row>
    <row r="42" spans="1:22">
      <c r="A42" s="256"/>
      <c r="B42" t="s">
        <v>612</v>
      </c>
      <c r="C42" s="42">
        <f>C14</f>
        <v>365000</v>
      </c>
      <c r="D42" s="42">
        <f t="shared" ref="D42:F42" si="14">D14</f>
        <v>365000</v>
      </c>
      <c r="E42" s="42">
        <f t="shared" si="14"/>
        <v>365000</v>
      </c>
      <c r="F42" s="42">
        <f t="shared" si="14"/>
        <v>365000</v>
      </c>
      <c r="L42" s="257"/>
    </row>
    <row r="43" spans="1:22">
      <c r="A43" s="256"/>
      <c r="B43" t="s">
        <v>613</v>
      </c>
      <c r="C43" s="32">
        <f>C11*(365-10)*24</f>
        <v>78739.652839372138</v>
      </c>
      <c r="D43" s="32">
        <f t="shared" ref="D43:J43" si="15">D11*(365-10)*24</f>
        <v>73978.537600914016</v>
      </c>
      <c r="E43" s="32">
        <f t="shared" si="15"/>
        <v>73978.537600914016</v>
      </c>
      <c r="F43" s="32">
        <f t="shared" si="15"/>
        <v>73978.537600914016</v>
      </c>
      <c r="G43" s="32">
        <f t="shared" si="15"/>
        <v>70865.687555434924</v>
      </c>
      <c r="H43" s="32">
        <f t="shared" si="15"/>
        <v>81376.39136100543</v>
      </c>
      <c r="I43" s="32">
        <f t="shared" si="15"/>
        <v>70865.687555434924</v>
      </c>
      <c r="J43" s="32">
        <f t="shared" si="15"/>
        <v>81376.39136100543</v>
      </c>
      <c r="L43" s="257"/>
    </row>
    <row r="44" spans="1:22">
      <c r="A44" s="256"/>
      <c r="L44" s="257"/>
    </row>
    <row r="45" spans="1:22">
      <c r="A45" s="256"/>
      <c r="L45" s="257"/>
      <c r="S45" s="42"/>
    </row>
    <row r="46" spans="1:22">
      <c r="A46" s="256"/>
      <c r="L46" s="257"/>
    </row>
    <row r="47" spans="1:22">
      <c r="A47" s="338"/>
      <c r="B47" s="339"/>
      <c r="C47" s="339"/>
      <c r="D47" s="339"/>
      <c r="E47" s="339"/>
      <c r="F47" s="339"/>
      <c r="G47" s="339"/>
      <c r="L47" s="257"/>
    </row>
    <row r="48" spans="1:22">
      <c r="A48" s="656"/>
      <c r="B48" s="657"/>
      <c r="C48" s="657"/>
      <c r="D48" s="657"/>
      <c r="E48" s="657"/>
      <c r="F48" s="657"/>
      <c r="G48" s="657"/>
      <c r="H48" s="657"/>
      <c r="I48" s="657"/>
      <c r="J48" s="657"/>
      <c r="K48" s="657"/>
      <c r="L48" s="257"/>
    </row>
    <row r="49" spans="1:12">
      <c r="A49" s="658"/>
      <c r="B49" s="659"/>
      <c r="C49" s="659"/>
      <c r="D49" s="659"/>
      <c r="E49" s="659"/>
      <c r="F49" s="659"/>
      <c r="G49" s="659"/>
      <c r="L49" s="257"/>
    </row>
    <row r="50" spans="1:12">
      <c r="A50" s="660"/>
      <c r="B50" s="661"/>
      <c r="C50" s="661"/>
      <c r="D50" s="661"/>
      <c r="E50" s="661"/>
      <c r="F50" s="661"/>
      <c r="G50" s="661"/>
      <c r="H50" s="661"/>
      <c r="I50" s="661"/>
      <c r="J50" s="661"/>
      <c r="K50" s="661"/>
      <c r="L50" s="257"/>
    </row>
    <row r="51" spans="1:12">
      <c r="A51" s="658"/>
      <c r="B51" s="659"/>
      <c r="C51" s="659"/>
      <c r="D51" s="659"/>
      <c r="E51" s="659"/>
      <c r="F51" s="659"/>
      <c r="G51" s="659"/>
      <c r="L51" s="257"/>
    </row>
    <row r="52" spans="1:12" ht="45">
      <c r="A52" s="340" t="s">
        <v>614</v>
      </c>
      <c r="B52" s="341" t="s">
        <v>615</v>
      </c>
      <c r="C52" s="341" t="s">
        <v>616</v>
      </c>
      <c r="D52" s="342" t="s">
        <v>617</v>
      </c>
      <c r="L52" s="257"/>
    </row>
    <row r="53" spans="1:12">
      <c r="A53" s="340" t="s">
        <v>552</v>
      </c>
      <c r="B53" s="343">
        <v>0.79800000000000004</v>
      </c>
      <c r="C53" s="343">
        <v>0.83789139679172331</v>
      </c>
      <c r="D53" s="344">
        <v>3.3557046979865772</v>
      </c>
      <c r="E53">
        <f>D53*C53</f>
        <v>2.8117160966165211</v>
      </c>
      <c r="L53" s="257"/>
    </row>
    <row r="54" spans="1:12">
      <c r="A54" s="340" t="s">
        <v>555</v>
      </c>
      <c r="B54" s="343">
        <v>0.08</v>
      </c>
      <c r="C54" s="343">
        <v>8.4638327610316366E-2</v>
      </c>
      <c r="D54" s="344">
        <v>6.7114093959731544</v>
      </c>
      <c r="E54">
        <f t="shared" ref="E54:E60" si="16">D54*C54</f>
        <v>0.56804246718333129</v>
      </c>
      <c r="G54" t="e" cm="1">
        <f t="array" aca="1" ref="G54" ca="1">SUMPRODUKT(C53:C60,D53:D60)</f>
        <v>#NAME?</v>
      </c>
      <c r="L54" s="257"/>
    </row>
    <row r="55" spans="1:12">
      <c r="A55" s="340" t="s">
        <v>560</v>
      </c>
      <c r="B55" s="343">
        <v>6.0999999999999999E-2</v>
      </c>
      <c r="C55" s="343">
        <v>2.4390632528287944E-3</v>
      </c>
      <c r="D55" s="344">
        <v>6.7114093959731544</v>
      </c>
      <c r="E55">
        <f t="shared" si="16"/>
        <v>1.6369552032408016E-2</v>
      </c>
      <c r="L55" s="257"/>
    </row>
    <row r="56" spans="1:12">
      <c r="A56" s="340" t="s">
        <v>563</v>
      </c>
      <c r="B56" s="343">
        <v>0</v>
      </c>
      <c r="C56" s="343">
        <v>0</v>
      </c>
      <c r="D56" s="345">
        <v>67.382550335570471</v>
      </c>
      <c r="E56">
        <f t="shared" si="16"/>
        <v>0</v>
      </c>
      <c r="L56" s="257"/>
    </row>
    <row r="57" spans="1:12">
      <c r="A57" s="340" t="s">
        <v>565</v>
      </c>
      <c r="B57" s="343">
        <v>0.01</v>
      </c>
      <c r="C57" s="343">
        <v>1.2008799662457062E-2</v>
      </c>
      <c r="D57" s="345">
        <v>40.268456375838923</v>
      </c>
      <c r="E57">
        <f t="shared" si="16"/>
        <v>0.48357582533384136</v>
      </c>
      <c r="L57" s="257"/>
    </row>
    <row r="58" spans="1:12">
      <c r="A58" s="340" t="s">
        <v>568</v>
      </c>
      <c r="B58" s="343">
        <v>1.6E-2</v>
      </c>
      <c r="C58" s="343">
        <v>1.2462465427483218E-2</v>
      </c>
      <c r="D58" s="345">
        <v>18.859060402684563</v>
      </c>
      <c r="E58">
        <f t="shared" si="16"/>
        <v>0.2350303882632741</v>
      </c>
      <c r="L58" s="257"/>
    </row>
    <row r="59" spans="1:12">
      <c r="A59" s="340" t="s">
        <v>571</v>
      </c>
      <c r="B59" s="343">
        <v>0</v>
      </c>
      <c r="C59" s="11">
        <v>0</v>
      </c>
      <c r="D59" s="345">
        <v>34.899328859060404</v>
      </c>
      <c r="E59">
        <f t="shared" si="16"/>
        <v>0</v>
      </c>
      <c r="G59">
        <f>SUM(E53:E60)</f>
        <v>5.526340910513909</v>
      </c>
      <c r="H59" t="s">
        <v>348</v>
      </c>
      <c r="L59" s="257"/>
    </row>
    <row r="60" spans="1:12">
      <c r="A60" s="340" t="s">
        <v>574</v>
      </c>
      <c r="B60" s="343">
        <v>3.5000000000000003E-2</v>
      </c>
      <c r="C60" s="343">
        <v>5.0559947255191202E-2</v>
      </c>
      <c r="D60" s="345">
        <v>27.919463087248321</v>
      </c>
      <c r="E60">
        <f t="shared" si="16"/>
        <v>1.4116065810845329</v>
      </c>
      <c r="L60" s="257"/>
    </row>
    <row r="61" spans="1:12">
      <c r="A61" s="256"/>
      <c r="L61" s="257"/>
    </row>
    <row r="62" spans="1:12">
      <c r="A62" s="658"/>
      <c r="B62" s="659"/>
      <c r="C62" s="659"/>
      <c r="D62" s="659"/>
      <c r="E62" s="659"/>
      <c r="F62" s="659"/>
      <c r="G62" s="659"/>
      <c r="H62" s="659"/>
      <c r="I62" s="659"/>
      <c r="J62" s="659"/>
      <c r="K62" s="659"/>
      <c r="L62" s="257"/>
    </row>
    <row r="63" spans="1:12">
      <c r="A63" s="658"/>
      <c r="B63" s="659"/>
      <c r="C63" s="659"/>
      <c r="D63" s="659"/>
      <c r="E63" s="659"/>
      <c r="F63" s="659"/>
      <c r="G63" s="659"/>
      <c r="H63" s="659"/>
      <c r="I63" s="659"/>
      <c r="J63" s="659"/>
      <c r="K63" s="659"/>
      <c r="L63" s="257"/>
    </row>
    <row r="64" spans="1:12">
      <c r="A64" s="658"/>
      <c r="B64" s="659"/>
      <c r="C64" s="659"/>
      <c r="D64" s="659"/>
      <c r="E64" s="659"/>
      <c r="F64" s="659"/>
      <c r="G64" s="659"/>
      <c r="H64" s="659"/>
      <c r="I64" s="659"/>
      <c r="J64" s="44"/>
      <c r="K64" s="44"/>
      <c r="L64" s="257"/>
    </row>
    <row r="65" spans="1:12">
      <c r="A65" s="658"/>
      <c r="B65" s="659"/>
      <c r="C65" s="659"/>
      <c r="D65" s="659"/>
      <c r="E65" s="659"/>
      <c r="F65" s="659"/>
      <c r="G65" s="659"/>
      <c r="H65" s="659"/>
      <c r="I65" s="659"/>
      <c r="J65" s="44"/>
      <c r="K65" s="44"/>
      <c r="L65" s="257"/>
    </row>
    <row r="66" spans="1:12">
      <c r="A66" s="649"/>
      <c r="B66" s="650"/>
      <c r="C66" s="650"/>
      <c r="D66" s="650"/>
      <c r="E66" s="650"/>
      <c r="F66" s="650"/>
      <c r="G66" s="650"/>
      <c r="H66" s="650"/>
      <c r="I66" s="650"/>
      <c r="J66" s="44"/>
      <c r="K66" s="44"/>
      <c r="L66" s="257"/>
    </row>
    <row r="67" spans="1:12">
      <c r="A67" s="662"/>
      <c r="B67" s="663"/>
      <c r="C67" s="663"/>
      <c r="D67" s="663"/>
      <c r="E67" s="663"/>
      <c r="F67" s="663"/>
      <c r="G67" s="663"/>
      <c r="H67" s="663"/>
      <c r="I67" s="663"/>
      <c r="J67" s="44"/>
      <c r="K67" s="44"/>
      <c r="L67" s="257"/>
    </row>
    <row r="68" spans="1:12">
      <c r="A68" s="346"/>
      <c r="B68" s="347"/>
      <c r="C68" s="347"/>
      <c r="D68" s="347"/>
      <c r="E68" s="347"/>
      <c r="F68" s="347"/>
      <c r="G68" s="347"/>
      <c r="H68" s="347"/>
      <c r="I68" s="347"/>
      <c r="J68" s="44"/>
      <c r="K68" s="44"/>
      <c r="L68" s="257"/>
    </row>
    <row r="69" spans="1:12">
      <c r="A69" s="664" t="s">
        <v>618</v>
      </c>
      <c r="B69" s="665"/>
      <c r="C69" s="665"/>
      <c r="D69" s="665"/>
      <c r="E69" s="665"/>
      <c r="F69" s="665"/>
      <c r="G69" s="665"/>
      <c r="H69" s="665"/>
      <c r="I69" s="665"/>
      <c r="L69" s="257"/>
    </row>
    <row r="70" spans="1:12">
      <c r="A70" s="664" t="s">
        <v>619</v>
      </c>
      <c r="B70" s="665"/>
      <c r="C70" s="665"/>
      <c r="D70" s="665"/>
      <c r="E70" s="665"/>
      <c r="F70" s="665"/>
      <c r="G70" s="665"/>
      <c r="L70" s="257"/>
    </row>
    <row r="71" spans="1:12">
      <c r="A71" s="664" t="s">
        <v>620</v>
      </c>
      <c r="B71" s="665"/>
      <c r="C71" s="665"/>
      <c r="D71" s="665"/>
      <c r="E71" s="665"/>
      <c r="F71" s="665"/>
      <c r="G71" s="665"/>
      <c r="H71" s="665"/>
      <c r="I71" s="665"/>
      <c r="L71" s="257"/>
    </row>
    <row r="72" spans="1:12">
      <c r="A72" s="664" t="s">
        <v>621</v>
      </c>
      <c r="B72" s="665"/>
      <c r="C72" s="665"/>
      <c r="D72" s="665"/>
      <c r="E72" s="665"/>
      <c r="F72" s="665"/>
      <c r="G72" s="665"/>
      <c r="H72" s="665"/>
      <c r="I72" s="665"/>
      <c r="L72" s="257"/>
    </row>
    <row r="73" spans="1:12">
      <c r="A73" s="256"/>
      <c r="L73" s="257"/>
    </row>
    <row r="74" spans="1:12">
      <c r="A74" s="256"/>
      <c r="L74" s="257"/>
    </row>
    <row r="75" spans="1:12" ht="15.75" thickBot="1">
      <c r="A75" s="260"/>
      <c r="B75" s="261"/>
      <c r="C75" s="261"/>
      <c r="D75" s="261"/>
      <c r="E75" s="261"/>
      <c r="F75" s="261"/>
      <c r="G75" s="261"/>
      <c r="H75" s="261"/>
      <c r="I75" s="261"/>
      <c r="J75" s="261"/>
      <c r="K75" s="261"/>
      <c r="L75" s="262"/>
    </row>
  </sheetData>
  <mergeCells count="17">
    <mergeCell ref="A67:I67"/>
    <mergeCell ref="A69:I69"/>
    <mergeCell ref="A70:G70"/>
    <mergeCell ref="A71:I71"/>
    <mergeCell ref="A72:I72"/>
    <mergeCell ref="A66:I66"/>
    <mergeCell ref="C7:L7"/>
    <mergeCell ref="G8:H8"/>
    <mergeCell ref="I8:J8"/>
    <mergeCell ref="A48:K48"/>
    <mergeCell ref="A49:G49"/>
    <mergeCell ref="A50:K50"/>
    <mergeCell ref="A51:G51"/>
    <mergeCell ref="A62:K62"/>
    <mergeCell ref="A63:K63"/>
    <mergeCell ref="A64:I64"/>
    <mergeCell ref="A65:I65"/>
  </mergeCells>
  <hyperlinks>
    <hyperlink ref="C7" location="INDEX" display="Biogas plant, basic configuration" xr:uid="{E844C231-20B1-48C3-AF7E-70DA3D0D22D1}"/>
  </hyperlinks>
  <pageMargins left="0.7" right="0.7" top="0.75" bottom="0.75" header="0.3" footer="0.3"/>
  <pageSetup paperSize="9" orientation="portrait" r:id="rId1"/>
  <headerFooter>
    <oddFooter>&amp;C_x000D_&amp;1#&amp;"Calibri"&amp;10&amp;K000000 ISC - Uso INTERNO / INTERNAL Use</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1AB9-104C-4DA9-9F0A-0A702570E919}">
  <sheetPr>
    <tabColor theme="7"/>
  </sheetPr>
  <dimension ref="A1:W52"/>
  <sheetViews>
    <sheetView zoomScale="85" zoomScaleNormal="85" workbookViewId="0">
      <selection activeCell="N60" sqref="N60"/>
    </sheetView>
  </sheetViews>
  <sheetFormatPr defaultColWidth="8.85546875" defaultRowHeight="15"/>
  <cols>
    <col min="2" max="2" width="34" bestFit="1" customWidth="1"/>
    <col min="14" max="14" width="25.85546875" bestFit="1" customWidth="1"/>
    <col min="19" max="19" width="39.5703125" bestFit="1" customWidth="1"/>
    <col min="20" max="20" width="12.42578125" bestFit="1" customWidth="1"/>
    <col min="21" max="21" width="11.140625" bestFit="1" customWidth="1"/>
    <col min="22" max="23" width="12.42578125" bestFit="1" customWidth="1"/>
  </cols>
  <sheetData>
    <row r="1" spans="2:23" ht="23.25">
      <c r="B1" s="384" t="s">
        <v>622</v>
      </c>
    </row>
    <row r="2" spans="2:23">
      <c r="B2" t="s">
        <v>501</v>
      </c>
    </row>
    <row r="4" spans="2:23">
      <c r="B4" s="348" t="s">
        <v>251</v>
      </c>
      <c r="C4" s="666" t="s">
        <v>623</v>
      </c>
      <c r="D4" s="667"/>
      <c r="E4" s="667"/>
      <c r="F4" s="667"/>
      <c r="G4" s="667"/>
      <c r="H4" s="667"/>
      <c r="I4" s="667"/>
      <c r="J4" s="667"/>
      <c r="K4" s="667"/>
      <c r="L4" s="667"/>
      <c r="N4" s="263" t="s">
        <v>624</v>
      </c>
      <c r="O4" s="264"/>
      <c r="P4" s="264"/>
      <c r="Q4" s="264"/>
      <c r="R4" s="264"/>
      <c r="S4" s="264"/>
      <c r="T4" s="264"/>
      <c r="U4" s="264"/>
      <c r="V4" s="264"/>
      <c r="W4" s="349"/>
    </row>
    <row r="5" spans="2:23">
      <c r="B5" s="350"/>
      <c r="C5" s="351">
        <v>2015</v>
      </c>
      <c r="D5" s="351">
        <v>2020</v>
      </c>
      <c r="E5" s="351">
        <v>2030</v>
      </c>
      <c r="F5" s="351">
        <v>2050</v>
      </c>
      <c r="G5" s="668" t="s">
        <v>508</v>
      </c>
      <c r="H5" s="668"/>
      <c r="I5" s="668" t="s">
        <v>509</v>
      </c>
      <c r="J5" s="668"/>
      <c r="K5" s="351" t="s">
        <v>510</v>
      </c>
      <c r="L5" s="351" t="s">
        <v>511</v>
      </c>
    </row>
    <row r="6" spans="2:23">
      <c r="B6" s="352" t="s">
        <v>514</v>
      </c>
      <c r="C6" s="352"/>
      <c r="D6" s="352"/>
      <c r="E6" s="352"/>
      <c r="F6" s="352"/>
      <c r="G6" s="353" t="s">
        <v>515</v>
      </c>
      <c r="H6" s="353" t="s">
        <v>516</v>
      </c>
      <c r="I6" s="353" t="s">
        <v>515</v>
      </c>
      <c r="J6" s="353" t="s">
        <v>516</v>
      </c>
      <c r="K6" s="352"/>
      <c r="L6" s="354"/>
      <c r="N6" s="355" t="s">
        <v>625</v>
      </c>
      <c r="O6" s="356"/>
      <c r="P6" s="356"/>
      <c r="S6" s="266" t="s">
        <v>507</v>
      </c>
      <c r="T6" s="267"/>
      <c r="U6" s="267"/>
      <c r="V6" s="267"/>
    </row>
    <row r="7" spans="2:23">
      <c r="B7" s="357" t="s">
        <v>626</v>
      </c>
      <c r="C7" s="358">
        <v>32</v>
      </c>
      <c r="D7" s="358">
        <v>154</v>
      </c>
      <c r="E7" s="358">
        <v>400</v>
      </c>
      <c r="F7" s="358">
        <v>400</v>
      </c>
      <c r="G7" s="358"/>
      <c r="H7" s="358"/>
      <c r="I7" s="358"/>
      <c r="J7" s="358"/>
      <c r="K7" s="358"/>
      <c r="L7" s="359" t="s">
        <v>627</v>
      </c>
      <c r="N7" t="s">
        <v>628</v>
      </c>
      <c r="O7" t="s">
        <v>629</v>
      </c>
      <c r="P7" t="s">
        <v>630</v>
      </c>
      <c r="S7" s="198" t="s">
        <v>149</v>
      </c>
      <c r="T7" s="241">
        <v>2020</v>
      </c>
      <c r="U7" s="241">
        <v>2030</v>
      </c>
      <c r="V7" s="241">
        <v>2050</v>
      </c>
    </row>
    <row r="8" spans="2:23">
      <c r="B8" s="360"/>
      <c r="C8" s="358"/>
      <c r="D8" s="358"/>
      <c r="E8" s="358"/>
      <c r="F8" s="358"/>
      <c r="G8" s="358"/>
      <c r="H8" s="358"/>
      <c r="I8" s="358"/>
      <c r="J8" s="358"/>
      <c r="K8" s="358"/>
      <c r="L8" s="359"/>
      <c r="N8" t="s">
        <v>631</v>
      </c>
      <c r="O8" t="s">
        <v>632</v>
      </c>
      <c r="P8" t="s">
        <v>536</v>
      </c>
      <c r="S8" t="s">
        <v>633</v>
      </c>
      <c r="T8" s="361">
        <f>D7</f>
        <v>154</v>
      </c>
      <c r="U8" s="361">
        <f>E7</f>
        <v>400</v>
      </c>
      <c r="V8" s="361">
        <f>F7</f>
        <v>400</v>
      </c>
    </row>
    <row r="9" spans="2:23">
      <c r="B9" s="362" t="s">
        <v>634</v>
      </c>
      <c r="C9" s="358"/>
      <c r="D9" s="358"/>
      <c r="E9" s="358"/>
      <c r="F9" s="358"/>
      <c r="G9" s="358"/>
      <c r="H9" s="358"/>
      <c r="I9" s="358"/>
      <c r="J9" s="358"/>
      <c r="K9" s="358" t="s">
        <v>635</v>
      </c>
      <c r="L9" s="359"/>
      <c r="N9" t="s">
        <v>636</v>
      </c>
      <c r="O9">
        <v>20</v>
      </c>
      <c r="P9" t="s">
        <v>536</v>
      </c>
      <c r="S9" s="198" t="s">
        <v>519</v>
      </c>
      <c r="T9" s="363">
        <f>D23*D7</f>
        <v>385</v>
      </c>
      <c r="U9" s="363">
        <f>E23*E7</f>
        <v>640</v>
      </c>
      <c r="V9" s="363">
        <f>F23*F7</f>
        <v>600</v>
      </c>
    </row>
    <row r="10" spans="2:23">
      <c r="B10" s="364" t="s">
        <v>637</v>
      </c>
      <c r="C10" s="358">
        <v>91</v>
      </c>
      <c r="D10" s="358">
        <v>100</v>
      </c>
      <c r="E10" s="358">
        <v>100</v>
      </c>
      <c r="F10" s="358">
        <v>100</v>
      </c>
      <c r="G10" s="358"/>
      <c r="H10" s="358"/>
      <c r="I10" s="358"/>
      <c r="J10" s="358"/>
      <c r="K10" s="358"/>
      <c r="L10" s="359"/>
      <c r="N10" t="s">
        <v>638</v>
      </c>
      <c r="O10">
        <v>3</v>
      </c>
      <c r="P10" t="s">
        <v>536</v>
      </c>
      <c r="S10" s="195" t="s">
        <v>523</v>
      </c>
      <c r="T10" s="365">
        <f t="shared" ref="T10:V10" si="0">T9*$O$18</f>
        <v>30.893396068416155</v>
      </c>
      <c r="U10" s="365">
        <f t="shared" si="0"/>
        <v>51.355255802042443</v>
      </c>
      <c r="V10" s="365">
        <f t="shared" si="0"/>
        <v>48.145552314414786</v>
      </c>
    </row>
    <row r="11" spans="2:23">
      <c r="B11" s="364" t="s">
        <v>639</v>
      </c>
      <c r="C11" s="358">
        <v>9</v>
      </c>
      <c r="D11" s="358">
        <v>0</v>
      </c>
      <c r="E11" s="358">
        <v>0</v>
      </c>
      <c r="F11" s="358">
        <v>0</v>
      </c>
      <c r="G11" s="358"/>
      <c r="H11" s="358"/>
      <c r="I11" s="358"/>
      <c r="J11" s="358"/>
      <c r="K11" s="358" t="s">
        <v>635</v>
      </c>
      <c r="L11" s="359"/>
      <c r="N11" t="s">
        <v>640</v>
      </c>
      <c r="O11">
        <v>3</v>
      </c>
      <c r="P11" t="s">
        <v>641</v>
      </c>
      <c r="S11" s="198" t="s">
        <v>528</v>
      </c>
      <c r="T11" s="280">
        <f>(D26*D7+D27*O13*T8)/1000000</f>
        <v>9.5206594560000006</v>
      </c>
      <c r="U11" s="366">
        <f>(E26*E7+E27*O13*U8)/1000000</f>
        <v>15.925657599999999</v>
      </c>
      <c r="V11" s="366">
        <f>(F26*F7+F27*O13*V8)/1000000</f>
        <v>14.7653248</v>
      </c>
    </row>
    <row r="12" spans="2:23" ht="14.25" customHeight="1" thickBot="1">
      <c r="B12" s="367"/>
      <c r="C12" s="358"/>
      <c r="D12" s="358"/>
      <c r="E12" s="358"/>
      <c r="F12" s="358"/>
      <c r="G12" s="358"/>
      <c r="H12" s="358"/>
      <c r="I12" s="358"/>
      <c r="J12" s="358"/>
      <c r="K12" s="358"/>
      <c r="L12" s="359"/>
      <c r="N12" t="s">
        <v>526</v>
      </c>
      <c r="O12">
        <v>20</v>
      </c>
      <c r="P12" t="s">
        <v>219</v>
      </c>
      <c r="S12" s="315" t="s">
        <v>642</v>
      </c>
      <c r="T12" s="325">
        <f t="shared" ref="T12" si="1">T11+T10</f>
        <v>40.414055524416156</v>
      </c>
      <c r="U12" s="325">
        <f>U11+U10</f>
        <v>67.280913402042444</v>
      </c>
      <c r="V12" s="325">
        <f>V11+V10</f>
        <v>62.910877114414788</v>
      </c>
    </row>
    <row r="13" spans="2:23" ht="15.75" customHeight="1" thickTop="1">
      <c r="B13" s="362" t="s">
        <v>643</v>
      </c>
      <c r="C13" s="358"/>
      <c r="D13" s="358"/>
      <c r="E13" s="358"/>
      <c r="F13" s="358"/>
      <c r="G13" s="358"/>
      <c r="H13" s="358"/>
      <c r="I13" s="358"/>
      <c r="J13" s="358"/>
      <c r="K13" s="358" t="s">
        <v>635</v>
      </c>
      <c r="L13" s="359"/>
      <c r="N13" t="s">
        <v>644</v>
      </c>
      <c r="O13" s="32">
        <f>((24*365)-(24*7*O11))*((100-O10)/100)</f>
        <v>8008.32</v>
      </c>
      <c r="P13" t="s">
        <v>645</v>
      </c>
    </row>
    <row r="14" spans="2:23" ht="22.5">
      <c r="B14" s="364" t="s">
        <v>646</v>
      </c>
      <c r="C14" s="358">
        <v>56</v>
      </c>
      <c r="D14" s="358">
        <v>60</v>
      </c>
      <c r="E14" s="358">
        <v>63</v>
      </c>
      <c r="F14" s="358">
        <v>70</v>
      </c>
      <c r="G14" s="358">
        <v>58</v>
      </c>
      <c r="H14" s="358">
        <v>65</v>
      </c>
      <c r="I14" s="358">
        <v>65</v>
      </c>
      <c r="J14" s="358">
        <v>75</v>
      </c>
      <c r="K14" s="358" t="s">
        <v>558</v>
      </c>
      <c r="L14" s="359" t="s">
        <v>647</v>
      </c>
      <c r="S14" s="198" t="s">
        <v>648</v>
      </c>
      <c r="T14" s="368">
        <f>T8*$O$13*(D14/100)</f>
        <v>739968.76800000004</v>
      </c>
      <c r="U14" s="368">
        <f>U8*$O$13*(E14/100)</f>
        <v>2018096.6400000001</v>
      </c>
      <c r="V14" s="368">
        <f>V8*$O$13*(F14/100)</f>
        <v>2242329.5999999996</v>
      </c>
    </row>
    <row r="15" spans="2:23" ht="22.5">
      <c r="B15" s="364" t="s">
        <v>649</v>
      </c>
      <c r="C15" s="358">
        <v>15</v>
      </c>
      <c r="D15" s="358">
        <v>20</v>
      </c>
      <c r="E15" s="358">
        <v>22</v>
      </c>
      <c r="F15" s="358">
        <v>20</v>
      </c>
      <c r="G15" s="358"/>
      <c r="H15" s="358"/>
      <c r="I15" s="358"/>
      <c r="J15" s="358"/>
      <c r="K15" s="358" t="s">
        <v>650</v>
      </c>
      <c r="L15" s="359" t="s">
        <v>647</v>
      </c>
      <c r="N15" s="283" t="s">
        <v>531</v>
      </c>
      <c r="O15" s="284"/>
      <c r="P15" s="284"/>
    </row>
    <row r="16" spans="2:23" ht="15.75" thickBot="1">
      <c r="B16" s="364"/>
      <c r="C16" s="358"/>
      <c r="D16" s="358"/>
      <c r="E16" s="358"/>
      <c r="F16" s="358"/>
      <c r="G16" s="358"/>
      <c r="H16" s="358"/>
      <c r="I16" s="358"/>
      <c r="J16" s="358"/>
      <c r="K16" s="358"/>
      <c r="L16" s="359"/>
      <c r="N16" t="s">
        <v>651</v>
      </c>
      <c r="O16">
        <v>5</v>
      </c>
      <c r="P16" t="s">
        <v>536</v>
      </c>
      <c r="S16" s="259" t="s">
        <v>652</v>
      </c>
      <c r="T16" s="259">
        <f>(T12*1000000)/T14</f>
        <v>54.615893632440653</v>
      </c>
      <c r="U16" s="369">
        <f t="shared" ref="U16" si="2">(U12*1000000)/U14</f>
        <v>33.338796600960819</v>
      </c>
      <c r="V16" s="369">
        <f>(V12*1000000)/V14</f>
        <v>28.056034721396355</v>
      </c>
    </row>
    <row r="17" spans="2:22" ht="15.75" thickTop="1">
      <c r="B17" s="364" t="s">
        <v>653</v>
      </c>
      <c r="C17" s="358">
        <v>3</v>
      </c>
      <c r="D17" s="358">
        <v>3</v>
      </c>
      <c r="E17" s="358">
        <v>3</v>
      </c>
      <c r="F17" s="358">
        <v>3</v>
      </c>
      <c r="G17" s="358"/>
      <c r="H17" s="358"/>
      <c r="I17" s="358"/>
      <c r="J17" s="358"/>
      <c r="K17" s="358"/>
      <c r="L17" s="359"/>
      <c r="N17" t="s">
        <v>539</v>
      </c>
      <c r="O17">
        <v>20</v>
      </c>
      <c r="P17" t="s">
        <v>219</v>
      </c>
    </row>
    <row r="18" spans="2:22">
      <c r="B18" s="364" t="s">
        <v>654</v>
      </c>
      <c r="C18" s="358">
        <v>3</v>
      </c>
      <c r="D18" s="358">
        <v>3</v>
      </c>
      <c r="E18" s="358">
        <v>3</v>
      </c>
      <c r="F18" s="358">
        <v>3</v>
      </c>
      <c r="G18" s="358"/>
      <c r="H18" s="358"/>
      <c r="I18" s="358"/>
      <c r="J18" s="358"/>
      <c r="K18" s="358"/>
      <c r="L18" s="359"/>
      <c r="N18" t="s">
        <v>541</v>
      </c>
      <c r="O18" s="290">
        <f>(O16/100)/(1 - POWER(1 + (O16/100),-O17))</f>
        <v>8.0242587190691314E-2</v>
      </c>
      <c r="S18" t="s">
        <v>655</v>
      </c>
      <c r="T18">
        <v>28</v>
      </c>
      <c r="U18">
        <v>28</v>
      </c>
      <c r="V18">
        <v>28</v>
      </c>
    </row>
    <row r="19" spans="2:22">
      <c r="B19" s="364" t="s">
        <v>573</v>
      </c>
      <c r="C19" s="358">
        <v>15</v>
      </c>
      <c r="D19" s="358">
        <v>20</v>
      </c>
      <c r="E19" s="358">
        <v>20</v>
      </c>
      <c r="F19" s="358">
        <v>20</v>
      </c>
      <c r="G19" s="358"/>
      <c r="H19" s="358"/>
      <c r="I19" s="358"/>
      <c r="J19" s="358"/>
      <c r="K19" s="358"/>
      <c r="L19" s="359"/>
    </row>
    <row r="20" spans="2:22" ht="15.75" thickBot="1">
      <c r="B20" s="364" t="s">
        <v>575</v>
      </c>
      <c r="C20" s="358">
        <v>2.5</v>
      </c>
      <c r="D20" s="358">
        <v>2.5</v>
      </c>
      <c r="E20" s="358">
        <v>2.5</v>
      </c>
      <c r="F20" s="358">
        <v>2.5</v>
      </c>
      <c r="G20" s="358"/>
      <c r="H20" s="358"/>
      <c r="I20" s="358"/>
      <c r="J20" s="358"/>
      <c r="K20" s="358"/>
      <c r="L20" s="359"/>
      <c r="S20" s="259" t="s">
        <v>656</v>
      </c>
      <c r="T20" s="369">
        <f t="shared" ref="T20:V20" si="3">T18+T16</f>
        <v>82.615893632440645</v>
      </c>
      <c r="U20" s="369">
        <f t="shared" si="3"/>
        <v>61.338796600960819</v>
      </c>
      <c r="V20" s="369">
        <f t="shared" si="3"/>
        <v>56.056034721396358</v>
      </c>
    </row>
    <row r="21" spans="2:22" ht="15.75" thickTop="1">
      <c r="B21" s="364"/>
      <c r="C21" s="358"/>
      <c r="D21" s="358"/>
      <c r="E21" s="358"/>
      <c r="F21" s="358"/>
      <c r="G21" s="358"/>
      <c r="H21" s="358"/>
      <c r="I21" s="358"/>
      <c r="J21" s="358"/>
      <c r="K21" s="358"/>
      <c r="L21" s="359"/>
    </row>
    <row r="22" spans="2:22">
      <c r="B22" s="352" t="s">
        <v>579</v>
      </c>
      <c r="C22" s="352"/>
      <c r="D22" s="352"/>
      <c r="E22" s="352"/>
      <c r="F22" s="352"/>
      <c r="G22" s="352"/>
      <c r="H22" s="352"/>
      <c r="I22" s="352"/>
      <c r="J22" s="352"/>
      <c r="K22" s="352"/>
      <c r="L22" s="370"/>
    </row>
    <row r="23" spans="2:22" ht="33.75">
      <c r="B23" s="357" t="s">
        <v>657</v>
      </c>
      <c r="C23" s="358">
        <v>4</v>
      </c>
      <c r="D23" s="358">
        <v>2.5</v>
      </c>
      <c r="E23" s="358">
        <v>1.6</v>
      </c>
      <c r="F23" s="358">
        <v>1.5</v>
      </c>
      <c r="G23" s="358">
        <v>1.8</v>
      </c>
      <c r="H23" s="358">
        <v>3</v>
      </c>
      <c r="I23" s="358">
        <v>1.4</v>
      </c>
      <c r="J23" s="358">
        <v>2.6</v>
      </c>
      <c r="K23" s="358" t="s">
        <v>658</v>
      </c>
      <c r="L23" s="371" t="s">
        <v>659</v>
      </c>
    </row>
    <row r="24" spans="2:22">
      <c r="B24" s="364" t="s">
        <v>587</v>
      </c>
      <c r="C24" s="358" t="s">
        <v>588</v>
      </c>
      <c r="D24" s="358"/>
      <c r="E24" s="358"/>
      <c r="F24" s="358"/>
      <c r="G24" s="358"/>
      <c r="H24" s="358"/>
      <c r="I24" s="358"/>
      <c r="J24" s="358"/>
      <c r="K24" s="358"/>
      <c r="L24" s="359"/>
    </row>
    <row r="25" spans="2:22">
      <c r="B25" s="364" t="s">
        <v>592</v>
      </c>
      <c r="C25" s="358" t="s">
        <v>588</v>
      </c>
      <c r="D25" s="358"/>
      <c r="E25" s="358"/>
      <c r="F25" s="358"/>
      <c r="G25" s="358"/>
      <c r="H25" s="358"/>
      <c r="I25" s="358"/>
      <c r="J25" s="358"/>
      <c r="K25" s="358"/>
      <c r="L25" s="359"/>
    </row>
    <row r="26" spans="2:22" ht="22.5">
      <c r="B26" s="364" t="s">
        <v>660</v>
      </c>
      <c r="C26" s="372">
        <v>80500</v>
      </c>
      <c r="D26" s="372">
        <v>40200</v>
      </c>
      <c r="E26" s="372">
        <v>26200</v>
      </c>
      <c r="F26" s="372">
        <v>24100</v>
      </c>
      <c r="G26" s="372">
        <v>30200</v>
      </c>
      <c r="H26" s="372">
        <v>50300</v>
      </c>
      <c r="I26" s="372">
        <v>18100</v>
      </c>
      <c r="J26" s="372">
        <v>30200</v>
      </c>
      <c r="K26" s="358" t="s">
        <v>554</v>
      </c>
      <c r="L26" s="359" t="s">
        <v>661</v>
      </c>
    </row>
    <row r="27" spans="2:22" ht="22.5">
      <c r="B27" s="364" t="s">
        <v>662</v>
      </c>
      <c r="C27" s="358">
        <v>5.3</v>
      </c>
      <c r="D27" s="358">
        <v>2.7</v>
      </c>
      <c r="E27" s="358">
        <v>1.7</v>
      </c>
      <c r="F27" s="358">
        <v>1.6</v>
      </c>
      <c r="G27" s="358">
        <v>1.8</v>
      </c>
      <c r="H27" s="358">
        <v>3.5</v>
      </c>
      <c r="I27" s="358">
        <v>1.1000000000000001</v>
      </c>
      <c r="J27" s="358">
        <v>2.1</v>
      </c>
      <c r="K27" s="358" t="s">
        <v>554</v>
      </c>
      <c r="L27" s="359" t="s">
        <v>661</v>
      </c>
    </row>
    <row r="28" spans="2:22">
      <c r="B28" s="364"/>
      <c r="C28" s="373"/>
      <c r="D28" s="374"/>
      <c r="E28" s="374"/>
      <c r="F28" s="374"/>
      <c r="G28" s="358"/>
      <c r="H28" s="358"/>
      <c r="I28" s="358"/>
      <c r="J28" s="358"/>
      <c r="K28" s="358"/>
      <c r="L28" s="359"/>
    </row>
    <row r="29" spans="2:22">
      <c r="B29" s="375" t="s">
        <v>663</v>
      </c>
      <c r="C29" s="376"/>
      <c r="D29" s="376"/>
      <c r="E29" s="376"/>
      <c r="F29" s="376"/>
      <c r="G29" s="358"/>
      <c r="H29" s="358"/>
      <c r="I29" s="358"/>
      <c r="J29" s="358"/>
      <c r="K29" s="358"/>
      <c r="L29" s="359"/>
    </row>
    <row r="30" spans="2:22">
      <c r="B30" s="364" t="s">
        <v>664</v>
      </c>
      <c r="C30" s="358">
        <v>6</v>
      </c>
      <c r="D30" s="358">
        <v>6</v>
      </c>
      <c r="E30" s="358">
        <v>6</v>
      </c>
      <c r="F30" s="358">
        <v>6</v>
      </c>
      <c r="G30" s="358"/>
      <c r="H30" s="358"/>
      <c r="I30" s="358"/>
      <c r="J30" s="358"/>
      <c r="K30" s="358" t="s">
        <v>665</v>
      </c>
      <c r="L30" s="359"/>
    </row>
    <row r="31" spans="2:22">
      <c r="B31" s="364" t="s">
        <v>666</v>
      </c>
      <c r="C31" s="358">
        <v>12</v>
      </c>
      <c r="D31" s="358">
        <v>12</v>
      </c>
      <c r="E31" s="358">
        <v>12</v>
      </c>
      <c r="F31" s="358">
        <v>12</v>
      </c>
      <c r="G31" s="358"/>
      <c r="H31" s="358"/>
      <c r="I31" s="358"/>
      <c r="J31" s="358"/>
      <c r="K31" s="358" t="s">
        <v>665</v>
      </c>
      <c r="L31" s="359"/>
    </row>
    <row r="32" spans="2:22">
      <c r="B32" s="364"/>
      <c r="C32" s="358"/>
      <c r="D32" s="358"/>
      <c r="E32" s="358"/>
      <c r="F32" s="358"/>
      <c r="G32" s="358"/>
      <c r="H32" s="358"/>
      <c r="I32" s="358"/>
      <c r="J32" s="358"/>
      <c r="K32" s="358"/>
      <c r="L32" s="359"/>
    </row>
    <row r="33" spans="1:12">
      <c r="B33" s="352" t="s">
        <v>667</v>
      </c>
      <c r="C33" s="352"/>
      <c r="D33" s="352"/>
      <c r="E33" s="352"/>
      <c r="F33" s="352"/>
      <c r="G33" s="352"/>
      <c r="H33" s="352"/>
      <c r="I33" s="352"/>
      <c r="J33" s="352"/>
      <c r="K33" s="352"/>
      <c r="L33" s="370"/>
    </row>
    <row r="34" spans="1:12">
      <c r="B34" s="364" t="s">
        <v>668</v>
      </c>
      <c r="C34" s="358">
        <v>16</v>
      </c>
      <c r="D34" s="358">
        <v>20</v>
      </c>
      <c r="E34" s="358">
        <v>20</v>
      </c>
      <c r="F34" s="358">
        <v>20</v>
      </c>
      <c r="G34" s="358"/>
      <c r="H34" s="358"/>
      <c r="I34" s="358"/>
      <c r="J34" s="358"/>
      <c r="K34" s="358" t="s">
        <v>669</v>
      </c>
      <c r="L34" s="359" t="s">
        <v>670</v>
      </c>
    </row>
    <row r="35" spans="1:12">
      <c r="B35" s="364" t="s">
        <v>671</v>
      </c>
      <c r="C35" s="358">
        <v>0</v>
      </c>
      <c r="D35" s="358">
        <v>0</v>
      </c>
      <c r="E35" s="358">
        <v>0</v>
      </c>
      <c r="F35" s="358">
        <v>0</v>
      </c>
      <c r="G35" s="358"/>
      <c r="H35" s="358"/>
      <c r="I35" s="377"/>
      <c r="J35" s="377"/>
      <c r="K35" s="358" t="s">
        <v>669</v>
      </c>
      <c r="L35" s="359">
        <v>29</v>
      </c>
    </row>
    <row r="36" spans="1:12">
      <c r="B36" s="364" t="s">
        <v>672</v>
      </c>
      <c r="C36" s="358">
        <v>0.3</v>
      </c>
      <c r="D36" s="358">
        <v>1</v>
      </c>
      <c r="E36" s="358">
        <v>1</v>
      </c>
      <c r="F36" s="358">
        <v>0</v>
      </c>
      <c r="G36" s="358"/>
      <c r="H36" s="358"/>
      <c r="I36" s="376"/>
      <c r="J36" s="376"/>
      <c r="K36" s="358" t="s">
        <v>669</v>
      </c>
      <c r="L36" s="359" t="s">
        <v>670</v>
      </c>
    </row>
    <row r="37" spans="1:12">
      <c r="A37" t="s">
        <v>673</v>
      </c>
    </row>
    <row r="38" spans="1:12" ht="15" customHeight="1">
      <c r="A38">
        <v>1</v>
      </c>
      <c r="B38" t="s">
        <v>674</v>
      </c>
    </row>
    <row r="39" spans="1:12" ht="15" customHeight="1">
      <c r="A39">
        <v>2</v>
      </c>
      <c r="B39" t="s">
        <v>675</v>
      </c>
    </row>
    <row r="40" spans="1:12">
      <c r="A40">
        <v>3</v>
      </c>
      <c r="B40" t="s">
        <v>676</v>
      </c>
    </row>
    <row r="41" spans="1:12" ht="15" customHeight="1">
      <c r="A41">
        <v>4</v>
      </c>
      <c r="B41" t="s">
        <v>677</v>
      </c>
    </row>
    <row r="42" spans="1:12">
      <c r="A42">
        <v>5</v>
      </c>
      <c r="B42" t="s">
        <v>678</v>
      </c>
    </row>
    <row r="43" spans="1:12" ht="15" customHeight="1">
      <c r="A43">
        <v>6</v>
      </c>
      <c r="B43" t="s">
        <v>679</v>
      </c>
    </row>
    <row r="44" spans="1:12">
      <c r="A44" t="s">
        <v>680</v>
      </c>
    </row>
    <row r="45" spans="1:12">
      <c r="A45" t="s">
        <v>525</v>
      </c>
      <c r="B45" t="s">
        <v>681</v>
      </c>
    </row>
    <row r="46" spans="1:12" ht="15" customHeight="1">
      <c r="A46" t="s">
        <v>635</v>
      </c>
      <c r="B46" t="s">
        <v>682</v>
      </c>
    </row>
    <row r="47" spans="1:12" ht="15" customHeight="1">
      <c r="A47" t="s">
        <v>665</v>
      </c>
      <c r="B47" t="s">
        <v>683</v>
      </c>
    </row>
    <row r="48" spans="1:12" ht="15" customHeight="1">
      <c r="A48" t="s">
        <v>669</v>
      </c>
      <c r="B48" t="s">
        <v>684</v>
      </c>
    </row>
    <row r="49" spans="1:2" ht="15" customHeight="1">
      <c r="A49" t="s">
        <v>658</v>
      </c>
      <c r="B49" t="s">
        <v>685</v>
      </c>
    </row>
    <row r="50" spans="1:2" ht="15" customHeight="1">
      <c r="A50" t="s">
        <v>554</v>
      </c>
      <c r="B50" t="s">
        <v>686</v>
      </c>
    </row>
    <row r="51" spans="1:2" ht="15" customHeight="1">
      <c r="A51" t="s">
        <v>558</v>
      </c>
      <c r="B51" t="s">
        <v>687</v>
      </c>
    </row>
    <row r="52" spans="1:2" ht="15" customHeight="1">
      <c r="A52" t="s">
        <v>650</v>
      </c>
      <c r="B52" t="s">
        <v>688</v>
      </c>
    </row>
  </sheetData>
  <mergeCells count="3">
    <mergeCell ref="C4:L4"/>
    <mergeCell ref="G5:H5"/>
    <mergeCell ref="I5:J5"/>
  </mergeCells>
  <hyperlinks>
    <hyperlink ref="C4" location="INDEX" display="Gasifier, biomass, bio-SNG, medium - large scale" xr:uid="{3A4D616B-16B8-4FEA-9296-13ADA2527145}"/>
  </hyperlinks>
  <pageMargins left="0.7" right="0.7" top="0.75" bottom="0.75" header="0.3" footer="0.3"/>
  <headerFooter>
    <oddFooter>&amp;C_x000D_&amp;1#&amp;"Calibri"&amp;10&amp;K000000 ISC - Uso INTERNO / INTERNAL Use</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8B474-D273-4915-ABC2-21DCECEE6291}">
  <sheetPr>
    <tabColor theme="5"/>
  </sheetPr>
  <dimension ref="B1"/>
  <sheetViews>
    <sheetView workbookViewId="0">
      <selection activeCell="J20" sqref="J20"/>
    </sheetView>
  </sheetViews>
  <sheetFormatPr defaultColWidth="8.85546875" defaultRowHeight="15"/>
  <sheetData>
    <row r="1" spans="2:2" ht="23.25">
      <c r="B1" s="382" t="s">
        <v>34</v>
      </c>
    </row>
  </sheetData>
  <pageMargins left="0.7" right="0.7" top="0.75" bottom="0.75" header="0.3" footer="0.3"/>
  <headerFooter>
    <oddFooter>&amp;C_x000D_&amp;1#&amp;"Calibri"&amp;10&amp;K000000 ISC - Uso INTERNO / INTERNAL Use</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4E78F-5ED8-463E-BB41-0A57043CB2BF}">
  <sheetPr>
    <tabColor theme="7"/>
  </sheetPr>
  <dimension ref="B1:AB67"/>
  <sheetViews>
    <sheetView showGridLines="0" tabSelected="1" topLeftCell="B23" zoomScaleNormal="100" workbookViewId="0">
      <selection activeCell="B55" sqref="B55:E62"/>
    </sheetView>
  </sheetViews>
  <sheetFormatPr defaultColWidth="8.85546875" defaultRowHeight="15"/>
  <cols>
    <col min="2" max="2" width="29.42578125" customWidth="1"/>
    <col min="3" max="3" width="11.42578125" customWidth="1"/>
  </cols>
  <sheetData>
    <row r="1" spans="2:14" ht="23.25">
      <c r="B1" s="382" t="s">
        <v>35</v>
      </c>
    </row>
    <row r="3" spans="2:14">
      <c r="B3" s="391" t="s">
        <v>689</v>
      </c>
      <c r="C3" s="156"/>
      <c r="D3" s="156"/>
      <c r="E3" s="156"/>
      <c r="F3" s="156"/>
      <c r="G3" s="156"/>
      <c r="H3" s="156"/>
      <c r="I3" s="156"/>
      <c r="J3" s="156"/>
      <c r="K3" s="156"/>
      <c r="L3" s="156"/>
      <c r="M3" s="156"/>
      <c r="N3" s="156"/>
    </row>
    <row r="4" spans="2:14">
      <c r="B4" s="479" t="s">
        <v>690</v>
      </c>
      <c r="C4" s="480"/>
      <c r="D4" s="480"/>
      <c r="E4" s="480"/>
      <c r="F4" s="480"/>
      <c r="G4" s="156"/>
      <c r="H4" s="156"/>
      <c r="I4" s="156"/>
      <c r="J4" s="156"/>
      <c r="K4" s="156"/>
      <c r="L4" s="156"/>
      <c r="M4" s="156"/>
      <c r="N4" s="156"/>
    </row>
    <row r="5" spans="2:14">
      <c r="B5" s="177" t="s">
        <v>691</v>
      </c>
      <c r="C5" s="177" t="s">
        <v>692</v>
      </c>
      <c r="D5" s="177">
        <v>2030</v>
      </c>
      <c r="E5" s="177">
        <v>2040</v>
      </c>
      <c r="F5" s="177">
        <v>2050</v>
      </c>
      <c r="G5" s="156"/>
      <c r="H5" s="156"/>
      <c r="I5" s="156"/>
      <c r="J5" s="156"/>
      <c r="K5" s="156"/>
      <c r="L5" s="156"/>
      <c r="M5" s="156"/>
      <c r="N5" s="156"/>
    </row>
    <row r="6" spans="2:14">
      <c r="B6" s="481" t="s">
        <v>693</v>
      </c>
      <c r="C6" s="481" t="s">
        <v>694</v>
      </c>
      <c r="D6" s="482">
        <v>163.52000000000001</v>
      </c>
      <c r="E6" s="156">
        <v>259</v>
      </c>
      <c r="F6" s="156">
        <v>259</v>
      </c>
      <c r="G6" s="156"/>
      <c r="H6" s="156"/>
      <c r="I6" s="156"/>
      <c r="J6" s="156"/>
      <c r="K6" s="156"/>
      <c r="L6" s="156"/>
      <c r="M6" s="156"/>
      <c r="N6" s="156"/>
    </row>
    <row r="7" spans="2:14">
      <c r="B7" s="483" t="s">
        <v>693</v>
      </c>
      <c r="C7" s="483" t="s">
        <v>695</v>
      </c>
      <c r="D7" s="484">
        <v>0</v>
      </c>
      <c r="E7" s="484">
        <v>89.424999999999997</v>
      </c>
      <c r="F7" s="484">
        <v>89.424999999999997</v>
      </c>
      <c r="G7" s="156"/>
      <c r="H7" s="156"/>
      <c r="I7" s="156"/>
      <c r="J7" s="156"/>
      <c r="K7" s="156"/>
      <c r="L7" s="156"/>
      <c r="M7" s="156"/>
      <c r="N7" s="156"/>
    </row>
    <row r="8" spans="2:14">
      <c r="B8" s="391" t="s">
        <v>696</v>
      </c>
      <c r="C8" s="391"/>
      <c r="D8" s="485">
        <v>163.52000000000001</v>
      </c>
      <c r="E8" s="486">
        <v>348.42500000000001</v>
      </c>
      <c r="F8" s="485">
        <v>348.42500000000001</v>
      </c>
      <c r="G8" s="156"/>
      <c r="H8" s="156"/>
      <c r="I8" s="156"/>
      <c r="J8" s="156"/>
      <c r="K8" s="156"/>
      <c r="L8" s="156"/>
      <c r="M8" s="156"/>
      <c r="N8" s="156"/>
    </row>
    <row r="9" spans="2:14">
      <c r="B9" s="483" t="s">
        <v>697</v>
      </c>
      <c r="C9" s="483" t="s">
        <v>698</v>
      </c>
      <c r="D9" s="484">
        <v>0</v>
      </c>
      <c r="E9" s="484">
        <v>73</v>
      </c>
      <c r="F9" s="484">
        <v>73</v>
      </c>
      <c r="G9" s="156"/>
      <c r="H9" s="156"/>
      <c r="I9" s="156"/>
      <c r="J9" s="156"/>
      <c r="K9" s="156"/>
      <c r="L9" s="156"/>
      <c r="M9" s="156"/>
      <c r="N9" s="156"/>
    </row>
    <row r="10" spans="2:14">
      <c r="B10" s="483" t="s">
        <v>699</v>
      </c>
      <c r="C10" s="483" t="s">
        <v>700</v>
      </c>
      <c r="D10" s="484">
        <v>151.11000000000001</v>
      </c>
      <c r="E10" s="484">
        <v>151.11000000000001</v>
      </c>
      <c r="F10" s="484">
        <v>151.11000000000001</v>
      </c>
      <c r="G10" s="156"/>
      <c r="H10" s="156"/>
      <c r="I10" s="156"/>
      <c r="J10" s="156"/>
      <c r="K10" s="156"/>
      <c r="L10" s="156"/>
      <c r="M10" s="156"/>
      <c r="N10" s="156"/>
    </row>
    <row r="11" spans="2:14">
      <c r="B11" s="391" t="s">
        <v>701</v>
      </c>
      <c r="C11" s="391"/>
      <c r="D11" s="486">
        <v>151.11000000000001</v>
      </c>
      <c r="E11" s="486">
        <v>224.11</v>
      </c>
      <c r="F11" s="486">
        <v>224.11</v>
      </c>
      <c r="G11" s="156"/>
      <c r="H11" s="156"/>
      <c r="I11" s="156"/>
      <c r="J11" s="156"/>
      <c r="K11" s="156"/>
      <c r="L11" s="156"/>
      <c r="M11" s="156"/>
      <c r="N11" s="156"/>
    </row>
    <row r="12" spans="2:14">
      <c r="B12" s="483" t="s">
        <v>702</v>
      </c>
      <c r="C12" s="483" t="s">
        <v>703</v>
      </c>
      <c r="D12" s="484">
        <v>0</v>
      </c>
      <c r="E12" s="484">
        <v>54.75</v>
      </c>
      <c r="F12" s="484">
        <v>54.75</v>
      </c>
      <c r="G12" s="156"/>
      <c r="H12" s="156"/>
      <c r="I12" s="156"/>
      <c r="J12" s="156"/>
      <c r="K12" s="156"/>
      <c r="L12" s="156"/>
      <c r="M12" s="156"/>
      <c r="N12" s="156"/>
    </row>
    <row r="13" spans="2:14">
      <c r="B13" s="483" t="s">
        <v>702</v>
      </c>
      <c r="C13" s="483" t="s">
        <v>704</v>
      </c>
      <c r="D13" s="484">
        <v>0</v>
      </c>
      <c r="E13" s="484">
        <v>62.707000000000008</v>
      </c>
      <c r="F13" s="484">
        <v>62.707000000000008</v>
      </c>
      <c r="G13" s="156"/>
      <c r="H13" s="156"/>
      <c r="I13" s="156"/>
      <c r="J13" s="156"/>
      <c r="K13" s="156"/>
      <c r="L13" s="156"/>
      <c r="M13" s="156"/>
      <c r="N13" s="156"/>
    </row>
    <row r="14" spans="2:14">
      <c r="B14" s="483" t="s">
        <v>702</v>
      </c>
      <c r="C14" s="483" t="s">
        <v>705</v>
      </c>
      <c r="D14" s="484">
        <v>87.6</v>
      </c>
      <c r="E14" s="484">
        <v>113.88</v>
      </c>
      <c r="F14" s="484">
        <v>113.88</v>
      </c>
      <c r="G14" s="156"/>
      <c r="H14" s="156"/>
      <c r="I14" s="156"/>
      <c r="J14" s="156"/>
      <c r="K14" s="156"/>
      <c r="L14" s="156"/>
      <c r="M14" s="156"/>
      <c r="N14" s="156"/>
    </row>
    <row r="15" spans="2:14">
      <c r="B15" s="156" t="s">
        <v>706</v>
      </c>
      <c r="C15" s="156"/>
      <c r="D15" s="486">
        <v>87.6</v>
      </c>
      <c r="E15" s="486">
        <v>231.33699999999999</v>
      </c>
      <c r="F15" s="486">
        <v>231.33699999999999</v>
      </c>
      <c r="G15" s="156"/>
      <c r="H15" s="156"/>
      <c r="I15" s="156"/>
      <c r="J15" s="156"/>
      <c r="K15" s="156"/>
      <c r="L15" s="156"/>
      <c r="M15" s="156"/>
      <c r="N15" s="156"/>
    </row>
    <row r="16" spans="2:14">
      <c r="B16" s="177" t="s">
        <v>707</v>
      </c>
      <c r="C16" s="177"/>
      <c r="D16" s="487">
        <v>164</v>
      </c>
      <c r="E16" s="487">
        <v>164</v>
      </c>
      <c r="F16" s="487">
        <v>164</v>
      </c>
      <c r="G16" s="156"/>
      <c r="H16" s="156"/>
      <c r="I16" s="156"/>
      <c r="J16" s="156"/>
      <c r="K16" s="156"/>
      <c r="L16" s="156"/>
      <c r="M16" s="156"/>
      <c r="N16" s="156"/>
    </row>
    <row r="17" spans="2:14" ht="15.75" thickBot="1">
      <c r="B17" s="488" t="s">
        <v>395</v>
      </c>
      <c r="C17" s="488"/>
      <c r="D17" s="489">
        <v>573.53000000000009</v>
      </c>
      <c r="E17" s="489">
        <v>1000.472</v>
      </c>
      <c r="F17" s="489">
        <v>1049.2719999999999</v>
      </c>
      <c r="G17" s="156"/>
      <c r="H17" s="156"/>
      <c r="I17" s="156"/>
      <c r="J17" s="156"/>
      <c r="K17" s="156"/>
      <c r="L17" s="156"/>
      <c r="M17" s="156"/>
      <c r="N17" s="156"/>
    </row>
    <row r="18" spans="2:14" ht="15.75" thickTop="1">
      <c r="B18" s="156"/>
      <c r="C18" s="156"/>
      <c r="D18" s="156"/>
      <c r="E18" s="156"/>
      <c r="F18" s="156"/>
      <c r="G18" s="156"/>
      <c r="H18" s="156"/>
      <c r="I18" s="156"/>
      <c r="J18" s="156"/>
      <c r="K18" s="156"/>
      <c r="L18" s="156"/>
      <c r="M18" s="156"/>
      <c r="N18" s="156"/>
    </row>
    <row r="19" spans="2:14">
      <c r="B19" s="156" t="s">
        <v>708</v>
      </c>
      <c r="C19" s="156"/>
      <c r="D19" s="156"/>
      <c r="E19" s="156"/>
      <c r="F19" s="156"/>
      <c r="G19" s="156"/>
      <c r="H19" s="156"/>
      <c r="I19" s="156"/>
      <c r="J19" s="156"/>
      <c r="K19" s="156"/>
      <c r="L19" s="156"/>
      <c r="M19" s="156"/>
      <c r="N19" s="156"/>
    </row>
    <row r="20" spans="2:14">
      <c r="B20" s="490" t="s">
        <v>709</v>
      </c>
      <c r="C20" s="480"/>
      <c r="D20" s="480"/>
      <c r="E20" s="480"/>
      <c r="F20" s="480"/>
      <c r="G20" s="480"/>
      <c r="H20" s="480"/>
      <c r="I20" s="480"/>
      <c r="J20" s="156"/>
      <c r="K20" s="156"/>
      <c r="L20" s="156"/>
      <c r="M20" s="156"/>
      <c r="N20" s="156"/>
    </row>
    <row r="21" spans="2:14">
      <c r="B21" s="177" t="s">
        <v>710</v>
      </c>
      <c r="C21" s="177">
        <v>2030</v>
      </c>
      <c r="D21" s="177">
        <v>2040</v>
      </c>
      <c r="E21" s="177">
        <v>2050</v>
      </c>
      <c r="F21" s="156"/>
      <c r="G21" s="156"/>
      <c r="H21" s="156"/>
      <c r="I21" s="156"/>
      <c r="J21" s="156"/>
      <c r="K21" s="156"/>
      <c r="L21" s="156"/>
      <c r="M21" s="156"/>
      <c r="N21" s="156"/>
    </row>
    <row r="22" spans="2:14">
      <c r="B22" s="491" t="s">
        <v>697</v>
      </c>
      <c r="C22" s="491">
        <v>39</v>
      </c>
      <c r="D22" s="491">
        <v>134</v>
      </c>
      <c r="E22" s="491">
        <v>88</v>
      </c>
      <c r="F22" s="156"/>
      <c r="G22" s="156"/>
      <c r="H22" s="156"/>
      <c r="I22" s="156"/>
      <c r="J22" s="156"/>
      <c r="K22" s="156"/>
      <c r="L22" s="156"/>
      <c r="M22" s="156"/>
      <c r="N22" s="156"/>
    </row>
    <row r="23" spans="2:14">
      <c r="B23" s="156" t="s">
        <v>711</v>
      </c>
      <c r="C23" s="492">
        <v>70</v>
      </c>
      <c r="D23" s="156">
        <v>196</v>
      </c>
      <c r="E23" s="156">
        <v>490</v>
      </c>
      <c r="F23" s="156"/>
      <c r="G23" s="156"/>
      <c r="H23" s="156"/>
      <c r="I23" s="156"/>
      <c r="J23" s="156"/>
      <c r="K23" s="156"/>
      <c r="L23" s="156"/>
      <c r="M23" s="156"/>
      <c r="N23" s="156"/>
    </row>
    <row r="24" spans="2:14">
      <c r="B24" s="156" t="s">
        <v>712</v>
      </c>
      <c r="C24" s="156">
        <v>12</v>
      </c>
      <c r="D24" s="156">
        <v>50</v>
      </c>
      <c r="E24" s="156">
        <v>100</v>
      </c>
      <c r="F24" s="156"/>
      <c r="G24" s="156"/>
      <c r="H24" s="156"/>
      <c r="I24" s="156"/>
      <c r="J24" s="156"/>
      <c r="K24" s="156"/>
      <c r="L24" s="156"/>
      <c r="M24" s="156"/>
      <c r="N24" s="156"/>
    </row>
    <row r="25" spans="2:14" ht="15.75" thickBot="1">
      <c r="B25" s="488" t="s">
        <v>713</v>
      </c>
      <c r="C25" s="488">
        <v>121</v>
      </c>
      <c r="D25" s="488">
        <v>380</v>
      </c>
      <c r="E25" s="488">
        <v>678</v>
      </c>
      <c r="F25" s="156"/>
      <c r="G25" s="156"/>
      <c r="H25" s="156"/>
      <c r="I25" s="156"/>
      <c r="J25" s="156"/>
      <c r="K25" s="156"/>
      <c r="L25" s="156"/>
      <c r="M25" s="156"/>
      <c r="N25" s="156"/>
    </row>
    <row r="26" spans="2:14" ht="15.75" thickTop="1">
      <c r="B26" s="156"/>
      <c r="C26" s="156"/>
      <c r="D26" s="156"/>
      <c r="E26" s="156"/>
      <c r="F26" s="156"/>
      <c r="G26" s="156"/>
      <c r="H26" s="156"/>
      <c r="I26" s="156"/>
      <c r="J26" s="156"/>
      <c r="K26" s="156"/>
      <c r="L26" s="156"/>
      <c r="M26" s="156"/>
      <c r="N26" s="156"/>
    </row>
    <row r="27" spans="2:14">
      <c r="B27" s="156" t="s">
        <v>714</v>
      </c>
      <c r="C27" s="156"/>
      <c r="D27" s="156"/>
      <c r="E27" s="156"/>
      <c r="F27" s="156"/>
      <c r="G27" s="156"/>
      <c r="H27" s="156"/>
      <c r="I27" s="156"/>
      <c r="J27" s="156"/>
      <c r="K27" s="156"/>
      <c r="L27" s="156"/>
      <c r="M27" s="156"/>
      <c r="N27" s="156"/>
    </row>
    <row r="28" spans="2:14">
      <c r="B28" s="490" t="s">
        <v>715</v>
      </c>
      <c r="C28" s="490"/>
      <c r="D28" s="490"/>
      <c r="E28" s="490"/>
      <c r="F28" s="490"/>
      <c r="G28" s="490"/>
      <c r="H28" s="490"/>
      <c r="I28" s="490"/>
      <c r="J28" s="156"/>
      <c r="K28" s="156"/>
      <c r="L28" s="156"/>
      <c r="M28" s="156"/>
      <c r="N28" s="156"/>
    </row>
    <row r="29" spans="2:14">
      <c r="B29" s="177" t="s">
        <v>716</v>
      </c>
      <c r="C29" s="177">
        <v>2030</v>
      </c>
      <c r="D29" s="177">
        <v>2040</v>
      </c>
      <c r="E29" s="177">
        <v>2050</v>
      </c>
      <c r="F29" s="156"/>
      <c r="G29" s="156"/>
      <c r="H29" s="156"/>
      <c r="I29" s="156"/>
      <c r="J29" s="156"/>
      <c r="K29" s="156"/>
      <c r="L29" s="156"/>
      <c r="M29" s="156"/>
      <c r="N29" s="156"/>
    </row>
    <row r="30" spans="2:14" ht="15.75" thickBot="1">
      <c r="B30" s="493" t="s">
        <v>717</v>
      </c>
      <c r="C30" s="494">
        <v>199.98</v>
      </c>
      <c r="D30" s="495">
        <v>274.97249999999997</v>
      </c>
      <c r="E30" s="496" t="s">
        <v>718</v>
      </c>
      <c r="F30" s="156"/>
      <c r="G30" s="156"/>
      <c r="H30" s="156"/>
      <c r="I30" s="156"/>
      <c r="J30" s="156"/>
      <c r="K30" s="156"/>
      <c r="L30" s="156"/>
      <c r="M30" s="156"/>
      <c r="N30" s="156"/>
    </row>
    <row r="31" spans="2:14" ht="15.75" thickTop="1">
      <c r="B31" s="156"/>
      <c r="C31" s="156"/>
      <c r="D31" s="156"/>
      <c r="E31" s="156"/>
      <c r="F31" s="156"/>
      <c r="G31" s="156"/>
      <c r="H31" s="156"/>
      <c r="I31" s="156"/>
      <c r="J31" s="156"/>
      <c r="K31" s="156"/>
      <c r="L31" s="156"/>
      <c r="M31" s="156"/>
      <c r="N31" s="156"/>
    </row>
    <row r="32" spans="2:14">
      <c r="B32" s="156" t="s">
        <v>719</v>
      </c>
      <c r="C32" s="156"/>
      <c r="D32" s="156"/>
      <c r="E32" s="156"/>
      <c r="F32" s="156"/>
      <c r="G32" s="156"/>
      <c r="H32" s="156"/>
      <c r="I32" s="156"/>
      <c r="J32" s="156"/>
      <c r="K32" s="156"/>
      <c r="L32" s="156"/>
      <c r="M32" s="156"/>
      <c r="N32" s="156"/>
    </row>
    <row r="33" spans="2:14">
      <c r="B33" s="490" t="s">
        <v>720</v>
      </c>
      <c r="C33" s="490"/>
      <c r="D33" s="490"/>
      <c r="E33" s="490"/>
      <c r="F33" s="490"/>
      <c r="G33" s="490"/>
      <c r="H33" s="490"/>
      <c r="I33" s="490"/>
      <c r="J33" s="156"/>
      <c r="K33" s="156"/>
      <c r="L33" s="156"/>
      <c r="M33" s="156"/>
      <c r="N33" s="156"/>
    </row>
    <row r="34" spans="2:14">
      <c r="B34" s="177" t="s">
        <v>721</v>
      </c>
      <c r="C34" s="177">
        <v>2030</v>
      </c>
      <c r="D34" s="177">
        <v>2040</v>
      </c>
      <c r="E34" s="177">
        <v>2050</v>
      </c>
      <c r="F34" s="156"/>
      <c r="G34" s="156"/>
      <c r="H34" s="156"/>
      <c r="I34" s="156"/>
      <c r="J34" s="156"/>
      <c r="K34" s="156"/>
      <c r="L34" s="156"/>
      <c r="M34" s="156"/>
      <c r="N34" s="156"/>
    </row>
    <row r="35" spans="2:14">
      <c r="B35" s="156" t="s">
        <v>722</v>
      </c>
      <c r="C35" s="156"/>
      <c r="D35" s="156"/>
      <c r="E35" s="497">
        <v>250</v>
      </c>
      <c r="F35" s="156"/>
      <c r="G35" s="156"/>
      <c r="H35" s="156"/>
      <c r="I35" s="156"/>
      <c r="J35" s="156"/>
      <c r="K35" s="156"/>
      <c r="L35" s="156"/>
      <c r="M35" s="156"/>
      <c r="N35" s="156"/>
    </row>
    <row r="36" spans="2:14">
      <c r="B36" s="156" t="s">
        <v>723</v>
      </c>
      <c r="C36" s="156"/>
      <c r="D36" s="156"/>
      <c r="E36" s="492">
        <v>661.66666666666663</v>
      </c>
      <c r="F36" s="156"/>
      <c r="G36" s="156"/>
      <c r="H36" s="156"/>
      <c r="I36" s="156"/>
      <c r="J36" s="156"/>
      <c r="K36" s="156"/>
      <c r="L36" s="156"/>
      <c r="M36" s="156"/>
      <c r="N36" s="156"/>
    </row>
    <row r="37" spans="2:14">
      <c r="B37" s="156" t="s">
        <v>724</v>
      </c>
      <c r="C37" s="156"/>
      <c r="D37" s="156"/>
      <c r="E37" s="492">
        <v>446.11111111111109</v>
      </c>
      <c r="F37" s="156"/>
      <c r="G37" s="156"/>
      <c r="H37" s="156"/>
      <c r="I37" s="156"/>
      <c r="J37" s="156"/>
      <c r="K37" s="156"/>
      <c r="L37" s="156"/>
      <c r="M37" s="156"/>
      <c r="N37" s="156"/>
    </row>
    <row r="38" spans="2:14" ht="15.75" thickBot="1">
      <c r="B38" s="493" t="s">
        <v>395</v>
      </c>
      <c r="C38" s="493"/>
      <c r="D38" s="493"/>
      <c r="E38" s="498">
        <v>1357.7777777777778</v>
      </c>
      <c r="F38" s="156"/>
      <c r="G38" s="156"/>
      <c r="H38" s="156"/>
      <c r="I38" s="156"/>
      <c r="J38" s="156"/>
      <c r="K38" s="156"/>
      <c r="L38" s="156"/>
      <c r="M38" s="156"/>
      <c r="N38" s="156"/>
    </row>
    <row r="39" spans="2:14" ht="15.75" thickTop="1">
      <c r="B39" s="156"/>
      <c r="C39" s="156"/>
      <c r="D39" s="156"/>
      <c r="E39" s="156"/>
      <c r="F39" s="156"/>
      <c r="G39" s="156"/>
      <c r="H39" s="156"/>
      <c r="I39" s="156"/>
      <c r="J39" s="156"/>
      <c r="K39" s="156"/>
      <c r="L39" s="156"/>
      <c r="M39" s="156"/>
      <c r="N39" s="156"/>
    </row>
    <row r="40" spans="2:14">
      <c r="B40" s="156" t="s">
        <v>725</v>
      </c>
      <c r="C40" s="156"/>
      <c r="D40" s="156"/>
      <c r="E40" s="156"/>
      <c r="F40" s="156"/>
      <c r="G40" s="156"/>
      <c r="H40" s="156"/>
      <c r="I40" s="156"/>
      <c r="J40" s="156"/>
      <c r="K40" s="156"/>
      <c r="L40" s="156"/>
      <c r="M40" s="156"/>
      <c r="N40" s="156"/>
    </row>
    <row r="41" spans="2:14">
      <c r="B41" s="490" t="s">
        <v>726</v>
      </c>
      <c r="C41" s="490"/>
      <c r="D41" s="490"/>
      <c r="E41" s="490"/>
      <c r="F41" s="156"/>
      <c r="G41" s="156"/>
      <c r="H41" s="156"/>
      <c r="I41" s="156"/>
      <c r="J41" s="156"/>
      <c r="K41" s="156"/>
      <c r="L41" s="156"/>
      <c r="M41" s="156"/>
      <c r="N41" s="156"/>
    </row>
    <row r="42" spans="2:14">
      <c r="B42" s="177" t="s">
        <v>721</v>
      </c>
      <c r="C42" s="177">
        <v>2030</v>
      </c>
      <c r="D42" s="177">
        <v>2040</v>
      </c>
      <c r="E42" s="177">
        <v>2050</v>
      </c>
      <c r="F42" s="156"/>
      <c r="G42" s="156"/>
      <c r="H42" s="156"/>
      <c r="I42" s="156"/>
      <c r="J42" s="156"/>
      <c r="K42" s="156"/>
      <c r="L42" s="156"/>
      <c r="M42" s="156"/>
      <c r="N42" s="156"/>
    </row>
    <row r="43" spans="2:14" ht="19.5" thickBot="1">
      <c r="B43" s="493" t="s">
        <v>727</v>
      </c>
      <c r="C43" s="499">
        <v>7</v>
      </c>
      <c r="D43" s="499">
        <v>33</v>
      </c>
      <c r="E43" s="495">
        <v>81</v>
      </c>
      <c r="F43" s="156"/>
      <c r="G43" s="156"/>
      <c r="H43" s="156"/>
      <c r="I43" s="156"/>
      <c r="J43" s="156"/>
      <c r="K43" s="156"/>
      <c r="L43" s="378"/>
      <c r="M43" s="156"/>
      <c r="N43" s="156"/>
    </row>
    <row r="44" spans="2:14" ht="16.5" thickTop="1" thickBot="1">
      <c r="B44" s="156"/>
      <c r="C44" s="156"/>
      <c r="D44" s="156"/>
      <c r="E44" s="156"/>
      <c r="F44" s="156"/>
      <c r="G44" s="156"/>
      <c r="H44" s="500"/>
      <c r="I44" s="156"/>
      <c r="J44" s="156"/>
      <c r="K44" s="156"/>
      <c r="L44" s="156"/>
      <c r="M44" s="156"/>
      <c r="N44" s="156"/>
    </row>
    <row r="45" spans="2:14">
      <c r="B45" s="501" t="s">
        <v>728</v>
      </c>
      <c r="C45" s="502"/>
      <c r="D45" s="502"/>
      <c r="E45" s="503"/>
      <c r="F45" s="156"/>
      <c r="G45" s="156"/>
      <c r="H45" s="500"/>
      <c r="I45" s="156"/>
      <c r="J45" s="156"/>
      <c r="K45" s="156"/>
      <c r="L45" s="156"/>
      <c r="M45" s="156"/>
      <c r="N45" s="156"/>
    </row>
    <row r="46" spans="2:14">
      <c r="B46" s="186"/>
      <c r="C46" s="156" t="s">
        <v>729</v>
      </c>
      <c r="D46" s="156" t="s">
        <v>729</v>
      </c>
      <c r="E46" s="187" t="s">
        <v>729</v>
      </c>
      <c r="F46" s="156"/>
      <c r="G46" s="156"/>
      <c r="H46" s="500"/>
      <c r="I46" s="156"/>
      <c r="J46" s="156"/>
      <c r="K46" s="156"/>
      <c r="L46" s="156"/>
      <c r="M46" s="156"/>
      <c r="N46" s="156"/>
    </row>
    <row r="47" spans="2:14">
      <c r="B47" s="504"/>
      <c r="C47" s="490">
        <v>2030</v>
      </c>
      <c r="D47" s="490">
        <v>2040</v>
      </c>
      <c r="E47" s="505">
        <v>2050</v>
      </c>
      <c r="F47" s="156"/>
      <c r="G47" s="156"/>
      <c r="H47" s="500"/>
      <c r="I47" s="156"/>
      <c r="J47" s="156"/>
      <c r="K47" s="156"/>
      <c r="L47" s="156"/>
      <c r="M47" s="156"/>
      <c r="N47" s="156"/>
    </row>
    <row r="48" spans="2:14">
      <c r="B48" s="186" t="s">
        <v>730</v>
      </c>
      <c r="C48" s="156">
        <v>0</v>
      </c>
      <c r="D48" s="156">
        <v>160</v>
      </c>
      <c r="E48" s="187">
        <v>279</v>
      </c>
      <c r="F48" s="156"/>
      <c r="G48" s="156"/>
      <c r="H48" s="500"/>
      <c r="I48" s="156"/>
      <c r="J48" s="156"/>
      <c r="K48" s="156"/>
      <c r="L48" s="156"/>
      <c r="M48" s="156"/>
      <c r="N48" s="156"/>
    </row>
    <row r="49" spans="2:14">
      <c r="B49" s="186" t="s">
        <v>731</v>
      </c>
      <c r="C49" s="156">
        <v>30</v>
      </c>
      <c r="D49" s="156">
        <v>30</v>
      </c>
      <c r="E49" s="187">
        <v>0</v>
      </c>
      <c r="F49" s="156"/>
      <c r="G49" s="156"/>
      <c r="H49" s="500"/>
      <c r="I49" s="156"/>
      <c r="J49" s="156"/>
      <c r="K49" s="156"/>
      <c r="L49" s="156"/>
      <c r="M49" s="156"/>
      <c r="N49" s="156"/>
    </row>
    <row r="50" spans="2:14">
      <c r="B50" s="506" t="s">
        <v>732</v>
      </c>
      <c r="C50" s="177">
        <v>10</v>
      </c>
      <c r="D50" s="177">
        <v>14</v>
      </c>
      <c r="E50" s="507">
        <v>18</v>
      </c>
      <c r="F50" s="156"/>
      <c r="G50" s="156"/>
      <c r="H50" s="500"/>
      <c r="I50" s="156"/>
      <c r="J50" s="156"/>
      <c r="K50" s="156"/>
      <c r="L50" s="156"/>
      <c r="M50" s="156"/>
      <c r="N50" s="156"/>
    </row>
    <row r="51" spans="2:14">
      <c r="B51" s="508" t="s">
        <v>395</v>
      </c>
      <c r="C51" s="509">
        <v>40</v>
      </c>
      <c r="D51" s="509">
        <v>204</v>
      </c>
      <c r="E51" s="510">
        <v>297</v>
      </c>
      <c r="F51" s="156"/>
      <c r="G51" s="156"/>
      <c r="H51" s="500"/>
      <c r="I51" s="156"/>
      <c r="J51" s="156"/>
      <c r="K51" s="156"/>
      <c r="L51" s="156"/>
      <c r="M51" s="156"/>
      <c r="N51" s="156"/>
    </row>
    <row r="52" spans="2:14">
      <c r="B52" s="508" t="s">
        <v>733</v>
      </c>
      <c r="C52" s="509">
        <v>27</v>
      </c>
      <c r="D52" s="509">
        <v>171</v>
      </c>
      <c r="E52" s="510">
        <v>248</v>
      </c>
      <c r="F52" s="156"/>
      <c r="G52" s="156"/>
      <c r="H52" s="500"/>
      <c r="I52" s="156"/>
      <c r="J52" s="156"/>
      <c r="K52" s="156"/>
      <c r="L52" s="156"/>
      <c r="M52" s="156"/>
      <c r="N52" s="156"/>
    </row>
    <row r="53" spans="2:14" ht="15.75" thickBot="1">
      <c r="B53" s="511" t="s">
        <v>734</v>
      </c>
      <c r="C53" s="512">
        <v>13</v>
      </c>
      <c r="D53" s="512">
        <v>33</v>
      </c>
      <c r="E53" s="513">
        <v>49</v>
      </c>
      <c r="F53" s="156"/>
      <c r="G53" s="156"/>
      <c r="H53" s="156"/>
      <c r="I53" s="156"/>
      <c r="J53" s="156"/>
      <c r="K53" s="156"/>
      <c r="L53" s="156"/>
      <c r="M53" s="156"/>
      <c r="N53" s="156"/>
    </row>
    <row r="54" spans="2:14">
      <c r="B54" s="156"/>
      <c r="C54" s="156"/>
      <c r="D54" s="156"/>
      <c r="E54" s="156"/>
      <c r="F54" s="156">
        <v>204</v>
      </c>
      <c r="G54" s="156"/>
      <c r="H54" s="156"/>
      <c r="I54" s="156"/>
      <c r="J54" s="156"/>
      <c r="K54" s="156"/>
      <c r="L54" s="156"/>
      <c r="M54" s="156"/>
      <c r="N54" s="156"/>
    </row>
    <row r="55" spans="2:14">
      <c r="B55" s="490" t="s">
        <v>735</v>
      </c>
      <c r="C55" s="490"/>
      <c r="D55" s="490"/>
      <c r="E55" s="490"/>
      <c r="F55" s="156"/>
      <c r="G55" s="156"/>
      <c r="H55" s="156"/>
      <c r="I55" s="156"/>
      <c r="J55" s="156"/>
      <c r="K55" s="156"/>
      <c r="L55" s="156"/>
      <c r="M55" s="156"/>
      <c r="N55" s="156"/>
    </row>
    <row r="56" spans="2:14">
      <c r="B56" s="514" t="s">
        <v>736</v>
      </c>
      <c r="C56" s="514">
        <v>2030</v>
      </c>
      <c r="D56" s="514">
        <v>2040</v>
      </c>
      <c r="E56" s="514">
        <v>2050</v>
      </c>
      <c r="F56" s="156"/>
      <c r="G56" s="156"/>
      <c r="H56" s="156"/>
      <c r="I56" s="156"/>
      <c r="J56" s="156"/>
      <c r="K56" s="156"/>
      <c r="L56" s="156"/>
      <c r="M56" s="156"/>
      <c r="N56" s="156"/>
    </row>
    <row r="57" spans="2:14">
      <c r="B57" s="491" t="s">
        <v>697</v>
      </c>
      <c r="C57" s="515">
        <f>D11</f>
        <v>151.11000000000001</v>
      </c>
      <c r="D57" s="515">
        <f>E11</f>
        <v>224.11</v>
      </c>
      <c r="E57" s="515">
        <f>F11</f>
        <v>224.11</v>
      </c>
      <c r="F57" s="156"/>
      <c r="G57" s="156"/>
      <c r="H57" s="156"/>
      <c r="I57" s="156"/>
      <c r="J57" s="156"/>
      <c r="K57" s="156"/>
      <c r="L57" s="156"/>
      <c r="M57" s="156"/>
      <c r="N57" s="156"/>
    </row>
    <row r="58" spans="2:14">
      <c r="B58" s="156" t="s">
        <v>729</v>
      </c>
      <c r="C58" s="482">
        <f>C51</f>
        <v>40</v>
      </c>
      <c r="D58" s="482">
        <f t="shared" ref="D58:E58" si="0">D51</f>
        <v>204</v>
      </c>
      <c r="E58" s="482">
        <f t="shared" si="0"/>
        <v>297</v>
      </c>
      <c r="F58" s="156"/>
      <c r="G58" s="482"/>
      <c r="H58" s="156"/>
      <c r="I58" s="156"/>
      <c r="J58" s="156"/>
      <c r="K58" s="156"/>
      <c r="L58" s="156"/>
      <c r="M58" s="156"/>
      <c r="N58" s="156"/>
    </row>
    <row r="59" spans="2:14">
      <c r="B59" s="156" t="s">
        <v>711</v>
      </c>
      <c r="C59" s="482">
        <f>C23+C43</f>
        <v>77</v>
      </c>
      <c r="D59" s="482">
        <f>E8+D43</f>
        <v>381.42500000000001</v>
      </c>
      <c r="E59" s="482">
        <f>E36</f>
        <v>661.66666666666663</v>
      </c>
      <c r="F59" s="156"/>
      <c r="G59" s="156"/>
      <c r="H59" s="156"/>
      <c r="I59" s="156"/>
      <c r="J59" s="156"/>
      <c r="K59" s="156"/>
      <c r="L59" s="156"/>
      <c r="M59" s="156"/>
      <c r="N59" s="156"/>
    </row>
    <row r="60" spans="2:14">
      <c r="B60" s="156" t="s">
        <v>712</v>
      </c>
      <c r="C60" s="482">
        <f>D15</f>
        <v>87.6</v>
      </c>
      <c r="D60" s="482">
        <f t="shared" ref="D60:E60" si="1">E15</f>
        <v>231.33699999999999</v>
      </c>
      <c r="E60" s="482">
        <f t="shared" si="1"/>
        <v>231.33699999999999</v>
      </c>
      <c r="F60" s="156"/>
      <c r="G60" s="156"/>
      <c r="H60" s="156"/>
      <c r="I60" s="156"/>
      <c r="J60" s="156"/>
      <c r="K60" s="156"/>
      <c r="L60" s="156"/>
      <c r="M60" s="156"/>
      <c r="N60" s="156"/>
    </row>
    <row r="61" spans="2:14">
      <c r="B61" s="177" t="s">
        <v>737</v>
      </c>
      <c r="C61" s="516">
        <v>199.98</v>
      </c>
      <c r="D61" s="516">
        <f>(C61+E61)/2</f>
        <v>448.04555555555555</v>
      </c>
      <c r="E61" s="516">
        <f>E35+E37</f>
        <v>696.11111111111109</v>
      </c>
      <c r="F61" s="156"/>
      <c r="G61" s="156"/>
      <c r="H61" s="156"/>
      <c r="I61" s="156"/>
      <c r="J61" s="156"/>
      <c r="K61" s="156"/>
      <c r="L61" s="156"/>
      <c r="M61" s="156"/>
      <c r="N61" s="156"/>
    </row>
    <row r="62" spans="2:14" ht="15.75" thickBot="1">
      <c r="B62" s="488" t="s">
        <v>395</v>
      </c>
      <c r="C62" s="489">
        <f>SUM(C57:C61)</f>
        <v>555.69000000000005</v>
      </c>
      <c r="D62" s="489">
        <f t="shared" ref="D62:E62" si="2">SUM(D57:D61)</f>
        <v>1488.9175555555557</v>
      </c>
      <c r="E62" s="489">
        <f t="shared" si="2"/>
        <v>2110.2247777777775</v>
      </c>
      <c r="F62" s="156"/>
      <c r="G62" s="156"/>
      <c r="H62" s="156"/>
      <c r="I62" s="156"/>
      <c r="J62" s="156"/>
      <c r="K62" s="156"/>
      <c r="L62" s="156"/>
      <c r="M62" s="156"/>
      <c r="N62" s="156"/>
    </row>
    <row r="63" spans="2:14" ht="15.75" thickTop="1">
      <c r="B63" s="156"/>
      <c r="C63" s="156"/>
      <c r="D63" s="156"/>
      <c r="E63" s="156"/>
      <c r="F63" s="156"/>
      <c r="G63" s="156"/>
      <c r="H63" s="156"/>
      <c r="I63" s="156"/>
      <c r="J63" s="156"/>
      <c r="K63" s="156"/>
      <c r="L63" s="156"/>
      <c r="M63" s="156"/>
      <c r="N63" s="156"/>
    </row>
    <row r="64" spans="2:14">
      <c r="B64" s="517" t="s">
        <v>738</v>
      </c>
      <c r="C64" s="156"/>
      <c r="D64" s="156"/>
      <c r="E64" s="156"/>
      <c r="F64" s="156"/>
      <c r="G64" s="156"/>
      <c r="H64" s="156"/>
      <c r="I64" s="156"/>
      <c r="J64" s="156"/>
      <c r="K64" s="156"/>
      <c r="L64" s="156"/>
      <c r="M64" s="156"/>
      <c r="N64" s="156"/>
    </row>
    <row r="65" spans="16:28">
      <c r="P65" s="156"/>
      <c r="Q65" s="156"/>
      <c r="R65" s="156"/>
      <c r="S65" s="156"/>
      <c r="T65" s="156"/>
      <c r="U65" s="156"/>
      <c r="V65" s="156"/>
      <c r="W65" s="156"/>
      <c r="X65" s="156"/>
      <c r="Y65" s="156"/>
      <c r="Z65" s="156"/>
      <c r="AA65" s="156"/>
      <c r="AB65" s="156"/>
    </row>
    <row r="66" spans="16:28">
      <c r="P66" s="156"/>
      <c r="Q66" s="156"/>
      <c r="R66" s="156"/>
      <c r="S66" s="156"/>
      <c r="T66" s="156"/>
      <c r="U66" s="156"/>
      <c r="V66" s="156"/>
      <c r="W66" s="156"/>
      <c r="X66" s="156"/>
      <c r="Y66" s="156"/>
      <c r="Z66" s="156"/>
      <c r="AA66" s="156"/>
      <c r="AB66" s="156"/>
    </row>
    <row r="67" spans="16:28">
      <c r="P67" s="156"/>
      <c r="Q67" s="156"/>
      <c r="R67" s="156"/>
      <c r="S67" s="156"/>
      <c r="T67" s="156"/>
      <c r="U67" s="156"/>
      <c r="V67" s="156"/>
      <c r="W67" s="156"/>
      <c r="X67" s="156"/>
      <c r="Y67" s="156"/>
      <c r="Z67" s="156"/>
      <c r="AA67" s="156"/>
      <c r="AB67" s="156"/>
    </row>
  </sheetData>
  <pageMargins left="0.7" right="0.7" top="0.75" bottom="0.75" header="0.3" footer="0.3"/>
  <pageSetup paperSize="9" orientation="portrait" r:id="rId1"/>
  <headerFooter>
    <oddFooter>&amp;C_x000D_&amp;1#&amp;"Calibri"&amp;10&amp;K000000 ISC - Uso INTERNO / INTERNAL Use</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2910-2574-45A5-BB45-D79209FE59A1}">
  <sheetPr>
    <tabColor theme="7"/>
  </sheetPr>
  <dimension ref="B4:F24"/>
  <sheetViews>
    <sheetView showGridLines="0" workbookViewId="0">
      <selection activeCell="L36" sqref="L36"/>
    </sheetView>
  </sheetViews>
  <sheetFormatPr defaultColWidth="8.85546875" defaultRowHeight="15"/>
  <cols>
    <col min="2" max="2" width="34.5703125" customWidth="1"/>
    <col min="3" max="3" width="11.5703125" customWidth="1"/>
    <col min="14" max="14" width="36.5703125" bestFit="1" customWidth="1"/>
  </cols>
  <sheetData>
    <row r="4" spans="2:6" ht="23.25">
      <c r="B4" s="381" t="s">
        <v>36</v>
      </c>
    </row>
    <row r="6" spans="2:6">
      <c r="B6" s="8" t="s">
        <v>739</v>
      </c>
    </row>
    <row r="7" spans="2:6">
      <c r="B7" s="243" t="s">
        <v>58</v>
      </c>
      <c r="C7" s="243">
        <v>2030</v>
      </c>
      <c r="D7" s="243">
        <v>2040</v>
      </c>
      <c r="E7" s="243">
        <v>2050</v>
      </c>
    </row>
    <row r="8" spans="2:6">
      <c r="B8" t="s">
        <v>693</v>
      </c>
      <c r="C8" s="32">
        <v>456.74324324324317</v>
      </c>
      <c r="D8" s="32">
        <v>456.74324324324317</v>
      </c>
      <c r="E8" s="32">
        <v>456.74324324324317</v>
      </c>
    </row>
    <row r="9" spans="2:6">
      <c r="B9" t="s">
        <v>740</v>
      </c>
      <c r="C9" s="32">
        <v>228.20720720720715</v>
      </c>
      <c r="D9" s="32">
        <v>228.20720720720715</v>
      </c>
      <c r="E9" s="32">
        <v>228.20720720720715</v>
      </c>
    </row>
    <row r="10" spans="2:6">
      <c r="B10" t="s">
        <v>741</v>
      </c>
      <c r="C10" s="32">
        <v>116.73423423423422</v>
      </c>
      <c r="D10" s="32">
        <v>116.73423423423422</v>
      </c>
      <c r="E10" s="32">
        <v>116.73423423423422</v>
      </c>
    </row>
    <row r="11" spans="2:6">
      <c r="B11" t="s">
        <v>697</v>
      </c>
      <c r="C11" s="32">
        <v>1420.5405405405404</v>
      </c>
      <c r="D11" s="32">
        <v>1088.638545087143</v>
      </c>
      <c r="E11" s="32">
        <v>1088.638545087143</v>
      </c>
    </row>
    <row r="12" spans="2:6">
      <c r="B12" t="s">
        <v>742</v>
      </c>
      <c r="C12" s="32">
        <v>63.160899999999998</v>
      </c>
      <c r="D12" s="32">
        <v>63.160899999999998</v>
      </c>
      <c r="E12" s="32">
        <v>63.160899999999998</v>
      </c>
    </row>
    <row r="13" spans="2:6">
      <c r="B13" t="s">
        <v>743</v>
      </c>
      <c r="C13" s="32">
        <v>336.3112857142857</v>
      </c>
      <c r="D13" s="32">
        <v>336.3112857142857</v>
      </c>
      <c r="E13" s="32">
        <v>336.3112857142857</v>
      </c>
    </row>
    <row r="14" spans="2:6">
      <c r="B14" t="s">
        <v>744</v>
      </c>
      <c r="C14" s="32">
        <v>380</v>
      </c>
      <c r="D14" s="32">
        <v>380</v>
      </c>
      <c r="E14" s="32">
        <v>380</v>
      </c>
      <c r="F14" t="s">
        <v>745</v>
      </c>
    </row>
    <row r="15" spans="2:6">
      <c r="B15" s="198" t="s">
        <v>746</v>
      </c>
      <c r="C15" s="241">
        <v>110</v>
      </c>
      <c r="D15" s="241">
        <v>110</v>
      </c>
      <c r="E15" s="241">
        <v>110</v>
      </c>
    </row>
    <row r="16" spans="2:6">
      <c r="B16" s="379" t="s">
        <v>395</v>
      </c>
      <c r="C16" s="380">
        <f>SUM(C8:C15)</f>
        <v>3111.6974109395101</v>
      </c>
      <c r="D16" s="380">
        <f t="shared" ref="D16:E16" si="0">SUM(D8:D15)</f>
        <v>2779.7954154861131</v>
      </c>
      <c r="E16" s="380">
        <f t="shared" si="0"/>
        <v>2779.7954154861131</v>
      </c>
    </row>
    <row r="18" spans="2:5">
      <c r="B18" s="8" t="s">
        <v>747</v>
      </c>
    </row>
    <row r="19" spans="2:5">
      <c r="B19" s="266" t="s">
        <v>150</v>
      </c>
      <c r="C19" s="266">
        <v>2030</v>
      </c>
      <c r="D19" s="266">
        <v>2040</v>
      </c>
      <c r="E19" s="266">
        <v>2050</v>
      </c>
    </row>
    <row r="20" spans="2:5">
      <c r="B20" t="s">
        <v>748</v>
      </c>
      <c r="C20" s="32">
        <v>379.16923423423418</v>
      </c>
      <c r="D20" s="32">
        <v>387.19923423423421</v>
      </c>
      <c r="E20" s="32">
        <v>387.19923423423421</v>
      </c>
    </row>
    <row r="21" spans="2:5">
      <c r="B21" t="s">
        <v>749</v>
      </c>
      <c r="C21" s="32">
        <v>221.31166666666664</v>
      </c>
      <c r="D21" s="32">
        <v>200.45076576576577</v>
      </c>
      <c r="E21" s="32">
        <v>200.45076576576577</v>
      </c>
    </row>
    <row r="22" spans="2:5">
      <c r="B22" t="s">
        <v>750</v>
      </c>
      <c r="C22" s="32">
        <v>479.26966292134836</v>
      </c>
      <c r="D22" s="32">
        <v>473.44262295081967</v>
      </c>
      <c r="E22" s="32">
        <v>473.44262295081967</v>
      </c>
    </row>
    <row r="23" spans="2:5">
      <c r="B23" s="198" t="s">
        <v>751</v>
      </c>
      <c r="C23" s="241">
        <v>385.81148564294637</v>
      </c>
      <c r="D23" s="241">
        <v>403.25683060109293</v>
      </c>
      <c r="E23" s="241">
        <v>403.25683060109293</v>
      </c>
    </row>
    <row r="24" spans="2:5">
      <c r="B24" s="379" t="s">
        <v>395</v>
      </c>
      <c r="C24" s="380">
        <f t="shared" ref="C24:E24" si="1">SUM(C20:C23)</f>
        <v>1465.5620494651955</v>
      </c>
      <c r="D24" s="380">
        <f t="shared" si="1"/>
        <v>1464.3494535519126</v>
      </c>
      <c r="E24" s="380">
        <f t="shared" si="1"/>
        <v>1464.3494535519126</v>
      </c>
    </row>
  </sheetData>
  <pageMargins left="0.7" right="0.7" top="0.75" bottom="0.75" header="0.3" footer="0.3"/>
  <pageSetup orientation="portrait" r:id="rId1"/>
  <headerFooter>
    <oddFooter>&amp;C_x000D_&amp;1#&amp;"Calibri"&amp;10&amp;K000000 ISC - Uso INTERNO / INTERNAL Use</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DCB9-854C-4637-94CC-BABF961D9B2A}">
  <sheetPr>
    <tabColor theme="7"/>
  </sheetPr>
  <dimension ref="A1:AH127"/>
  <sheetViews>
    <sheetView showGridLines="0" topLeftCell="P24" zoomScaleNormal="100" workbookViewId="0">
      <selection activeCell="K68" sqref="K68"/>
    </sheetView>
  </sheetViews>
  <sheetFormatPr defaultColWidth="8.85546875" defaultRowHeight="15"/>
  <cols>
    <col min="4" max="4" width="30.140625" bestFit="1" customWidth="1"/>
    <col min="5" max="5" width="11.5703125" bestFit="1" customWidth="1"/>
    <col min="6" max="6" width="12" bestFit="1" customWidth="1"/>
    <col min="15" max="15" width="14.7109375" customWidth="1"/>
    <col min="16" max="16" width="6" bestFit="1" customWidth="1"/>
    <col min="17" max="17" width="30.140625" bestFit="1" customWidth="1"/>
    <col min="18" max="18" width="32.5703125" bestFit="1" customWidth="1"/>
    <col min="19" max="19" width="24.42578125" bestFit="1" customWidth="1"/>
    <col min="20" max="20" width="28.42578125" bestFit="1" customWidth="1"/>
    <col min="21" max="21" width="24.42578125" bestFit="1" customWidth="1"/>
    <col min="22" max="22" width="28.42578125" bestFit="1" customWidth="1"/>
    <col min="23" max="23" width="24.42578125" bestFit="1" customWidth="1"/>
    <col min="24" max="24" width="28.42578125" bestFit="1" customWidth="1"/>
    <col min="30" max="30" width="16" customWidth="1"/>
    <col min="31" max="34" width="14.5703125" customWidth="1"/>
  </cols>
  <sheetData>
    <row r="1" spans="1:24" ht="23.25">
      <c r="B1" s="382" t="s">
        <v>752</v>
      </c>
    </row>
    <row r="2" spans="1:24">
      <c r="A2" s="156"/>
      <c r="B2" s="156"/>
      <c r="C2" s="156"/>
      <c r="D2" s="156"/>
      <c r="E2" s="156"/>
      <c r="F2" s="156"/>
      <c r="G2" s="156"/>
      <c r="H2" s="156"/>
      <c r="I2" s="156"/>
      <c r="M2" s="391"/>
      <c r="N2" s="156"/>
    </row>
    <row r="3" spans="1:24">
      <c r="A3" s="156"/>
      <c r="B3" s="156" t="s">
        <v>753</v>
      </c>
      <c r="C3" s="156"/>
      <c r="D3" s="156"/>
      <c r="E3" s="156"/>
      <c r="F3" s="156"/>
      <c r="G3" s="156"/>
      <c r="H3" s="156"/>
      <c r="I3" s="156"/>
      <c r="N3" s="156"/>
    </row>
    <row r="4" spans="1:24">
      <c r="A4" s="156"/>
      <c r="B4" s="156"/>
      <c r="C4" s="156"/>
      <c r="D4" s="156"/>
      <c r="E4" s="156"/>
      <c r="F4" s="156"/>
      <c r="G4" s="156"/>
      <c r="H4" s="156"/>
      <c r="I4" s="156"/>
      <c r="N4" s="156"/>
    </row>
    <row r="5" spans="1:24" ht="15.75" thickBot="1">
      <c r="A5" s="478" t="s">
        <v>754</v>
      </c>
      <c r="B5" s="156"/>
      <c r="C5" s="156"/>
      <c r="D5" s="156"/>
      <c r="I5" s="156"/>
      <c r="M5" s="156"/>
      <c r="N5" s="156"/>
      <c r="P5" s="8" t="s">
        <v>755</v>
      </c>
    </row>
    <row r="6" spans="1:24" ht="15.75">
      <c r="A6" s="392" t="s">
        <v>756</v>
      </c>
      <c r="B6" s="392" t="s">
        <v>691</v>
      </c>
      <c r="C6" s="392" t="s">
        <v>692</v>
      </c>
      <c r="D6" s="392" t="s">
        <v>757</v>
      </c>
      <c r="G6" s="391"/>
      <c r="H6" s="156"/>
      <c r="M6" s="156"/>
      <c r="N6" s="156"/>
      <c r="P6" s="535"/>
      <c r="Q6" s="536"/>
      <c r="R6" s="536"/>
      <c r="S6" s="669" t="s">
        <v>758</v>
      </c>
      <c r="T6" s="670"/>
      <c r="U6" s="669" t="s">
        <v>375</v>
      </c>
      <c r="V6" s="670"/>
      <c r="W6" s="669" t="s">
        <v>145</v>
      </c>
      <c r="X6" s="670"/>
    </row>
    <row r="7" spans="1:24" ht="15.75">
      <c r="A7" s="519">
        <v>2030</v>
      </c>
      <c r="B7" s="519" t="s">
        <v>729</v>
      </c>
      <c r="C7" s="519"/>
      <c r="D7" s="520">
        <v>70</v>
      </c>
      <c r="H7" s="156"/>
      <c r="M7" s="156"/>
      <c r="N7" s="156"/>
      <c r="P7" s="537" t="s">
        <v>756</v>
      </c>
      <c r="Q7" s="538" t="s">
        <v>759</v>
      </c>
      <c r="R7" s="538" t="s">
        <v>547</v>
      </c>
      <c r="S7" s="523" t="s">
        <v>760</v>
      </c>
      <c r="T7" s="524" t="s">
        <v>761</v>
      </c>
      <c r="U7" s="523" t="s">
        <v>760</v>
      </c>
      <c r="V7" s="524" t="s">
        <v>761</v>
      </c>
      <c r="W7" s="523" t="s">
        <v>760</v>
      </c>
      <c r="X7" s="524" t="s">
        <v>761</v>
      </c>
    </row>
    <row r="8" spans="1:24">
      <c r="A8" s="519">
        <v>2030</v>
      </c>
      <c r="B8" s="519" t="s">
        <v>762</v>
      </c>
      <c r="C8" s="519" t="s">
        <v>763</v>
      </c>
      <c r="D8" s="520">
        <v>63</v>
      </c>
      <c r="H8" s="156"/>
      <c r="P8" s="539">
        <v>2030</v>
      </c>
      <c r="Q8" s="540" t="s">
        <v>764</v>
      </c>
      <c r="R8" s="541" t="s">
        <v>765</v>
      </c>
      <c r="S8" s="525"/>
      <c r="T8" s="526">
        <v>0</v>
      </c>
      <c r="U8" s="525"/>
      <c r="V8" s="526"/>
      <c r="W8" s="525"/>
      <c r="X8" s="526"/>
    </row>
    <row r="9" spans="1:24">
      <c r="A9" s="519">
        <v>2030</v>
      </c>
      <c r="B9" s="519" t="s">
        <v>766</v>
      </c>
      <c r="C9" s="519" t="s">
        <v>763</v>
      </c>
      <c r="D9" s="520">
        <v>63</v>
      </c>
      <c r="G9" s="156"/>
      <c r="H9" s="156"/>
      <c r="P9" s="539">
        <v>2030</v>
      </c>
      <c r="Q9" s="540" t="s">
        <v>767</v>
      </c>
      <c r="R9" s="541" t="s">
        <v>765</v>
      </c>
      <c r="S9" s="525"/>
      <c r="T9" s="526">
        <v>0</v>
      </c>
      <c r="U9" s="525"/>
      <c r="V9" s="526"/>
      <c r="W9" s="525"/>
      <c r="X9" s="526"/>
    </row>
    <row r="10" spans="1:24">
      <c r="A10" s="519">
        <v>2030</v>
      </c>
      <c r="B10" s="519" t="s">
        <v>762</v>
      </c>
      <c r="C10" s="519" t="s">
        <v>768</v>
      </c>
      <c r="D10" s="520">
        <v>63</v>
      </c>
      <c r="G10" s="156"/>
      <c r="H10" s="156"/>
      <c r="P10" s="542">
        <v>2030</v>
      </c>
      <c r="Q10" s="527" t="s">
        <v>769</v>
      </c>
      <c r="R10" s="528" t="s">
        <v>765</v>
      </c>
      <c r="S10" s="529"/>
      <c r="T10" s="530">
        <v>0</v>
      </c>
      <c r="U10" s="529"/>
      <c r="V10" s="530"/>
      <c r="W10" s="529"/>
      <c r="X10" s="530"/>
    </row>
    <row r="11" spans="1:24">
      <c r="A11" s="519">
        <v>2030</v>
      </c>
      <c r="B11" s="519" t="s">
        <v>23</v>
      </c>
      <c r="C11" s="519" t="s">
        <v>191</v>
      </c>
      <c r="D11" s="520">
        <v>48</v>
      </c>
      <c r="G11" s="156"/>
      <c r="H11" s="156"/>
      <c r="P11" s="543">
        <v>2030</v>
      </c>
      <c r="Q11" s="531" t="s">
        <v>770</v>
      </c>
      <c r="R11" s="532" t="s">
        <v>765</v>
      </c>
      <c r="S11" s="533"/>
      <c r="T11" s="534">
        <v>0</v>
      </c>
      <c r="U11" s="533"/>
      <c r="V11" s="534"/>
      <c r="W11" s="533"/>
      <c r="X11" s="534"/>
    </row>
    <row r="12" spans="1:24">
      <c r="A12" s="519">
        <v>2030</v>
      </c>
      <c r="B12" s="519" t="s">
        <v>771</v>
      </c>
      <c r="C12" s="519" t="s">
        <v>772</v>
      </c>
      <c r="D12" s="520">
        <v>78</v>
      </c>
      <c r="P12" s="542">
        <v>2030</v>
      </c>
      <c r="Q12" s="527" t="s">
        <v>773</v>
      </c>
      <c r="R12" s="528" t="s">
        <v>765</v>
      </c>
      <c r="S12" s="529" t="s">
        <v>774</v>
      </c>
      <c r="T12" s="530">
        <v>36090</v>
      </c>
      <c r="U12" s="529"/>
      <c r="V12" s="530"/>
      <c r="W12" s="529"/>
      <c r="X12" s="530"/>
    </row>
    <row r="13" spans="1:24">
      <c r="A13" s="519">
        <v>2030</v>
      </c>
      <c r="B13" s="519" t="s">
        <v>771</v>
      </c>
      <c r="C13" s="519" t="s">
        <v>775</v>
      </c>
      <c r="D13" s="520">
        <v>78</v>
      </c>
      <c r="P13" s="543">
        <v>2030</v>
      </c>
      <c r="Q13" s="531" t="s">
        <v>776</v>
      </c>
      <c r="R13" s="532" t="s">
        <v>765</v>
      </c>
      <c r="S13" s="533"/>
      <c r="T13" s="534">
        <v>0</v>
      </c>
      <c r="U13" s="533"/>
      <c r="V13" s="534"/>
      <c r="W13" s="533"/>
      <c r="X13" s="534"/>
    </row>
    <row r="14" spans="1:24">
      <c r="A14" s="519">
        <v>2030</v>
      </c>
      <c r="B14" s="519" t="s">
        <v>771</v>
      </c>
      <c r="C14" s="519" t="s">
        <v>777</v>
      </c>
      <c r="D14" s="520">
        <v>78</v>
      </c>
      <c r="P14" s="542">
        <v>2030</v>
      </c>
      <c r="Q14" s="527" t="s">
        <v>778</v>
      </c>
      <c r="R14" s="528" t="s">
        <v>765</v>
      </c>
      <c r="S14" s="529" t="s">
        <v>774</v>
      </c>
      <c r="T14" s="530">
        <v>45300</v>
      </c>
      <c r="U14" s="529"/>
      <c r="V14" s="530"/>
      <c r="W14" s="529"/>
      <c r="X14" s="530"/>
    </row>
    <row r="15" spans="1:24">
      <c r="A15" s="389">
        <v>2035</v>
      </c>
      <c r="B15" s="389" t="s">
        <v>729</v>
      </c>
      <c r="C15" s="389"/>
      <c r="D15" s="390">
        <f>(D24+D7)/2</f>
        <v>63.25</v>
      </c>
      <c r="P15" s="543">
        <v>2030</v>
      </c>
      <c r="Q15" s="531" t="s">
        <v>779</v>
      </c>
      <c r="R15" s="532" t="s">
        <v>765</v>
      </c>
      <c r="S15" s="533"/>
      <c r="T15" s="534">
        <v>0</v>
      </c>
      <c r="U15" s="533"/>
      <c r="V15" s="534"/>
      <c r="W15" s="533"/>
      <c r="X15" s="534"/>
    </row>
    <row r="16" spans="1:24">
      <c r="A16" s="389">
        <v>2035</v>
      </c>
      <c r="B16" s="389" t="s">
        <v>762</v>
      </c>
      <c r="C16" s="389" t="s">
        <v>763</v>
      </c>
      <c r="D16" s="390">
        <v>52.5</v>
      </c>
      <c r="P16" s="542">
        <v>2030</v>
      </c>
      <c r="Q16" s="527" t="s">
        <v>780</v>
      </c>
      <c r="R16" s="528" t="s">
        <v>765</v>
      </c>
      <c r="S16" s="529"/>
      <c r="T16" s="530">
        <v>0</v>
      </c>
      <c r="U16" s="529"/>
      <c r="V16" s="530"/>
      <c r="W16" s="529"/>
      <c r="X16" s="530"/>
    </row>
    <row r="17" spans="1:34">
      <c r="A17" s="389">
        <v>2035</v>
      </c>
      <c r="B17" s="389" t="s">
        <v>766</v>
      </c>
      <c r="C17" s="389" t="s">
        <v>763</v>
      </c>
      <c r="D17" s="390">
        <v>52.5</v>
      </c>
      <c r="I17" s="156"/>
      <c r="P17" s="543">
        <v>2030</v>
      </c>
      <c r="Q17" s="531" t="s">
        <v>781</v>
      </c>
      <c r="R17" s="532" t="s">
        <v>765</v>
      </c>
      <c r="S17" s="533"/>
      <c r="T17" s="534">
        <v>0</v>
      </c>
      <c r="U17" s="533"/>
      <c r="V17" s="534"/>
      <c r="W17" s="533"/>
      <c r="X17" s="534"/>
    </row>
    <row r="18" spans="1:34">
      <c r="A18" s="389">
        <v>2035</v>
      </c>
      <c r="B18" s="389" t="s">
        <v>762</v>
      </c>
      <c r="C18" s="389" t="s">
        <v>768</v>
      </c>
      <c r="D18" s="390">
        <v>52.5</v>
      </c>
      <c r="I18" s="156"/>
      <c r="P18" s="542">
        <v>2030</v>
      </c>
      <c r="Q18" s="527" t="s">
        <v>782</v>
      </c>
      <c r="R18" s="528" t="s">
        <v>765</v>
      </c>
      <c r="S18" s="529"/>
      <c r="T18" s="530">
        <v>0</v>
      </c>
      <c r="U18" s="529"/>
      <c r="V18" s="530"/>
      <c r="W18" s="529"/>
      <c r="X18" s="530"/>
    </row>
    <row r="19" spans="1:34">
      <c r="A19" s="389">
        <v>2035</v>
      </c>
      <c r="B19" s="389" t="s">
        <v>23</v>
      </c>
      <c r="C19" s="389" t="s">
        <v>191</v>
      </c>
      <c r="D19" s="390">
        <v>48</v>
      </c>
      <c r="I19" s="156"/>
      <c r="P19" s="543">
        <v>2030</v>
      </c>
      <c r="Q19" s="531" t="s">
        <v>783</v>
      </c>
      <c r="R19" s="532" t="s">
        <v>765</v>
      </c>
      <c r="S19" s="533"/>
      <c r="T19" s="534">
        <v>0</v>
      </c>
      <c r="U19" s="533"/>
      <c r="V19" s="534"/>
      <c r="W19" s="533"/>
      <c r="X19" s="534"/>
    </row>
    <row r="20" spans="1:34">
      <c r="A20" s="389">
        <v>2035</v>
      </c>
      <c r="B20" s="389" t="s">
        <v>23</v>
      </c>
      <c r="C20" s="389" t="s">
        <v>784</v>
      </c>
      <c r="D20" s="390">
        <v>48</v>
      </c>
      <c r="I20" s="156"/>
      <c r="P20" s="542">
        <v>2030</v>
      </c>
      <c r="Q20" s="527" t="s">
        <v>785</v>
      </c>
      <c r="R20" s="528" t="s">
        <v>765</v>
      </c>
      <c r="S20" s="529"/>
      <c r="T20" s="530">
        <v>0</v>
      </c>
      <c r="U20" s="529"/>
      <c r="V20" s="530"/>
      <c r="W20" s="529"/>
      <c r="X20" s="530"/>
    </row>
    <row r="21" spans="1:34">
      <c r="A21" s="389">
        <v>2035</v>
      </c>
      <c r="B21" s="389" t="s">
        <v>771</v>
      </c>
      <c r="C21" s="389" t="s">
        <v>772</v>
      </c>
      <c r="D21" s="390">
        <v>64.5</v>
      </c>
      <c r="I21" s="156"/>
      <c r="P21" s="543">
        <v>2030</v>
      </c>
      <c r="Q21" s="531" t="s">
        <v>786</v>
      </c>
      <c r="R21" s="532" t="s">
        <v>765</v>
      </c>
      <c r="S21" s="533"/>
      <c r="T21" s="534">
        <v>0</v>
      </c>
      <c r="U21" s="533"/>
      <c r="V21" s="534"/>
      <c r="W21" s="533"/>
      <c r="X21" s="534"/>
    </row>
    <row r="22" spans="1:34">
      <c r="A22" s="389">
        <v>2035</v>
      </c>
      <c r="B22" s="389" t="s">
        <v>771</v>
      </c>
      <c r="C22" s="389" t="s">
        <v>775</v>
      </c>
      <c r="D22" s="390">
        <v>64.5</v>
      </c>
      <c r="I22" s="156"/>
      <c r="P22" s="542">
        <v>2030</v>
      </c>
      <c r="Q22" s="527" t="s">
        <v>787</v>
      </c>
      <c r="R22" s="528" t="s">
        <v>765</v>
      </c>
      <c r="S22" s="529" t="s">
        <v>774</v>
      </c>
      <c r="T22" s="530">
        <v>26280</v>
      </c>
      <c r="U22" s="529"/>
      <c r="V22" s="530"/>
      <c r="W22" s="529"/>
      <c r="X22" s="530"/>
    </row>
    <row r="23" spans="1:34">
      <c r="A23" s="389">
        <v>2035</v>
      </c>
      <c r="B23" s="389" t="s">
        <v>771</v>
      </c>
      <c r="C23" s="389" t="s">
        <v>777</v>
      </c>
      <c r="D23" s="390">
        <v>64.5</v>
      </c>
      <c r="I23" s="156"/>
      <c r="P23" s="543">
        <v>2030</v>
      </c>
      <c r="Q23" s="531" t="s">
        <v>788</v>
      </c>
      <c r="R23" s="532" t="s">
        <v>765</v>
      </c>
      <c r="S23" s="533"/>
      <c r="T23" s="534">
        <v>0</v>
      </c>
      <c r="U23" s="533"/>
      <c r="V23" s="534"/>
      <c r="W23" s="533"/>
      <c r="X23" s="534"/>
    </row>
    <row r="24" spans="1:34">
      <c r="A24" s="519">
        <v>2040</v>
      </c>
      <c r="B24" s="519" t="s">
        <v>729</v>
      </c>
      <c r="C24" s="519"/>
      <c r="D24" s="520">
        <v>56.5</v>
      </c>
      <c r="I24" s="156"/>
      <c r="P24" s="542">
        <v>2030</v>
      </c>
      <c r="Q24" s="527" t="s">
        <v>789</v>
      </c>
      <c r="R24" s="528" t="s">
        <v>790</v>
      </c>
      <c r="S24" s="529" t="s">
        <v>774</v>
      </c>
      <c r="T24" s="530">
        <v>20000</v>
      </c>
      <c r="U24" s="529"/>
      <c r="V24" s="530"/>
      <c r="W24" s="529"/>
      <c r="X24" s="530"/>
    </row>
    <row r="25" spans="1:34">
      <c r="A25" s="519">
        <v>2040</v>
      </c>
      <c r="B25" s="519" t="s">
        <v>762</v>
      </c>
      <c r="C25" s="519" t="s">
        <v>763</v>
      </c>
      <c r="D25" s="520">
        <v>42</v>
      </c>
      <c r="I25" s="156"/>
      <c r="P25" s="543">
        <v>2030</v>
      </c>
      <c r="Q25" s="531" t="s">
        <v>791</v>
      </c>
      <c r="R25" s="532" t="s">
        <v>790</v>
      </c>
      <c r="S25" s="533"/>
      <c r="T25" s="534">
        <v>0</v>
      </c>
      <c r="U25" s="533"/>
      <c r="V25" s="534"/>
      <c r="W25" s="533"/>
      <c r="X25" s="534"/>
    </row>
    <row r="26" spans="1:34">
      <c r="A26" s="519">
        <v>2040</v>
      </c>
      <c r="B26" s="519" t="s">
        <v>766</v>
      </c>
      <c r="C26" s="519" t="s">
        <v>763</v>
      </c>
      <c r="D26" s="520">
        <v>42</v>
      </c>
      <c r="I26" s="156"/>
      <c r="P26" s="542">
        <v>2030</v>
      </c>
      <c r="Q26" s="527" t="s">
        <v>792</v>
      </c>
      <c r="R26" s="528" t="s">
        <v>790</v>
      </c>
      <c r="S26" s="529" t="s">
        <v>774</v>
      </c>
      <c r="T26" s="530">
        <v>5000</v>
      </c>
      <c r="U26" s="529"/>
      <c r="V26" s="530"/>
      <c r="W26" s="529"/>
      <c r="X26" s="530"/>
    </row>
    <row r="27" spans="1:34">
      <c r="A27" s="519">
        <v>2040</v>
      </c>
      <c r="B27" s="519" t="s">
        <v>762</v>
      </c>
      <c r="C27" s="519" t="s">
        <v>768</v>
      </c>
      <c r="D27" s="520">
        <v>42</v>
      </c>
      <c r="I27" s="156"/>
      <c r="P27" s="543">
        <v>2030</v>
      </c>
      <c r="Q27" s="531" t="s">
        <v>793</v>
      </c>
      <c r="R27" s="532" t="s">
        <v>790</v>
      </c>
      <c r="S27" s="533"/>
      <c r="T27" s="534">
        <v>0</v>
      </c>
      <c r="U27" s="533"/>
      <c r="V27" s="534"/>
      <c r="W27" s="533"/>
      <c r="X27" s="534"/>
    </row>
    <row r="28" spans="1:34">
      <c r="A28" s="519">
        <v>2040</v>
      </c>
      <c r="B28" s="519" t="s">
        <v>23</v>
      </c>
      <c r="C28" s="519" t="s">
        <v>191</v>
      </c>
      <c r="D28" s="520">
        <v>48</v>
      </c>
      <c r="I28" s="156"/>
      <c r="P28" s="542">
        <v>2030</v>
      </c>
      <c r="Q28" s="527" t="s">
        <v>794</v>
      </c>
      <c r="R28" s="528" t="s">
        <v>790</v>
      </c>
      <c r="S28" s="529" t="s">
        <v>774</v>
      </c>
      <c r="T28" s="530">
        <v>5000</v>
      </c>
      <c r="U28" s="529"/>
      <c r="V28" s="530"/>
      <c r="W28" s="529"/>
      <c r="X28" s="530"/>
    </row>
    <row r="29" spans="1:34">
      <c r="A29" s="519">
        <v>2040</v>
      </c>
      <c r="B29" s="519" t="s">
        <v>23</v>
      </c>
      <c r="C29" s="519" t="s">
        <v>784</v>
      </c>
      <c r="D29" s="520">
        <v>48</v>
      </c>
      <c r="I29" s="156"/>
      <c r="P29" s="543">
        <v>2030</v>
      </c>
      <c r="Q29" s="531" t="s">
        <v>795</v>
      </c>
      <c r="R29" s="532" t="s">
        <v>790</v>
      </c>
      <c r="S29" s="533"/>
      <c r="T29" s="534">
        <v>0</v>
      </c>
      <c r="U29" s="533"/>
      <c r="V29" s="534"/>
      <c r="W29" s="533"/>
      <c r="X29" s="534"/>
      <c r="AD29" t="s">
        <v>796</v>
      </c>
    </row>
    <row r="30" spans="1:34">
      <c r="A30" s="519">
        <v>2040</v>
      </c>
      <c r="B30" s="519" t="s">
        <v>771</v>
      </c>
      <c r="C30" s="519" t="s">
        <v>772</v>
      </c>
      <c r="D30" s="520">
        <v>51</v>
      </c>
      <c r="I30" s="156"/>
      <c r="P30" s="542">
        <v>2030</v>
      </c>
      <c r="Q30" s="527" t="s">
        <v>797</v>
      </c>
      <c r="R30" s="528" t="s">
        <v>790</v>
      </c>
      <c r="S30" s="529" t="s">
        <v>774</v>
      </c>
      <c r="T30" s="530">
        <v>30000</v>
      </c>
      <c r="U30" s="529"/>
      <c r="V30" s="530"/>
      <c r="W30" s="529"/>
      <c r="X30" s="530"/>
      <c r="AE30">
        <v>2040</v>
      </c>
      <c r="AG30">
        <v>2050</v>
      </c>
    </row>
    <row r="31" spans="1:34">
      <c r="A31" s="519">
        <v>2040</v>
      </c>
      <c r="B31" s="519" t="s">
        <v>771</v>
      </c>
      <c r="C31" s="519" t="s">
        <v>775</v>
      </c>
      <c r="D31" s="520">
        <v>51</v>
      </c>
      <c r="I31" s="156"/>
      <c r="P31" s="543">
        <v>2030</v>
      </c>
      <c r="Q31" s="531" t="s">
        <v>798</v>
      </c>
      <c r="R31" s="532" t="s">
        <v>790</v>
      </c>
      <c r="S31" s="533"/>
      <c r="T31" s="534">
        <v>0</v>
      </c>
      <c r="U31" s="533"/>
      <c r="V31" s="534"/>
      <c r="W31" s="533"/>
      <c r="X31" s="534"/>
      <c r="AE31" t="s">
        <v>191</v>
      </c>
      <c r="AF31" t="s">
        <v>193</v>
      </c>
      <c r="AG31" t="s">
        <v>191</v>
      </c>
      <c r="AH31" t="s">
        <v>193</v>
      </c>
    </row>
    <row r="32" spans="1:34">
      <c r="A32" s="519">
        <v>2040</v>
      </c>
      <c r="B32" s="519" t="s">
        <v>771</v>
      </c>
      <c r="C32" s="519" t="s">
        <v>777</v>
      </c>
      <c r="D32" s="520">
        <v>51</v>
      </c>
      <c r="I32" s="156"/>
      <c r="P32" s="542">
        <v>2035</v>
      </c>
      <c r="Q32" s="527" t="s">
        <v>764</v>
      </c>
      <c r="R32" s="528" t="s">
        <v>765</v>
      </c>
      <c r="S32" s="529" t="s">
        <v>774</v>
      </c>
      <c r="T32" s="530">
        <v>17800</v>
      </c>
      <c r="U32" s="529">
        <v>36.421875</v>
      </c>
      <c r="V32" s="530">
        <v>22250</v>
      </c>
      <c r="W32" s="529">
        <v>42.328125</v>
      </c>
      <c r="X32" s="530">
        <v>13350</v>
      </c>
      <c r="AD32" t="s">
        <v>799</v>
      </c>
      <c r="AE32" s="454">
        <f>W56</f>
        <v>36.224999999999994</v>
      </c>
      <c r="AF32" s="454">
        <f>U56</f>
        <v>26.775000000000002</v>
      </c>
      <c r="AG32">
        <v>36</v>
      </c>
      <c r="AH32">
        <v>27</v>
      </c>
    </row>
    <row r="33" spans="1:34">
      <c r="A33" s="389">
        <v>2045</v>
      </c>
      <c r="B33" s="389" t="s">
        <v>729</v>
      </c>
      <c r="C33" s="389"/>
      <c r="D33" s="390">
        <f>D24</f>
        <v>56.5</v>
      </c>
      <c r="I33" s="156"/>
      <c r="P33" s="543">
        <v>2035</v>
      </c>
      <c r="Q33" s="531" t="s">
        <v>767</v>
      </c>
      <c r="R33" s="532" t="s">
        <v>765</v>
      </c>
      <c r="S33" s="533"/>
      <c r="T33" s="534">
        <v>0</v>
      </c>
      <c r="U33" s="533">
        <v>60.703125</v>
      </c>
      <c r="V33" s="534">
        <v>22250</v>
      </c>
      <c r="W33" s="533">
        <v>70.546875</v>
      </c>
      <c r="X33" s="534">
        <v>31150</v>
      </c>
      <c r="AD33" t="s">
        <v>693</v>
      </c>
      <c r="AE33" s="454">
        <f>AE32</f>
        <v>36.224999999999994</v>
      </c>
      <c r="AF33" s="454">
        <f>AF32</f>
        <v>26.775000000000002</v>
      </c>
      <c r="AG33">
        <v>36</v>
      </c>
      <c r="AH33">
        <v>27</v>
      </c>
    </row>
    <row r="34" spans="1:34">
      <c r="A34" s="389">
        <v>2045</v>
      </c>
      <c r="B34" s="389" t="s">
        <v>762</v>
      </c>
      <c r="C34" s="389" t="s">
        <v>763</v>
      </c>
      <c r="D34" s="390">
        <v>42</v>
      </c>
      <c r="I34" s="156"/>
      <c r="P34" s="542">
        <v>2035</v>
      </c>
      <c r="Q34" s="527" t="s">
        <v>769</v>
      </c>
      <c r="R34" s="528" t="s">
        <v>765</v>
      </c>
      <c r="S34" s="529" t="s">
        <v>774</v>
      </c>
      <c r="T34" s="530">
        <v>6600</v>
      </c>
      <c r="U34" s="529">
        <v>36.421875</v>
      </c>
      <c r="V34" s="530">
        <v>10000</v>
      </c>
      <c r="W34" s="529">
        <v>42.328125</v>
      </c>
      <c r="X34" s="530">
        <v>4950</v>
      </c>
      <c r="AD34" t="s">
        <v>712</v>
      </c>
      <c r="AE34" s="454">
        <f>W68</f>
        <v>43.987499999999997</v>
      </c>
      <c r="AF34" s="454">
        <f>U68</f>
        <v>32.512500000000003</v>
      </c>
      <c r="AG34">
        <v>59</v>
      </c>
      <c r="AH34">
        <v>43</v>
      </c>
    </row>
    <row r="35" spans="1:34">
      <c r="A35" s="389">
        <v>2045</v>
      </c>
      <c r="B35" s="389" t="s">
        <v>766</v>
      </c>
      <c r="C35" s="389" t="s">
        <v>763</v>
      </c>
      <c r="D35" s="390">
        <v>42</v>
      </c>
      <c r="I35" s="156"/>
      <c r="P35" s="543">
        <v>2035</v>
      </c>
      <c r="Q35" s="531" t="s">
        <v>770</v>
      </c>
      <c r="R35" s="532" t="s">
        <v>765</v>
      </c>
      <c r="S35" s="533"/>
      <c r="T35" s="534">
        <v>0</v>
      </c>
      <c r="U35" s="533">
        <v>60.703125</v>
      </c>
      <c r="V35" s="534">
        <v>10000</v>
      </c>
      <c r="W35" s="533">
        <v>70.546875</v>
      </c>
      <c r="X35" s="534">
        <v>15050</v>
      </c>
      <c r="AD35" t="s">
        <v>697</v>
      </c>
      <c r="AE35">
        <v>41</v>
      </c>
      <c r="AF35">
        <v>31</v>
      </c>
      <c r="AG35">
        <v>41</v>
      </c>
      <c r="AH35">
        <v>31</v>
      </c>
    </row>
    <row r="36" spans="1:34">
      <c r="A36" s="389">
        <v>2045</v>
      </c>
      <c r="B36" s="389" t="s">
        <v>762</v>
      </c>
      <c r="C36" s="389" t="s">
        <v>768</v>
      </c>
      <c r="D36" s="390">
        <v>42</v>
      </c>
      <c r="I36" s="156"/>
      <c r="P36" s="542">
        <v>2035</v>
      </c>
      <c r="Q36" s="527" t="s">
        <v>773</v>
      </c>
      <c r="R36" s="528" t="s">
        <v>765</v>
      </c>
      <c r="S36" s="529" t="s">
        <v>774</v>
      </c>
      <c r="T36" s="530">
        <v>78910</v>
      </c>
      <c r="U36" s="529">
        <v>36.421875</v>
      </c>
      <c r="V36" s="530">
        <v>82250</v>
      </c>
      <c r="W36" s="529">
        <v>42.328125</v>
      </c>
      <c r="X36" s="530">
        <v>49350</v>
      </c>
      <c r="AD36" t="s">
        <v>800</v>
      </c>
      <c r="AE36" s="454" t="str">
        <f>U72</f>
        <v>Fixed quantity</v>
      </c>
      <c r="AF36" s="454" t="str">
        <f>W72</f>
        <v>Fixed quantity</v>
      </c>
    </row>
    <row r="37" spans="1:34">
      <c r="A37" s="389">
        <v>2045</v>
      </c>
      <c r="B37" s="389" t="s">
        <v>23</v>
      </c>
      <c r="C37" s="389" t="s">
        <v>191</v>
      </c>
      <c r="D37" s="390">
        <v>48</v>
      </c>
      <c r="I37" s="156"/>
      <c r="P37" s="543">
        <v>2035</v>
      </c>
      <c r="Q37" s="531" t="s">
        <v>776</v>
      </c>
      <c r="R37" s="532" t="s">
        <v>765</v>
      </c>
      <c r="S37" s="533"/>
      <c r="T37" s="534">
        <v>0</v>
      </c>
      <c r="U37" s="533">
        <v>60.703125</v>
      </c>
      <c r="V37" s="534">
        <v>82250</v>
      </c>
      <c r="W37" s="533">
        <v>70.546875</v>
      </c>
      <c r="X37" s="534">
        <v>115150</v>
      </c>
    </row>
    <row r="38" spans="1:34">
      <c r="A38" s="389">
        <v>2045</v>
      </c>
      <c r="B38" s="389" t="s">
        <v>23</v>
      </c>
      <c r="C38" s="389" t="s">
        <v>784</v>
      </c>
      <c r="D38" s="390">
        <v>48</v>
      </c>
      <c r="I38" s="156"/>
      <c r="P38" s="542">
        <v>2035</v>
      </c>
      <c r="Q38" s="527" t="s">
        <v>778</v>
      </c>
      <c r="R38" s="528" t="s">
        <v>765</v>
      </c>
      <c r="S38" s="529" t="s">
        <v>774</v>
      </c>
      <c r="T38" s="530">
        <v>52850</v>
      </c>
      <c r="U38" s="529">
        <v>33.300000000000004</v>
      </c>
      <c r="V38" s="530">
        <v>75500</v>
      </c>
      <c r="W38" s="529">
        <v>38.699999999999996</v>
      </c>
      <c r="X38" s="530">
        <v>42800</v>
      </c>
      <c r="AD38" t="s">
        <v>801</v>
      </c>
      <c r="AE38" s="671">
        <v>2040</v>
      </c>
      <c r="AF38" s="671"/>
      <c r="AG38" s="671">
        <v>2050</v>
      </c>
      <c r="AH38" s="671"/>
    </row>
    <row r="39" spans="1:34">
      <c r="A39" s="389">
        <v>2045</v>
      </c>
      <c r="B39" s="389" t="s">
        <v>771</v>
      </c>
      <c r="C39" s="389" t="s">
        <v>772</v>
      </c>
      <c r="D39" s="390">
        <v>51</v>
      </c>
      <c r="I39" s="156"/>
      <c r="P39" s="543">
        <v>2035</v>
      </c>
      <c r="Q39" s="531" t="s">
        <v>779</v>
      </c>
      <c r="R39" s="532" t="s">
        <v>765</v>
      </c>
      <c r="S39" s="533"/>
      <c r="T39" s="534">
        <v>0</v>
      </c>
      <c r="U39" s="533">
        <v>55.5</v>
      </c>
      <c r="V39" s="534">
        <v>75500</v>
      </c>
      <c r="W39" s="533">
        <v>64.5</v>
      </c>
      <c r="X39" s="534">
        <v>108200</v>
      </c>
      <c r="AE39" t="s">
        <v>191</v>
      </c>
      <c r="AF39" t="s">
        <v>193</v>
      </c>
      <c r="AG39" t="s">
        <v>191</v>
      </c>
      <c r="AH39" t="s">
        <v>193</v>
      </c>
    </row>
    <row r="40" spans="1:34">
      <c r="A40" s="389">
        <v>2045</v>
      </c>
      <c r="B40" s="389" t="s">
        <v>771</v>
      </c>
      <c r="C40" s="389" t="s">
        <v>775</v>
      </c>
      <c r="D40" s="390">
        <v>51</v>
      </c>
      <c r="I40" s="156"/>
      <c r="P40" s="542">
        <v>2035</v>
      </c>
      <c r="Q40" s="527" t="s">
        <v>780</v>
      </c>
      <c r="R40" s="528" t="s">
        <v>765</v>
      </c>
      <c r="S40" s="529" t="s">
        <v>774</v>
      </c>
      <c r="T40" s="530">
        <v>14600</v>
      </c>
      <c r="U40" s="529">
        <v>33.300000000000004</v>
      </c>
      <c r="V40" s="530">
        <v>18250</v>
      </c>
      <c r="W40" s="529">
        <v>38.699999999999996</v>
      </c>
      <c r="X40" s="530">
        <v>10950</v>
      </c>
      <c r="AD40" t="s">
        <v>799</v>
      </c>
      <c r="AE40">
        <v>60</v>
      </c>
      <c r="AF40">
        <v>45</v>
      </c>
      <c r="AG40">
        <v>60</v>
      </c>
      <c r="AH40">
        <v>42</v>
      </c>
    </row>
    <row r="41" spans="1:34">
      <c r="A41" s="389">
        <v>2045</v>
      </c>
      <c r="B41" s="389" t="s">
        <v>771</v>
      </c>
      <c r="C41" s="389" t="s">
        <v>777</v>
      </c>
      <c r="D41" s="390">
        <v>51</v>
      </c>
      <c r="I41" s="156"/>
      <c r="P41" s="543">
        <v>2035</v>
      </c>
      <c r="Q41" s="531" t="s">
        <v>781</v>
      </c>
      <c r="R41" s="532" t="s">
        <v>765</v>
      </c>
      <c r="S41" s="533"/>
      <c r="T41" s="534">
        <v>0</v>
      </c>
      <c r="U41" s="533">
        <v>55.5</v>
      </c>
      <c r="V41" s="534">
        <v>18250</v>
      </c>
      <c r="W41" s="533">
        <v>64.5</v>
      </c>
      <c r="X41" s="534">
        <v>25550</v>
      </c>
      <c r="AD41" t="s">
        <v>693</v>
      </c>
      <c r="AE41">
        <v>60</v>
      </c>
      <c r="AF41">
        <v>45</v>
      </c>
      <c r="AG41">
        <v>60</v>
      </c>
      <c r="AH41">
        <v>42</v>
      </c>
    </row>
    <row r="42" spans="1:34">
      <c r="A42" s="519">
        <v>2050</v>
      </c>
      <c r="B42" s="519" t="s">
        <v>729</v>
      </c>
      <c r="C42" s="519"/>
      <c r="D42" s="520">
        <f>D33</f>
        <v>56.5</v>
      </c>
      <c r="I42" s="156"/>
      <c r="P42" s="542">
        <v>2035</v>
      </c>
      <c r="Q42" s="527" t="s">
        <v>782</v>
      </c>
      <c r="R42" s="528" t="s">
        <v>765</v>
      </c>
      <c r="S42" s="529" t="s">
        <v>774</v>
      </c>
      <c r="T42" s="530">
        <v>12600</v>
      </c>
      <c r="U42" s="529">
        <v>44.746875000000003</v>
      </c>
      <c r="V42" s="530">
        <v>15750</v>
      </c>
      <c r="W42" s="529">
        <v>52.003124999999997</v>
      </c>
      <c r="X42" s="530">
        <v>9450</v>
      </c>
      <c r="AD42" t="s">
        <v>712</v>
      </c>
      <c r="AE42">
        <v>73</v>
      </c>
      <c r="AF42">
        <v>54</v>
      </c>
      <c r="AG42">
        <v>59</v>
      </c>
      <c r="AH42">
        <v>41</v>
      </c>
    </row>
    <row r="43" spans="1:34">
      <c r="A43" s="519">
        <v>2050</v>
      </c>
      <c r="B43" s="519" t="s">
        <v>762</v>
      </c>
      <c r="C43" s="519" t="s">
        <v>763</v>
      </c>
      <c r="D43" s="520">
        <v>42</v>
      </c>
      <c r="I43" s="156"/>
      <c r="P43" s="543">
        <v>2035</v>
      </c>
      <c r="Q43" s="531" t="s">
        <v>783</v>
      </c>
      <c r="R43" s="532" t="s">
        <v>765</v>
      </c>
      <c r="S43" s="533"/>
      <c r="T43" s="534">
        <v>0</v>
      </c>
      <c r="U43" s="533">
        <v>74.578125</v>
      </c>
      <c r="V43" s="534">
        <v>15750</v>
      </c>
      <c r="W43" s="533">
        <v>86.671875</v>
      </c>
      <c r="X43" s="534">
        <v>22050</v>
      </c>
      <c r="AD43" t="s">
        <v>697</v>
      </c>
      <c r="AE43">
        <v>69</v>
      </c>
      <c r="AF43">
        <v>51</v>
      </c>
      <c r="AG43">
        <v>69</v>
      </c>
      <c r="AH43">
        <v>48</v>
      </c>
    </row>
    <row r="44" spans="1:34">
      <c r="A44" s="519">
        <v>2050</v>
      </c>
      <c r="B44" s="519" t="s">
        <v>766</v>
      </c>
      <c r="C44" s="519" t="s">
        <v>763</v>
      </c>
      <c r="D44" s="520">
        <v>42</v>
      </c>
      <c r="I44" s="156"/>
      <c r="P44" s="542">
        <v>2035</v>
      </c>
      <c r="Q44" s="527" t="s">
        <v>785</v>
      </c>
      <c r="R44" s="528" t="s">
        <v>765</v>
      </c>
      <c r="S44" s="529" t="s">
        <v>774</v>
      </c>
      <c r="T44" s="530">
        <v>11000</v>
      </c>
      <c r="U44" s="529">
        <v>44.746875000000003</v>
      </c>
      <c r="V44" s="530">
        <v>13750</v>
      </c>
      <c r="W44" s="529">
        <v>52.003124999999997</v>
      </c>
      <c r="X44" s="530">
        <v>8250</v>
      </c>
      <c r="AD44" t="s">
        <v>800</v>
      </c>
      <c r="AE44">
        <v>125</v>
      </c>
      <c r="AF44">
        <v>92</v>
      </c>
      <c r="AG44">
        <v>104</v>
      </c>
      <c r="AH44">
        <v>69</v>
      </c>
    </row>
    <row r="45" spans="1:34">
      <c r="A45" s="519">
        <v>2050</v>
      </c>
      <c r="B45" s="519" t="s">
        <v>762</v>
      </c>
      <c r="C45" s="519" t="s">
        <v>768</v>
      </c>
      <c r="D45" s="520">
        <v>42</v>
      </c>
      <c r="I45" s="156"/>
      <c r="P45" s="543">
        <v>2035</v>
      </c>
      <c r="Q45" s="531" t="s">
        <v>786</v>
      </c>
      <c r="R45" s="532" t="s">
        <v>765</v>
      </c>
      <c r="S45" s="533"/>
      <c r="T45" s="534">
        <v>0</v>
      </c>
      <c r="U45" s="533">
        <v>74.578125</v>
      </c>
      <c r="V45" s="534">
        <v>13750</v>
      </c>
      <c r="W45" s="533">
        <v>86.671875</v>
      </c>
      <c r="X45" s="534">
        <v>19250</v>
      </c>
    </row>
    <row r="46" spans="1:34">
      <c r="A46" s="519">
        <v>2050</v>
      </c>
      <c r="B46" s="519" t="s">
        <v>23</v>
      </c>
      <c r="C46" s="519" t="s">
        <v>191</v>
      </c>
      <c r="D46" s="520">
        <v>48</v>
      </c>
      <c r="I46" s="156"/>
      <c r="P46" s="542">
        <v>2035</v>
      </c>
      <c r="Q46" s="527" t="s">
        <v>787</v>
      </c>
      <c r="R46" s="528" t="s">
        <v>765</v>
      </c>
      <c r="S46" s="529" t="s">
        <v>774</v>
      </c>
      <c r="T46" s="530">
        <v>35940</v>
      </c>
      <c r="U46" s="529">
        <v>44.746875000000003</v>
      </c>
      <c r="V46" s="530">
        <v>50500</v>
      </c>
      <c r="W46" s="529">
        <v>52.003124999999997</v>
      </c>
      <c r="X46" s="530">
        <v>28800</v>
      </c>
    </row>
    <row r="47" spans="1:34">
      <c r="A47" s="519">
        <v>2050</v>
      </c>
      <c r="B47" s="519" t="s">
        <v>23</v>
      </c>
      <c r="C47" s="519" t="s">
        <v>784</v>
      </c>
      <c r="D47" s="520">
        <v>48</v>
      </c>
      <c r="P47" s="543">
        <v>2035</v>
      </c>
      <c r="Q47" s="531" t="s">
        <v>788</v>
      </c>
      <c r="R47" s="532" t="s">
        <v>765</v>
      </c>
      <c r="S47" s="533"/>
      <c r="T47" s="534">
        <v>0</v>
      </c>
      <c r="U47" s="533">
        <v>74.578125</v>
      </c>
      <c r="V47" s="534">
        <v>50500</v>
      </c>
      <c r="W47" s="533">
        <v>86.671875</v>
      </c>
      <c r="X47" s="534">
        <v>72200</v>
      </c>
    </row>
    <row r="48" spans="1:34">
      <c r="A48" s="519">
        <v>2050</v>
      </c>
      <c r="B48" s="519" t="s">
        <v>771</v>
      </c>
      <c r="C48" s="519" t="s">
        <v>772</v>
      </c>
      <c r="D48" s="520">
        <v>51</v>
      </c>
      <c r="P48" s="542">
        <v>2035</v>
      </c>
      <c r="Q48" s="527" t="s">
        <v>789</v>
      </c>
      <c r="R48" s="528" t="s">
        <v>790</v>
      </c>
      <c r="S48" s="529" t="s">
        <v>774</v>
      </c>
      <c r="T48" s="530">
        <v>32415</v>
      </c>
      <c r="U48" s="529" t="s">
        <v>774</v>
      </c>
      <c r="V48" s="530">
        <v>32415</v>
      </c>
      <c r="W48" s="529" t="s">
        <v>774</v>
      </c>
      <c r="X48" s="530">
        <v>32415</v>
      </c>
    </row>
    <row r="49" spans="1:34">
      <c r="A49" s="519">
        <v>2050</v>
      </c>
      <c r="B49" s="519" t="s">
        <v>771</v>
      </c>
      <c r="C49" s="519" t="s">
        <v>775</v>
      </c>
      <c r="D49" s="520">
        <v>51</v>
      </c>
      <c r="P49" s="543">
        <v>2035</v>
      </c>
      <c r="Q49" s="531" t="s">
        <v>791</v>
      </c>
      <c r="R49" s="532" t="s">
        <v>790</v>
      </c>
      <c r="S49" s="533"/>
      <c r="T49" s="534">
        <v>0</v>
      </c>
      <c r="U49" s="533">
        <v>113.91375000000001</v>
      </c>
      <c r="V49" s="534">
        <v>44335</v>
      </c>
      <c r="W49" s="533">
        <v>132.38624999999999</v>
      </c>
      <c r="X49" s="534"/>
      <c r="AD49" s="552" t="s">
        <v>802</v>
      </c>
      <c r="AE49" s="552"/>
      <c r="AF49" s="552"/>
      <c r="AG49" s="552"/>
      <c r="AH49" s="552"/>
    </row>
    <row r="50" spans="1:34">
      <c r="A50" s="521">
        <v>2050</v>
      </c>
      <c r="B50" s="521" t="s">
        <v>771</v>
      </c>
      <c r="C50" s="521" t="s">
        <v>777</v>
      </c>
      <c r="D50" s="522">
        <v>51</v>
      </c>
      <c r="P50" s="542">
        <v>2035</v>
      </c>
      <c r="Q50" s="527" t="s">
        <v>792</v>
      </c>
      <c r="R50" s="528" t="s">
        <v>790</v>
      </c>
      <c r="S50" s="529" t="s">
        <v>774</v>
      </c>
      <c r="T50" s="530">
        <v>6885</v>
      </c>
      <c r="U50" s="529" t="s">
        <v>774</v>
      </c>
      <c r="V50" s="530">
        <v>6885</v>
      </c>
      <c r="W50" s="529" t="s">
        <v>774</v>
      </c>
      <c r="X50" s="530">
        <v>6885</v>
      </c>
      <c r="AD50" s="475"/>
      <c r="AE50" s="673" t="s">
        <v>803</v>
      </c>
      <c r="AF50" s="673"/>
      <c r="AG50" s="673"/>
      <c r="AH50" s="673"/>
    </row>
    <row r="51" spans="1:34">
      <c r="A51" s="156"/>
      <c r="B51" s="156"/>
      <c r="C51" s="156"/>
      <c r="D51" s="156"/>
      <c r="P51" s="543">
        <v>2035</v>
      </c>
      <c r="Q51" s="531" t="s">
        <v>793</v>
      </c>
      <c r="R51" s="532" t="s">
        <v>790</v>
      </c>
      <c r="S51" s="533"/>
      <c r="T51" s="534">
        <v>0</v>
      </c>
      <c r="U51" s="533">
        <v>113.91375000000001</v>
      </c>
      <c r="V51" s="534">
        <v>69865</v>
      </c>
      <c r="W51" s="533">
        <v>132.38624999999999</v>
      </c>
      <c r="X51" s="534"/>
      <c r="AD51" t="s">
        <v>804</v>
      </c>
      <c r="AE51" s="672" t="s">
        <v>191</v>
      </c>
      <c r="AF51" s="672"/>
      <c r="AG51" s="671" t="s">
        <v>193</v>
      </c>
      <c r="AH51" s="671"/>
    </row>
    <row r="52" spans="1:34">
      <c r="A52" s="478" t="s">
        <v>805</v>
      </c>
      <c r="B52" s="156"/>
      <c r="C52" s="156"/>
      <c r="D52" s="156"/>
      <c r="P52" s="542">
        <v>2035</v>
      </c>
      <c r="Q52" s="527" t="s">
        <v>794</v>
      </c>
      <c r="R52" s="528" t="s">
        <v>790</v>
      </c>
      <c r="S52" s="529" t="s">
        <v>774</v>
      </c>
      <c r="T52" s="530">
        <v>6885</v>
      </c>
      <c r="U52" s="529" t="s">
        <v>774</v>
      </c>
      <c r="V52" s="530">
        <v>6885</v>
      </c>
      <c r="W52" s="529" t="s">
        <v>774</v>
      </c>
      <c r="X52" s="530">
        <v>6885</v>
      </c>
      <c r="AD52" s="198" t="s">
        <v>806</v>
      </c>
      <c r="AE52" s="555" t="s">
        <v>807</v>
      </c>
      <c r="AF52" s="555" t="s">
        <v>808</v>
      </c>
      <c r="AG52" s="555" t="s">
        <v>807</v>
      </c>
      <c r="AH52" s="555" t="s">
        <v>808</v>
      </c>
    </row>
    <row r="53" spans="1:34">
      <c r="A53" s="392" t="s">
        <v>756</v>
      </c>
      <c r="B53" s="392" t="s">
        <v>691</v>
      </c>
      <c r="C53" s="392" t="s">
        <v>692</v>
      </c>
      <c r="D53" s="392" t="s">
        <v>757</v>
      </c>
      <c r="P53" s="543">
        <v>2035</v>
      </c>
      <c r="Q53" s="531" t="s">
        <v>795</v>
      </c>
      <c r="R53" s="532" t="s">
        <v>790</v>
      </c>
      <c r="S53" s="533"/>
      <c r="T53" s="534">
        <v>0</v>
      </c>
      <c r="U53" s="533">
        <v>113.91375000000001</v>
      </c>
      <c r="V53" s="534">
        <v>69865</v>
      </c>
      <c r="W53" s="533">
        <v>132.38624999999999</v>
      </c>
      <c r="X53" s="534"/>
      <c r="AD53" t="s">
        <v>799</v>
      </c>
      <c r="AE53" s="553">
        <v>36.224999999999994</v>
      </c>
      <c r="AF53" s="551">
        <v>60</v>
      </c>
      <c r="AG53" s="553">
        <v>26.775000000000002</v>
      </c>
      <c r="AH53" s="551">
        <v>45</v>
      </c>
    </row>
    <row r="54" spans="1:34">
      <c r="A54">
        <v>2030</v>
      </c>
      <c r="D54">
        <v>137.9</v>
      </c>
      <c r="P54" s="542">
        <v>2035</v>
      </c>
      <c r="Q54" s="527" t="s">
        <v>797</v>
      </c>
      <c r="R54" s="528" t="s">
        <v>790</v>
      </c>
      <c r="S54" s="529" t="s">
        <v>774</v>
      </c>
      <c r="T54" s="530">
        <v>51525</v>
      </c>
      <c r="U54" s="529" t="s">
        <v>774</v>
      </c>
      <c r="V54" s="530">
        <v>51525</v>
      </c>
      <c r="W54" s="529" t="s">
        <v>774</v>
      </c>
      <c r="X54" s="530">
        <v>51525</v>
      </c>
      <c r="AD54" t="s">
        <v>693</v>
      </c>
      <c r="AE54" s="553">
        <v>36.224999999999994</v>
      </c>
      <c r="AF54" s="551">
        <v>60</v>
      </c>
      <c r="AG54" s="553">
        <v>26.775000000000002</v>
      </c>
      <c r="AH54" s="551">
        <v>45</v>
      </c>
    </row>
    <row r="55" spans="1:34">
      <c r="A55">
        <v>2035</v>
      </c>
      <c r="D55">
        <f>(D54+D56)/2</f>
        <v>123.15</v>
      </c>
      <c r="P55" s="543">
        <v>2035</v>
      </c>
      <c r="Q55" s="531" t="s">
        <v>798</v>
      </c>
      <c r="R55" s="532" t="s">
        <v>790</v>
      </c>
      <c r="S55" s="533"/>
      <c r="T55" s="534">
        <v>0</v>
      </c>
      <c r="U55" s="533">
        <v>113.91375000000001</v>
      </c>
      <c r="V55" s="534">
        <v>25225</v>
      </c>
      <c r="W55" s="533">
        <v>132.38624999999999</v>
      </c>
      <c r="X55" s="534"/>
      <c r="AD55" t="s">
        <v>712</v>
      </c>
      <c r="AE55" s="553">
        <v>43.987499999999997</v>
      </c>
      <c r="AF55" s="551">
        <v>73</v>
      </c>
      <c r="AG55" s="553">
        <v>32.512500000000003</v>
      </c>
      <c r="AH55" s="551">
        <v>54</v>
      </c>
    </row>
    <row r="56" spans="1:34">
      <c r="A56">
        <v>2040</v>
      </c>
      <c r="D56">
        <v>108.4</v>
      </c>
      <c r="L56">
        <f>(L55+L57)/2</f>
        <v>0</v>
      </c>
      <c r="P56" s="542">
        <v>2040</v>
      </c>
      <c r="Q56" s="527" t="s">
        <v>764</v>
      </c>
      <c r="R56" s="528" t="s">
        <v>765</v>
      </c>
      <c r="S56" s="529" t="s">
        <v>774</v>
      </c>
      <c r="T56" s="530">
        <v>35600</v>
      </c>
      <c r="U56" s="529">
        <v>26.775000000000002</v>
      </c>
      <c r="V56" s="530">
        <v>44500</v>
      </c>
      <c r="W56" s="529">
        <v>36.224999999999994</v>
      </c>
      <c r="X56" s="530">
        <v>26700</v>
      </c>
      <c r="AD56" t="s">
        <v>697</v>
      </c>
      <c r="AE56" s="553">
        <v>41</v>
      </c>
      <c r="AF56" s="551">
        <v>69</v>
      </c>
      <c r="AG56" s="553">
        <v>31</v>
      </c>
      <c r="AH56" s="551">
        <v>51</v>
      </c>
    </row>
    <row r="57" spans="1:34">
      <c r="A57">
        <v>2045</v>
      </c>
      <c r="D57">
        <f>(D56+D58)/2</f>
        <v>97.6</v>
      </c>
      <c r="P57" s="543">
        <v>2040</v>
      </c>
      <c r="Q57" s="531" t="s">
        <v>767</v>
      </c>
      <c r="R57" s="532" t="s">
        <v>765</v>
      </c>
      <c r="S57" s="533">
        <v>52.5</v>
      </c>
      <c r="T57" s="534">
        <v>53400</v>
      </c>
      <c r="U57" s="533">
        <v>44.625000000000007</v>
      </c>
      <c r="V57" s="534">
        <v>44500</v>
      </c>
      <c r="W57" s="533">
        <v>60.374999999999993</v>
      </c>
      <c r="X57" s="534">
        <v>62300</v>
      </c>
      <c r="AD57" t="s">
        <v>800</v>
      </c>
      <c r="AE57" s="554" t="s">
        <v>774</v>
      </c>
      <c r="AF57" s="551">
        <v>125</v>
      </c>
      <c r="AG57" s="553" t="s">
        <v>774</v>
      </c>
      <c r="AH57" s="551">
        <v>92</v>
      </c>
    </row>
    <row r="58" spans="1:34">
      <c r="A58" s="198">
        <v>2050</v>
      </c>
      <c r="B58" s="198"/>
      <c r="C58" s="198"/>
      <c r="D58" s="198">
        <v>86.8</v>
      </c>
      <c r="P58" s="542">
        <v>2040</v>
      </c>
      <c r="Q58" s="527" t="s">
        <v>769</v>
      </c>
      <c r="R58" s="528" t="s">
        <v>765</v>
      </c>
      <c r="S58" s="529" t="s">
        <v>774</v>
      </c>
      <c r="T58" s="530">
        <v>13200</v>
      </c>
      <c r="U58" s="529">
        <v>26.775000000000002</v>
      </c>
      <c r="V58" s="530">
        <v>16500</v>
      </c>
      <c r="W58" s="529">
        <v>36.224999999999994</v>
      </c>
      <c r="X58" s="530">
        <v>9900</v>
      </c>
    </row>
    <row r="59" spans="1:34">
      <c r="P59" s="543">
        <v>2040</v>
      </c>
      <c r="Q59" s="531" t="s">
        <v>770</v>
      </c>
      <c r="R59" s="532" t="s">
        <v>765</v>
      </c>
      <c r="S59" s="533">
        <v>52.5</v>
      </c>
      <c r="T59" s="534">
        <v>19800</v>
      </c>
      <c r="U59" s="533">
        <v>44.625000000000007</v>
      </c>
      <c r="V59" s="534">
        <v>16500</v>
      </c>
      <c r="W59" s="533">
        <v>60.374999999999993</v>
      </c>
      <c r="X59" s="534">
        <v>23100</v>
      </c>
      <c r="AD59" s="475"/>
      <c r="AE59" s="673" t="s">
        <v>809</v>
      </c>
      <c r="AF59" s="673"/>
      <c r="AG59" s="673"/>
      <c r="AH59" s="673"/>
    </row>
    <row r="60" spans="1:34">
      <c r="P60" s="542">
        <v>2040</v>
      </c>
      <c r="Q60" s="527" t="s">
        <v>773</v>
      </c>
      <c r="R60" s="528" t="s">
        <v>765</v>
      </c>
      <c r="S60" s="529" t="s">
        <v>774</v>
      </c>
      <c r="T60" s="530">
        <v>121730</v>
      </c>
      <c r="U60" s="529">
        <v>26.775000000000002</v>
      </c>
      <c r="V60" s="530">
        <v>129500</v>
      </c>
      <c r="W60" s="529">
        <v>36.224999999999994</v>
      </c>
      <c r="X60" s="530">
        <v>77700</v>
      </c>
      <c r="AE60" s="671" t="s">
        <v>191</v>
      </c>
      <c r="AF60" s="671"/>
      <c r="AG60" s="671" t="s">
        <v>193</v>
      </c>
      <c r="AH60" s="671"/>
    </row>
    <row r="61" spans="1:34">
      <c r="P61" s="543">
        <v>2040</v>
      </c>
      <c r="Q61" s="531" t="s">
        <v>776</v>
      </c>
      <c r="R61" s="532" t="s">
        <v>765</v>
      </c>
      <c r="S61" s="533">
        <v>52.5</v>
      </c>
      <c r="T61" s="534">
        <v>137270</v>
      </c>
      <c r="U61" s="533">
        <v>44.625000000000007</v>
      </c>
      <c r="V61" s="534">
        <v>129500</v>
      </c>
      <c r="W61" s="533">
        <v>60.374999999999993</v>
      </c>
      <c r="X61" s="534">
        <v>181300</v>
      </c>
      <c r="AD61" s="198" t="s">
        <v>806</v>
      </c>
      <c r="AE61" s="555" t="s">
        <v>807</v>
      </c>
      <c r="AF61" s="555" t="s">
        <v>808</v>
      </c>
      <c r="AG61" s="555" t="s">
        <v>807</v>
      </c>
      <c r="AH61" s="555" t="s">
        <v>808</v>
      </c>
    </row>
    <row r="62" spans="1:34">
      <c r="P62" s="542">
        <v>2040</v>
      </c>
      <c r="Q62" s="527" t="s">
        <v>778</v>
      </c>
      <c r="R62" s="528" t="s">
        <v>765</v>
      </c>
      <c r="S62" s="529" t="s">
        <v>774</v>
      </c>
      <c r="T62" s="530">
        <v>60400</v>
      </c>
      <c r="U62" s="529">
        <v>30.6</v>
      </c>
      <c r="V62" s="530">
        <v>75500</v>
      </c>
      <c r="W62" s="529">
        <v>41.4</v>
      </c>
      <c r="X62" s="530">
        <v>45300</v>
      </c>
      <c r="AD62" t="s">
        <v>799</v>
      </c>
      <c r="AE62" s="553">
        <v>36</v>
      </c>
      <c r="AF62" s="551">
        <v>60</v>
      </c>
      <c r="AG62" s="551">
        <v>27</v>
      </c>
      <c r="AH62" s="551">
        <v>42</v>
      </c>
    </row>
    <row r="63" spans="1:34">
      <c r="P63" s="543">
        <v>2040</v>
      </c>
      <c r="Q63" s="531" t="s">
        <v>779</v>
      </c>
      <c r="R63" s="532" t="s">
        <v>765</v>
      </c>
      <c r="S63" s="533">
        <v>60</v>
      </c>
      <c r="T63" s="534">
        <v>90600</v>
      </c>
      <c r="U63" s="533">
        <v>51.000000000000007</v>
      </c>
      <c r="V63" s="534">
        <v>75500</v>
      </c>
      <c r="W63" s="533">
        <v>69</v>
      </c>
      <c r="X63" s="534">
        <v>105700</v>
      </c>
      <c r="AD63" t="s">
        <v>693</v>
      </c>
      <c r="AE63" s="553">
        <v>36</v>
      </c>
      <c r="AF63" s="551">
        <v>60</v>
      </c>
      <c r="AG63" s="551">
        <v>27</v>
      </c>
      <c r="AH63" s="551">
        <v>42</v>
      </c>
    </row>
    <row r="64" spans="1:34">
      <c r="P64" s="542">
        <v>2040</v>
      </c>
      <c r="Q64" s="527" t="s">
        <v>780</v>
      </c>
      <c r="R64" s="528" t="s">
        <v>765</v>
      </c>
      <c r="S64" s="529" t="s">
        <v>774</v>
      </c>
      <c r="T64" s="530">
        <v>29200</v>
      </c>
      <c r="U64" s="529">
        <v>30.6</v>
      </c>
      <c r="V64" s="530">
        <v>36500</v>
      </c>
      <c r="W64" s="529">
        <v>41.4</v>
      </c>
      <c r="X64" s="530">
        <v>21900</v>
      </c>
      <c r="AD64" t="s">
        <v>712</v>
      </c>
      <c r="AE64" s="553">
        <v>59</v>
      </c>
      <c r="AF64" s="551">
        <v>59</v>
      </c>
      <c r="AG64" s="551">
        <v>43</v>
      </c>
      <c r="AH64" s="551">
        <v>41</v>
      </c>
    </row>
    <row r="65" spans="16:34">
      <c r="P65" s="543">
        <v>2040</v>
      </c>
      <c r="Q65" s="531" t="s">
        <v>781</v>
      </c>
      <c r="R65" s="532" t="s">
        <v>765</v>
      </c>
      <c r="S65" s="533">
        <v>60</v>
      </c>
      <c r="T65" s="534">
        <v>43800</v>
      </c>
      <c r="U65" s="533">
        <v>51.000000000000007</v>
      </c>
      <c r="V65" s="534">
        <v>36500</v>
      </c>
      <c r="W65" s="533">
        <v>69</v>
      </c>
      <c r="X65" s="534">
        <v>51100</v>
      </c>
      <c r="AD65" t="s">
        <v>697</v>
      </c>
      <c r="AE65" s="553">
        <v>41</v>
      </c>
      <c r="AF65" s="551">
        <v>69</v>
      </c>
      <c r="AG65" s="551">
        <v>31</v>
      </c>
      <c r="AH65" s="551">
        <v>48</v>
      </c>
    </row>
    <row r="66" spans="16:34">
      <c r="P66" s="542">
        <v>2040</v>
      </c>
      <c r="Q66" s="527" t="s">
        <v>782</v>
      </c>
      <c r="R66" s="528" t="s">
        <v>765</v>
      </c>
      <c r="S66" s="529" t="s">
        <v>774</v>
      </c>
      <c r="T66" s="530">
        <v>25200</v>
      </c>
      <c r="U66" s="529">
        <v>33</v>
      </c>
      <c r="V66" s="530">
        <v>31500</v>
      </c>
      <c r="W66" s="529">
        <v>44</v>
      </c>
      <c r="X66" s="530">
        <v>18900</v>
      </c>
      <c r="AD66" t="s">
        <v>800</v>
      </c>
      <c r="AE66" s="554" t="s">
        <v>774</v>
      </c>
      <c r="AF66" s="551">
        <v>104</v>
      </c>
      <c r="AG66" s="551" t="s">
        <v>774</v>
      </c>
      <c r="AH66" s="551">
        <v>69</v>
      </c>
    </row>
    <row r="67" spans="16:34">
      <c r="P67" s="543">
        <v>2040</v>
      </c>
      <c r="Q67" s="531" t="s">
        <v>783</v>
      </c>
      <c r="R67" s="532" t="s">
        <v>765</v>
      </c>
      <c r="S67" s="533">
        <v>63.75</v>
      </c>
      <c r="T67" s="534">
        <v>37800</v>
      </c>
      <c r="U67" s="533">
        <v>54.187500000000007</v>
      </c>
      <c r="V67" s="534">
        <v>31500</v>
      </c>
      <c r="W67" s="533">
        <v>73.3125</v>
      </c>
      <c r="X67" s="534">
        <v>44100</v>
      </c>
    </row>
    <row r="68" spans="16:34">
      <c r="P68" s="542">
        <v>2040</v>
      </c>
      <c r="Q68" s="527" t="s">
        <v>785</v>
      </c>
      <c r="R68" s="528" t="s">
        <v>765</v>
      </c>
      <c r="S68" s="529" t="s">
        <v>774</v>
      </c>
      <c r="T68" s="530">
        <v>22000</v>
      </c>
      <c r="U68" s="529">
        <v>32.512500000000003</v>
      </c>
      <c r="V68" s="530">
        <v>27500</v>
      </c>
      <c r="W68" s="529">
        <v>43.987499999999997</v>
      </c>
      <c r="X68" s="530">
        <v>16500</v>
      </c>
    </row>
    <row r="69" spans="16:34">
      <c r="P69" s="543">
        <v>2040</v>
      </c>
      <c r="Q69" s="531" t="s">
        <v>786</v>
      </c>
      <c r="R69" s="532" t="s">
        <v>765</v>
      </c>
      <c r="S69" s="533">
        <v>63.75</v>
      </c>
      <c r="T69" s="534">
        <v>33000</v>
      </c>
      <c r="U69" s="533">
        <v>54.187500000000007</v>
      </c>
      <c r="V69" s="534">
        <v>27500</v>
      </c>
      <c r="W69" s="533">
        <v>73.3125</v>
      </c>
      <c r="X69" s="534">
        <v>38500</v>
      </c>
    </row>
    <row r="70" spans="16:34">
      <c r="P70" s="542">
        <v>2040</v>
      </c>
      <c r="Q70" s="527" t="s">
        <v>787</v>
      </c>
      <c r="R70" s="528" t="s">
        <v>765</v>
      </c>
      <c r="S70" s="529" t="s">
        <v>774</v>
      </c>
      <c r="T70" s="530">
        <v>45600</v>
      </c>
      <c r="U70" s="529">
        <v>32.512500000000003</v>
      </c>
      <c r="V70" s="530">
        <v>57000</v>
      </c>
      <c r="W70" s="529">
        <v>43.987499999999997</v>
      </c>
      <c r="X70" s="530">
        <v>34200</v>
      </c>
    </row>
    <row r="71" spans="16:34">
      <c r="P71" s="543">
        <v>2040</v>
      </c>
      <c r="Q71" s="531" t="s">
        <v>788</v>
      </c>
      <c r="R71" s="532" t="s">
        <v>765</v>
      </c>
      <c r="S71" s="533">
        <v>63.75</v>
      </c>
      <c r="T71" s="534">
        <v>68400</v>
      </c>
      <c r="U71" s="533">
        <v>54.187500000000007</v>
      </c>
      <c r="V71" s="534">
        <v>57000</v>
      </c>
      <c r="W71" s="533">
        <v>73.3125</v>
      </c>
      <c r="X71" s="534">
        <v>79800</v>
      </c>
    </row>
    <row r="72" spans="16:34">
      <c r="P72" s="542">
        <v>2040</v>
      </c>
      <c r="Q72" s="527" t="s">
        <v>789</v>
      </c>
      <c r="R72" s="528" t="s">
        <v>790</v>
      </c>
      <c r="S72" s="529" t="s">
        <v>774</v>
      </c>
      <c r="T72" s="530">
        <v>44830</v>
      </c>
      <c r="U72" s="529" t="s">
        <v>774</v>
      </c>
      <c r="V72" s="530">
        <v>44830</v>
      </c>
      <c r="W72" s="529" t="s">
        <v>774</v>
      </c>
      <c r="X72" s="530">
        <v>44830</v>
      </c>
    </row>
    <row r="73" spans="16:34">
      <c r="P73" s="543">
        <v>2040</v>
      </c>
      <c r="Q73" s="531" t="s">
        <v>791</v>
      </c>
      <c r="R73" s="532" t="s">
        <v>790</v>
      </c>
      <c r="S73" s="533">
        <v>108.4</v>
      </c>
      <c r="T73" s="534">
        <v>58170</v>
      </c>
      <c r="U73" s="533">
        <v>92.140000000000015</v>
      </c>
      <c r="V73" s="534">
        <v>58170</v>
      </c>
      <c r="W73" s="533">
        <v>124.66</v>
      </c>
      <c r="X73" s="534"/>
    </row>
    <row r="74" spans="16:34">
      <c r="P74" s="542">
        <v>2040</v>
      </c>
      <c r="Q74" s="527" t="s">
        <v>792</v>
      </c>
      <c r="R74" s="528" t="s">
        <v>790</v>
      </c>
      <c r="S74" s="529" t="s">
        <v>774</v>
      </c>
      <c r="T74" s="530">
        <v>8770</v>
      </c>
      <c r="U74" s="529" t="s">
        <v>774</v>
      </c>
      <c r="V74" s="530">
        <v>8770</v>
      </c>
      <c r="W74" s="529" t="s">
        <v>774</v>
      </c>
      <c r="X74" s="530">
        <v>8770</v>
      </c>
    </row>
    <row r="75" spans="16:34">
      <c r="P75" s="543">
        <v>2040</v>
      </c>
      <c r="Q75" s="531" t="s">
        <v>793</v>
      </c>
      <c r="R75" s="532" t="s">
        <v>790</v>
      </c>
      <c r="S75" s="533">
        <v>108.4</v>
      </c>
      <c r="T75" s="534">
        <v>94230</v>
      </c>
      <c r="U75" s="533">
        <v>92.140000000000015</v>
      </c>
      <c r="V75" s="534">
        <v>94230</v>
      </c>
      <c r="W75" s="533">
        <v>124.66</v>
      </c>
      <c r="X75" s="534"/>
    </row>
    <row r="76" spans="16:34">
      <c r="P76" s="542">
        <v>2040</v>
      </c>
      <c r="Q76" s="527" t="s">
        <v>794</v>
      </c>
      <c r="R76" s="528" t="s">
        <v>790</v>
      </c>
      <c r="S76" s="529" t="s">
        <v>774</v>
      </c>
      <c r="T76" s="530">
        <v>8770</v>
      </c>
      <c r="U76" s="529" t="s">
        <v>774</v>
      </c>
      <c r="V76" s="530">
        <v>8770</v>
      </c>
      <c r="W76" s="529" t="s">
        <v>774</v>
      </c>
      <c r="X76" s="530">
        <v>8770</v>
      </c>
    </row>
    <row r="77" spans="16:34">
      <c r="P77" s="543">
        <v>2040</v>
      </c>
      <c r="Q77" s="531" t="s">
        <v>795</v>
      </c>
      <c r="R77" s="532" t="s">
        <v>790</v>
      </c>
      <c r="S77" s="533">
        <v>108.4</v>
      </c>
      <c r="T77" s="534">
        <v>94230</v>
      </c>
      <c r="U77" s="533">
        <v>92.140000000000015</v>
      </c>
      <c r="V77" s="534">
        <v>94230</v>
      </c>
      <c r="W77" s="533">
        <v>124.66</v>
      </c>
      <c r="X77" s="534"/>
    </row>
    <row r="78" spans="16:34">
      <c r="P78" s="542">
        <v>2040</v>
      </c>
      <c r="Q78" s="527" t="s">
        <v>797</v>
      </c>
      <c r="R78" s="528" t="s">
        <v>790</v>
      </c>
      <c r="S78" s="529" t="s">
        <v>774</v>
      </c>
      <c r="T78" s="530">
        <v>73050</v>
      </c>
      <c r="U78" s="529" t="s">
        <v>774</v>
      </c>
      <c r="V78" s="530">
        <v>73050</v>
      </c>
      <c r="W78" s="529" t="s">
        <v>774</v>
      </c>
      <c r="X78" s="530">
        <v>73050</v>
      </c>
    </row>
    <row r="79" spans="16:34">
      <c r="P79" s="543">
        <v>2040</v>
      </c>
      <c r="Q79" s="531" t="s">
        <v>798</v>
      </c>
      <c r="R79" s="532" t="s">
        <v>790</v>
      </c>
      <c r="S79" s="533">
        <v>108.4</v>
      </c>
      <c r="T79" s="534">
        <v>29950</v>
      </c>
      <c r="U79" s="533">
        <v>92.140000000000015</v>
      </c>
      <c r="V79" s="534">
        <v>29950</v>
      </c>
      <c r="W79" s="533">
        <v>124.66</v>
      </c>
      <c r="X79" s="534"/>
    </row>
    <row r="80" spans="16:34">
      <c r="P80" s="542">
        <v>2045</v>
      </c>
      <c r="Q80" s="527" t="s">
        <v>764</v>
      </c>
      <c r="R80" s="528" t="s">
        <v>765</v>
      </c>
      <c r="S80" s="529"/>
      <c r="T80" s="530"/>
      <c r="U80" s="529">
        <v>25.987500000000004</v>
      </c>
      <c r="V80" s="530">
        <v>44500</v>
      </c>
      <c r="W80" s="529">
        <v>36.224999999999994</v>
      </c>
      <c r="X80" s="530">
        <v>26700</v>
      </c>
    </row>
    <row r="81" spans="16:24">
      <c r="P81" s="543">
        <v>2045</v>
      </c>
      <c r="Q81" s="531" t="s">
        <v>767</v>
      </c>
      <c r="R81" s="532" t="s">
        <v>765</v>
      </c>
      <c r="S81" s="533"/>
      <c r="T81" s="534"/>
      <c r="U81" s="533">
        <v>43.312500000000007</v>
      </c>
      <c r="V81" s="534">
        <v>44500</v>
      </c>
      <c r="W81" s="533">
        <v>60.374999999999993</v>
      </c>
      <c r="X81" s="534">
        <v>62300</v>
      </c>
    </row>
    <row r="82" spans="16:24">
      <c r="P82" s="542">
        <v>2045</v>
      </c>
      <c r="Q82" s="527" t="s">
        <v>769</v>
      </c>
      <c r="R82" s="528" t="s">
        <v>765</v>
      </c>
      <c r="S82" s="529"/>
      <c r="T82" s="530"/>
      <c r="U82" s="529">
        <v>25.987500000000004</v>
      </c>
      <c r="V82" s="530">
        <v>28500</v>
      </c>
      <c r="W82" s="529">
        <v>36.224999999999994</v>
      </c>
      <c r="X82" s="530">
        <v>17100</v>
      </c>
    </row>
    <row r="83" spans="16:24">
      <c r="P83" s="543">
        <v>2045</v>
      </c>
      <c r="Q83" s="531" t="s">
        <v>770</v>
      </c>
      <c r="R83" s="532" t="s">
        <v>765</v>
      </c>
      <c r="S83" s="533"/>
      <c r="T83" s="534"/>
      <c r="U83" s="533">
        <v>43.312500000000007</v>
      </c>
      <c r="V83" s="534">
        <v>28500</v>
      </c>
      <c r="W83" s="533">
        <v>60.374999999999993</v>
      </c>
      <c r="X83" s="534">
        <v>39900</v>
      </c>
    </row>
    <row r="84" spans="16:24">
      <c r="P84" s="542">
        <v>2045</v>
      </c>
      <c r="Q84" s="527" t="s">
        <v>773</v>
      </c>
      <c r="R84" s="528" t="s">
        <v>765</v>
      </c>
      <c r="S84" s="529"/>
      <c r="T84" s="530"/>
      <c r="U84" s="529">
        <v>25.987500000000004</v>
      </c>
      <c r="V84" s="530">
        <v>129500</v>
      </c>
      <c r="W84" s="529">
        <v>36.224999999999994</v>
      </c>
      <c r="X84" s="530">
        <v>77700</v>
      </c>
    </row>
    <row r="85" spans="16:24">
      <c r="P85" s="543">
        <v>2045</v>
      </c>
      <c r="Q85" s="531" t="s">
        <v>776</v>
      </c>
      <c r="R85" s="532" t="s">
        <v>765</v>
      </c>
      <c r="S85" s="533"/>
      <c r="T85" s="534"/>
      <c r="U85" s="533">
        <v>43.312500000000007</v>
      </c>
      <c r="V85" s="534">
        <v>129500</v>
      </c>
      <c r="W85" s="533">
        <v>60.374999999999993</v>
      </c>
      <c r="X85" s="534">
        <v>181300</v>
      </c>
    </row>
    <row r="86" spans="16:24">
      <c r="P86" s="542">
        <v>2045</v>
      </c>
      <c r="Q86" s="527" t="s">
        <v>778</v>
      </c>
      <c r="R86" s="528" t="s">
        <v>765</v>
      </c>
      <c r="S86" s="529"/>
      <c r="T86" s="530"/>
      <c r="U86" s="529">
        <v>29.700000000000006</v>
      </c>
      <c r="V86" s="530">
        <v>75500</v>
      </c>
      <c r="W86" s="529">
        <v>41.4</v>
      </c>
      <c r="X86" s="530">
        <v>45300</v>
      </c>
    </row>
    <row r="87" spans="16:24">
      <c r="P87" s="543">
        <v>2045</v>
      </c>
      <c r="Q87" s="531" t="s">
        <v>779</v>
      </c>
      <c r="R87" s="532" t="s">
        <v>765</v>
      </c>
      <c r="S87" s="533"/>
      <c r="T87" s="534"/>
      <c r="U87" s="533">
        <v>49.500000000000014</v>
      </c>
      <c r="V87" s="534">
        <v>75500</v>
      </c>
      <c r="W87" s="533">
        <v>69</v>
      </c>
      <c r="X87" s="534">
        <v>105700</v>
      </c>
    </row>
    <row r="88" spans="16:24">
      <c r="P88" s="542">
        <v>2045</v>
      </c>
      <c r="Q88" s="527" t="s">
        <v>780</v>
      </c>
      <c r="R88" s="528" t="s">
        <v>765</v>
      </c>
      <c r="S88" s="529"/>
      <c r="T88" s="530"/>
      <c r="U88" s="529">
        <v>29.700000000000006</v>
      </c>
      <c r="V88" s="530">
        <v>36500</v>
      </c>
      <c r="W88" s="529">
        <v>41.4</v>
      </c>
      <c r="X88" s="530">
        <v>21900</v>
      </c>
    </row>
    <row r="89" spans="16:24">
      <c r="P89" s="543">
        <v>2045</v>
      </c>
      <c r="Q89" s="531" t="s">
        <v>781</v>
      </c>
      <c r="R89" s="532" t="s">
        <v>765</v>
      </c>
      <c r="S89" s="533"/>
      <c r="T89" s="534"/>
      <c r="U89" s="533">
        <v>49.500000000000014</v>
      </c>
      <c r="V89" s="534">
        <v>36500</v>
      </c>
      <c r="W89" s="533">
        <v>69</v>
      </c>
      <c r="X89" s="534">
        <v>51100</v>
      </c>
    </row>
    <row r="90" spans="16:24">
      <c r="P90" s="542">
        <v>2045</v>
      </c>
      <c r="Q90" s="527" t="s">
        <v>782</v>
      </c>
      <c r="R90" s="528" t="s">
        <v>765</v>
      </c>
      <c r="S90" s="529"/>
      <c r="T90" s="530"/>
      <c r="U90" s="529">
        <v>32</v>
      </c>
      <c r="V90" s="530">
        <v>31500</v>
      </c>
      <c r="W90" s="529">
        <v>44</v>
      </c>
      <c r="X90" s="530">
        <v>18900</v>
      </c>
    </row>
    <row r="91" spans="16:24">
      <c r="P91" s="543">
        <v>2045</v>
      </c>
      <c r="Q91" s="531" t="s">
        <v>783</v>
      </c>
      <c r="R91" s="532" t="s">
        <v>765</v>
      </c>
      <c r="S91" s="533"/>
      <c r="T91" s="534"/>
      <c r="U91" s="533">
        <v>52.593750000000014</v>
      </c>
      <c r="V91" s="534">
        <v>31500</v>
      </c>
      <c r="W91" s="533">
        <v>73.3125</v>
      </c>
      <c r="X91" s="534">
        <v>44100</v>
      </c>
    </row>
    <row r="92" spans="16:24">
      <c r="P92" s="542">
        <v>2045</v>
      </c>
      <c r="Q92" s="527" t="s">
        <v>785</v>
      </c>
      <c r="R92" s="528" t="s">
        <v>765</v>
      </c>
      <c r="S92" s="529"/>
      <c r="T92" s="530"/>
      <c r="U92" s="529">
        <v>31.556250000000006</v>
      </c>
      <c r="V92" s="530">
        <v>27500</v>
      </c>
      <c r="W92" s="529">
        <v>43.987499999999997</v>
      </c>
      <c r="X92" s="530">
        <v>16500</v>
      </c>
    </row>
    <row r="93" spans="16:24">
      <c r="P93" s="543">
        <v>2045</v>
      </c>
      <c r="Q93" s="531" t="s">
        <v>786</v>
      </c>
      <c r="R93" s="532" t="s">
        <v>765</v>
      </c>
      <c r="S93" s="533"/>
      <c r="T93" s="534"/>
      <c r="U93" s="533">
        <v>52.593750000000014</v>
      </c>
      <c r="V93" s="534">
        <v>27500</v>
      </c>
      <c r="W93" s="533">
        <v>73.3125</v>
      </c>
      <c r="X93" s="534">
        <v>38500</v>
      </c>
    </row>
    <row r="94" spans="16:24">
      <c r="P94" s="542">
        <v>2045</v>
      </c>
      <c r="Q94" s="527" t="s">
        <v>787</v>
      </c>
      <c r="R94" s="528" t="s">
        <v>765</v>
      </c>
      <c r="S94" s="529"/>
      <c r="T94" s="530"/>
      <c r="U94" s="529">
        <v>31.556250000000006</v>
      </c>
      <c r="V94" s="530">
        <v>57000</v>
      </c>
      <c r="W94" s="529">
        <v>43.987499999999997</v>
      </c>
      <c r="X94" s="530">
        <v>34200</v>
      </c>
    </row>
    <row r="95" spans="16:24">
      <c r="P95" s="543">
        <v>2045</v>
      </c>
      <c r="Q95" s="531" t="s">
        <v>788</v>
      </c>
      <c r="R95" s="532" t="s">
        <v>765</v>
      </c>
      <c r="S95" s="533"/>
      <c r="T95" s="534"/>
      <c r="U95" s="533">
        <v>52.593750000000014</v>
      </c>
      <c r="V95" s="534">
        <v>57000</v>
      </c>
      <c r="W95" s="533">
        <v>73.3125</v>
      </c>
      <c r="X95" s="534">
        <v>79800</v>
      </c>
    </row>
    <row r="96" spans="16:24">
      <c r="P96" s="542">
        <v>2045</v>
      </c>
      <c r="Q96" s="527" t="s">
        <v>789</v>
      </c>
      <c r="R96" s="528" t="s">
        <v>790</v>
      </c>
      <c r="S96" s="529"/>
      <c r="T96" s="530"/>
      <c r="U96" s="529" t="s">
        <v>774</v>
      </c>
      <c r="V96" s="530">
        <v>44830</v>
      </c>
      <c r="W96" s="529" t="s">
        <v>774</v>
      </c>
      <c r="X96" s="530">
        <v>44830</v>
      </c>
    </row>
    <row r="97" spans="16:24">
      <c r="P97" s="543">
        <v>2045</v>
      </c>
      <c r="Q97" s="531" t="s">
        <v>791</v>
      </c>
      <c r="R97" s="532" t="s">
        <v>790</v>
      </c>
      <c r="S97" s="533"/>
      <c r="T97" s="534"/>
      <c r="U97" s="533">
        <v>80.52000000000001</v>
      </c>
      <c r="V97" s="534">
        <v>89170</v>
      </c>
      <c r="W97" s="533">
        <v>114.67999999999998</v>
      </c>
      <c r="X97" s="534">
        <v>33622.5</v>
      </c>
    </row>
    <row r="98" spans="16:24">
      <c r="P98" s="542">
        <v>2045</v>
      </c>
      <c r="Q98" s="527" t="s">
        <v>792</v>
      </c>
      <c r="R98" s="528" t="s">
        <v>790</v>
      </c>
      <c r="S98" s="529"/>
      <c r="T98" s="530"/>
      <c r="U98" s="529" t="s">
        <v>774</v>
      </c>
      <c r="V98" s="530">
        <v>8770</v>
      </c>
      <c r="W98" s="529" t="s">
        <v>774</v>
      </c>
      <c r="X98" s="530">
        <v>8770</v>
      </c>
    </row>
    <row r="99" spans="16:24">
      <c r="P99" s="543">
        <v>2045</v>
      </c>
      <c r="Q99" s="531" t="s">
        <v>793</v>
      </c>
      <c r="R99" s="532" t="s">
        <v>790</v>
      </c>
      <c r="S99" s="533"/>
      <c r="T99" s="534"/>
      <c r="U99" s="533">
        <v>80.52000000000001</v>
      </c>
      <c r="V99" s="534">
        <v>125230</v>
      </c>
      <c r="W99" s="533">
        <v>114.67999999999998</v>
      </c>
      <c r="X99" s="534">
        <v>6577.5</v>
      </c>
    </row>
    <row r="100" spans="16:24">
      <c r="P100" s="542">
        <v>2045</v>
      </c>
      <c r="Q100" s="527" t="s">
        <v>794</v>
      </c>
      <c r="R100" s="528" t="s">
        <v>790</v>
      </c>
      <c r="S100" s="529"/>
      <c r="T100" s="530"/>
      <c r="U100" s="529" t="s">
        <v>774</v>
      </c>
      <c r="V100" s="530">
        <v>8770</v>
      </c>
      <c r="W100" s="529" t="s">
        <v>774</v>
      </c>
      <c r="X100" s="530">
        <v>8770</v>
      </c>
    </row>
    <row r="101" spans="16:24">
      <c r="P101" s="543">
        <v>2045</v>
      </c>
      <c r="Q101" s="531" t="s">
        <v>795</v>
      </c>
      <c r="R101" s="532" t="s">
        <v>790</v>
      </c>
      <c r="S101" s="533"/>
      <c r="T101" s="534"/>
      <c r="U101" s="533">
        <v>80.52000000000001</v>
      </c>
      <c r="V101" s="534">
        <v>125230</v>
      </c>
      <c r="W101" s="533">
        <v>114.67999999999998</v>
      </c>
      <c r="X101" s="534">
        <v>6577.5</v>
      </c>
    </row>
    <row r="102" spans="16:24">
      <c r="P102" s="542">
        <v>2045</v>
      </c>
      <c r="Q102" s="527" t="s">
        <v>797</v>
      </c>
      <c r="R102" s="528" t="s">
        <v>790</v>
      </c>
      <c r="S102" s="529"/>
      <c r="T102" s="530"/>
      <c r="U102" s="529" t="s">
        <v>774</v>
      </c>
      <c r="V102" s="530">
        <v>73050</v>
      </c>
      <c r="W102" s="529" t="s">
        <v>774</v>
      </c>
      <c r="X102" s="530">
        <v>73050</v>
      </c>
    </row>
    <row r="103" spans="16:24">
      <c r="P103" s="543">
        <v>2045</v>
      </c>
      <c r="Q103" s="531" t="s">
        <v>798</v>
      </c>
      <c r="R103" s="532" t="s">
        <v>790</v>
      </c>
      <c r="S103" s="533"/>
      <c r="T103" s="534"/>
      <c r="U103" s="533">
        <v>80.52000000000001</v>
      </c>
      <c r="V103" s="534">
        <v>60950</v>
      </c>
      <c r="W103" s="533">
        <v>114.67999999999998</v>
      </c>
      <c r="X103" s="534">
        <v>54787.5</v>
      </c>
    </row>
    <row r="104" spans="16:24">
      <c r="P104" s="542">
        <v>2050</v>
      </c>
      <c r="Q104" s="527" t="s">
        <v>764</v>
      </c>
      <c r="R104" s="528" t="s">
        <v>765</v>
      </c>
      <c r="S104" s="529"/>
      <c r="T104" s="530"/>
      <c r="U104" s="529">
        <v>25.200000000000003</v>
      </c>
      <c r="V104" s="530">
        <v>44500</v>
      </c>
      <c r="W104" s="529">
        <v>36.224999999999994</v>
      </c>
      <c r="X104" s="530">
        <v>26700</v>
      </c>
    </row>
    <row r="105" spans="16:24">
      <c r="P105" s="543">
        <v>2050</v>
      </c>
      <c r="Q105" s="531" t="s">
        <v>767</v>
      </c>
      <c r="R105" s="532" t="s">
        <v>765</v>
      </c>
      <c r="S105" s="533"/>
      <c r="T105" s="534"/>
      <c r="U105" s="533">
        <v>42</v>
      </c>
      <c r="V105" s="534">
        <v>44500</v>
      </c>
      <c r="W105" s="533">
        <v>60.374999999999993</v>
      </c>
      <c r="X105" s="534">
        <v>62300</v>
      </c>
    </row>
    <row r="106" spans="16:24">
      <c r="P106" s="542">
        <v>2050</v>
      </c>
      <c r="Q106" s="527" t="s">
        <v>769</v>
      </c>
      <c r="R106" s="528" t="s">
        <v>765</v>
      </c>
      <c r="S106" s="529"/>
      <c r="T106" s="530"/>
      <c r="U106" s="529">
        <v>25.200000000000003</v>
      </c>
      <c r="V106" s="530">
        <v>40500</v>
      </c>
      <c r="W106" s="529">
        <v>36.224999999999994</v>
      </c>
      <c r="X106" s="530">
        <v>24300</v>
      </c>
    </row>
    <row r="107" spans="16:24">
      <c r="P107" s="543">
        <v>2050</v>
      </c>
      <c r="Q107" s="531" t="s">
        <v>770</v>
      </c>
      <c r="R107" s="532" t="s">
        <v>765</v>
      </c>
      <c r="S107" s="533"/>
      <c r="T107" s="534"/>
      <c r="U107" s="533">
        <v>42</v>
      </c>
      <c r="V107" s="534">
        <v>40500</v>
      </c>
      <c r="W107" s="533">
        <v>60.374999999999993</v>
      </c>
      <c r="X107" s="534">
        <v>56700</v>
      </c>
    </row>
    <row r="108" spans="16:24">
      <c r="P108" s="542">
        <v>2050</v>
      </c>
      <c r="Q108" s="527" t="s">
        <v>773</v>
      </c>
      <c r="R108" s="528" t="s">
        <v>765</v>
      </c>
      <c r="S108" s="529"/>
      <c r="T108" s="530"/>
      <c r="U108" s="529">
        <v>25.200000000000003</v>
      </c>
      <c r="V108" s="530">
        <v>129500</v>
      </c>
      <c r="W108" s="529">
        <v>36.224999999999994</v>
      </c>
      <c r="X108" s="530">
        <v>77700</v>
      </c>
    </row>
    <row r="109" spans="16:24">
      <c r="P109" s="543">
        <v>2050</v>
      </c>
      <c r="Q109" s="531" t="s">
        <v>776</v>
      </c>
      <c r="R109" s="532" t="s">
        <v>765</v>
      </c>
      <c r="S109" s="533"/>
      <c r="T109" s="534"/>
      <c r="U109" s="533">
        <v>42</v>
      </c>
      <c r="V109" s="534">
        <v>129500</v>
      </c>
      <c r="W109" s="533">
        <v>60.374999999999993</v>
      </c>
      <c r="X109" s="534">
        <v>181300</v>
      </c>
    </row>
    <row r="110" spans="16:24">
      <c r="P110" s="542">
        <v>2050</v>
      </c>
      <c r="Q110" s="527" t="s">
        <v>778</v>
      </c>
      <c r="R110" s="528" t="s">
        <v>765</v>
      </c>
      <c r="S110" s="529"/>
      <c r="T110" s="530"/>
      <c r="U110" s="529">
        <v>28.8</v>
      </c>
      <c r="V110" s="530">
        <v>75500</v>
      </c>
      <c r="W110" s="529">
        <v>41.4</v>
      </c>
      <c r="X110" s="530">
        <v>45300</v>
      </c>
    </row>
    <row r="111" spans="16:24">
      <c r="P111" s="543">
        <v>2050</v>
      </c>
      <c r="Q111" s="531" t="s">
        <v>779</v>
      </c>
      <c r="R111" s="532" t="s">
        <v>765</v>
      </c>
      <c r="S111" s="533"/>
      <c r="T111" s="534"/>
      <c r="U111" s="533">
        <v>48</v>
      </c>
      <c r="V111" s="534">
        <v>75500</v>
      </c>
      <c r="W111" s="533">
        <v>69</v>
      </c>
      <c r="X111" s="534">
        <v>105700</v>
      </c>
    </row>
    <row r="112" spans="16:24">
      <c r="P112" s="542">
        <v>2050</v>
      </c>
      <c r="Q112" s="527" t="s">
        <v>780</v>
      </c>
      <c r="R112" s="528" t="s">
        <v>765</v>
      </c>
      <c r="S112" s="529"/>
      <c r="T112" s="530"/>
      <c r="U112" s="529">
        <v>28.8</v>
      </c>
      <c r="V112" s="530">
        <v>36500</v>
      </c>
      <c r="W112" s="529">
        <v>41.4</v>
      </c>
      <c r="X112" s="530">
        <v>21900</v>
      </c>
    </row>
    <row r="113" spans="16:24">
      <c r="P113" s="543">
        <v>2050</v>
      </c>
      <c r="Q113" s="531" t="s">
        <v>781</v>
      </c>
      <c r="R113" s="532" t="s">
        <v>765</v>
      </c>
      <c r="S113" s="533"/>
      <c r="T113" s="534"/>
      <c r="U113" s="533">
        <v>48</v>
      </c>
      <c r="V113" s="534">
        <v>36500</v>
      </c>
      <c r="W113" s="533">
        <v>69</v>
      </c>
      <c r="X113" s="534">
        <v>51100</v>
      </c>
    </row>
    <row r="114" spans="16:24">
      <c r="P114" s="542">
        <v>2050</v>
      </c>
      <c r="Q114" s="527" t="s">
        <v>782</v>
      </c>
      <c r="R114" s="528" t="s">
        <v>765</v>
      </c>
      <c r="S114" s="529"/>
      <c r="T114" s="530"/>
      <c r="U114" s="529">
        <v>31</v>
      </c>
      <c r="V114" s="530">
        <v>31500</v>
      </c>
      <c r="W114" s="529">
        <v>44</v>
      </c>
      <c r="X114" s="530">
        <v>18900</v>
      </c>
    </row>
    <row r="115" spans="16:24">
      <c r="P115" s="543">
        <v>2050</v>
      </c>
      <c r="Q115" s="531" t="s">
        <v>783</v>
      </c>
      <c r="R115" s="532" t="s">
        <v>765</v>
      </c>
      <c r="S115" s="533"/>
      <c r="T115" s="534"/>
      <c r="U115" s="533">
        <v>51</v>
      </c>
      <c r="V115" s="534">
        <v>31500</v>
      </c>
      <c r="W115" s="533">
        <v>73.3125</v>
      </c>
      <c r="X115" s="534">
        <v>44100</v>
      </c>
    </row>
    <row r="116" spans="16:24">
      <c r="P116" s="542">
        <v>2050</v>
      </c>
      <c r="Q116" s="527" t="s">
        <v>785</v>
      </c>
      <c r="R116" s="528" t="s">
        <v>765</v>
      </c>
      <c r="S116" s="529"/>
      <c r="T116" s="530"/>
      <c r="U116" s="529">
        <v>30.6</v>
      </c>
      <c r="V116" s="530">
        <v>27500</v>
      </c>
      <c r="W116" s="529">
        <v>43.987499999999997</v>
      </c>
      <c r="X116" s="530">
        <v>16500</v>
      </c>
    </row>
    <row r="117" spans="16:24">
      <c r="P117" s="543">
        <v>2050</v>
      </c>
      <c r="Q117" s="531" t="s">
        <v>786</v>
      </c>
      <c r="R117" s="532" t="s">
        <v>765</v>
      </c>
      <c r="S117" s="533"/>
      <c r="T117" s="534"/>
      <c r="U117" s="533">
        <v>51</v>
      </c>
      <c r="V117" s="534">
        <v>27500</v>
      </c>
      <c r="W117" s="533">
        <v>73.3125</v>
      </c>
      <c r="X117" s="534">
        <v>38500</v>
      </c>
    </row>
    <row r="118" spans="16:24">
      <c r="P118" s="542">
        <v>2050</v>
      </c>
      <c r="Q118" s="527" t="s">
        <v>787</v>
      </c>
      <c r="R118" s="528" t="s">
        <v>765</v>
      </c>
      <c r="S118" s="529"/>
      <c r="T118" s="530"/>
      <c r="U118" s="529">
        <v>30.6</v>
      </c>
      <c r="V118" s="530">
        <v>57000</v>
      </c>
      <c r="W118" s="529">
        <v>43.987499999999997</v>
      </c>
      <c r="X118" s="530">
        <v>34200</v>
      </c>
    </row>
    <row r="119" spans="16:24">
      <c r="P119" s="543">
        <v>2050</v>
      </c>
      <c r="Q119" s="531" t="s">
        <v>788</v>
      </c>
      <c r="R119" s="532" t="s">
        <v>765</v>
      </c>
      <c r="S119" s="533"/>
      <c r="T119" s="534"/>
      <c r="U119" s="533">
        <v>51</v>
      </c>
      <c r="V119" s="534">
        <v>57000</v>
      </c>
      <c r="W119" s="533">
        <v>73.3125</v>
      </c>
      <c r="X119" s="534">
        <v>79800</v>
      </c>
    </row>
    <row r="120" spans="16:24">
      <c r="P120" s="542">
        <v>2050</v>
      </c>
      <c r="Q120" s="527" t="s">
        <v>789</v>
      </c>
      <c r="R120" s="528" t="s">
        <v>790</v>
      </c>
      <c r="S120" s="529"/>
      <c r="T120" s="530"/>
      <c r="U120" s="529" t="s">
        <v>774</v>
      </c>
      <c r="V120" s="530">
        <v>44830</v>
      </c>
      <c r="W120" s="529" t="s">
        <v>774</v>
      </c>
      <c r="X120" s="530">
        <v>44830</v>
      </c>
    </row>
    <row r="121" spans="16:24">
      <c r="P121" s="543">
        <v>2050</v>
      </c>
      <c r="Q121" s="531" t="s">
        <v>791</v>
      </c>
      <c r="R121" s="532" t="s">
        <v>790</v>
      </c>
      <c r="S121" s="533"/>
      <c r="T121" s="534"/>
      <c r="U121" s="533">
        <v>69.44</v>
      </c>
      <c r="V121" s="534">
        <v>120170</v>
      </c>
      <c r="W121" s="533">
        <v>104.16</v>
      </c>
      <c r="X121" s="534">
        <v>67245</v>
      </c>
    </row>
    <row r="122" spans="16:24">
      <c r="P122" s="542">
        <v>2050</v>
      </c>
      <c r="Q122" s="527" t="s">
        <v>792</v>
      </c>
      <c r="R122" s="528" t="s">
        <v>790</v>
      </c>
      <c r="S122" s="529"/>
      <c r="T122" s="530"/>
      <c r="U122" s="529" t="s">
        <v>774</v>
      </c>
      <c r="V122" s="530">
        <v>8770</v>
      </c>
      <c r="W122" s="529" t="s">
        <v>774</v>
      </c>
      <c r="X122" s="530">
        <v>8770</v>
      </c>
    </row>
    <row r="123" spans="16:24">
      <c r="P123" s="543">
        <v>2050</v>
      </c>
      <c r="Q123" s="531" t="s">
        <v>793</v>
      </c>
      <c r="R123" s="532" t="s">
        <v>790</v>
      </c>
      <c r="S123" s="533"/>
      <c r="T123" s="534"/>
      <c r="U123" s="533">
        <v>69.44</v>
      </c>
      <c r="V123" s="534">
        <v>156230</v>
      </c>
      <c r="W123" s="533">
        <v>104.16</v>
      </c>
      <c r="X123" s="534">
        <v>13155</v>
      </c>
    </row>
    <row r="124" spans="16:24">
      <c r="P124" s="542">
        <v>2050</v>
      </c>
      <c r="Q124" s="527" t="s">
        <v>794</v>
      </c>
      <c r="R124" s="528" t="s">
        <v>790</v>
      </c>
      <c r="S124" s="529"/>
      <c r="T124" s="530"/>
      <c r="U124" s="529" t="s">
        <v>774</v>
      </c>
      <c r="V124" s="530">
        <v>8770</v>
      </c>
      <c r="W124" s="529" t="s">
        <v>774</v>
      </c>
      <c r="X124" s="530">
        <v>8770</v>
      </c>
    </row>
    <row r="125" spans="16:24">
      <c r="P125" s="543">
        <v>2050</v>
      </c>
      <c r="Q125" s="531" t="s">
        <v>795</v>
      </c>
      <c r="R125" s="532" t="s">
        <v>790</v>
      </c>
      <c r="S125" s="533"/>
      <c r="T125" s="534"/>
      <c r="U125" s="533">
        <v>69.44</v>
      </c>
      <c r="V125" s="534">
        <v>156230</v>
      </c>
      <c r="W125" s="533">
        <v>104.16</v>
      </c>
      <c r="X125" s="534">
        <v>13155</v>
      </c>
    </row>
    <row r="126" spans="16:24">
      <c r="P126" s="542">
        <v>2050</v>
      </c>
      <c r="Q126" s="527" t="s">
        <v>797</v>
      </c>
      <c r="R126" s="528" t="s">
        <v>790</v>
      </c>
      <c r="S126" s="529"/>
      <c r="T126" s="530"/>
      <c r="U126" s="529" t="s">
        <v>774</v>
      </c>
      <c r="V126" s="530">
        <v>73050</v>
      </c>
      <c r="W126" s="529" t="s">
        <v>774</v>
      </c>
      <c r="X126" s="530">
        <v>73050</v>
      </c>
    </row>
    <row r="127" spans="16:24" ht="15.75" thickBot="1">
      <c r="P127" s="544">
        <v>2050</v>
      </c>
      <c r="Q127" s="545" t="s">
        <v>798</v>
      </c>
      <c r="R127" s="546" t="s">
        <v>790</v>
      </c>
      <c r="S127" s="547"/>
      <c r="T127" s="548"/>
      <c r="U127" s="547">
        <v>69.44</v>
      </c>
      <c r="V127" s="548">
        <v>91950</v>
      </c>
      <c r="W127" s="547">
        <v>104.16</v>
      </c>
      <c r="X127" s="548">
        <v>91950</v>
      </c>
    </row>
  </sheetData>
  <mergeCells count="11">
    <mergeCell ref="AE60:AF60"/>
    <mergeCell ref="AG60:AH60"/>
    <mergeCell ref="AE51:AF51"/>
    <mergeCell ref="AG51:AH51"/>
    <mergeCell ref="AE50:AH50"/>
    <mergeCell ref="AE59:AH59"/>
    <mergeCell ref="S6:T6"/>
    <mergeCell ref="U6:V6"/>
    <mergeCell ref="W6:X6"/>
    <mergeCell ref="AE38:AF38"/>
    <mergeCell ref="AG38:AH38"/>
  </mergeCells>
  <pageMargins left="0.7" right="0.7" top="0.75" bottom="0.75" header="0.3" footer="0.3"/>
  <headerFooter>
    <oddFooter>&amp;C_x000D_&amp;1#&amp;"Calibri"&amp;10&amp;K000000 ISC - Uso INTERNO / INTERNAL Use</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TaxCatchAll xmlns="e3fb2008-9808-4f29-aa32-2f66631018ed">
      <Value>3</Value>
      <Value>2</Value>
      <Value>1</Value>
    </TaxCatchAll>
    <MYENTSOE_SiteType xmlns="9b216c6c-829b-4bd6-a7b8-61d756915eca">MYENTSOE</MYENTSOE_SiteType>
    <o7c6620afba5434aaae6ef9be3dfdbd2 xmlns="9b216c6c-829b-4bd6-a7b8-61d756915eca">
      <Terms xmlns="http://schemas.microsoft.com/office/infopath/2007/PartnerControls">
        <TermInfo xmlns="http://schemas.microsoft.com/office/infopath/2007/PartnerControls">
          <TermName xmlns="http://schemas.microsoft.com/office/infopath/2007/PartnerControls">Extranet</TermName>
          <TermId xmlns="http://schemas.microsoft.com/office/infopath/2007/PartnerControls">922fc1ba-0c8d-4fbf-b30d-83722d0f30f2</TermId>
        </TermInfo>
      </Terms>
    </o7c6620afba5434aaae6ef9be3dfdbd2>
    <h9003f7b9f494612977846e0050fed71 xmlns="9b216c6c-829b-4bd6-a7b8-61d756915eca">
      <Terms xmlns="http://schemas.microsoft.com/office/infopath/2007/PartnerControls">
        <TermInfo xmlns="http://schemas.microsoft.com/office/infopath/2007/PartnerControls">
          <TermName xmlns="http://schemas.microsoft.com/office/infopath/2007/PartnerControls">SDC</TermName>
          <TermId xmlns="http://schemas.microsoft.com/office/infopath/2007/PartnerControls">414c202c-9255-45c1-8290-a69e6acf8153</TermId>
        </TermInfo>
      </Terms>
    </h9003f7b9f494612977846e0050fed71>
    <pbc0f0de950a4a35a97ec71d1ea28ac6 xmlns="9b216c6c-829b-4bd6-a7b8-61d756915eca">
      <Terms xmlns="http://schemas.microsoft.com/office/infopath/2007/PartnerControls"/>
    </pbc0f0de950a4a35a97ec71d1ea28ac6>
    <cd67ed8a84074a6585f4dff49f8697b2 xmlns="9b216c6c-829b-4bd6-a7b8-61d756915eca">
      <Terms xmlns="http://schemas.microsoft.com/office/infopath/2007/PartnerControls"/>
    </cd67ed8a84074a6585f4dff49f8697b2>
    <ka6aaa3f9c694727892a9d4c842b0cb7 xmlns="9b216c6c-829b-4bd6-a7b8-61d756915eca">
      <Terms xmlns="http://schemas.microsoft.com/office/infopath/2007/PartnerControls"/>
    </ka6aaa3f9c694727892a9d4c842b0cb7>
    <ff9ab3467cf04ce9aa1cff0f5f816655 xmlns="9b216c6c-829b-4bd6-a7b8-61d756915eca">
      <Terms xmlns="http://schemas.microsoft.com/office/infopath/2007/PartnerControls">
        <TermInfo xmlns="http://schemas.microsoft.com/office/infopath/2007/PartnerControls">
          <TermName xmlns="http://schemas.microsoft.com/office/infopath/2007/PartnerControls">Shared</TermName>
          <TermId xmlns="http://schemas.microsoft.com/office/infopath/2007/PartnerControls">04da8cfa-2b68-4725-9db5-e7b66ab623e6</TermId>
        </TermInfo>
      </Terms>
    </ff9ab3467cf04ce9aa1cff0f5f816655>
    <h00809838d2c4acabc9e4b8e74fa1ba3 xmlns="9b216c6c-829b-4bd6-a7b8-61d756915eca">
      <Terms xmlns="http://schemas.microsoft.com/office/infopath/2007/PartnerControls"/>
    </h00809838d2c4acabc9e4b8e74fa1ba3>
    <f25aee4750b24120b97bdbb6766dd771 xmlns="9b216c6c-829b-4bd6-a7b8-61d756915eca">
      <Terms xmlns="http://schemas.microsoft.com/office/infopath/2007/PartnerControls"/>
    </f25aee4750b24120b97bdbb6766dd771>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5B6B50967DEB4BA6EFC3DC4B3E4C2D" ma:contentTypeVersion="25" ma:contentTypeDescription="Create a new document." ma:contentTypeScope="" ma:versionID="f1f9003c72b0ce3e143193d073f3d1a7">
  <xsd:schema xmlns:xsd="http://www.w3.org/2001/XMLSchema" xmlns:xs="http://www.w3.org/2001/XMLSchema" xmlns:p="http://schemas.microsoft.com/office/2006/metadata/properties" xmlns:ns2="9b216c6c-829b-4bd6-a7b8-61d756915eca" xmlns:ns3="e3fb2008-9808-4f29-aa32-2f66631018ed" targetNamespace="http://schemas.microsoft.com/office/2006/metadata/properties" ma:root="true" ma:fieldsID="c4b0a95e95378f5f31da9657be19360d" ns2:_="" ns3:_="">
    <xsd:import namespace="9b216c6c-829b-4bd6-a7b8-61d756915eca"/>
    <xsd:import namespace="e3fb2008-9808-4f29-aa32-2f66631018e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YENTSOE_SiteType" minOccurs="0"/>
                <xsd:element ref="ns2:o7c6620afba5434aaae6ef9be3dfdbd2" minOccurs="0"/>
                <xsd:element ref="ns3:TaxCatchAll" minOccurs="0"/>
                <xsd:element ref="ns2:h9003f7b9f494612977846e0050fed71" minOccurs="0"/>
                <xsd:element ref="ns2:pbc0f0de950a4a35a97ec71d1ea28ac6" minOccurs="0"/>
                <xsd:element ref="ns2:f25aee4750b24120b97bdbb6766dd771" minOccurs="0"/>
                <xsd:element ref="ns2:ka6aaa3f9c694727892a9d4c842b0cb7" minOccurs="0"/>
                <xsd:element ref="ns2:h00809838d2c4acabc9e4b8e74fa1ba3" minOccurs="0"/>
                <xsd:element ref="ns2:ff9ab3467cf04ce9aa1cff0f5f816655" minOccurs="0"/>
                <xsd:element ref="ns2:cd67ed8a84074a6585f4dff49f8697b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16c6c-829b-4bd6-a7b8-61d756915e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YENTSOE_SiteType" ma:index="12" nillable="true" ma:displayName="Site Type" ma:default="MYENTSOE" ma:internalName="MYENTSOE_SiteType">
      <xsd:simpleType>
        <xsd:restriction base="dms:Text"/>
      </xsd:simpleType>
    </xsd:element>
    <xsd:element name="o7c6620afba5434aaae6ef9be3dfdbd2" ma:index="14" nillable="true" ma:taxonomy="true" ma:internalName="o7c6620afba5434aaae6ef9be3dfdbd2" ma:taxonomyFieldName="MYENTSOE_PublicType" ma:displayName="Public Type" ma:default="-1;#Extranet|922fc1ba-0c8d-4fbf-b30d-83722d0f30f2" ma:fieldId="{87c6620a-fba5-434a-aae6-ef9be3dfdbd2}" ma:sspId="0cf2b176-d4dc-4d18-8c95-51f9f2dafcd3" ma:termSetId="a0d7c562-4a8e-458a-9f8a-6a29e3d3b260" ma:anchorId="00000000-0000-0000-0000-000000000000" ma:open="false" ma:isKeyword="false">
      <xsd:complexType>
        <xsd:sequence>
          <xsd:element ref="pc:Terms" minOccurs="0" maxOccurs="1"/>
        </xsd:sequence>
      </xsd:complexType>
    </xsd:element>
    <xsd:element name="h9003f7b9f494612977846e0050fed71" ma:index="17" nillable="true" ma:taxonomy="true" ma:internalName="h9003f7b9f494612977846e0050fed71" ma:taxonomyFieldName="MYENTSOE_Section" ma:displayName="Section" ma:default="-1;#SDC|414c202c-9255-45c1-8290-a69e6acf8153" ma:fieldId="{19003f7b-9f49-4612-9778-46e0050fed71}" ma:sspId="0cf2b176-d4dc-4d18-8c95-51f9f2dafcd3" ma:termSetId="ca6f290f-ffad-40e7-8c84-e8889b665443" ma:anchorId="00000000-0000-0000-0000-000000000000" ma:open="false" ma:isKeyword="false">
      <xsd:complexType>
        <xsd:sequence>
          <xsd:element ref="pc:Terms" minOccurs="0" maxOccurs="1"/>
        </xsd:sequence>
      </xsd:complexType>
    </xsd:element>
    <xsd:element name="pbc0f0de950a4a35a97ec71d1ea28ac6" ma:index="19" nillable="true" ma:taxonomy="true" ma:internalName="pbc0f0de950a4a35a97ec71d1ea28ac6" ma:taxonomyFieldName="MYENTSOE_Classification1" ma:displayName="Classification 1" ma:fieldId="{9bc0f0de-950a-4a35-a97e-c71d1ea28ac6}"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f25aee4750b24120b97bdbb6766dd771" ma:index="21" nillable="true" ma:taxonomy="true" ma:internalName="f25aee4750b24120b97bdbb6766dd771" ma:taxonomyFieldName="MYENTSOE_Classification2" ma:displayName="Classification 2" ma:fieldId="{f25aee47-50b2-4120-b97b-dbb6766dd771}"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ka6aaa3f9c694727892a9d4c842b0cb7" ma:index="23" nillable="true" ma:taxonomy="true" ma:internalName="ka6aaa3f9c694727892a9d4c842b0cb7" ma:taxonomyFieldName="MYENTSOE_Classification3" ma:displayName="Classification 3" ma:fieldId="{4a6aaa3f-9c69-4727-892a-9d4c842b0cb7}"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h00809838d2c4acabc9e4b8e74fa1ba3" ma:index="25" nillable="true" ma:taxonomy="true" ma:internalName="h00809838d2c4acabc9e4b8e74fa1ba3" ma:taxonomyFieldName="MYENTSOE_Classification4" ma:displayName="Classification 4" ma:fieldId="{10080983-8d2c-4aca-bc9e-4b8e74fa1ba3}"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ff9ab3467cf04ce9aa1cff0f5f816655" ma:index="27" nillable="true" ma:taxonomy="true" ma:internalName="ff9ab3467cf04ce9aa1cff0f5f816655" ma:taxonomyFieldName="MYENTSOE_SharingType" ma:displayName="Sharing Type" ma:default="-1;#Shared|04da8cfa-2b68-4725-9db5-e7b66ab623e6" ma:fieldId="{ff9ab346-7cf0-4ce9-aa1c-ff0f5f816655}" ma:sspId="0cf2b176-d4dc-4d18-8c95-51f9f2dafcd3" ma:termSetId="09b229b3-e0b6-423a-b819-7f93001a6e2a" ma:anchorId="00000000-0000-0000-0000-000000000000" ma:open="false" ma:isKeyword="false">
      <xsd:complexType>
        <xsd:sequence>
          <xsd:element ref="pc:Terms" minOccurs="0" maxOccurs="1"/>
        </xsd:sequence>
      </xsd:complexType>
    </xsd:element>
    <xsd:element name="cd67ed8a84074a6585f4dff49f8697b2" ma:index="29" nillable="true" ma:taxonomy="true" ma:internalName="cd67ed8a84074a6585f4dff49f8697b2" ma:taxonomyFieldName="Confidentiality" ma:displayName="Confidentiality" ma:fieldId="{cd67ed8a-8407-4a65-85f4-dff49f8697b2}" ma:sspId="0cf2b176-d4dc-4d18-8c95-51f9f2dafcd3" ma:termSetId="1aeb3a4d-5a56-4fc5-b0c8-230b3cd7bda4"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fb2008-9808-4f29-aa32-2f66631018ed"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7b3c731-962d-4f9a-8853-46a084690825}" ma:internalName="TaxCatchAll" ma:showField="CatchAllData" ma:web="e3fb2008-9808-4f29-aa32-2f66631018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944F97-87B5-484E-A693-643EF6D54403}"/>
</file>

<file path=customXml/itemProps2.xml><?xml version="1.0" encoding="utf-8"?>
<ds:datastoreItem xmlns:ds="http://schemas.openxmlformats.org/officeDocument/2006/customXml" ds:itemID="{150DB24B-CDC2-4738-8C6F-C387EEAFE7B7}">
  <ds:schemaRefs>
    <ds:schemaRef ds:uri="http://www.w3.org/XML/1998/namespace"/>
    <ds:schemaRef ds:uri="747bd86c-ce71-45ea-b8eb-b2faa30a321f"/>
    <ds:schemaRef ds:uri="http://schemas.microsoft.com/office/2006/documentManagement/types"/>
    <ds:schemaRef ds:uri="http://purl.org/dc/elements/1.1/"/>
    <ds:schemaRef ds:uri="febcdd9f-8e8a-4082-9087-afb1140160c2"/>
    <ds:schemaRef ds:uri="http://purl.org/dc/dcmitype/"/>
    <ds:schemaRef ds:uri="http://purl.org/dc/terms/"/>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268BA197-F3BC-466A-AA5E-CDB8859B5229}"/>
</file>

<file path=docMetadata/LabelInfo.xml><?xml version="1.0" encoding="utf-8"?>
<clbl:labelList xmlns:clbl="http://schemas.microsoft.com/office/2020/mipLabelMetadata">
  <clbl:label id="{d65a070e-ad16-4345-879f-c1de6464f1fb}" enabled="1" method="Standard" siteId="{eccd734e-7022-4709-aba5-a5dd77929e27}"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Contents</vt:lpstr>
      <vt:lpstr>_TYNDP2024 Scenarios</vt:lpstr>
      <vt:lpstr>1. </vt:lpstr>
      <vt:lpstr>1.1.</vt:lpstr>
      <vt:lpstr>1.2.</vt:lpstr>
      <vt:lpstr>1.3.</vt:lpstr>
      <vt:lpstr>1.4.</vt:lpstr>
      <vt:lpstr>1.5.</vt:lpstr>
      <vt:lpstr>1.6.</vt:lpstr>
      <vt:lpstr>2.</vt:lpstr>
      <vt:lpstr>2.1.</vt:lpstr>
      <vt:lpstr>2.2.</vt:lpstr>
      <vt:lpstr>3.</vt:lpstr>
      <vt:lpstr>3.1.</vt:lpstr>
      <vt:lpstr>3.2.</vt:lpstr>
      <vt:lpstr>3.3</vt:lpstr>
      <vt:lpstr>3.4.</vt:lpstr>
      <vt:lpstr>3.5.</vt:lpstr>
      <vt:lpstr>3.6.</vt:lpstr>
      <vt:lpstr>3.7.</vt:lpstr>
      <vt:lpstr>4.</vt:lpstr>
      <vt:lpstr>4.1.</vt:lpstr>
      <vt:lpstr>4.2.</vt:lpstr>
      <vt:lpstr>4.3.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Nalan Buyuk</dc:creator>
  <cp:keywords/>
  <dc:description/>
  <cp:lastModifiedBy>Mads Boesen</cp:lastModifiedBy>
  <cp:revision/>
  <dcterms:created xsi:type="dcterms:W3CDTF">2023-06-22T08:53:51Z</dcterms:created>
  <dcterms:modified xsi:type="dcterms:W3CDTF">2024-03-25T11:32:33Z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0x0101007A5B6B50967DEB4BA6EFC3DC4B3E4C2D</vt:lpwstr>
  </property>
  <property fmtid="{D5CDD505-2E9C-101B-9397-08002B2CF9AE}" pid="3" name="MediaServiceImageTags">
    <vt:lpwstr/>
  </property>
  <property fmtid="{D5CDD505-2E9C-101B-9397-08002B2CF9AE}" pid="4" name="MYENTSOE_Classification2">
    <vt:lpwstr/>
  </property>
  <property fmtid="{D5CDD505-2E9C-101B-9397-08002B2CF9AE}" pid="5" name="Confidentiality">
    <vt:lpwstr/>
  </property>
  <property fmtid="{D5CDD505-2E9C-101B-9397-08002B2CF9AE}" pid="6" name="MYENTSOE_Classification3">
    <vt:lpwstr/>
  </property>
  <property fmtid="{D5CDD505-2E9C-101B-9397-08002B2CF9AE}" pid="7" name="MYENTSOE_PublicType">
    <vt:lpwstr>1;#Extranet|922fc1ba-0c8d-4fbf-b30d-83722d0f30f2</vt:lpwstr>
  </property>
  <property fmtid="{D5CDD505-2E9C-101B-9397-08002B2CF9AE}" pid="8" name="MYENTSOE_SharingType">
    <vt:lpwstr>3;#Shared|04da8cfa-2b68-4725-9db5-e7b66ab623e6</vt:lpwstr>
  </property>
  <property fmtid="{D5CDD505-2E9C-101B-9397-08002B2CF9AE}" pid="9" name="MYENTSOE_Classification1">
    <vt:lpwstr/>
  </property>
  <property fmtid="{D5CDD505-2E9C-101B-9397-08002B2CF9AE}" pid="10" name="MYENTSOE_Section">
    <vt:lpwstr>2;#SDC|414c202c-9255-45c1-8290-a69e6acf8153</vt:lpwstr>
  </property>
  <property fmtid="{D5CDD505-2E9C-101B-9397-08002B2CF9AE}" pid="11" name="MYENTSOE_Classification4">
    <vt:lpwstr/>
  </property>
</Properties>
</file>