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ferreira/Desktop/Edit/3. Digital Data Analytics - Descritivo/"/>
    </mc:Choice>
  </mc:AlternateContent>
  <xr:revisionPtr revIDLastSave="0" documentId="13_ncr:1_{BA22BC77-1971-B54D-B393-34184049BD46}" xr6:coauthVersionLast="43" xr6:coauthVersionMax="43" xr10:uidLastSave="{00000000-0000-0000-0000-000000000000}"/>
  <bookViews>
    <workbookView xWindow="0" yWindow="0" windowWidth="33600" windowHeight="21000" activeTab="3" xr2:uid="{BEF207C6-43ED-9143-9FB4-FEC5EA66FF6B}"/>
  </bookViews>
  <sheets>
    <sheet name="data_set" sheetId="1" r:id="rId1"/>
    <sheet name="Variaveis" sheetId="2" r:id="rId2"/>
    <sheet name="Análise univariada" sheetId="3" r:id="rId3"/>
    <sheet name="Análise bivariada" sheetId="4" r:id="rId4"/>
  </sheets>
  <definedNames>
    <definedName name="_xlchart.v1.0" hidden="1">'Análise univariada'!$K$45</definedName>
    <definedName name="_xlchart.v1.1" hidden="1">'Análise univariada'!$K$46:$K$73</definedName>
    <definedName name="_xlchart.v1.2" hidden="1">'Análise univariada'!$B$45</definedName>
    <definedName name="_xlchart.v1.3" hidden="1">'Análise univariada'!$B$46:$B$73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B95" i="4"/>
  <c r="C95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A64" i="4"/>
  <c r="B1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5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C23" i="3"/>
  <c r="AB47" i="3" l="1"/>
  <c r="H76" i="3"/>
  <c r="P76" i="3"/>
  <c r="I75" i="3"/>
  <c r="Q75" i="3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23" i="3"/>
  <c r="U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R23" i="3"/>
  <c r="S23" i="3" s="1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23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23" i="3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23" i="3"/>
  <c r="M23" i="3" s="1"/>
  <c r="I23" i="3"/>
  <c r="H23" i="3"/>
  <c r="G23" i="3"/>
  <c r="B76" i="3" s="1"/>
  <c r="B77" i="3" s="1"/>
  <c r="F23" i="3"/>
  <c r="E23" i="3"/>
  <c r="B75" i="3" s="1"/>
  <c r="D23" i="3"/>
  <c r="M32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24" i="3"/>
  <c r="C76" i="3" s="1"/>
  <c r="G25" i="3"/>
  <c r="D76" i="3" s="1"/>
  <c r="G26" i="3"/>
  <c r="E76" i="3" s="1"/>
  <c r="G27" i="3"/>
  <c r="F76" i="3" s="1"/>
  <c r="G28" i="3"/>
  <c r="G76" i="3" s="1"/>
  <c r="G29" i="3"/>
  <c r="G30" i="3"/>
  <c r="I76" i="3" s="1"/>
  <c r="G31" i="3"/>
  <c r="J76" i="3" s="1"/>
  <c r="G32" i="3"/>
  <c r="K76" i="3" s="1"/>
  <c r="G33" i="3"/>
  <c r="L76" i="3" s="1"/>
  <c r="L77" i="3" s="1"/>
  <c r="L81" i="3" s="1"/>
  <c r="G34" i="3"/>
  <c r="M76" i="3" s="1"/>
  <c r="G35" i="3"/>
  <c r="N76" i="3" s="1"/>
  <c r="G36" i="3"/>
  <c r="O76" i="3" s="1"/>
  <c r="G37" i="3"/>
  <c r="G38" i="3"/>
  <c r="Q76" i="3" s="1"/>
  <c r="E24" i="3"/>
  <c r="C75" i="3" s="1"/>
  <c r="E25" i="3"/>
  <c r="D75" i="3" s="1"/>
  <c r="E26" i="3"/>
  <c r="E75" i="3" s="1"/>
  <c r="E27" i="3"/>
  <c r="F75" i="3" s="1"/>
  <c r="E28" i="3"/>
  <c r="G75" i="3" s="1"/>
  <c r="E29" i="3"/>
  <c r="H75" i="3" s="1"/>
  <c r="E30" i="3"/>
  <c r="E31" i="3"/>
  <c r="J75" i="3" s="1"/>
  <c r="E32" i="3"/>
  <c r="K75" i="3" s="1"/>
  <c r="E33" i="3"/>
  <c r="L75" i="3" s="1"/>
  <c r="E34" i="3"/>
  <c r="M75" i="3" s="1"/>
  <c r="E35" i="3"/>
  <c r="N75" i="3" s="1"/>
  <c r="E36" i="3"/>
  <c r="O75" i="3" s="1"/>
  <c r="E37" i="3"/>
  <c r="P75" i="3" s="1"/>
  <c r="E38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C41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D13" i="3"/>
  <c r="D14" i="3"/>
  <c r="D15" i="3"/>
  <c r="D12" i="3"/>
  <c r="D6" i="3"/>
  <c r="D7" i="3"/>
  <c r="N77" i="3" l="1"/>
  <c r="N80" i="3" s="1"/>
  <c r="F77" i="3"/>
  <c r="F80" i="3" s="1"/>
  <c r="M77" i="3"/>
  <c r="M85" i="3" s="1"/>
  <c r="E77" i="3"/>
  <c r="E80" i="3" s="1"/>
  <c r="D77" i="3"/>
  <c r="D81" i="3" s="1"/>
  <c r="K77" i="3"/>
  <c r="K84" i="3" s="1"/>
  <c r="C77" i="3"/>
  <c r="C84" i="3" s="1"/>
  <c r="P77" i="3"/>
  <c r="P81" i="3" s="1"/>
  <c r="O77" i="3"/>
  <c r="O80" i="3" s="1"/>
  <c r="H77" i="3"/>
  <c r="H81" i="3" s="1"/>
  <c r="G77" i="3"/>
  <c r="G80" i="3" s="1"/>
  <c r="J34" i="3"/>
  <c r="J26" i="3"/>
  <c r="K80" i="3"/>
  <c r="N84" i="3"/>
  <c r="Q77" i="3"/>
  <c r="Q81" i="3" s="1"/>
  <c r="I77" i="3"/>
  <c r="I84" i="3" s="1"/>
  <c r="H80" i="3"/>
  <c r="F84" i="3"/>
  <c r="H85" i="3"/>
  <c r="L80" i="3"/>
  <c r="I81" i="3"/>
  <c r="H84" i="3"/>
  <c r="N85" i="3"/>
  <c r="F85" i="3"/>
  <c r="J77" i="3"/>
  <c r="J80" i="3" s="1"/>
  <c r="E85" i="3"/>
  <c r="L85" i="3"/>
  <c r="N81" i="3"/>
  <c r="F81" i="3"/>
  <c r="E81" i="3"/>
  <c r="L84" i="3"/>
  <c r="D84" i="3"/>
  <c r="K25" i="3"/>
  <c r="K33" i="3"/>
  <c r="K32" i="3"/>
  <c r="K24" i="3"/>
  <c r="S38" i="3"/>
  <c r="K30" i="3"/>
  <c r="K29" i="3"/>
  <c r="K23" i="3"/>
  <c r="K37" i="3"/>
  <c r="J37" i="3"/>
  <c r="J29" i="3"/>
  <c r="K35" i="3"/>
  <c r="K27" i="3"/>
  <c r="P35" i="3"/>
  <c r="P27" i="3"/>
  <c r="K34" i="3"/>
  <c r="K26" i="3"/>
  <c r="K36" i="3"/>
  <c r="K31" i="3"/>
  <c r="K28" i="3"/>
  <c r="P37" i="3"/>
  <c r="P29" i="3"/>
  <c r="J35" i="3"/>
  <c r="J27" i="3"/>
  <c r="P38" i="3"/>
  <c r="J33" i="3"/>
  <c r="J25" i="3"/>
  <c r="P31" i="3"/>
  <c r="J36" i="3"/>
  <c r="J32" i="3"/>
  <c r="J24" i="3"/>
  <c r="K38" i="3"/>
  <c r="P30" i="3"/>
  <c r="J38" i="3"/>
  <c r="J30" i="3"/>
  <c r="J28" i="3"/>
  <c r="D16" i="3"/>
  <c r="P34" i="3"/>
  <c r="P33" i="3"/>
  <c r="P23" i="3"/>
  <c r="P32" i="3"/>
  <c r="P24" i="3"/>
  <c r="P25" i="3"/>
  <c r="P36" i="3"/>
  <c r="P28" i="3"/>
  <c r="P26" i="3"/>
  <c r="J23" i="3"/>
  <c r="J31" i="3"/>
  <c r="D8" i="3"/>
  <c r="M84" i="3" l="1"/>
  <c r="M81" i="3"/>
  <c r="C85" i="3"/>
  <c r="C80" i="3"/>
  <c r="M80" i="3"/>
  <c r="D80" i="3"/>
  <c r="D85" i="3"/>
  <c r="K85" i="3"/>
  <c r="G85" i="3"/>
  <c r="E84" i="3"/>
  <c r="I80" i="3"/>
  <c r="K81" i="3"/>
  <c r="O81" i="3"/>
  <c r="Q80" i="3"/>
  <c r="Q84" i="3"/>
  <c r="Q85" i="3"/>
  <c r="P85" i="3"/>
  <c r="C81" i="3"/>
  <c r="O85" i="3"/>
  <c r="G81" i="3"/>
  <c r="O84" i="3"/>
  <c r="G84" i="3"/>
  <c r="P84" i="3"/>
  <c r="P80" i="3"/>
  <c r="I85" i="3"/>
  <c r="J85" i="3"/>
  <c r="J81" i="3"/>
  <c r="J84" i="3"/>
  <c r="B85" i="3"/>
  <c r="B81" i="3"/>
  <c r="B80" i="3"/>
  <c r="B84" i="3"/>
</calcChain>
</file>

<file path=xl/sharedStrings.xml><?xml version="1.0" encoding="utf-8"?>
<sst xmlns="http://schemas.openxmlformats.org/spreadsheetml/2006/main" count="369" uniqueCount="102">
  <si>
    <t>Paises</t>
  </si>
  <si>
    <t>Rendimento Ensino basico</t>
  </si>
  <si>
    <t>Rendimento Ensino pos-secundario</t>
  </si>
  <si>
    <t>Rendimento Ensino superior</t>
  </si>
  <si>
    <t>Indice de Gini</t>
  </si>
  <si>
    <t>Populacao estrangeira</t>
  </si>
  <si>
    <t>Moeda</t>
  </si>
  <si>
    <t>Regiao</t>
  </si>
  <si>
    <t>Populacao ensino superior</t>
  </si>
  <si>
    <t>Populacao desempregada</t>
  </si>
  <si>
    <t>PIB per capita</t>
  </si>
  <si>
    <t>Despesa Alimentacao</t>
  </si>
  <si>
    <t>Despesa Saude</t>
  </si>
  <si>
    <t>Despesa Transportes e comunicacoes</t>
  </si>
  <si>
    <t>Despesa Educacao</t>
  </si>
  <si>
    <t>Despesa Habitacao e utilidades</t>
  </si>
  <si>
    <t>Despesa Servicos</t>
  </si>
  <si>
    <t>Despesa Lazer e cultura</t>
  </si>
  <si>
    <t>Despesa Vestuario e recheio de casa</t>
  </si>
  <si>
    <t>Alemanha</t>
  </si>
  <si>
    <t>Euro</t>
  </si>
  <si>
    <t>Europa central</t>
  </si>
  <si>
    <t>Austria</t>
  </si>
  <si>
    <t>Belgica</t>
  </si>
  <si>
    <t>Bulgaria</t>
  </si>
  <si>
    <t>Nao-euro</t>
  </si>
  <si>
    <t>Europa de leste</t>
  </si>
  <si>
    <t>Chipre</t>
  </si>
  <si>
    <t>Europa de sul</t>
  </si>
  <si>
    <t>Croacia</t>
  </si>
  <si>
    <t>Dinamarca</t>
  </si>
  <si>
    <t>Europa de norte</t>
  </si>
  <si>
    <t>Eslovaquia</t>
  </si>
  <si>
    <t>Eslovenia</t>
  </si>
  <si>
    <t>Espanha</t>
  </si>
  <si>
    <t>EstÛnia</t>
  </si>
  <si>
    <t>Finlandia</t>
  </si>
  <si>
    <t>Franca</t>
  </si>
  <si>
    <t>Grecia</t>
  </si>
  <si>
    <t>Hungria</t>
  </si>
  <si>
    <t>Irlanda</t>
  </si>
  <si>
    <t>Italia</t>
  </si>
  <si>
    <t>Letonia</t>
  </si>
  <si>
    <t>Lituania</t>
  </si>
  <si>
    <t>Luxemburgo</t>
  </si>
  <si>
    <t>Malta</t>
  </si>
  <si>
    <t>Paises Baixos</t>
  </si>
  <si>
    <t>Polonia</t>
  </si>
  <si>
    <t>Portugal</t>
  </si>
  <si>
    <t>Reino Unido</t>
  </si>
  <si>
    <t>Republica Checa</t>
  </si>
  <si>
    <t>Romenia</t>
  </si>
  <si>
    <t>Suecia</t>
  </si>
  <si>
    <t>Variável</t>
  </si>
  <si>
    <t>Tipo</t>
  </si>
  <si>
    <t>Escala</t>
  </si>
  <si>
    <t>Nominal</t>
  </si>
  <si>
    <t>Qualitativa</t>
  </si>
  <si>
    <t>Quantitativa</t>
  </si>
  <si>
    <t>Racional</t>
  </si>
  <si>
    <t>Categóricas:</t>
  </si>
  <si>
    <t>Frequências:</t>
  </si>
  <si>
    <t>Grand Total</t>
  </si>
  <si>
    <t>Frequência</t>
  </si>
  <si>
    <t>Frequência relativa</t>
  </si>
  <si>
    <t>Região</t>
  </si>
  <si>
    <t>Numéricas:</t>
  </si>
  <si>
    <t>Variáveis:</t>
  </si>
  <si>
    <t>Média</t>
  </si>
  <si>
    <t>Mediana</t>
  </si>
  <si>
    <t>Q1</t>
  </si>
  <si>
    <t>Q3</t>
  </si>
  <si>
    <t>Match function helper:</t>
  </si>
  <si>
    <t>Q2</t>
  </si>
  <si>
    <t>Min</t>
  </si>
  <si>
    <t>Max</t>
  </si>
  <si>
    <t>Amplitude</t>
  </si>
  <si>
    <t>Variância</t>
  </si>
  <si>
    <t>Desv. Padrão</t>
  </si>
  <si>
    <t>Perentil 5%</t>
  </si>
  <si>
    <t>Percentil 95%</t>
  </si>
  <si>
    <t>Trimean</t>
  </si>
  <si>
    <t>Trimmed mean</t>
  </si>
  <si>
    <t>Skewness</t>
  </si>
  <si>
    <t>Kurtosis</t>
  </si>
  <si>
    <t>Simetria</t>
  </si>
  <si>
    <t>Achatamento distribuição</t>
  </si>
  <si>
    <t>IQI</t>
  </si>
  <si>
    <t>Outliers detection</t>
  </si>
  <si>
    <t>Limite inferior</t>
  </si>
  <si>
    <t>Outliers moderados</t>
  </si>
  <si>
    <t>Limite superior</t>
  </si>
  <si>
    <t>Outliers severos</t>
  </si>
  <si>
    <r>
      <t>K = 1 + 3. 322 log</t>
    </r>
    <r>
      <rPr>
        <b/>
        <sz val="10"/>
        <color rgb="FF777777"/>
        <rFont val="PT Sans"/>
        <family val="2"/>
        <charset val="204"/>
      </rPr>
      <t>N</t>
    </r>
  </si>
  <si>
    <t>K</t>
  </si>
  <si>
    <t> Sturge’s Rule</t>
  </si>
  <si>
    <t>Tabela de contigência</t>
  </si>
  <si>
    <t>Row Labels</t>
  </si>
  <si>
    <t>Column Labels</t>
  </si>
  <si>
    <t>Count of Regiao</t>
  </si>
  <si>
    <t>Correlação pearson</t>
  </si>
  <si>
    <t>Correlação de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</si>
</sst>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777777"/>
      <name val="PT Sans"/>
      <family val="2"/>
      <charset val="204"/>
    </font>
    <font>
      <b/>
      <sz val="10"/>
      <color rgb="FF777777"/>
      <name val="PT Sans"/>
      <family val="2"/>
      <charset val="204"/>
    </font>
    <font>
      <sz val="16"/>
      <color rgb="FF555555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NumberFormat="1" applyFont="1" applyFill="1" applyBorder="1"/>
    <xf numFmtId="2" fontId="0" fillId="0" borderId="0" xfId="0" applyNumberFormat="1"/>
    <xf numFmtId="2" fontId="0" fillId="4" borderId="0" xfId="0" applyNumberFormat="1" applyFill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[Data_set_exploratory_analysis.xlsx]Análise univariada!PivotTable1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de moedas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C-514A-BF7A-1226AEC79E6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C-514A-BF7A-1226AEC79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univariada'!$B$6:$B$8</c:f>
              <c:strCache>
                <c:ptCount val="2"/>
                <c:pt idx="0">
                  <c:v>Euro</c:v>
                </c:pt>
                <c:pt idx="1">
                  <c:v>Nao-euro</c:v>
                </c:pt>
              </c:strCache>
            </c:strRef>
          </c:cat>
          <c:val>
            <c:numRef>
              <c:f>'Análise univariada'!$C$6:$C$8</c:f>
              <c:numCache>
                <c:formatCode>General</c:formatCode>
                <c:ptCount val="2"/>
                <c:pt idx="0">
                  <c:v>19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24B-A505-587EE640B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[Data_set_exploratory_analysis.xlsx]Análise univariada!PivotTable2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de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univariada'!$B$12:$B$16</c:f>
              <c:strCache>
                <c:ptCount val="4"/>
                <c:pt idx="0">
                  <c:v>Europa central</c:v>
                </c:pt>
                <c:pt idx="1">
                  <c:v>Europa de leste</c:v>
                </c:pt>
                <c:pt idx="2">
                  <c:v>Europa de norte</c:v>
                </c:pt>
                <c:pt idx="3">
                  <c:v>Europa de sul</c:v>
                </c:pt>
              </c:strCache>
            </c:strRef>
          </c:cat>
          <c:val>
            <c:numRef>
              <c:f>'Análise univariada'!$C$12:$C$16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E843-B2E5-D7AE460F8F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89403296"/>
        <c:axId val="284444800"/>
      </c:barChart>
      <c:catAx>
        <c:axId val="3894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800"/>
        <c:crosses val="autoZero"/>
        <c:auto val="1"/>
        <c:lblAlgn val="ctr"/>
        <c:lblOffset val="100"/>
        <c:noMultiLvlLbl val="0"/>
      </c:catAx>
      <c:valAx>
        <c:axId val="28444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Rendimento Ensino basico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Rendimento Ensino basico</a:t>
          </a:r>
        </a:p>
      </cx:txPr>
    </cx:title>
    <cx:plotArea>
      <cx:plotAreaRegion>
        <cx:series layoutId="clusteredColumn" uniqueId="{06E327B6-6741-6C4D-A648-8FFCBB14C73E}">
          <cx:tx>
            <cx:txData>
              <cx:f>_xlchart.v1.2</cx:f>
              <cx:v>Rendimento Ensino basico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FF2B7DE-EC94-E34D-A0EC-02FF5782FBBE}">
          <cx:tx>
            <cx:txData>
              <cx:f>_xlchart.v1.0</cx:f>
              <cx:v>Despesa Saude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493426</xdr:colOff>
      <xdr:row>3</xdr:row>
      <xdr:rowOff>144767</xdr:rowOff>
    </xdr:from>
    <xdr:to>
      <xdr:col>11</xdr:col>
      <xdr:colOff>110344</xdr:colOff>
      <xdr:row>17</xdr:row>
      <xdr:rowOff>70371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F2FEB-DCB5-D64A-BFDC-9E4B4713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405727</xdr:colOff>
      <xdr:row>3</xdr:row>
      <xdr:rowOff>145657</xdr:rowOff>
    </xdr:from>
    <xdr:to>
      <xdr:col>17</xdr:col>
      <xdr:colOff>55072</xdr:colOff>
      <xdr:row>17</xdr:row>
      <xdr:rowOff>56645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85029-7C22-9B49-80FD-6EB092CE8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390770</xdr:colOff>
      <xdr:row>43</xdr:row>
      <xdr:rowOff>181708</xdr:rowOff>
    </xdr:from>
    <xdr:to>
      <xdr:col>24</xdr:col>
      <xdr:colOff>742462</xdr:colOff>
      <xdr:row>57</xdr:row>
      <xdr:rowOff>189523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13B38C-3E0E-4147-8269-4BEAC1B88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5070" y="8919308"/>
              <a:ext cx="4580792" cy="334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468923</xdr:colOff>
      <xdr:row>59</xdr:row>
      <xdr:rowOff>162169</xdr:rowOff>
    </xdr:from>
    <xdr:to>
      <xdr:col>25</xdr:col>
      <xdr:colOff>0</xdr:colOff>
      <xdr:row>73</xdr:row>
      <xdr:rowOff>169984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EBFF0A2-AFD4-2E46-BCC5-3611EC586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3223" y="12646269"/>
              <a:ext cx="4585677" cy="2852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Costa Ferreira" refreshedDate="43562.699705324078" createdVersion="6" refreshedVersion="6" minRefreshableVersion="3" recordCount="28" xr:uid="{FFC66BB6-86B3-D843-8483-A45C33528AB8}">
  <cacheSource type="worksheet">
    <worksheetSource name="Table1"/>
  </cacheSource>
  <cacheFields count="19">
    <cacheField name="Paises" numFmtId="0">
      <sharedItems/>
    </cacheField>
    <cacheField name="Rendimento Ensino basico" numFmtId="0">
      <sharedItems containsString="0" containsBlank="1" containsNumber="1" containsInteger="1" minValue="2125" maxValue="33570"/>
    </cacheField>
    <cacheField name="Rendimento Ensino pos-secundario" numFmtId="0">
      <sharedItems containsString="0" containsBlank="1" containsNumber="1" containsInteger="1" minValue="3169" maxValue="41852"/>
    </cacheField>
    <cacheField name="Rendimento Ensino superior" numFmtId="0">
      <sharedItems containsString="0" containsBlank="1" containsNumber="1" containsInteger="1" minValue="5230" maxValue="53988"/>
    </cacheField>
    <cacheField name="Indice de Gini" numFmtId="0">
      <sharedItems containsMixedTypes="1" containsNumber="1" containsInteger="1" minValue="26" maxValue="28"/>
    </cacheField>
    <cacheField name="Populacao estrangeira" numFmtId="0">
      <sharedItems/>
    </cacheField>
    <cacheField name="Moeda" numFmtId="0">
      <sharedItems count="2">
        <s v="Euro"/>
        <s v="Nao-euro"/>
      </sharedItems>
    </cacheField>
    <cacheField name="Regiao" numFmtId="0">
      <sharedItems count="4">
        <s v="Europa central"/>
        <s v="Europa de leste"/>
        <s v="Europa de sul"/>
        <s v="Europa de norte"/>
      </sharedItems>
    </cacheField>
    <cacheField name="Populacao ensino superior" numFmtId="0">
      <sharedItems containsMixedTypes="1" containsNumber="1" containsInteger="1" minValue="24" maxValue="31"/>
    </cacheField>
    <cacheField name="Populacao desempregada" numFmtId="0">
      <sharedItems containsMixedTypes="1" containsNumber="1" containsInteger="1" minValue="4" maxValue="11"/>
    </cacheField>
    <cacheField name="PIB per capita" numFmtId="0">
      <sharedItems/>
    </cacheField>
    <cacheField name="Despesa Alimentacao" numFmtId="0">
      <sharedItems containsSemiMixedTypes="0" containsString="0" containsNumber="1" containsInteger="1" minValue="8" maxValue="28"/>
    </cacheField>
    <cacheField name="Despesa Saude" numFmtId="0">
      <sharedItems containsSemiMixedTypes="0" containsString="0" containsNumber="1" containsInteger="1" minValue="2" maxValue="7"/>
    </cacheField>
    <cacheField name="Despesa Transportes e comunicacoes" numFmtId="0">
      <sharedItems containsSemiMixedTypes="0" containsString="0" containsNumber="1" containsInteger="1" minValue="11" maxValue="19"/>
    </cacheField>
    <cacheField name="Despesa Educacao" numFmtId="0">
      <sharedItems containsSemiMixedTypes="0" containsString="0" containsNumber="1" containsInteger="1" minValue="0" maxValue="3"/>
    </cacheField>
    <cacheField name="Despesa Habitacao e utilidades" numFmtId="0">
      <sharedItems containsSemiMixedTypes="0" containsString="0" containsNumber="1" containsInteger="1" minValue="10" maxValue="29"/>
    </cacheField>
    <cacheField name="Despesa Servicos" numFmtId="0">
      <sharedItems containsSemiMixedTypes="0" containsString="0" containsNumber="1" containsInteger="1" minValue="7" maxValue="31"/>
    </cacheField>
    <cacheField name="Despesa Lazer e cultura" numFmtId="0">
      <sharedItems containsSemiMixedTypes="0" containsString="0" containsNumber="1" containsInteger="1" minValue="9" maxValue="18"/>
    </cacheField>
    <cacheField name="Despesa Vestuario e recheio de casa" numFmtId="0">
      <sharedItems containsSemiMixedTypes="0" containsString="0" containsNumber="1" containsInteger="1" minValue="7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lemanha"/>
    <n v="18134"/>
    <n v="22641"/>
    <n v="29680"/>
    <s v="29.1"/>
    <s v="11.2"/>
    <x v="0"/>
    <x v="0"/>
    <s v="28.6"/>
    <s v="3.7"/>
    <s v="36849.90"/>
    <n v="11"/>
    <n v="5"/>
    <n v="18"/>
    <n v="1"/>
    <n v="23"/>
    <n v="18"/>
    <n v="12"/>
    <n v="12"/>
  </r>
  <r>
    <s v="Austria"/>
    <n v="21760"/>
    <n v="27212"/>
    <n v="34828"/>
    <s v="27.9"/>
    <s v="15.2"/>
    <x v="0"/>
    <x v="0"/>
    <s v="32.4"/>
    <s v="5.5"/>
    <s v="38162.70"/>
    <n v="10"/>
    <n v="4"/>
    <n v="14"/>
    <n v="1"/>
    <n v="23"/>
    <n v="23"/>
    <n v="13"/>
    <n v="12"/>
  </r>
  <r>
    <s v="Belgica"/>
    <n v="18431"/>
    <n v="23283"/>
    <n v="30967"/>
    <n v="26"/>
    <s v="11.9"/>
    <x v="0"/>
    <x v="0"/>
    <s v="40.3"/>
    <s v="7.1"/>
    <s v="34787.80"/>
    <n v="14"/>
    <n v="7"/>
    <n v="13"/>
    <n v="0"/>
    <n v="24"/>
    <n v="20"/>
    <n v="12"/>
    <n v="10"/>
  </r>
  <r>
    <s v="Bulgaria"/>
    <n v="2539"/>
    <n v="4452"/>
    <n v="7494"/>
    <s v="40.2"/>
    <s v="1.1"/>
    <x v="1"/>
    <x v="1"/>
    <s v="27.8"/>
    <s v="6.2"/>
    <s v="14787.00"/>
    <n v="19"/>
    <n v="6"/>
    <n v="19"/>
    <n v="1"/>
    <n v="20"/>
    <n v="14"/>
    <n v="13"/>
    <n v="8"/>
  </r>
  <r>
    <s v="Chipre"/>
    <n v="12430"/>
    <n v="16082"/>
    <n v="23514"/>
    <s v="30.8"/>
    <s v="16.4"/>
    <x v="0"/>
    <x v="2"/>
    <s v="42.5"/>
    <n v="11"/>
    <s v="25054.00"/>
    <n v="14"/>
    <n v="5"/>
    <n v="16"/>
    <n v="3"/>
    <n v="15"/>
    <n v="26"/>
    <n v="12"/>
    <n v="9"/>
  </r>
  <r>
    <s v="Croacia"/>
    <n v="4919"/>
    <n v="6793"/>
    <n v="10084"/>
    <s v="29.9"/>
    <s v="1.1"/>
    <x v="1"/>
    <x v="1"/>
    <s v="23.7"/>
    <s v="11.2"/>
    <s v="18476.00"/>
    <n v="19"/>
    <n v="4"/>
    <n v="13"/>
    <n v="1"/>
    <n v="16"/>
    <n v="23"/>
    <n v="15"/>
    <n v="9"/>
  </r>
  <r>
    <s v="Dinamarca"/>
    <n v="26758"/>
    <n v="30748"/>
    <n v="38423"/>
    <s v="27.6"/>
    <s v="8.4"/>
    <x v="1"/>
    <x v="3"/>
    <s v="39.1"/>
    <s v="5.7"/>
    <s v="37469.20"/>
    <n v="11"/>
    <n v="3"/>
    <n v="14"/>
    <n v="1"/>
    <n v="29"/>
    <n v="18"/>
    <n v="15"/>
    <n v="9"/>
  </r>
  <r>
    <s v="Eslovaquia"/>
    <n v="5841"/>
    <n v="7570"/>
    <n v="9171"/>
    <s v="23.2"/>
    <s v="1.3"/>
    <x v="0"/>
    <x v="1"/>
    <s v="23.1"/>
    <s v="8.1"/>
    <s v="22999.50"/>
    <n v="18"/>
    <n v="3"/>
    <n v="11"/>
    <n v="2"/>
    <n v="24"/>
    <n v="17"/>
    <n v="15"/>
    <n v="10"/>
  </r>
  <r>
    <s v="Eslovenia"/>
    <n v="10557"/>
    <n v="12770"/>
    <n v="17430"/>
    <s v="23.7"/>
    <s v="5.5"/>
    <x v="0"/>
    <x v="1"/>
    <s v="32.5"/>
    <s v="6.6"/>
    <s v="25366.30"/>
    <n v="15"/>
    <n v="4"/>
    <n v="19"/>
    <n v="1"/>
    <n v="19"/>
    <n v="18"/>
    <n v="14"/>
    <n v="10"/>
  </r>
  <r>
    <s v="Espanha"/>
    <n v="13052"/>
    <n v="16399"/>
    <n v="22783"/>
    <s v="34.1"/>
    <s v="9.5"/>
    <x v="0"/>
    <x v="2"/>
    <s v="36.4"/>
    <s v="17.2"/>
    <s v="27625.70"/>
    <n v="12"/>
    <n v="4"/>
    <n v="15"/>
    <n v="2"/>
    <n v="22"/>
    <n v="26"/>
    <n v="11"/>
    <n v="8"/>
  </r>
  <r>
    <s v="EstÛnia"/>
    <n v="7585"/>
    <n v="9495"/>
    <n v="13051"/>
    <s v="31.6"/>
    <s v="14.9"/>
    <x v="0"/>
    <x v="3"/>
    <s v="39.7"/>
    <s v="5.8"/>
    <s v="23054.60"/>
    <n v="20"/>
    <n v="3"/>
    <n v="15"/>
    <n v="0"/>
    <n v="18"/>
    <n v="17"/>
    <n v="16"/>
    <n v="11"/>
  </r>
  <r>
    <s v="Finlandia"/>
    <n v="21886"/>
    <n v="24848"/>
    <n v="33847"/>
    <s v="25.3"/>
    <s v="4.4"/>
    <x v="0"/>
    <x v="3"/>
    <s v="43.7"/>
    <s v="8.6"/>
    <s v="32699.00"/>
    <n v="12"/>
    <n v="5"/>
    <n v="14"/>
    <n v="0"/>
    <n v="29"/>
    <n v="17"/>
    <n v="14"/>
    <n v="9"/>
  </r>
  <r>
    <s v="Franca"/>
    <n v="22155"/>
    <n v="24890"/>
    <n v="32732"/>
    <s v="29.3"/>
    <s v="6.9"/>
    <x v="0"/>
    <x v="0"/>
    <s v="35.2"/>
    <s v="9.4"/>
    <s v="31286.00"/>
    <n v="13"/>
    <n v="4"/>
    <n v="16"/>
    <n v="1"/>
    <n v="26"/>
    <n v="19"/>
    <n v="12"/>
    <n v="9"/>
  </r>
  <r>
    <s v="Grecia"/>
    <n v="7152"/>
    <n v="8534"/>
    <n v="12211"/>
    <s v="33.4"/>
    <s v="7.5"/>
    <x v="0"/>
    <x v="2"/>
    <n v="31"/>
    <s v="21.5"/>
    <s v="20087.40"/>
    <n v="17"/>
    <n v="4"/>
    <n v="18"/>
    <n v="2"/>
    <n v="20"/>
    <n v="22"/>
    <n v="10"/>
    <n v="7"/>
  </r>
  <r>
    <s v="Hungria"/>
    <n v="4246"/>
    <n v="5513"/>
    <n v="7799"/>
    <s v="28.1"/>
    <s v="1.5"/>
    <x v="1"/>
    <x v="1"/>
    <s v="24.1"/>
    <s v="4.2"/>
    <s v="20430.40"/>
    <n v="18"/>
    <n v="4"/>
    <n v="17"/>
    <n v="2"/>
    <n v="19"/>
    <n v="18"/>
    <n v="14"/>
    <n v="8"/>
  </r>
  <r>
    <s v="Irlanda"/>
    <m/>
    <m/>
    <m/>
    <s v="35.7"/>
    <s v="11.8"/>
    <x v="0"/>
    <x v="0"/>
    <s v="46.5"/>
    <s v="6.7"/>
    <s v="54715.30"/>
    <n v="9"/>
    <n v="5"/>
    <n v="16"/>
    <n v="3"/>
    <n v="24"/>
    <n v="23"/>
    <n v="12"/>
    <n v="8"/>
  </r>
  <r>
    <s v="Italia"/>
    <n v="15621"/>
    <n v="20161"/>
    <n v="27535"/>
    <s v="32.7"/>
    <s v="8.3"/>
    <x v="0"/>
    <x v="2"/>
    <s v="18.7"/>
    <s v="11.2"/>
    <s v="28684.80"/>
    <n v="14"/>
    <n v="4"/>
    <n v="14"/>
    <n v="1"/>
    <n v="23"/>
    <n v="21"/>
    <n v="11"/>
    <n v="12"/>
  </r>
  <r>
    <s v="Letonia"/>
    <n v="5106"/>
    <n v="7078"/>
    <n v="10745"/>
    <s v="34.5"/>
    <s v="14.3"/>
    <x v="0"/>
    <x v="3"/>
    <s v="33.9"/>
    <s v="8.7"/>
    <s v="20058.60"/>
    <n v="18"/>
    <n v="5"/>
    <n v="15"/>
    <n v="2"/>
    <n v="21"/>
    <n v="12"/>
    <n v="18"/>
    <n v="9"/>
  </r>
  <r>
    <s v="Lituania"/>
    <n v="4763"/>
    <n v="6528"/>
    <n v="11038"/>
    <s v="37.6"/>
    <s v="0.7"/>
    <x v="0"/>
    <x v="3"/>
    <s v="40.3"/>
    <s v="7.1"/>
    <s v="23337.40"/>
    <n v="22"/>
    <n v="5"/>
    <n v="19"/>
    <n v="0"/>
    <n v="15"/>
    <n v="12"/>
    <n v="14"/>
    <n v="13"/>
  </r>
  <r>
    <s v="Luxemburgo"/>
    <n v="33570"/>
    <n v="41852"/>
    <n v="53988"/>
    <s v="30.9"/>
    <s v="47.6"/>
    <x v="0"/>
    <x v="0"/>
    <s v="39.9"/>
    <s v="5.5"/>
    <s v="75854.60"/>
    <n v="9"/>
    <n v="3"/>
    <n v="17"/>
    <n v="1"/>
    <n v="25"/>
    <n v="21"/>
    <n v="14"/>
    <n v="10"/>
  </r>
  <r>
    <s v="Malta"/>
    <n v="13160"/>
    <n v="17706"/>
    <n v="24811"/>
    <s v="28.3"/>
    <s v="11.8"/>
    <x v="0"/>
    <x v="2"/>
    <s v="23.9"/>
    <n v="4"/>
    <s v="28590.00"/>
    <n v="12"/>
    <n v="4"/>
    <n v="15"/>
    <n v="2"/>
    <n v="10"/>
    <n v="31"/>
    <n v="14"/>
    <n v="12"/>
  </r>
  <r>
    <s v="Paises Baixos"/>
    <n v="21312"/>
    <n v="24644"/>
    <n v="32352"/>
    <s v="27.1"/>
    <s v="5.4"/>
    <x v="0"/>
    <x v="0"/>
    <s v="37.2"/>
    <s v="4.8"/>
    <s v="38394.60"/>
    <n v="11"/>
    <n v="4"/>
    <n v="15"/>
    <n v="1"/>
    <n v="24"/>
    <n v="21"/>
    <n v="13"/>
    <n v="11"/>
  </r>
  <r>
    <s v="Polonia"/>
    <n v="4928"/>
    <n v="6236"/>
    <n v="9646"/>
    <s v="29.2"/>
    <s v="0.6"/>
    <x v="1"/>
    <x v="1"/>
    <s v="29.9"/>
    <s v="4.9"/>
    <s v="21111.10"/>
    <n v="17"/>
    <n v="6"/>
    <n v="14"/>
    <n v="1"/>
    <n v="21"/>
    <n v="17"/>
    <n v="14"/>
    <n v="10"/>
  </r>
  <r>
    <s v="Portugal"/>
    <n v="8817"/>
    <n v="11506"/>
    <n v="17906"/>
    <s v="33.5"/>
    <s v="3.9"/>
    <x v="0"/>
    <x v="2"/>
    <n v="24"/>
    <s v="8.9"/>
    <s v="23022.90"/>
    <n v="17"/>
    <n v="5"/>
    <n v="16"/>
    <n v="1"/>
    <n v="18"/>
    <n v="23"/>
    <n v="9"/>
    <n v="11"/>
  </r>
  <r>
    <s v="Reino Unido"/>
    <n v="19123"/>
    <n v="23179"/>
    <n v="32162"/>
    <s v="33.1"/>
    <s v="9.2"/>
    <x v="1"/>
    <x v="0"/>
    <s v="42.8"/>
    <s v="4.3"/>
    <s v="31501.30"/>
    <n v="8"/>
    <n v="2"/>
    <n v="15"/>
    <n v="2"/>
    <n v="27"/>
    <n v="23"/>
    <n v="13"/>
    <n v="10"/>
  </r>
  <r>
    <s v="Republica Checa"/>
    <n v="6976"/>
    <n v="8956"/>
    <n v="12060"/>
    <s v="24.5"/>
    <s v="4.8"/>
    <x v="1"/>
    <x v="1"/>
    <s v="23.9"/>
    <s v="2.9"/>
    <s v="26427.50"/>
    <n v="16"/>
    <n v="2"/>
    <n v="13"/>
    <n v="1"/>
    <n v="25"/>
    <n v="17"/>
    <n v="17"/>
    <n v="9"/>
  </r>
  <r>
    <s v="Romenia"/>
    <n v="2125"/>
    <n v="3169"/>
    <n v="5230"/>
    <s v="33.1"/>
    <s v="0.6"/>
    <x v="1"/>
    <x v="1"/>
    <s v="17.6"/>
    <s v="4.9"/>
    <s v="18802.00"/>
    <n v="28"/>
    <n v="6"/>
    <n v="15"/>
    <n v="2"/>
    <n v="22"/>
    <n v="7"/>
    <n v="12"/>
    <n v="8"/>
  </r>
  <r>
    <s v="Suecia"/>
    <n v="22632"/>
    <n v="29090"/>
    <n v="32358"/>
    <n v="28"/>
    <s v="8.4"/>
    <x v="1"/>
    <x v="3"/>
    <s v="41.9"/>
    <s v="6.7"/>
    <s v="36556.10"/>
    <n v="12"/>
    <n v="4"/>
    <n v="16"/>
    <n v="0"/>
    <n v="26"/>
    <n v="18"/>
    <n v="14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514D6-67B3-CE4B-A5E8-26B85FF2136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ão">
  <location ref="B11:C1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ência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2DA7-D1A3-154E-9A63-09FDAACE7FE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eda">
  <location ref="B5:C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Frequência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63D68-2717-A948-8BEF-961A10A3D65A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gia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C9E20-7FD3-E04B-846D-4FD1C0A27183}" name="Table1" displayName="Table1" ref="A1:S29" totalsRowShown="0">
  <autoFilter ref="A1:S29" xr:uid="{3A8B5DBA-FECB-B74F-A9AB-DC32E173CBAC}"/>
  <tableColumns count="19">
    <tableColumn id="1" xr3:uid="{66B92D08-2168-094E-8EEA-C43404D99462}" name="Paises"/>
    <tableColumn id="2" xr3:uid="{40BDB3F2-6391-9C47-BFEA-7F3F529ADF64}" name="Rendimento Ensino basico"/>
    <tableColumn id="3" xr3:uid="{E146C340-D4F2-0D41-A946-119AB3250093}" name="Rendimento Ensino pos-secundario"/>
    <tableColumn id="4" xr3:uid="{7AE4F8E2-7B85-AE48-8468-A4ECA6C17970}" name="Rendimento Ensino superior"/>
    <tableColumn id="5" xr3:uid="{6147F3A0-87BF-F346-A594-E1797119B7F5}" name="Indice de Gini"/>
    <tableColumn id="6" xr3:uid="{7B430900-81A7-5F4B-B8CD-4EA418224C06}" name="Populacao estrangeira"/>
    <tableColumn id="7" xr3:uid="{9CCE2336-A91C-D543-9D2F-83E86B78EE72}" name="Moeda"/>
    <tableColumn id="8" xr3:uid="{53757781-8942-0A4C-9F14-216EED27CAEC}" name="Regiao"/>
    <tableColumn id="9" xr3:uid="{74E34645-0512-3345-948F-398055E6F775}" name="Populacao ensino superior"/>
    <tableColumn id="10" xr3:uid="{F88985B5-4D16-EE45-9573-C1A95AEFAE63}" name="Populacao desempregada"/>
    <tableColumn id="11" xr3:uid="{ED12C148-8A8A-C74B-894F-20F3FC8DBCEC}" name="PIB per capita"/>
    <tableColumn id="12" xr3:uid="{0736D5DA-D8EB-7344-9646-B271EE103FA1}" name="Despesa Alimentacao"/>
    <tableColumn id="13" xr3:uid="{611C44BD-366C-5545-8E88-BF60CA0EE7F7}" name="Despesa Saude"/>
    <tableColumn id="14" xr3:uid="{C293FC62-6BF1-F34B-A0ED-C675A7FF3669}" name="Despesa Transportes e comunicacoes"/>
    <tableColumn id="15" xr3:uid="{A29C058F-B16E-ED49-9E05-D7834E2996C6}" name="Despesa Educacao"/>
    <tableColumn id="16" xr3:uid="{0C133957-D39C-564B-AA36-B1F70617D998}" name="Despesa Habitacao e utilidades"/>
    <tableColumn id="17" xr3:uid="{7B46BECA-43D0-4245-80FA-B56E3F353335}" name="Despesa Servicos"/>
    <tableColumn id="18" xr3:uid="{D6ABB101-C2FB-D44B-A707-FC9B471249C4}" name="Despesa Lazer e cultura"/>
    <tableColumn id="19" xr3:uid="{1DEA9C55-9141-6B48-9C9B-2A41E24B5E00}" name="Despesa Vestuario e recheio de ca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5C5BE-5760-014B-80EB-9901BBA31709}" name="Table13" displayName="Table13" ref="B45:Q73" totalsRowShown="0" headerRowDxfId="8">
  <autoFilter ref="B45:Q73" xr:uid="{B95DDFEB-80BB-BF44-8F59-E8B191828C73}"/>
  <tableColumns count="16">
    <tableColumn id="2" xr3:uid="{D184CE0E-5357-4B4F-8534-AD15CEEDE75C}" name="Rendimento Ensino basico"/>
    <tableColumn id="3" xr3:uid="{ECA3B6A9-2883-FE4E-B5F2-2727BDFF33B8}" name="Rendimento Ensino pos-secundario"/>
    <tableColumn id="4" xr3:uid="{6C08D7C7-804A-6543-90D6-E1C71A9E7F22}" name="Rendimento Ensino superior"/>
    <tableColumn id="5" xr3:uid="{C902A762-C5D7-C24C-B941-CC738A13C69E}" name="Indice de Gini"/>
    <tableColumn id="6" xr3:uid="{8DE7C8D1-D858-FA46-B928-F612F08586F0}" name="Populacao estrangeira"/>
    <tableColumn id="9" xr3:uid="{B8207AB7-2FBC-CB44-B468-8240EDA7B3A3}" name="Populacao ensino superior"/>
    <tableColumn id="10" xr3:uid="{9A482CC3-37E3-3945-BADD-4378C31EDC38}" name="Populacao desempregada"/>
    <tableColumn id="11" xr3:uid="{87A195AF-31EB-9B4E-BBEB-99CAC8FA9A39}" name="PIB per capita"/>
    <tableColumn id="12" xr3:uid="{0980741A-9516-5240-8366-39FCBE87F40A}" name="Despesa Alimentacao"/>
    <tableColumn id="13" xr3:uid="{F42A1C79-A3B3-2945-843C-34DB6EF605D7}" name="Despesa Saude"/>
    <tableColumn id="14" xr3:uid="{93EBAAC1-FE1D-184E-93DD-381845A4F74D}" name="Despesa Transportes e comunicacoes"/>
    <tableColumn id="15" xr3:uid="{A2D3F258-FCFE-064C-AB0F-46B2F477138A}" name="Despesa Educacao"/>
    <tableColumn id="16" xr3:uid="{98098876-1D6E-7A49-9DC2-3F8817A18B6A}" name="Despesa Habitacao e utilidades"/>
    <tableColumn id="17" xr3:uid="{4796E919-0C64-F440-BA59-57EA923DC540}" name="Despesa Servicos"/>
    <tableColumn id="18" xr3:uid="{C0B74B7D-E2AF-E745-A8DF-475EA9803FA6}" name="Despesa Lazer e cultura"/>
    <tableColumn id="19" xr3:uid="{DF2C5BC5-10FC-614F-866F-C92EC0DEEEE1}" name="Despesa Vestuario e recheio de cas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18DF-D364-BA47-9C79-04CD0BA0B353}">
  <dimension ref="A1:S29"/>
  <sheetViews>
    <sheetView workbookViewId="0">
      <selection activeCell="B1" sqref="B1:S29"/>
    </sheetView>
  </sheetViews>
  <sheetFormatPr baseColWidth="10" defaultRowHeight="16"/>
  <cols>
    <col min="2" max="2" width="25" customWidth="1"/>
    <col min="3" max="3" width="32.1640625" customWidth="1"/>
    <col min="4" max="4" width="26.5" customWidth="1"/>
    <col min="5" max="5" width="14.6640625" customWidth="1"/>
    <col min="6" max="6" width="21.6640625" customWidth="1"/>
    <col min="9" max="9" width="24.83203125" customWidth="1"/>
    <col min="10" max="10" width="24.5" customWidth="1"/>
    <col min="11" max="11" width="14.83203125" customWidth="1"/>
    <col min="12" max="12" width="21.33203125" customWidth="1"/>
    <col min="13" max="13" width="16" customWidth="1"/>
    <col min="14" max="14" width="34.1640625" customWidth="1"/>
    <col min="15" max="15" width="18.6640625" customWidth="1"/>
    <col min="16" max="16" width="29.33203125" customWidth="1"/>
    <col min="17" max="17" width="17.83203125" customWidth="1"/>
    <col min="18" max="18" width="23" customWidth="1"/>
    <col min="19" max="19" width="33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18134</v>
      </c>
      <c r="C2">
        <v>22641</v>
      </c>
      <c r="D2">
        <v>29680</v>
      </c>
      <c r="E2">
        <v>29.1</v>
      </c>
      <c r="F2">
        <v>11.2</v>
      </c>
      <c r="G2" t="s">
        <v>20</v>
      </c>
      <c r="H2" t="s">
        <v>21</v>
      </c>
      <c r="I2">
        <v>28.6</v>
      </c>
      <c r="J2">
        <v>3.7</v>
      </c>
      <c r="K2">
        <v>36849.9</v>
      </c>
      <c r="L2">
        <v>11</v>
      </c>
      <c r="M2">
        <v>5</v>
      </c>
      <c r="N2">
        <v>18</v>
      </c>
      <c r="O2">
        <v>1</v>
      </c>
      <c r="P2">
        <v>23</v>
      </c>
      <c r="Q2">
        <v>18</v>
      </c>
      <c r="R2">
        <v>12</v>
      </c>
      <c r="S2">
        <v>12</v>
      </c>
    </row>
    <row r="3" spans="1:19">
      <c r="A3" t="s">
        <v>22</v>
      </c>
      <c r="B3">
        <v>21760</v>
      </c>
      <c r="C3">
        <v>27212</v>
      </c>
      <c r="D3">
        <v>34828</v>
      </c>
      <c r="E3">
        <v>27.9</v>
      </c>
      <c r="F3">
        <v>15.2</v>
      </c>
      <c r="G3" t="s">
        <v>20</v>
      </c>
      <c r="H3" t="s">
        <v>21</v>
      </c>
      <c r="I3">
        <v>32.4</v>
      </c>
      <c r="J3">
        <v>5.5</v>
      </c>
      <c r="K3">
        <v>38162.699999999997</v>
      </c>
      <c r="L3">
        <v>10</v>
      </c>
      <c r="M3">
        <v>4</v>
      </c>
      <c r="N3">
        <v>14</v>
      </c>
      <c r="O3">
        <v>1</v>
      </c>
      <c r="P3">
        <v>23</v>
      </c>
      <c r="Q3">
        <v>23</v>
      </c>
      <c r="R3">
        <v>13</v>
      </c>
      <c r="S3">
        <v>12</v>
      </c>
    </row>
    <row r="4" spans="1:19">
      <c r="A4" t="s">
        <v>23</v>
      </c>
      <c r="B4">
        <v>18431</v>
      </c>
      <c r="C4">
        <v>23283</v>
      </c>
      <c r="D4">
        <v>30967</v>
      </c>
      <c r="E4">
        <v>26</v>
      </c>
      <c r="F4">
        <v>11.9</v>
      </c>
      <c r="G4" t="s">
        <v>20</v>
      </c>
      <c r="H4" t="s">
        <v>21</v>
      </c>
      <c r="I4">
        <v>40.299999999999997</v>
      </c>
      <c r="J4">
        <v>7.1</v>
      </c>
      <c r="K4">
        <v>34787.800000000003</v>
      </c>
      <c r="L4">
        <v>14</v>
      </c>
      <c r="M4">
        <v>7</v>
      </c>
      <c r="N4">
        <v>13</v>
      </c>
      <c r="O4">
        <v>0</v>
      </c>
      <c r="P4">
        <v>24</v>
      </c>
      <c r="Q4">
        <v>20</v>
      </c>
      <c r="R4">
        <v>12</v>
      </c>
      <c r="S4">
        <v>10</v>
      </c>
    </row>
    <row r="5" spans="1:19">
      <c r="A5" t="s">
        <v>24</v>
      </c>
      <c r="B5">
        <v>2539</v>
      </c>
      <c r="C5">
        <v>4452</v>
      </c>
      <c r="D5">
        <v>7494</v>
      </c>
      <c r="E5">
        <v>40.200000000000003</v>
      </c>
      <c r="F5">
        <v>1.1000000000000001</v>
      </c>
      <c r="G5" t="s">
        <v>25</v>
      </c>
      <c r="H5" t="s">
        <v>26</v>
      </c>
      <c r="I5">
        <v>27.8</v>
      </c>
      <c r="J5">
        <v>6.2</v>
      </c>
      <c r="K5">
        <v>14787</v>
      </c>
      <c r="L5">
        <v>19</v>
      </c>
      <c r="M5">
        <v>6</v>
      </c>
      <c r="N5">
        <v>19</v>
      </c>
      <c r="O5">
        <v>1</v>
      </c>
      <c r="P5">
        <v>20</v>
      </c>
      <c r="Q5">
        <v>14</v>
      </c>
      <c r="R5">
        <v>13</v>
      </c>
      <c r="S5">
        <v>8</v>
      </c>
    </row>
    <row r="6" spans="1:19">
      <c r="A6" t="s">
        <v>27</v>
      </c>
      <c r="B6">
        <v>12430</v>
      </c>
      <c r="C6">
        <v>16082</v>
      </c>
      <c r="D6">
        <v>23514</v>
      </c>
      <c r="E6">
        <v>30.8</v>
      </c>
      <c r="F6">
        <v>16.399999999999999</v>
      </c>
      <c r="G6" t="s">
        <v>20</v>
      </c>
      <c r="H6" t="s">
        <v>28</v>
      </c>
      <c r="I6">
        <v>42.5</v>
      </c>
      <c r="J6">
        <v>11</v>
      </c>
      <c r="K6">
        <v>25054</v>
      </c>
      <c r="L6">
        <v>14</v>
      </c>
      <c r="M6">
        <v>5</v>
      </c>
      <c r="N6">
        <v>16</v>
      </c>
      <c r="O6">
        <v>3</v>
      </c>
      <c r="P6">
        <v>15</v>
      </c>
      <c r="Q6">
        <v>26</v>
      </c>
      <c r="R6">
        <v>12</v>
      </c>
      <c r="S6">
        <v>9</v>
      </c>
    </row>
    <row r="7" spans="1:19">
      <c r="A7" t="s">
        <v>29</v>
      </c>
      <c r="B7">
        <v>4919</v>
      </c>
      <c r="C7">
        <v>6793</v>
      </c>
      <c r="D7">
        <v>10084</v>
      </c>
      <c r="E7">
        <v>29.9</v>
      </c>
      <c r="F7">
        <v>1.1000000000000001</v>
      </c>
      <c r="G7" t="s">
        <v>25</v>
      </c>
      <c r="H7" t="s">
        <v>26</v>
      </c>
      <c r="I7">
        <v>23.7</v>
      </c>
      <c r="J7">
        <v>11.2</v>
      </c>
      <c r="K7">
        <v>18476</v>
      </c>
      <c r="L7">
        <v>19</v>
      </c>
      <c r="M7">
        <v>4</v>
      </c>
      <c r="N7">
        <v>13</v>
      </c>
      <c r="O7">
        <v>1</v>
      </c>
      <c r="P7">
        <v>16</v>
      </c>
      <c r="Q7">
        <v>23</v>
      </c>
      <c r="R7">
        <v>15</v>
      </c>
      <c r="S7">
        <v>9</v>
      </c>
    </row>
    <row r="8" spans="1:19">
      <c r="A8" t="s">
        <v>30</v>
      </c>
      <c r="B8">
        <v>26758</v>
      </c>
      <c r="C8">
        <v>30748</v>
      </c>
      <c r="D8">
        <v>38423</v>
      </c>
      <c r="E8">
        <v>27.6</v>
      </c>
      <c r="F8">
        <v>8.4</v>
      </c>
      <c r="G8" t="s">
        <v>25</v>
      </c>
      <c r="H8" t="s">
        <v>31</v>
      </c>
      <c r="I8">
        <v>39.1</v>
      </c>
      <c r="J8">
        <v>5.7</v>
      </c>
      <c r="K8">
        <v>37469.199999999997</v>
      </c>
      <c r="L8">
        <v>11</v>
      </c>
      <c r="M8">
        <v>3</v>
      </c>
      <c r="N8">
        <v>14</v>
      </c>
      <c r="O8">
        <v>1</v>
      </c>
      <c r="P8">
        <v>29</v>
      </c>
      <c r="Q8">
        <v>18</v>
      </c>
      <c r="R8">
        <v>15</v>
      </c>
      <c r="S8">
        <v>9</v>
      </c>
    </row>
    <row r="9" spans="1:19">
      <c r="A9" t="s">
        <v>32</v>
      </c>
      <c r="B9">
        <v>5841</v>
      </c>
      <c r="C9">
        <v>7570</v>
      </c>
      <c r="D9">
        <v>9171</v>
      </c>
      <c r="E9">
        <v>23.2</v>
      </c>
      <c r="F9">
        <v>1.3</v>
      </c>
      <c r="G9" t="s">
        <v>20</v>
      </c>
      <c r="H9" t="s">
        <v>26</v>
      </c>
      <c r="I9">
        <v>23.1</v>
      </c>
      <c r="J9">
        <v>8.1</v>
      </c>
      <c r="K9">
        <v>22999.5</v>
      </c>
      <c r="L9">
        <v>18</v>
      </c>
      <c r="M9">
        <v>3</v>
      </c>
      <c r="N9">
        <v>11</v>
      </c>
      <c r="O9">
        <v>2</v>
      </c>
      <c r="P9">
        <v>24</v>
      </c>
      <c r="Q9">
        <v>17</v>
      </c>
      <c r="R9">
        <v>15</v>
      </c>
      <c r="S9">
        <v>10</v>
      </c>
    </row>
    <row r="10" spans="1:19">
      <c r="A10" t="s">
        <v>33</v>
      </c>
      <c r="B10">
        <v>10557</v>
      </c>
      <c r="C10">
        <v>12770</v>
      </c>
      <c r="D10">
        <v>17430</v>
      </c>
      <c r="E10">
        <v>23.7</v>
      </c>
      <c r="F10">
        <v>5.5</v>
      </c>
      <c r="G10" t="s">
        <v>20</v>
      </c>
      <c r="H10" t="s">
        <v>26</v>
      </c>
      <c r="I10">
        <v>32.5</v>
      </c>
      <c r="J10">
        <v>6.6</v>
      </c>
      <c r="K10">
        <v>25366.3</v>
      </c>
      <c r="L10">
        <v>15</v>
      </c>
      <c r="M10">
        <v>4</v>
      </c>
      <c r="N10">
        <v>19</v>
      </c>
      <c r="O10">
        <v>1</v>
      </c>
      <c r="P10">
        <v>19</v>
      </c>
      <c r="Q10">
        <v>18</v>
      </c>
      <c r="R10">
        <v>14</v>
      </c>
      <c r="S10">
        <v>10</v>
      </c>
    </row>
    <row r="11" spans="1:19">
      <c r="A11" t="s">
        <v>34</v>
      </c>
      <c r="B11">
        <v>13052</v>
      </c>
      <c r="C11">
        <v>16399</v>
      </c>
      <c r="D11">
        <v>22783</v>
      </c>
      <c r="E11">
        <v>34.1</v>
      </c>
      <c r="F11">
        <v>9.5</v>
      </c>
      <c r="G11" t="s">
        <v>20</v>
      </c>
      <c r="H11" t="s">
        <v>28</v>
      </c>
      <c r="I11">
        <v>36.4</v>
      </c>
      <c r="J11">
        <v>17.2</v>
      </c>
      <c r="K11">
        <v>27625.7</v>
      </c>
      <c r="L11">
        <v>12</v>
      </c>
      <c r="M11">
        <v>4</v>
      </c>
      <c r="N11">
        <v>15</v>
      </c>
      <c r="O11">
        <v>2</v>
      </c>
      <c r="P11">
        <v>22</v>
      </c>
      <c r="Q11">
        <v>26</v>
      </c>
      <c r="R11">
        <v>11</v>
      </c>
      <c r="S11">
        <v>8</v>
      </c>
    </row>
    <row r="12" spans="1:19">
      <c r="A12" t="s">
        <v>35</v>
      </c>
      <c r="B12">
        <v>7585</v>
      </c>
      <c r="C12">
        <v>9495</v>
      </c>
      <c r="D12">
        <v>13051</v>
      </c>
      <c r="E12">
        <v>31.6</v>
      </c>
      <c r="F12">
        <v>14.9</v>
      </c>
      <c r="G12" t="s">
        <v>20</v>
      </c>
      <c r="H12" t="s">
        <v>31</v>
      </c>
      <c r="I12">
        <v>39.700000000000003</v>
      </c>
      <c r="J12">
        <v>5.8</v>
      </c>
      <c r="K12">
        <v>23054.6</v>
      </c>
      <c r="L12">
        <v>20</v>
      </c>
      <c r="M12">
        <v>3</v>
      </c>
      <c r="N12">
        <v>15</v>
      </c>
      <c r="O12">
        <v>0</v>
      </c>
      <c r="P12">
        <v>18</v>
      </c>
      <c r="Q12">
        <v>17</v>
      </c>
      <c r="R12">
        <v>16</v>
      </c>
      <c r="S12">
        <v>11</v>
      </c>
    </row>
    <row r="13" spans="1:19">
      <c r="A13" t="s">
        <v>36</v>
      </c>
      <c r="B13">
        <v>21886</v>
      </c>
      <c r="C13">
        <v>24848</v>
      </c>
      <c r="D13">
        <v>33847</v>
      </c>
      <c r="E13">
        <v>25.3</v>
      </c>
      <c r="F13">
        <v>4.4000000000000004</v>
      </c>
      <c r="G13" t="s">
        <v>20</v>
      </c>
      <c r="H13" t="s">
        <v>31</v>
      </c>
      <c r="I13">
        <v>43.7</v>
      </c>
      <c r="J13">
        <v>8.6</v>
      </c>
      <c r="K13">
        <v>32699</v>
      </c>
      <c r="L13">
        <v>12</v>
      </c>
      <c r="M13">
        <v>5</v>
      </c>
      <c r="N13">
        <v>14</v>
      </c>
      <c r="O13">
        <v>0</v>
      </c>
      <c r="P13">
        <v>29</v>
      </c>
      <c r="Q13">
        <v>17</v>
      </c>
      <c r="R13">
        <v>14</v>
      </c>
      <c r="S13">
        <v>9</v>
      </c>
    </row>
    <row r="14" spans="1:19">
      <c r="A14" t="s">
        <v>37</v>
      </c>
      <c r="B14">
        <v>22155</v>
      </c>
      <c r="C14">
        <v>24890</v>
      </c>
      <c r="D14">
        <v>32732</v>
      </c>
      <c r="E14">
        <v>29.3</v>
      </c>
      <c r="F14">
        <v>6.9</v>
      </c>
      <c r="G14" t="s">
        <v>20</v>
      </c>
      <c r="H14" t="s">
        <v>21</v>
      </c>
      <c r="I14">
        <v>35.200000000000003</v>
      </c>
      <c r="J14">
        <v>9.4</v>
      </c>
      <c r="K14">
        <v>31286</v>
      </c>
      <c r="L14">
        <v>13</v>
      </c>
      <c r="M14">
        <v>4</v>
      </c>
      <c r="N14">
        <v>16</v>
      </c>
      <c r="O14">
        <v>1</v>
      </c>
      <c r="P14">
        <v>26</v>
      </c>
      <c r="Q14">
        <v>19</v>
      </c>
      <c r="R14">
        <v>12</v>
      </c>
      <c r="S14">
        <v>9</v>
      </c>
    </row>
    <row r="15" spans="1:19">
      <c r="A15" t="s">
        <v>38</v>
      </c>
      <c r="B15">
        <v>7152</v>
      </c>
      <c r="C15">
        <v>8534</v>
      </c>
      <c r="D15">
        <v>12211</v>
      </c>
      <c r="E15">
        <v>33.4</v>
      </c>
      <c r="F15">
        <v>7.5</v>
      </c>
      <c r="G15" t="s">
        <v>20</v>
      </c>
      <c r="H15" t="s">
        <v>28</v>
      </c>
      <c r="I15">
        <v>31</v>
      </c>
      <c r="J15">
        <v>21.5</v>
      </c>
      <c r="K15">
        <v>20087.400000000001</v>
      </c>
      <c r="L15">
        <v>17</v>
      </c>
      <c r="M15">
        <v>4</v>
      </c>
      <c r="N15">
        <v>18</v>
      </c>
      <c r="O15">
        <v>2</v>
      </c>
      <c r="P15">
        <v>20</v>
      </c>
      <c r="Q15">
        <v>22</v>
      </c>
      <c r="R15">
        <v>10</v>
      </c>
      <c r="S15">
        <v>7</v>
      </c>
    </row>
    <row r="16" spans="1:19">
      <c r="A16" t="s">
        <v>39</v>
      </c>
      <c r="B16">
        <v>4246</v>
      </c>
      <c r="C16">
        <v>5513</v>
      </c>
      <c r="D16">
        <v>7799</v>
      </c>
      <c r="E16">
        <v>28.1</v>
      </c>
      <c r="F16">
        <v>1.5</v>
      </c>
      <c r="G16" t="s">
        <v>25</v>
      </c>
      <c r="H16" t="s">
        <v>26</v>
      </c>
      <c r="I16">
        <v>24.1</v>
      </c>
      <c r="J16">
        <v>4.2</v>
      </c>
      <c r="K16">
        <v>20430.400000000001</v>
      </c>
      <c r="L16">
        <v>18</v>
      </c>
      <c r="M16">
        <v>4</v>
      </c>
      <c r="N16">
        <v>17</v>
      </c>
      <c r="O16">
        <v>2</v>
      </c>
      <c r="P16">
        <v>19</v>
      </c>
      <c r="Q16">
        <v>18</v>
      </c>
      <c r="R16">
        <v>14</v>
      </c>
      <c r="S16">
        <v>8</v>
      </c>
    </row>
    <row r="17" spans="1:19">
      <c r="A17" t="s">
        <v>40</v>
      </c>
      <c r="E17">
        <v>35.700000000000003</v>
      </c>
      <c r="F17">
        <v>11.8</v>
      </c>
      <c r="G17" t="s">
        <v>20</v>
      </c>
      <c r="H17" t="s">
        <v>21</v>
      </c>
      <c r="I17">
        <v>46.5</v>
      </c>
      <c r="J17">
        <v>6.7</v>
      </c>
      <c r="K17">
        <v>54715.3</v>
      </c>
      <c r="L17">
        <v>9</v>
      </c>
      <c r="M17">
        <v>5</v>
      </c>
      <c r="N17">
        <v>16</v>
      </c>
      <c r="O17">
        <v>3</v>
      </c>
      <c r="P17">
        <v>24</v>
      </c>
      <c r="Q17">
        <v>23</v>
      </c>
      <c r="R17">
        <v>12</v>
      </c>
      <c r="S17">
        <v>8</v>
      </c>
    </row>
    <row r="18" spans="1:19">
      <c r="A18" t="s">
        <v>41</v>
      </c>
      <c r="B18">
        <v>15621</v>
      </c>
      <c r="C18">
        <v>20161</v>
      </c>
      <c r="D18">
        <v>27535</v>
      </c>
      <c r="E18">
        <v>32.700000000000003</v>
      </c>
      <c r="F18">
        <v>8.3000000000000007</v>
      </c>
      <c r="G18" t="s">
        <v>20</v>
      </c>
      <c r="H18" t="s">
        <v>28</v>
      </c>
      <c r="I18">
        <v>18.7</v>
      </c>
      <c r="J18">
        <v>11.2</v>
      </c>
      <c r="K18">
        <v>28684.799999999999</v>
      </c>
      <c r="L18">
        <v>14</v>
      </c>
      <c r="M18">
        <v>4</v>
      </c>
      <c r="N18">
        <v>14</v>
      </c>
      <c r="O18">
        <v>1</v>
      </c>
      <c r="P18">
        <v>23</v>
      </c>
      <c r="Q18">
        <v>21</v>
      </c>
      <c r="R18">
        <v>11</v>
      </c>
      <c r="S18">
        <v>12</v>
      </c>
    </row>
    <row r="19" spans="1:19">
      <c r="A19" t="s">
        <v>42</v>
      </c>
      <c r="B19">
        <v>5106</v>
      </c>
      <c r="C19">
        <v>7078</v>
      </c>
      <c r="D19">
        <v>10745</v>
      </c>
      <c r="E19">
        <v>34.5</v>
      </c>
      <c r="F19">
        <v>14.3</v>
      </c>
      <c r="G19" t="s">
        <v>20</v>
      </c>
      <c r="H19" t="s">
        <v>31</v>
      </c>
      <c r="I19">
        <v>33.9</v>
      </c>
      <c r="J19">
        <v>8.6999999999999993</v>
      </c>
      <c r="K19">
        <v>20058.599999999999</v>
      </c>
      <c r="L19">
        <v>18</v>
      </c>
      <c r="M19">
        <v>5</v>
      </c>
      <c r="N19">
        <v>15</v>
      </c>
      <c r="O19">
        <v>2</v>
      </c>
      <c r="P19">
        <v>21</v>
      </c>
      <c r="Q19">
        <v>12</v>
      </c>
      <c r="R19">
        <v>18</v>
      </c>
      <c r="S19">
        <v>9</v>
      </c>
    </row>
    <row r="20" spans="1:19">
      <c r="A20" t="s">
        <v>43</v>
      </c>
      <c r="B20">
        <v>4763</v>
      </c>
      <c r="C20">
        <v>6528</v>
      </c>
      <c r="D20">
        <v>11038</v>
      </c>
      <c r="E20">
        <v>37.6</v>
      </c>
      <c r="F20">
        <v>0.7</v>
      </c>
      <c r="G20" t="s">
        <v>20</v>
      </c>
      <c r="H20" t="s">
        <v>31</v>
      </c>
      <c r="I20">
        <v>40.299999999999997</v>
      </c>
      <c r="J20">
        <v>7.1</v>
      </c>
      <c r="K20">
        <v>23337.4</v>
      </c>
      <c r="L20">
        <v>22</v>
      </c>
      <c r="M20">
        <v>5</v>
      </c>
      <c r="N20">
        <v>19</v>
      </c>
      <c r="O20">
        <v>0</v>
      </c>
      <c r="P20">
        <v>15</v>
      </c>
      <c r="Q20">
        <v>12</v>
      </c>
      <c r="R20">
        <v>14</v>
      </c>
      <c r="S20">
        <v>13</v>
      </c>
    </row>
    <row r="21" spans="1:19">
      <c r="A21" t="s">
        <v>44</v>
      </c>
      <c r="B21">
        <v>33570</v>
      </c>
      <c r="C21">
        <v>41852</v>
      </c>
      <c r="D21">
        <v>53988</v>
      </c>
      <c r="E21">
        <v>30.9</v>
      </c>
      <c r="F21">
        <v>47.6</v>
      </c>
      <c r="G21" t="s">
        <v>20</v>
      </c>
      <c r="H21" t="s">
        <v>21</v>
      </c>
      <c r="I21">
        <v>39.9</v>
      </c>
      <c r="J21">
        <v>5.5</v>
      </c>
      <c r="K21">
        <v>75854.600000000006</v>
      </c>
      <c r="L21">
        <v>9</v>
      </c>
      <c r="M21">
        <v>3</v>
      </c>
      <c r="N21">
        <v>17</v>
      </c>
      <c r="O21">
        <v>1</v>
      </c>
      <c r="P21">
        <v>25</v>
      </c>
      <c r="Q21">
        <v>21</v>
      </c>
      <c r="R21">
        <v>14</v>
      </c>
      <c r="S21">
        <v>10</v>
      </c>
    </row>
    <row r="22" spans="1:19">
      <c r="A22" t="s">
        <v>45</v>
      </c>
      <c r="B22">
        <v>13160</v>
      </c>
      <c r="C22">
        <v>17706</v>
      </c>
      <c r="D22">
        <v>24811</v>
      </c>
      <c r="E22">
        <v>28.3</v>
      </c>
      <c r="F22">
        <v>11.8</v>
      </c>
      <c r="G22" t="s">
        <v>20</v>
      </c>
      <c r="H22" t="s">
        <v>28</v>
      </c>
      <c r="I22">
        <v>23.9</v>
      </c>
      <c r="J22">
        <v>4</v>
      </c>
      <c r="K22">
        <v>28590</v>
      </c>
      <c r="L22">
        <v>12</v>
      </c>
      <c r="M22">
        <v>4</v>
      </c>
      <c r="N22">
        <v>15</v>
      </c>
      <c r="O22">
        <v>2</v>
      </c>
      <c r="P22">
        <v>10</v>
      </c>
      <c r="Q22">
        <v>31</v>
      </c>
      <c r="R22">
        <v>14</v>
      </c>
      <c r="S22">
        <v>12</v>
      </c>
    </row>
    <row r="23" spans="1:19">
      <c r="A23" t="s">
        <v>46</v>
      </c>
      <c r="B23">
        <v>21312</v>
      </c>
      <c r="C23">
        <v>24644</v>
      </c>
      <c r="D23">
        <v>32352</v>
      </c>
      <c r="E23">
        <v>27.1</v>
      </c>
      <c r="F23">
        <v>5.4</v>
      </c>
      <c r="G23" t="s">
        <v>20</v>
      </c>
      <c r="H23" t="s">
        <v>21</v>
      </c>
      <c r="I23">
        <v>37.200000000000003</v>
      </c>
      <c r="J23">
        <v>4.8</v>
      </c>
      <c r="K23">
        <v>38394.6</v>
      </c>
      <c r="L23">
        <v>11</v>
      </c>
      <c r="M23">
        <v>4</v>
      </c>
      <c r="N23">
        <v>15</v>
      </c>
      <c r="O23">
        <v>1</v>
      </c>
      <c r="P23">
        <v>24</v>
      </c>
      <c r="Q23">
        <v>21</v>
      </c>
      <c r="R23">
        <v>13</v>
      </c>
      <c r="S23">
        <v>11</v>
      </c>
    </row>
    <row r="24" spans="1:19">
      <c r="A24" t="s">
        <v>47</v>
      </c>
      <c r="B24">
        <v>4928</v>
      </c>
      <c r="C24">
        <v>6236</v>
      </c>
      <c r="D24">
        <v>9646</v>
      </c>
      <c r="E24">
        <v>29.2</v>
      </c>
      <c r="F24">
        <v>0.6</v>
      </c>
      <c r="G24" t="s">
        <v>25</v>
      </c>
      <c r="H24" t="s">
        <v>26</v>
      </c>
      <c r="I24">
        <v>29.9</v>
      </c>
      <c r="J24">
        <v>4.9000000000000004</v>
      </c>
      <c r="K24">
        <v>21111.1</v>
      </c>
      <c r="L24">
        <v>17</v>
      </c>
      <c r="M24">
        <v>6</v>
      </c>
      <c r="N24">
        <v>14</v>
      </c>
      <c r="O24">
        <v>1</v>
      </c>
      <c r="P24">
        <v>21</v>
      </c>
      <c r="Q24">
        <v>17</v>
      </c>
      <c r="R24">
        <v>14</v>
      </c>
      <c r="S24">
        <v>10</v>
      </c>
    </row>
    <row r="25" spans="1:19">
      <c r="A25" t="s">
        <v>48</v>
      </c>
      <c r="B25">
        <v>8817</v>
      </c>
      <c r="C25">
        <v>11506</v>
      </c>
      <c r="D25">
        <v>17906</v>
      </c>
      <c r="E25">
        <v>33.5</v>
      </c>
      <c r="F25">
        <v>3.9</v>
      </c>
      <c r="G25" t="s">
        <v>20</v>
      </c>
      <c r="H25" t="s">
        <v>28</v>
      </c>
      <c r="I25">
        <v>24</v>
      </c>
      <c r="J25">
        <v>8.9</v>
      </c>
      <c r="K25">
        <v>23022.9</v>
      </c>
      <c r="L25">
        <v>17</v>
      </c>
      <c r="M25">
        <v>5</v>
      </c>
      <c r="N25">
        <v>16</v>
      </c>
      <c r="O25">
        <v>1</v>
      </c>
      <c r="P25">
        <v>18</v>
      </c>
      <c r="Q25">
        <v>23</v>
      </c>
      <c r="R25">
        <v>9</v>
      </c>
      <c r="S25">
        <v>11</v>
      </c>
    </row>
    <row r="26" spans="1:19">
      <c r="A26" t="s">
        <v>49</v>
      </c>
      <c r="B26">
        <v>19123</v>
      </c>
      <c r="C26">
        <v>23179</v>
      </c>
      <c r="D26">
        <v>32162</v>
      </c>
      <c r="E26">
        <v>33.1</v>
      </c>
      <c r="F26">
        <v>9.1999999999999993</v>
      </c>
      <c r="G26" t="s">
        <v>25</v>
      </c>
      <c r="H26" t="s">
        <v>21</v>
      </c>
      <c r="I26">
        <v>42.8</v>
      </c>
      <c r="J26">
        <v>4.3</v>
      </c>
      <c r="K26">
        <v>31501.3</v>
      </c>
      <c r="L26">
        <v>8</v>
      </c>
      <c r="M26">
        <v>2</v>
      </c>
      <c r="N26">
        <v>15</v>
      </c>
      <c r="O26">
        <v>2</v>
      </c>
      <c r="P26">
        <v>27</v>
      </c>
      <c r="Q26">
        <v>23</v>
      </c>
      <c r="R26">
        <v>13</v>
      </c>
      <c r="S26">
        <v>10</v>
      </c>
    </row>
    <row r="27" spans="1:19">
      <c r="A27" t="s">
        <v>50</v>
      </c>
      <c r="B27">
        <v>6976</v>
      </c>
      <c r="C27">
        <v>8956</v>
      </c>
      <c r="D27">
        <v>12060</v>
      </c>
      <c r="E27">
        <v>24.5</v>
      </c>
      <c r="F27">
        <v>4.8</v>
      </c>
      <c r="G27" t="s">
        <v>25</v>
      </c>
      <c r="H27" t="s">
        <v>26</v>
      </c>
      <c r="I27">
        <v>23.9</v>
      </c>
      <c r="J27">
        <v>2.9</v>
      </c>
      <c r="K27">
        <v>26427.5</v>
      </c>
      <c r="L27">
        <v>16</v>
      </c>
      <c r="M27">
        <v>2</v>
      </c>
      <c r="N27">
        <v>13</v>
      </c>
      <c r="O27">
        <v>1</v>
      </c>
      <c r="P27">
        <v>25</v>
      </c>
      <c r="Q27">
        <v>17</v>
      </c>
      <c r="R27">
        <v>17</v>
      </c>
      <c r="S27">
        <v>9</v>
      </c>
    </row>
    <row r="28" spans="1:19">
      <c r="A28" t="s">
        <v>51</v>
      </c>
      <c r="B28">
        <v>2125</v>
      </c>
      <c r="C28">
        <v>3169</v>
      </c>
      <c r="D28">
        <v>5230</v>
      </c>
      <c r="E28">
        <v>33.1</v>
      </c>
      <c r="F28">
        <v>0.6</v>
      </c>
      <c r="G28" t="s">
        <v>25</v>
      </c>
      <c r="H28" t="s">
        <v>26</v>
      </c>
      <c r="I28">
        <v>17.600000000000001</v>
      </c>
      <c r="J28">
        <v>4.9000000000000004</v>
      </c>
      <c r="K28">
        <v>18802</v>
      </c>
      <c r="L28">
        <v>28</v>
      </c>
      <c r="M28">
        <v>6</v>
      </c>
      <c r="N28">
        <v>15</v>
      </c>
      <c r="O28">
        <v>2</v>
      </c>
      <c r="P28">
        <v>22</v>
      </c>
      <c r="Q28">
        <v>7</v>
      </c>
      <c r="R28">
        <v>12</v>
      </c>
      <c r="S28">
        <v>8</v>
      </c>
    </row>
    <row r="29" spans="1:19">
      <c r="A29" t="s">
        <v>52</v>
      </c>
      <c r="B29">
        <v>22632</v>
      </c>
      <c r="C29">
        <v>29090</v>
      </c>
      <c r="D29">
        <v>32358</v>
      </c>
      <c r="E29">
        <v>28</v>
      </c>
      <c r="F29">
        <v>8.4</v>
      </c>
      <c r="G29" t="s">
        <v>25</v>
      </c>
      <c r="H29" t="s">
        <v>31</v>
      </c>
      <c r="I29">
        <v>41.9</v>
      </c>
      <c r="J29">
        <v>6.7</v>
      </c>
      <c r="K29">
        <v>36556.1</v>
      </c>
      <c r="L29">
        <v>12</v>
      </c>
      <c r="M29">
        <v>4</v>
      </c>
      <c r="N29">
        <v>16</v>
      </c>
      <c r="O29">
        <v>0</v>
      </c>
      <c r="P29">
        <v>26</v>
      </c>
      <c r="Q29">
        <v>18</v>
      </c>
      <c r="R29">
        <v>14</v>
      </c>
      <c r="S2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26C-E5D6-D04B-A206-062F02A1A609}">
  <dimension ref="A1:C20"/>
  <sheetViews>
    <sheetView workbookViewId="0">
      <selection activeCell="C42" sqref="C42"/>
    </sheetView>
  </sheetViews>
  <sheetFormatPr baseColWidth="10" defaultRowHeight="16"/>
  <cols>
    <col min="1" max="1" width="32.33203125" bestFit="1" customWidth="1"/>
  </cols>
  <sheetData>
    <row r="1" spans="1:3">
      <c r="A1" s="1" t="s">
        <v>53</v>
      </c>
      <c r="B1" s="1" t="s">
        <v>54</v>
      </c>
      <c r="C1" s="1" t="s">
        <v>55</v>
      </c>
    </row>
    <row r="2" spans="1:3">
      <c r="A2" t="s">
        <v>0</v>
      </c>
      <c r="B2" t="s">
        <v>57</v>
      </c>
      <c r="C2" t="s">
        <v>56</v>
      </c>
    </row>
    <row r="3" spans="1:3">
      <c r="A3" t="s">
        <v>1</v>
      </c>
      <c r="B3" t="s">
        <v>58</v>
      </c>
      <c r="C3" t="s">
        <v>59</v>
      </c>
    </row>
    <row r="4" spans="1:3">
      <c r="A4" t="s">
        <v>2</v>
      </c>
      <c r="B4" t="s">
        <v>58</v>
      </c>
      <c r="C4" t="s">
        <v>59</v>
      </c>
    </row>
    <row r="5" spans="1:3">
      <c r="A5" t="s">
        <v>3</v>
      </c>
      <c r="B5" t="s">
        <v>58</v>
      </c>
      <c r="C5" t="s">
        <v>59</v>
      </c>
    </row>
    <row r="6" spans="1:3">
      <c r="A6" t="s">
        <v>4</v>
      </c>
      <c r="B6" t="s">
        <v>58</v>
      </c>
      <c r="C6" t="s">
        <v>59</v>
      </c>
    </row>
    <row r="7" spans="1:3">
      <c r="A7" t="s">
        <v>5</v>
      </c>
      <c r="B7" t="s">
        <v>58</v>
      </c>
      <c r="C7" t="s">
        <v>59</v>
      </c>
    </row>
    <row r="8" spans="1:3">
      <c r="A8" t="s">
        <v>6</v>
      </c>
      <c r="B8" t="s">
        <v>57</v>
      </c>
      <c r="C8" t="s">
        <v>56</v>
      </c>
    </row>
    <row r="9" spans="1:3">
      <c r="A9" t="s">
        <v>7</v>
      </c>
      <c r="B9" t="s">
        <v>57</v>
      </c>
      <c r="C9" t="s">
        <v>56</v>
      </c>
    </row>
    <row r="10" spans="1:3">
      <c r="A10" t="s">
        <v>8</v>
      </c>
      <c r="B10" t="s">
        <v>58</v>
      </c>
      <c r="C10" t="s">
        <v>59</v>
      </c>
    </row>
    <row r="11" spans="1:3">
      <c r="A11" t="s">
        <v>9</v>
      </c>
      <c r="B11" t="s">
        <v>58</v>
      </c>
      <c r="C11" t="s">
        <v>59</v>
      </c>
    </row>
    <row r="12" spans="1:3">
      <c r="A12" t="s">
        <v>10</v>
      </c>
      <c r="B12" t="s">
        <v>58</v>
      </c>
      <c r="C12" t="s">
        <v>59</v>
      </c>
    </row>
    <row r="13" spans="1:3">
      <c r="A13" t="s">
        <v>11</v>
      </c>
      <c r="B13" t="s">
        <v>58</v>
      </c>
      <c r="C13" t="s">
        <v>59</v>
      </c>
    </row>
    <row r="14" spans="1:3">
      <c r="A14" t="s">
        <v>12</v>
      </c>
      <c r="B14" t="s">
        <v>58</v>
      </c>
      <c r="C14" t="s">
        <v>59</v>
      </c>
    </row>
    <row r="15" spans="1:3">
      <c r="A15" t="s">
        <v>13</v>
      </c>
      <c r="B15" t="s">
        <v>58</v>
      </c>
      <c r="C15" t="s">
        <v>59</v>
      </c>
    </row>
    <row r="16" spans="1:3">
      <c r="A16" t="s">
        <v>14</v>
      </c>
      <c r="B16" t="s">
        <v>58</v>
      </c>
      <c r="C16" t="s">
        <v>59</v>
      </c>
    </row>
    <row r="17" spans="1:3">
      <c r="A17" t="s">
        <v>15</v>
      </c>
      <c r="B17" t="s">
        <v>58</v>
      </c>
      <c r="C17" t="s">
        <v>59</v>
      </c>
    </row>
    <row r="18" spans="1:3">
      <c r="A18" t="s">
        <v>16</v>
      </c>
      <c r="B18" t="s">
        <v>58</v>
      </c>
      <c r="C18" t="s">
        <v>59</v>
      </c>
    </row>
    <row r="19" spans="1:3">
      <c r="A19" t="s">
        <v>17</v>
      </c>
      <c r="B19" t="s">
        <v>58</v>
      </c>
      <c r="C19" t="s">
        <v>59</v>
      </c>
    </row>
    <row r="20" spans="1:3">
      <c r="A20" t="s">
        <v>18</v>
      </c>
      <c r="B20" t="s">
        <v>58</v>
      </c>
      <c r="C20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84A8-45DE-0747-90F5-8EAF2DC1C3AA}">
  <dimension ref="A1:AC85"/>
  <sheetViews>
    <sheetView zoomScale="50" workbookViewId="0">
      <selection activeCell="C23" sqref="C23"/>
    </sheetView>
  </sheetViews>
  <sheetFormatPr baseColWidth="10" defaultRowHeight="16"/>
  <cols>
    <col min="1" max="1" width="17.5" bestFit="1" customWidth="1"/>
    <col min="2" max="2" width="32.33203125" bestFit="1" customWidth="1"/>
    <col min="3" max="17" width="16.83203125" customWidth="1"/>
    <col min="21" max="21" width="23" bestFit="1" customWidth="1"/>
  </cols>
  <sheetData>
    <row r="1" spans="1:4">
      <c r="A1" s="1" t="s">
        <v>60</v>
      </c>
    </row>
    <row r="3" spans="1:4">
      <c r="B3" s="1" t="s">
        <v>61</v>
      </c>
    </row>
    <row r="5" spans="1:4">
      <c r="B5" s="6" t="s">
        <v>6</v>
      </c>
      <c r="C5" t="s">
        <v>63</v>
      </c>
      <c r="D5" s="5" t="s">
        <v>64</v>
      </c>
    </row>
    <row r="6" spans="1:4">
      <c r="B6" s="7" t="s">
        <v>20</v>
      </c>
      <c r="C6" s="4">
        <v>19</v>
      </c>
      <c r="D6" s="9">
        <f>GETPIVOTDATA("Moeda",B$5,"Moeda","Euro")/GETPIVOTDATA("Moeda",$B$5)</f>
        <v>0.6785714285714286</v>
      </c>
    </row>
    <row r="7" spans="1:4">
      <c r="B7" s="7" t="s">
        <v>25</v>
      </c>
      <c r="C7" s="4">
        <v>9</v>
      </c>
      <c r="D7" s="9">
        <f>GETPIVOTDATA("Moeda",$B$5,"Moeda","Nao-euro")/GETPIVOTDATA("Moeda",$B$5)</f>
        <v>0.32142857142857145</v>
      </c>
    </row>
    <row r="8" spans="1:4">
      <c r="B8" s="7" t="s">
        <v>62</v>
      </c>
      <c r="C8" s="4">
        <v>28</v>
      </c>
      <c r="D8" s="8">
        <f>SUM(D6:D7)</f>
        <v>1</v>
      </c>
    </row>
    <row r="11" spans="1:4">
      <c r="B11" s="6" t="s">
        <v>65</v>
      </c>
      <c r="C11" t="s">
        <v>63</v>
      </c>
      <c r="D11" s="5" t="s">
        <v>64</v>
      </c>
    </row>
    <row r="12" spans="1:4">
      <c r="B12" s="7" t="s">
        <v>21</v>
      </c>
      <c r="C12" s="4">
        <v>8</v>
      </c>
      <c r="D12" s="10">
        <f>C12/$C$16</f>
        <v>0.2857142857142857</v>
      </c>
    </row>
    <row r="13" spans="1:4">
      <c r="B13" s="7" t="s">
        <v>26</v>
      </c>
      <c r="C13" s="4">
        <v>8</v>
      </c>
      <c r="D13" s="10">
        <f t="shared" ref="D13:D15" si="0">C13/$C$16</f>
        <v>0.2857142857142857</v>
      </c>
    </row>
    <row r="14" spans="1:4">
      <c r="B14" s="7" t="s">
        <v>31</v>
      </c>
      <c r="C14" s="4">
        <v>6</v>
      </c>
      <c r="D14" s="10">
        <f t="shared" si="0"/>
        <v>0.21428571428571427</v>
      </c>
    </row>
    <row r="15" spans="1:4">
      <c r="B15" s="7" t="s">
        <v>28</v>
      </c>
      <c r="C15" s="4">
        <v>6</v>
      </c>
      <c r="D15" s="10">
        <f t="shared" si="0"/>
        <v>0.21428571428571427</v>
      </c>
    </row>
    <row r="16" spans="1:4">
      <c r="B16" s="7" t="s">
        <v>62</v>
      </c>
      <c r="C16" s="4">
        <v>28</v>
      </c>
      <c r="D16" s="8">
        <f>SUM(D12:D15)</f>
        <v>1</v>
      </c>
    </row>
    <row r="20" spans="1:21">
      <c r="A20" s="1" t="s">
        <v>66</v>
      </c>
    </row>
    <row r="22" spans="1:21">
      <c r="B22" s="1" t="s">
        <v>67</v>
      </c>
      <c r="C22" s="1" t="s">
        <v>68</v>
      </c>
      <c r="D22" s="1" t="s">
        <v>69</v>
      </c>
      <c r="E22" s="1" t="s">
        <v>70</v>
      </c>
      <c r="F22" s="1" t="s">
        <v>73</v>
      </c>
      <c r="G22" s="1" t="s">
        <v>71</v>
      </c>
      <c r="H22" s="1" t="s">
        <v>74</v>
      </c>
      <c r="I22" s="1" t="s">
        <v>75</v>
      </c>
      <c r="J22" s="1" t="s">
        <v>76</v>
      </c>
      <c r="K22" s="1" t="s">
        <v>87</v>
      </c>
      <c r="L22" s="1" t="s">
        <v>77</v>
      </c>
      <c r="M22" s="1" t="s">
        <v>78</v>
      </c>
      <c r="N22" s="1" t="s">
        <v>79</v>
      </c>
      <c r="O22" s="1" t="s">
        <v>80</v>
      </c>
      <c r="P22" s="1" t="s">
        <v>81</v>
      </c>
      <c r="Q22" s="1" t="s">
        <v>82</v>
      </c>
      <c r="R22" s="1" t="s">
        <v>83</v>
      </c>
      <c r="S22" s="1" t="s">
        <v>85</v>
      </c>
      <c r="T22" s="1" t="s">
        <v>84</v>
      </c>
      <c r="U22" s="1" t="s">
        <v>86</v>
      </c>
    </row>
    <row r="23" spans="1:21">
      <c r="B23" t="s">
        <v>1</v>
      </c>
      <c r="C23">
        <f>AVERAGE(INDEX(Table1[],0,MATCH('Análise univariada'!B23,Table1[#Headers],0)))</f>
        <v>13169.555555555555</v>
      </c>
      <c r="D23">
        <f>MEDIAN(INDEX(Table1[],0,MATCH('Análise univariada'!B23,Table1[#Headers],0)))</f>
        <v>12430</v>
      </c>
      <c r="E23">
        <f>_xlfn.QUARTILE.EXC(INDEX(Table1[],0,MATCH('Análise univariada'!B23,Table1[#Headers],0)),1)</f>
        <v>5106</v>
      </c>
      <c r="F23">
        <f>_xlfn.QUARTILE.EXC(INDEX(Table1[],0,MATCH('Análise univariada'!B23,Table1[#Headers],0)),2)</f>
        <v>12430</v>
      </c>
      <c r="G23">
        <f>_xlfn.QUARTILE.EXC(INDEX(Table1[],0,MATCH('Análise univariada'!B23,Table1[#Headers],0)),3)</f>
        <v>21312</v>
      </c>
      <c r="H23">
        <f>MIN((INDEX(Table1[],0,MATCH('Análise univariada'!B23,Table1[#Headers],0))))</f>
        <v>2125</v>
      </c>
      <c r="I23">
        <f>MAX(INDEX(Table1[],0,MATCH('Análise univariada'!B23,Table1[#Headers],0)))</f>
        <v>33570</v>
      </c>
      <c r="J23">
        <f>I23-H23</f>
        <v>31445</v>
      </c>
      <c r="K23">
        <f t="shared" ref="K23:K38" si="1">G23-F23</f>
        <v>8882</v>
      </c>
      <c r="L23">
        <f>_xlfn.VAR.P(INDEX(Table1[],0,MATCH('Análise univariada'!B23,Table1[#Headers],0)))</f>
        <v>68631742.765432104</v>
      </c>
      <c r="M23">
        <f>SQRT(L23)</f>
        <v>8284.4277270932907</v>
      </c>
      <c r="N23">
        <f>_xlfn.PERCENTILE.EXC(INDEX(Table1[],0,MATCH('Análise univariada'!B23,Table1[#Headers],0)),0.05)</f>
        <v>2290.6</v>
      </c>
      <c r="O23">
        <f>_xlfn.PERCENTILE.EXC(INDEX(Table1[],0,MATCH('Análise univariada'!B23,Table1[#Headers],0)),0.95)</f>
        <v>30845.199999999986</v>
      </c>
      <c r="P23">
        <f>1/4*E23+0.5*F23+1/4*G23</f>
        <v>12819.5</v>
      </c>
      <c r="Q23">
        <f>TRIMMEAN(INDEX(Table1[],0,MATCH('Análise univariada'!B23,Table1[#Headers],0)),0.1)</f>
        <v>12795.32</v>
      </c>
      <c r="R23">
        <f>SKEW(INDEX(Table1[],0,MATCH('Análise univariada'!B23,Table1[#Headers],0)))</f>
        <v>0.57153884475936956</v>
      </c>
      <c r="S23" t="str">
        <f>IF(R23&gt;0.5,"Assimetrica à direita",IF(T23&lt;0.5,"Assimetrica à direita","Simétrica"))</f>
        <v>Assimetrica à direita</v>
      </c>
      <c r="T23">
        <f>KURT(INDEX(Table1[],0,MATCH('Análise univariada'!B23,Table1[#Headers],0)))</f>
        <v>-0.52150250739573334</v>
      </c>
      <c r="U23" t="str">
        <f>IF(T23&gt;0.5,"Leptokurtic",IF(T23&lt;0.5,"Platykurtic","Leptokurtic"))</f>
        <v>Platykurtic</v>
      </c>
    </row>
    <row r="24" spans="1:21">
      <c r="B24" t="s">
        <v>2</v>
      </c>
      <c r="C24">
        <f>AVERAGE(INDEX(Table1[],0,MATCH('Análise univariada'!B24,Table1[#Headers],0)))</f>
        <v>16345.740740740741</v>
      </c>
      <c r="D24">
        <f>MEDIAN(INDEX(Table1[],0,MATCH('Análise univariada'!B24,Table1[#Headers],0)))</f>
        <v>16082</v>
      </c>
      <c r="E24">
        <f>_xlfn.QUARTILE.EXC(INDEX(Table1[],0,MATCH('Análise univariada'!B24,Table1[#Headers],0)),1)</f>
        <v>7078</v>
      </c>
      <c r="F24">
        <f>_xlfn.QUARTILE.EXC(INDEX(Table1[],0,MATCH('Análise univariada'!B24,Table1[#Headers],0)),2)</f>
        <v>16082</v>
      </c>
      <c r="G24">
        <f>_xlfn.QUARTILE.EXC(INDEX(Table1[],0,MATCH('Análise univariada'!B24,Table1[#Headers],0)),3)</f>
        <v>24644</v>
      </c>
      <c r="H24">
        <f>MIN((INDEX(Table1[],0,MATCH('Análise univariada'!B24,Table1[#Headers],0))))</f>
        <v>3169</v>
      </c>
      <c r="I24">
        <f>MAX(INDEX(Table1[],0,MATCH('Análise univariada'!B24,Table1[#Headers],0)))</f>
        <v>41852</v>
      </c>
      <c r="J24">
        <f t="shared" ref="J24:J38" si="2">I24-H24</f>
        <v>38683</v>
      </c>
      <c r="K24">
        <f t="shared" si="1"/>
        <v>8562</v>
      </c>
      <c r="L24">
        <f>_xlfn.VAR.P(INDEX(Table1[],0,MATCH('Análise univariada'!B24,Table1[#Headers],0)))</f>
        <v>95834503.525377229</v>
      </c>
      <c r="M24">
        <f t="shared" ref="M24:M38" si="3">SQRT(L24)</f>
        <v>9789.5098715603344</v>
      </c>
      <c r="N24">
        <f>_xlfn.PERCENTILE.EXC(INDEX(Table1[],0,MATCH('Análise univariada'!B24,Table1[#Headers],0)),0.05)</f>
        <v>3682.2000000000003</v>
      </c>
      <c r="O24">
        <f>_xlfn.PERCENTILE.EXC(INDEX(Table1[],0,MATCH('Análise univariada'!B24,Table1[#Headers],0)),0.95)</f>
        <v>37410.39999999998</v>
      </c>
      <c r="P24">
        <f t="shared" ref="P24:P38" si="4">1/4*E24+0.5*F24+1/4*G24</f>
        <v>15971.5</v>
      </c>
      <c r="Q24">
        <f>TRIMMEAN(INDEX(Table1[],0,MATCH('Análise univariada'!B24,Table1[#Headers],0)),0.1)</f>
        <v>15852.56</v>
      </c>
      <c r="R24">
        <f>SKEW(INDEX(Table1[],0,MATCH('Análise univariada'!B24,Table1[#Headers],0)))</f>
        <v>0.61832144984681647</v>
      </c>
      <c r="S24" t="str">
        <f t="shared" ref="S24:S38" si="5">IF(R24&gt;0.5,"Assimetrica à direita",IF(T24&lt;0.5,"Assimetrica à direita","Simétrica"))</f>
        <v>Assimetrica à direita</v>
      </c>
      <c r="T24">
        <f>KURT(INDEX(Table1[],0,MATCH('Análise univariada'!B24,Table1[#Headers],0)))</f>
        <v>-0.23339391325837733</v>
      </c>
      <c r="U24" t="str">
        <f t="shared" ref="U24:U38" si="6">IF(T24&gt;0.5,"Leptokurtic",IF(T24&lt;0.5,"Platykurtic","Leptokurtic"))</f>
        <v>Platykurtic</v>
      </c>
    </row>
    <row r="25" spans="1:21">
      <c r="B25" t="s">
        <v>3</v>
      </c>
      <c r="C25">
        <f>AVERAGE(INDEX(Table1[],0,MATCH('Análise univariada'!B25,Table1[#Headers],0)))</f>
        <v>21994.259259259259</v>
      </c>
      <c r="D25">
        <f>MEDIAN(INDEX(Table1[],0,MATCH('Análise univariada'!B25,Table1[#Headers],0)))</f>
        <v>22783</v>
      </c>
      <c r="E25">
        <f>_xlfn.QUARTILE.EXC(INDEX(Table1[],0,MATCH('Análise univariada'!B25,Table1[#Headers],0)),1)</f>
        <v>10745</v>
      </c>
      <c r="F25">
        <f>_xlfn.QUARTILE.EXC(INDEX(Table1[],0,MATCH('Análise univariada'!B25,Table1[#Headers],0)),2)</f>
        <v>22783</v>
      </c>
      <c r="G25">
        <f>_xlfn.QUARTILE.EXC(INDEX(Table1[],0,MATCH('Análise univariada'!B25,Table1[#Headers],0)),3)</f>
        <v>32352</v>
      </c>
      <c r="H25">
        <f>MIN((INDEX(Table1[],0,MATCH('Análise univariada'!B25,Table1[#Headers],0))))</f>
        <v>5230</v>
      </c>
      <c r="I25">
        <f>MAX(INDEX(Table1[],0,MATCH('Análise univariada'!B25,Table1[#Headers],0)))</f>
        <v>53988</v>
      </c>
      <c r="J25">
        <f t="shared" si="2"/>
        <v>48758</v>
      </c>
      <c r="K25">
        <f t="shared" si="1"/>
        <v>9569</v>
      </c>
      <c r="L25">
        <f>_xlfn.VAR.P(INDEX(Table1[],0,MATCH('Análise univariada'!B25,Table1[#Headers],0)))</f>
        <v>145307478.11796981</v>
      </c>
      <c r="M25">
        <f t="shared" si="3"/>
        <v>12054.355151478232</v>
      </c>
      <c r="N25">
        <f>_xlfn.PERCENTILE.EXC(INDEX(Table1[],0,MATCH('Análise univariada'!B25,Table1[#Headers],0)),0.05)</f>
        <v>6135.6</v>
      </c>
      <c r="O25">
        <f>_xlfn.PERCENTILE.EXC(INDEX(Table1[],0,MATCH('Análise univariada'!B25,Table1[#Headers],0)),0.95)</f>
        <v>47761.999999999971</v>
      </c>
      <c r="P25">
        <f t="shared" si="4"/>
        <v>22165.75</v>
      </c>
      <c r="Q25">
        <f>TRIMMEAN(INDEX(Table1[],0,MATCH('Análise univariada'!B25,Table1[#Headers],0)),0.1)</f>
        <v>21385.08</v>
      </c>
      <c r="R25">
        <f>SKEW(INDEX(Table1[],0,MATCH('Análise univariada'!B25,Table1[#Headers],0)))</f>
        <v>0.56051737314504602</v>
      </c>
      <c r="S25" t="str">
        <f t="shared" si="5"/>
        <v>Assimetrica à direita</v>
      </c>
      <c r="T25">
        <f>KURT(INDEX(Table1[],0,MATCH('Análise univariada'!B25,Table1[#Headers],0)))</f>
        <v>-0.15318384550167563</v>
      </c>
      <c r="U25" t="str">
        <f t="shared" si="6"/>
        <v>Platykurtic</v>
      </c>
    </row>
    <row r="26" spans="1:21">
      <c r="B26" t="s">
        <v>4</v>
      </c>
      <c r="C26">
        <f>AVERAGE(INDEX(Table1[],0,MATCH('Análise univariada'!B26,Table1[#Headers],0)))</f>
        <v>30.300000000000004</v>
      </c>
      <c r="D26">
        <f>MEDIAN(INDEX(Table1[],0,MATCH('Análise univariada'!B26,Table1[#Headers],0)))</f>
        <v>29.6</v>
      </c>
      <c r="E26">
        <f>_xlfn.QUARTILE.EXC(INDEX(Table1[],0,MATCH('Análise univariada'!B26,Table1[#Headers],0)),1)</f>
        <v>27.675000000000001</v>
      </c>
      <c r="F26">
        <f>_xlfn.QUARTILE.EXC(INDEX(Table1[],0,MATCH('Análise univariada'!B26,Table1[#Headers],0)),2)</f>
        <v>29.6</v>
      </c>
      <c r="G26">
        <f>_xlfn.QUARTILE.EXC(INDEX(Table1[],0,MATCH('Análise univariada'!B26,Table1[#Headers],0)),3)</f>
        <v>33.325000000000003</v>
      </c>
      <c r="H26">
        <f>MIN((INDEX(Table1[],0,MATCH('Análise univariada'!B26,Table1[#Headers],0))))</f>
        <v>23.2</v>
      </c>
      <c r="I26">
        <f>MAX(INDEX(Table1[],0,MATCH('Análise univariada'!B26,Table1[#Headers],0)))</f>
        <v>40.200000000000003</v>
      </c>
      <c r="J26">
        <f t="shared" si="2"/>
        <v>17.000000000000004</v>
      </c>
      <c r="K26">
        <f t="shared" si="1"/>
        <v>3.7250000000000014</v>
      </c>
      <c r="L26">
        <f>_xlfn.VAR.P(INDEX(Table1[],0,MATCH('Análise univariada'!B26,Table1[#Headers],0)))</f>
        <v>16.730714285714143</v>
      </c>
      <c r="M26">
        <f t="shared" si="3"/>
        <v>4.0903195823448986</v>
      </c>
      <c r="N26">
        <f>_xlfn.PERCENTILE.EXC(INDEX(Table1[],0,MATCH('Análise univariada'!B26,Table1[#Headers],0)),0.05)</f>
        <v>23.425000000000001</v>
      </c>
      <c r="O26">
        <f>_xlfn.PERCENTILE.EXC(INDEX(Table1[],0,MATCH('Análise univariada'!B26,Table1[#Headers],0)),0.95)</f>
        <v>39.029999999999994</v>
      </c>
      <c r="P26">
        <f t="shared" si="4"/>
        <v>30.05</v>
      </c>
      <c r="Q26">
        <f>TRIMMEAN(INDEX(Table1[],0,MATCH('Análise univariada'!B26,Table1[#Headers],0)),0.1)</f>
        <v>30.192307692307693</v>
      </c>
      <c r="R26">
        <f>SKEW(INDEX(Table1[],0,MATCH('Análise univariada'!B26,Table1[#Headers],0)))</f>
        <v>0.34345966341941814</v>
      </c>
      <c r="S26" t="str">
        <f t="shared" si="5"/>
        <v>Assimetrica à direita</v>
      </c>
      <c r="T26">
        <f>KURT(INDEX(Table1[],0,MATCH('Análise univariada'!B26,Table1[#Headers],0)))</f>
        <v>-0.14124023236671945</v>
      </c>
      <c r="U26" t="str">
        <f t="shared" si="6"/>
        <v>Platykurtic</v>
      </c>
    </row>
    <row r="27" spans="1:21">
      <c r="B27" t="s">
        <v>5</v>
      </c>
      <c r="C27">
        <f>AVERAGE(INDEX(Table1[],0,MATCH('Análise univariada'!B27,Table1[#Headers],0)))</f>
        <v>8.7214285714285733</v>
      </c>
      <c r="D27">
        <f>MEDIAN(INDEX(Table1[],0,MATCH('Análise univariada'!B27,Table1[#Headers],0)))</f>
        <v>7.9</v>
      </c>
      <c r="E27">
        <f>_xlfn.QUARTILE.EXC(INDEX(Table1[],0,MATCH('Análise univariada'!B27,Table1[#Headers],0)),1)</f>
        <v>2.1</v>
      </c>
      <c r="F27">
        <f>_xlfn.QUARTILE.EXC(INDEX(Table1[],0,MATCH('Análise univariada'!B27,Table1[#Headers],0)),2)</f>
        <v>7.9</v>
      </c>
      <c r="G27">
        <f>_xlfn.QUARTILE.EXC(INDEX(Table1[],0,MATCH('Análise univariada'!B27,Table1[#Headers],0)),3)</f>
        <v>11.8</v>
      </c>
      <c r="H27">
        <f>MIN((INDEX(Table1[],0,MATCH('Análise univariada'!B27,Table1[#Headers],0))))</f>
        <v>0.6</v>
      </c>
      <c r="I27">
        <f>MAX(INDEX(Table1[],0,MATCH('Análise univariada'!B27,Table1[#Headers],0)))</f>
        <v>47.6</v>
      </c>
      <c r="J27">
        <f t="shared" si="2"/>
        <v>47</v>
      </c>
      <c r="K27">
        <f t="shared" si="1"/>
        <v>3.9000000000000004</v>
      </c>
      <c r="L27">
        <f>_xlfn.VAR.P(INDEX(Table1[],0,MATCH('Análise univariada'!B27,Table1[#Headers],0)))</f>
        <v>79.334540816326523</v>
      </c>
      <c r="M27">
        <f t="shared" si="3"/>
        <v>8.9069939270399487</v>
      </c>
      <c r="N27">
        <f>_xlfn.PERCENTILE.EXC(INDEX(Table1[],0,MATCH('Análise univariada'!B27,Table1[#Headers],0)),0.05)</f>
        <v>0.6</v>
      </c>
      <c r="O27">
        <f>_xlfn.PERCENTILE.EXC(INDEX(Table1[],0,MATCH('Análise univariada'!B27,Table1[#Headers],0)),0.95)</f>
        <v>33.55999999999991</v>
      </c>
      <c r="P27">
        <f t="shared" si="4"/>
        <v>7.4250000000000007</v>
      </c>
      <c r="Q27">
        <f>TRIMMEAN(INDEX(Table1[],0,MATCH('Análise univariada'!B27,Table1[#Headers],0)),0.1)</f>
        <v>7.538461538461541</v>
      </c>
      <c r="R27">
        <f>SKEW(INDEX(Table1[],0,MATCH('Análise univariada'!B27,Table1[#Headers],0)))</f>
        <v>3.0154436930732436</v>
      </c>
      <c r="S27" t="str">
        <f t="shared" si="5"/>
        <v>Assimetrica à direita</v>
      </c>
      <c r="T27">
        <f>KURT(INDEX(Table1[],0,MATCH('Análise univariada'!B27,Table1[#Headers],0)))</f>
        <v>12.489867810011596</v>
      </c>
      <c r="U27" t="str">
        <f t="shared" si="6"/>
        <v>Leptokurtic</v>
      </c>
    </row>
    <row r="28" spans="1:21">
      <c r="B28" t="s">
        <v>8</v>
      </c>
      <c r="C28">
        <f>AVERAGE(INDEX(Table1[],0,MATCH('Análise univariada'!B28,Table1[#Headers],0)))</f>
        <v>32.878571428571419</v>
      </c>
      <c r="D28">
        <f>MEDIAN(INDEX(Table1[],0,MATCH('Análise univariada'!B28,Table1[#Headers],0)))</f>
        <v>33.200000000000003</v>
      </c>
      <c r="E28">
        <f>_xlfn.QUARTILE.EXC(INDEX(Table1[],0,MATCH('Análise univariada'!B28,Table1[#Headers],0)),1)</f>
        <v>24.024999999999999</v>
      </c>
      <c r="F28">
        <f>_xlfn.QUARTILE.EXC(INDEX(Table1[],0,MATCH('Análise univariada'!B28,Table1[#Headers],0)),2)</f>
        <v>33.200000000000003</v>
      </c>
      <c r="G28">
        <f>_xlfn.QUARTILE.EXC(INDEX(Table1[],0,MATCH('Análise univariada'!B28,Table1[#Headers],0)),3)</f>
        <v>40.199999999999996</v>
      </c>
      <c r="H28">
        <f>MIN((INDEX(Table1[],0,MATCH('Análise univariada'!B28,Table1[#Headers],0))))</f>
        <v>17.600000000000001</v>
      </c>
      <c r="I28">
        <f>MAX(INDEX(Table1[],0,MATCH('Análise univariada'!B28,Table1[#Headers],0)))</f>
        <v>46.5</v>
      </c>
      <c r="J28">
        <f t="shared" si="2"/>
        <v>28.9</v>
      </c>
      <c r="K28">
        <f t="shared" si="1"/>
        <v>6.9999999999999929</v>
      </c>
      <c r="L28">
        <f>_xlfn.VAR.P(INDEX(Table1[],0,MATCH('Análise univariada'!B28,Table1[#Headers],0)))</f>
        <v>65.913112244898258</v>
      </c>
      <c r="M28">
        <f t="shared" si="3"/>
        <v>8.1186890718205404</v>
      </c>
      <c r="N28">
        <f>_xlfn.PERCENTILE.EXC(INDEX(Table1[],0,MATCH('Análise univariada'!B28,Table1[#Headers],0)),0.05)</f>
        <v>18.094999999999999</v>
      </c>
      <c r="O28">
        <f>_xlfn.PERCENTILE.EXC(INDEX(Table1[],0,MATCH('Análise univariada'!B28,Table1[#Headers],0)),0.95)</f>
        <v>45.239999999999995</v>
      </c>
      <c r="P28">
        <f t="shared" si="4"/>
        <v>32.65625</v>
      </c>
      <c r="Q28">
        <f>TRIMMEAN(INDEX(Table1[],0,MATCH('Análise univariada'!B28,Table1[#Headers],0)),0.1)</f>
        <v>32.942307692307686</v>
      </c>
      <c r="R28">
        <f>SKEW(INDEX(Table1[],0,MATCH('Análise univariada'!B28,Table1[#Headers],0)))</f>
        <v>-0.20720321989083212</v>
      </c>
      <c r="S28" t="str">
        <f t="shared" si="5"/>
        <v>Assimetrica à direita</v>
      </c>
      <c r="T28">
        <f>KURT(INDEX(Table1[],0,MATCH('Análise univariada'!B28,Table1[#Headers],0)))</f>
        <v>-1.1553190897541903</v>
      </c>
      <c r="U28" t="str">
        <f t="shared" si="6"/>
        <v>Platykurtic</v>
      </c>
    </row>
    <row r="29" spans="1:21">
      <c r="B29" t="s">
        <v>9</v>
      </c>
      <c r="C29">
        <f>AVERAGE(INDEX(Table1[],0,MATCH('Análise univariada'!B29,Table1[#Headers],0)))</f>
        <v>7.5857142857142863</v>
      </c>
      <c r="D29">
        <f>MEDIAN(INDEX(Table1[],0,MATCH('Análise univariada'!B29,Table1[#Headers],0)))</f>
        <v>6.65</v>
      </c>
      <c r="E29">
        <f>_xlfn.QUARTILE.EXC(INDEX(Table1[],0,MATCH('Análise univariada'!B29,Table1[#Headers],0)),1)</f>
        <v>4.9000000000000004</v>
      </c>
      <c r="F29">
        <f>_xlfn.QUARTILE.EXC(INDEX(Table1[],0,MATCH('Análise univariada'!B29,Table1[#Headers],0)),2)</f>
        <v>6.65</v>
      </c>
      <c r="G29">
        <f>_xlfn.QUARTILE.EXC(INDEX(Table1[],0,MATCH('Análise univariada'!B29,Table1[#Headers],0)),3)</f>
        <v>8.85</v>
      </c>
      <c r="H29">
        <f>MIN((INDEX(Table1[],0,MATCH('Análise univariada'!B29,Table1[#Headers],0))))</f>
        <v>2.9</v>
      </c>
      <c r="I29">
        <f>MAX(INDEX(Table1[],0,MATCH('Análise univariada'!B29,Table1[#Headers],0)))</f>
        <v>21.5</v>
      </c>
      <c r="J29">
        <f t="shared" si="2"/>
        <v>18.600000000000001</v>
      </c>
      <c r="K29">
        <f t="shared" si="1"/>
        <v>2.1999999999999993</v>
      </c>
      <c r="L29">
        <f>_xlfn.VAR.P(INDEX(Table1[],0,MATCH('Análise univariada'!B29,Table1[#Headers],0)))</f>
        <v>15.932653061224514</v>
      </c>
      <c r="M29">
        <f t="shared" si="3"/>
        <v>3.9915727553465081</v>
      </c>
      <c r="N29">
        <f>_xlfn.PERCENTILE.EXC(INDEX(Table1[],0,MATCH('Análise univariada'!B29,Table1[#Headers],0)),0.05)</f>
        <v>3.2600000000000002</v>
      </c>
      <c r="O29">
        <f>_xlfn.PERCENTILE.EXC(INDEX(Table1[],0,MATCH('Análise univariada'!B29,Table1[#Headers],0)),0.95)</f>
        <v>19.564999999999987</v>
      </c>
      <c r="P29">
        <f t="shared" si="4"/>
        <v>6.7625000000000011</v>
      </c>
      <c r="Q29">
        <f>TRIMMEAN(INDEX(Table1[],0,MATCH('Análise univariada'!B29,Table1[#Headers],0)),0.1)</f>
        <v>7.2307692307692317</v>
      </c>
      <c r="R29">
        <f>SKEW(INDEX(Table1[],0,MATCH('Análise univariada'!B29,Table1[#Headers],0)))</f>
        <v>1.9892265993583564</v>
      </c>
      <c r="S29" t="str">
        <f t="shared" si="5"/>
        <v>Assimetrica à direita</v>
      </c>
      <c r="T29">
        <f>KURT(INDEX(Table1[],0,MATCH('Análise univariada'!B29,Table1[#Headers],0)))</f>
        <v>4.7492988945896437</v>
      </c>
      <c r="U29" t="str">
        <f t="shared" si="6"/>
        <v>Leptokurtic</v>
      </c>
    </row>
    <row r="30" spans="1:21">
      <c r="B30" t="s">
        <v>10</v>
      </c>
      <c r="C30">
        <f>AVERAGE(INDEX(Table1[],0,MATCH('Análise univariada'!B30,Table1[#Headers],0)))</f>
        <v>29863.989285714284</v>
      </c>
      <c r="D30">
        <f>MEDIAN(INDEX(Table1[],0,MATCH('Análise univariada'!B30,Table1[#Headers],0)))</f>
        <v>27026.6</v>
      </c>
      <c r="E30">
        <f>_xlfn.QUARTILE.EXC(INDEX(Table1[],0,MATCH('Análise univariada'!B30,Table1[#Headers],0)),1)</f>
        <v>21583.199999999997</v>
      </c>
      <c r="F30">
        <f>_xlfn.QUARTILE.EXC(INDEX(Table1[],0,MATCH('Análise univariada'!B30,Table1[#Headers],0)),2)</f>
        <v>27026.6</v>
      </c>
      <c r="G30">
        <f>_xlfn.QUARTILE.EXC(INDEX(Table1[],0,MATCH('Análise univariada'!B30,Table1[#Headers],0)),3)</f>
        <v>36114.025000000001</v>
      </c>
      <c r="H30">
        <f>MIN((INDEX(Table1[],0,MATCH('Análise univariada'!B30,Table1[#Headers],0))))</f>
        <v>14787</v>
      </c>
      <c r="I30">
        <f>MAX(INDEX(Table1[],0,MATCH('Análise univariada'!B30,Table1[#Headers],0)))</f>
        <v>75854.600000000006</v>
      </c>
      <c r="J30">
        <f t="shared" si="2"/>
        <v>61067.600000000006</v>
      </c>
      <c r="K30">
        <f t="shared" si="1"/>
        <v>9087.4250000000029</v>
      </c>
      <c r="L30">
        <f>_xlfn.VAR.P(INDEX(Table1[],0,MATCH('Análise univariada'!B30,Table1[#Headers],0)))</f>
        <v>148055750.4509567</v>
      </c>
      <c r="M30">
        <f t="shared" si="3"/>
        <v>12167.816174275345</v>
      </c>
      <c r="N30">
        <f>_xlfn.PERCENTILE.EXC(INDEX(Table1[],0,MATCH('Análise univariada'!B30,Table1[#Headers],0)),0.05)</f>
        <v>16447.05</v>
      </c>
      <c r="O30">
        <f>_xlfn.PERCENTILE.EXC(INDEX(Table1[],0,MATCH('Análise univariada'!B30,Table1[#Headers],0)),0.95)</f>
        <v>66341.91499999995</v>
      </c>
      <c r="P30">
        <f t="shared" si="4"/>
        <v>27937.606249999997</v>
      </c>
      <c r="Q30">
        <f>TRIMMEAN(INDEX(Table1[],0,MATCH('Análise univariada'!B30,Table1[#Headers],0)),0.1)</f>
        <v>28675.00384615385</v>
      </c>
      <c r="R30">
        <f>SKEW(INDEX(Table1[],0,MATCH('Análise univariada'!B30,Table1[#Headers],0)))</f>
        <v>2.1783796323088636</v>
      </c>
      <c r="S30" t="str">
        <f t="shared" si="5"/>
        <v>Assimetrica à direita</v>
      </c>
      <c r="T30">
        <f>KURT(INDEX(Table1[],0,MATCH('Análise univariada'!B30,Table1[#Headers],0)))</f>
        <v>6.4461586071985346</v>
      </c>
      <c r="U30" t="str">
        <f t="shared" si="6"/>
        <v>Leptokurtic</v>
      </c>
    </row>
    <row r="31" spans="1:21">
      <c r="B31" t="s">
        <v>11</v>
      </c>
      <c r="C31">
        <f>AVERAGE(INDEX(Table1[],0,MATCH('Análise univariada'!B31,Table1[#Headers],0)))</f>
        <v>14.857142857142858</v>
      </c>
      <c r="D31">
        <f>MEDIAN(INDEX(Table1[],0,MATCH('Análise univariada'!B31,Table1[#Headers],0)))</f>
        <v>14</v>
      </c>
      <c r="E31">
        <f>_xlfn.QUARTILE.EXC(INDEX(Table1[],0,MATCH('Análise univariada'!B31,Table1[#Headers],0)),1)</f>
        <v>11.25</v>
      </c>
      <c r="F31">
        <f>_xlfn.QUARTILE.EXC(INDEX(Table1[],0,MATCH('Análise univariada'!B31,Table1[#Headers],0)),2)</f>
        <v>14</v>
      </c>
      <c r="G31">
        <f>_xlfn.QUARTILE.EXC(INDEX(Table1[],0,MATCH('Análise univariada'!B31,Table1[#Headers],0)),3)</f>
        <v>18</v>
      </c>
      <c r="H31">
        <f>MIN((INDEX(Table1[],0,MATCH('Análise univariada'!B31,Table1[#Headers],0))))</f>
        <v>8</v>
      </c>
      <c r="I31">
        <f>MAX(INDEX(Table1[],0,MATCH('Análise univariada'!B31,Table1[#Headers],0)))</f>
        <v>28</v>
      </c>
      <c r="J31">
        <f t="shared" si="2"/>
        <v>20</v>
      </c>
      <c r="K31">
        <f t="shared" si="1"/>
        <v>4</v>
      </c>
      <c r="L31">
        <f>_xlfn.VAR.P(INDEX(Table1[],0,MATCH('Análise univariada'!B31,Table1[#Headers],0)))</f>
        <v>19.693877551020407</v>
      </c>
      <c r="M31">
        <f t="shared" si="3"/>
        <v>4.4377784477168758</v>
      </c>
      <c r="N31">
        <f>_xlfn.PERCENTILE.EXC(INDEX(Table1[],0,MATCH('Análise univariada'!B31,Table1[#Headers],0)),0.05)</f>
        <v>8.4499999999999993</v>
      </c>
      <c r="O31">
        <f>_xlfn.PERCENTILE.EXC(INDEX(Table1[],0,MATCH('Análise univariada'!B31,Table1[#Headers],0)),0.95)</f>
        <v>25.299999999999983</v>
      </c>
      <c r="P31">
        <f t="shared" si="4"/>
        <v>14.3125</v>
      </c>
      <c r="Q31">
        <f>TRIMMEAN(INDEX(Table1[],0,MATCH('Análise univariada'!B31,Table1[#Headers],0)),0.1)</f>
        <v>14.615384615384615</v>
      </c>
      <c r="R31">
        <f>SKEW(INDEX(Table1[],0,MATCH('Análise univariada'!B31,Table1[#Headers],0)))</f>
        <v>0.83162944734812905</v>
      </c>
      <c r="S31" t="str">
        <f t="shared" si="5"/>
        <v>Assimetrica à direita</v>
      </c>
      <c r="T31">
        <f>KURT(INDEX(Table1[],0,MATCH('Análise univariada'!B31,Table1[#Headers],0)))</f>
        <v>1.0892437546077662</v>
      </c>
      <c r="U31" t="str">
        <f t="shared" si="6"/>
        <v>Leptokurtic</v>
      </c>
    </row>
    <row r="32" spans="1:21">
      <c r="B32" t="s">
        <v>12</v>
      </c>
      <c r="C32">
        <f>AVERAGE(INDEX(Table1[],0,MATCH('Análise univariada'!B32,Table1[#Headers],0)))</f>
        <v>4.2857142857142856</v>
      </c>
      <c r="D32">
        <f>MEDIAN(INDEX(Table1[],0,MATCH('Análise univariada'!B32,Table1[#Headers],0)))</f>
        <v>4</v>
      </c>
      <c r="E32">
        <f>_xlfn.QUARTILE.EXC(INDEX(Table1[],0,MATCH('Análise univariada'!B32,Table1[#Headers],0)),1)</f>
        <v>4</v>
      </c>
      <c r="F32">
        <f>_xlfn.QUARTILE.EXC(INDEX(Table1[],0,MATCH('Análise univariada'!B32,Table1[#Headers],0)),2)</f>
        <v>4</v>
      </c>
      <c r="G32">
        <f>_xlfn.QUARTILE.EXC(INDEX(Table1[],0,MATCH('Análise univariada'!B32,Table1[#Headers],0)),3)</f>
        <v>5</v>
      </c>
      <c r="H32">
        <f>MIN((INDEX(Table1[],0,MATCH('Análise univariada'!B32,Table1[#Headers],0))))</f>
        <v>2</v>
      </c>
      <c r="I32">
        <f>MAX(INDEX(Table1[],0,MATCH('Análise univariada'!B32,Table1[#Headers],0)))</f>
        <v>7</v>
      </c>
      <c r="J32">
        <f t="shared" si="2"/>
        <v>5</v>
      </c>
      <c r="K32">
        <f t="shared" si="1"/>
        <v>1</v>
      </c>
      <c r="L32">
        <f>_xlfn.VAR.P(INDEX(Table1[],0,MATCH('Análise univariada'!B32,Table1[#Headers],0)))</f>
        <v>1.346938775510204</v>
      </c>
      <c r="M32">
        <f t="shared" si="3"/>
        <v>1.1605769149479943</v>
      </c>
      <c r="N32">
        <f>_xlfn.PERCENTILE.EXC(INDEX(Table1[],0,MATCH('Análise univariada'!B32,Table1[#Headers],0)),0.05)</f>
        <v>2</v>
      </c>
      <c r="O32">
        <f>_xlfn.PERCENTILE.EXC(INDEX(Table1[],0,MATCH('Análise univariada'!B32,Table1[#Headers],0)),0.95)</f>
        <v>6.5499999999999972</v>
      </c>
      <c r="P32">
        <f t="shared" si="4"/>
        <v>4.25</v>
      </c>
      <c r="Q32">
        <f>TRIMMEAN(INDEX(Table1[],0,MATCH('Análise univariada'!B32,Table1[#Headers],0)),0.1)</f>
        <v>4.2692307692307692</v>
      </c>
      <c r="R32">
        <f>SKEW(INDEX(Table1[],0,MATCH('Análise univariada'!B32,Table1[#Headers],0)))</f>
        <v>0.12129607902549874</v>
      </c>
      <c r="S32" t="str">
        <f t="shared" si="5"/>
        <v>Assimetrica à direita</v>
      </c>
      <c r="T32">
        <f>KURT(INDEX(Table1[],0,MATCH('Análise univariada'!B32,Table1[#Headers],0)))</f>
        <v>0.13557215511760612</v>
      </c>
      <c r="U32" t="str">
        <f t="shared" si="6"/>
        <v>Platykurtic</v>
      </c>
    </row>
    <row r="33" spans="1:29">
      <c r="B33" t="s">
        <v>13</v>
      </c>
      <c r="C33">
        <f>AVERAGE(INDEX(Table1[],0,MATCH('Análise univariada'!B33,Table1[#Headers],0)))</f>
        <v>15.428571428571429</v>
      </c>
      <c r="D33">
        <f>MEDIAN(INDEX(Table1[],0,MATCH('Análise univariada'!B33,Table1[#Headers],0)))</f>
        <v>15</v>
      </c>
      <c r="E33">
        <f>_xlfn.QUARTILE.EXC(INDEX(Table1[],0,MATCH('Análise univariada'!B33,Table1[#Headers],0)),1)</f>
        <v>14</v>
      </c>
      <c r="F33">
        <f>_xlfn.QUARTILE.EXC(INDEX(Table1[],0,MATCH('Análise univariada'!B33,Table1[#Headers],0)),2)</f>
        <v>15</v>
      </c>
      <c r="G33">
        <f>_xlfn.QUARTILE.EXC(INDEX(Table1[],0,MATCH('Análise univariada'!B33,Table1[#Headers],0)),3)</f>
        <v>16.75</v>
      </c>
      <c r="H33">
        <f>MIN((INDEX(Table1[],0,MATCH('Análise univariada'!B33,Table1[#Headers],0))))</f>
        <v>11</v>
      </c>
      <c r="I33">
        <f>MAX(INDEX(Table1[],0,MATCH('Análise univariada'!B33,Table1[#Headers],0)))</f>
        <v>19</v>
      </c>
      <c r="J33">
        <f t="shared" si="2"/>
        <v>8</v>
      </c>
      <c r="K33">
        <f t="shared" si="1"/>
        <v>1.75</v>
      </c>
      <c r="L33">
        <f>_xlfn.VAR.P(INDEX(Table1[],0,MATCH('Análise univariada'!B33,Table1[#Headers],0)))</f>
        <v>3.8163265306122449</v>
      </c>
      <c r="M33">
        <f t="shared" si="3"/>
        <v>1.953542047311049</v>
      </c>
      <c r="N33">
        <f>_xlfn.PERCENTILE.EXC(INDEX(Table1[],0,MATCH('Análise univariada'!B33,Table1[#Headers],0)),0.05)</f>
        <v>11.9</v>
      </c>
      <c r="O33">
        <f>_xlfn.PERCENTILE.EXC(INDEX(Table1[],0,MATCH('Análise univariada'!B33,Table1[#Headers],0)),0.95)</f>
        <v>19</v>
      </c>
      <c r="P33">
        <f t="shared" si="4"/>
        <v>15.1875</v>
      </c>
      <c r="Q33">
        <f>TRIMMEAN(INDEX(Table1[],0,MATCH('Análise univariada'!B33,Table1[#Headers],0)),0.1)</f>
        <v>15.461538461538462</v>
      </c>
      <c r="R33">
        <f>SKEW(INDEX(Table1[],0,MATCH('Análise univariada'!B33,Table1[#Headers],0)))</f>
        <v>0.17431016698621443</v>
      </c>
      <c r="S33" t="str">
        <f t="shared" si="5"/>
        <v>Assimetrica à direita</v>
      </c>
      <c r="T33">
        <f>KURT(INDEX(Table1[],0,MATCH('Análise univariada'!B33,Table1[#Headers],0)))</f>
        <v>-0.12029393066826133</v>
      </c>
      <c r="U33" t="str">
        <f t="shared" si="6"/>
        <v>Platykurtic</v>
      </c>
    </row>
    <row r="34" spans="1:29">
      <c r="B34" t="s">
        <v>14</v>
      </c>
      <c r="C34">
        <f>AVERAGE(INDEX(Table1[],0,MATCH('Análise univariada'!B34,Table1[#Headers],0)))</f>
        <v>1.25</v>
      </c>
      <c r="D34">
        <f>MEDIAN(INDEX(Table1[],0,MATCH('Análise univariada'!B34,Table1[#Headers],0)))</f>
        <v>1</v>
      </c>
      <c r="E34">
        <f>_xlfn.QUARTILE.EXC(INDEX(Table1[],0,MATCH('Análise univariada'!B34,Table1[#Headers],0)),1)</f>
        <v>1</v>
      </c>
      <c r="F34">
        <f>_xlfn.QUARTILE.EXC(INDEX(Table1[],0,MATCH('Análise univariada'!B34,Table1[#Headers],0)),2)</f>
        <v>1</v>
      </c>
      <c r="G34">
        <f>_xlfn.QUARTILE.EXC(INDEX(Table1[],0,MATCH('Análise univariada'!B34,Table1[#Headers],0)),3)</f>
        <v>2</v>
      </c>
      <c r="H34">
        <f>MIN((INDEX(Table1[],0,MATCH('Análise univariada'!B34,Table1[#Headers],0))))</f>
        <v>0</v>
      </c>
      <c r="I34">
        <f>MAX(INDEX(Table1[],0,MATCH('Análise univariada'!B34,Table1[#Headers],0)))</f>
        <v>3</v>
      </c>
      <c r="J34">
        <f t="shared" si="2"/>
        <v>3</v>
      </c>
      <c r="K34">
        <f t="shared" si="1"/>
        <v>1</v>
      </c>
      <c r="L34">
        <f>_xlfn.VAR.P(INDEX(Table1[],0,MATCH('Análise univariada'!B34,Table1[#Headers],0)))</f>
        <v>0.6875</v>
      </c>
      <c r="M34">
        <f t="shared" si="3"/>
        <v>0.82915619758884995</v>
      </c>
      <c r="N34">
        <f>_xlfn.PERCENTILE.EXC(INDEX(Table1[],0,MATCH('Análise univariada'!B34,Table1[#Headers],0)),0.05)</f>
        <v>0</v>
      </c>
      <c r="O34">
        <f>_xlfn.PERCENTILE.EXC(INDEX(Table1[],0,MATCH('Análise univariada'!B34,Table1[#Headers],0)),0.95)</f>
        <v>3</v>
      </c>
      <c r="P34">
        <f t="shared" si="4"/>
        <v>1.25</v>
      </c>
      <c r="Q34">
        <f>TRIMMEAN(INDEX(Table1[],0,MATCH('Análise univariada'!B34,Table1[#Headers],0)),0.1)</f>
        <v>1.2307692307692308</v>
      </c>
      <c r="R34">
        <f>SKEW(INDEX(Table1[],0,MATCH('Análise univariada'!B34,Table1[#Headers],0)))</f>
        <v>0.27330301175251964</v>
      </c>
      <c r="S34" t="str">
        <f t="shared" si="5"/>
        <v>Assimetrica à direita</v>
      </c>
      <c r="T34">
        <f>KURT(INDEX(Table1[],0,MATCH('Análise univariada'!B34,Table1[#Headers],0)))</f>
        <v>-0.31112160566706049</v>
      </c>
      <c r="U34" t="str">
        <f t="shared" si="6"/>
        <v>Platykurtic</v>
      </c>
    </row>
    <row r="35" spans="1:29">
      <c r="B35" t="s">
        <v>15</v>
      </c>
      <c r="C35">
        <f>AVERAGE(INDEX(Table1[],0,MATCH('Análise univariada'!B35,Table1[#Headers],0)))</f>
        <v>21.714285714285715</v>
      </c>
      <c r="D35">
        <f>MEDIAN(INDEX(Table1[],0,MATCH('Análise univariada'!B35,Table1[#Headers],0)))</f>
        <v>22.5</v>
      </c>
      <c r="E35">
        <f>_xlfn.QUARTILE.EXC(INDEX(Table1[],0,MATCH('Análise univariada'!B35,Table1[#Headers],0)),1)</f>
        <v>19</v>
      </c>
      <c r="F35">
        <f>_xlfn.QUARTILE.EXC(INDEX(Table1[],0,MATCH('Análise univariada'!B35,Table1[#Headers],0)),2)</f>
        <v>22.5</v>
      </c>
      <c r="G35">
        <f>_xlfn.QUARTILE.EXC(INDEX(Table1[],0,MATCH('Análise univariada'!B35,Table1[#Headers],0)),3)</f>
        <v>24.75</v>
      </c>
      <c r="H35">
        <f>MIN((INDEX(Table1[],0,MATCH('Análise univariada'!B35,Table1[#Headers],0))))</f>
        <v>10</v>
      </c>
      <c r="I35">
        <f>MAX(INDEX(Table1[],0,MATCH('Análise univariada'!B35,Table1[#Headers],0)))</f>
        <v>29</v>
      </c>
      <c r="J35">
        <f t="shared" si="2"/>
        <v>19</v>
      </c>
      <c r="K35">
        <f t="shared" si="1"/>
        <v>2.25</v>
      </c>
      <c r="L35">
        <f>_xlfn.VAR.P(INDEX(Table1[],0,MATCH('Análise univariada'!B35,Table1[#Headers],0)))</f>
        <v>18.846938775510203</v>
      </c>
      <c r="M35">
        <f t="shared" si="3"/>
        <v>4.3413061140064979</v>
      </c>
      <c r="N35">
        <f>_xlfn.PERCENTILE.EXC(INDEX(Table1[],0,MATCH('Análise univariada'!B35,Table1[#Headers],0)),0.05)</f>
        <v>12.25</v>
      </c>
      <c r="O35">
        <f>_xlfn.PERCENTILE.EXC(INDEX(Table1[],0,MATCH('Análise univariada'!B35,Table1[#Headers],0)),0.95)</f>
        <v>29</v>
      </c>
      <c r="P35">
        <f t="shared" si="4"/>
        <v>22.1875</v>
      </c>
      <c r="Q35">
        <f>TRIMMEAN(INDEX(Table1[],0,MATCH('Análise univariada'!B35,Table1[#Headers],0)),0.1)</f>
        <v>21.884615384615383</v>
      </c>
      <c r="R35">
        <f>SKEW(INDEX(Table1[],0,MATCH('Análise univariada'!B35,Table1[#Headers],0)))</f>
        <v>-0.62271138876488907</v>
      </c>
      <c r="S35" t="str">
        <f t="shared" si="5"/>
        <v>Simétrica</v>
      </c>
      <c r="T35">
        <f>KURT(INDEX(Table1[],0,MATCH('Análise univariada'!B35,Table1[#Headers],0)))</f>
        <v>0.50021236161002491</v>
      </c>
      <c r="U35" t="str">
        <f t="shared" si="6"/>
        <v>Leptokurtic</v>
      </c>
    </row>
    <row r="36" spans="1:29">
      <c r="B36" t="s">
        <v>16</v>
      </c>
      <c r="C36">
        <f>AVERAGE(INDEX(Table1[],0,MATCH('Análise univariada'!B36,Table1[#Headers],0)))</f>
        <v>19.357142857142858</v>
      </c>
      <c r="D36">
        <f>MEDIAN(INDEX(Table1[],0,MATCH('Análise univariada'!B36,Table1[#Headers],0)))</f>
        <v>18.5</v>
      </c>
      <c r="E36">
        <f>_xlfn.QUARTILE.EXC(INDEX(Table1[],0,MATCH('Análise univariada'!B36,Table1[#Headers],0)),1)</f>
        <v>17</v>
      </c>
      <c r="F36">
        <f>_xlfn.QUARTILE.EXC(INDEX(Table1[],0,MATCH('Análise univariada'!B36,Table1[#Headers],0)),2)</f>
        <v>18.5</v>
      </c>
      <c r="G36">
        <f>_xlfn.QUARTILE.EXC(INDEX(Table1[],0,MATCH('Análise univariada'!B36,Table1[#Headers],0)),3)</f>
        <v>23</v>
      </c>
      <c r="H36">
        <f>MIN((INDEX(Table1[],0,MATCH('Análise univariada'!B36,Table1[#Headers],0))))</f>
        <v>7</v>
      </c>
      <c r="I36">
        <f>MAX(INDEX(Table1[],0,MATCH('Análise univariada'!B36,Table1[#Headers],0)))</f>
        <v>31</v>
      </c>
      <c r="J36">
        <f t="shared" si="2"/>
        <v>24</v>
      </c>
      <c r="K36">
        <f t="shared" si="1"/>
        <v>4.5</v>
      </c>
      <c r="L36">
        <f>_xlfn.VAR.P(INDEX(Table1[],0,MATCH('Análise univariada'!B36,Table1[#Headers],0)))</f>
        <v>22.586734693877553</v>
      </c>
      <c r="M36">
        <f t="shared" si="3"/>
        <v>4.7525503357542203</v>
      </c>
      <c r="N36">
        <f>_xlfn.PERCENTILE.EXC(INDEX(Table1[],0,MATCH('Análise univariada'!B36,Table1[#Headers],0)),0.05)</f>
        <v>9.25</v>
      </c>
      <c r="O36">
        <f>_xlfn.PERCENTILE.EXC(INDEX(Table1[],0,MATCH('Análise univariada'!B36,Table1[#Headers],0)),0.95)</f>
        <v>28.749999999999986</v>
      </c>
      <c r="P36">
        <f t="shared" si="4"/>
        <v>19.25</v>
      </c>
      <c r="Q36">
        <f>TRIMMEAN(INDEX(Table1[],0,MATCH('Análise univariada'!B36,Table1[#Headers],0)),0.1)</f>
        <v>19.384615384615383</v>
      </c>
      <c r="R36">
        <f>SKEW(INDEX(Table1[],0,MATCH('Análise univariada'!B36,Table1[#Headers],0)))</f>
        <v>-0.16778619332410241</v>
      </c>
      <c r="S36" t="str">
        <f t="shared" si="5"/>
        <v>Simétrica</v>
      </c>
      <c r="T36">
        <f>KURT(INDEX(Table1[],0,MATCH('Análise univariada'!B36,Table1[#Headers],0)))</f>
        <v>1.1380133862825339</v>
      </c>
      <c r="U36" t="str">
        <f t="shared" si="6"/>
        <v>Leptokurtic</v>
      </c>
    </row>
    <row r="37" spans="1:29">
      <c r="B37" t="s">
        <v>17</v>
      </c>
      <c r="C37">
        <f>AVERAGE(INDEX(Table1[],0,MATCH('Análise univariada'!B37,Table1[#Headers],0)))</f>
        <v>13.321428571428571</v>
      </c>
      <c r="D37">
        <f>MEDIAN(INDEX(Table1[],0,MATCH('Análise univariada'!B37,Table1[#Headers],0)))</f>
        <v>13.5</v>
      </c>
      <c r="E37">
        <f>_xlfn.QUARTILE.EXC(INDEX(Table1[],0,MATCH('Análise univariada'!B37,Table1[#Headers],0)),1)</f>
        <v>12</v>
      </c>
      <c r="F37">
        <f>_xlfn.QUARTILE.EXC(INDEX(Table1[],0,MATCH('Análise univariada'!B37,Table1[#Headers],0)),2)</f>
        <v>13.5</v>
      </c>
      <c r="G37">
        <f>_xlfn.QUARTILE.EXC(INDEX(Table1[],0,MATCH('Análise univariada'!B37,Table1[#Headers],0)),3)</f>
        <v>14</v>
      </c>
      <c r="H37">
        <f>MIN((INDEX(Table1[],0,MATCH('Análise univariada'!B37,Table1[#Headers],0))))</f>
        <v>9</v>
      </c>
      <c r="I37">
        <f>MAX(INDEX(Table1[],0,MATCH('Análise univariada'!B37,Table1[#Headers],0)))</f>
        <v>18</v>
      </c>
      <c r="J37">
        <f t="shared" si="2"/>
        <v>9</v>
      </c>
      <c r="K37">
        <f t="shared" si="1"/>
        <v>0.5</v>
      </c>
      <c r="L37">
        <f>_xlfn.VAR.P(INDEX(Table1[],0,MATCH('Análise univariada'!B37,Table1[#Headers],0)))</f>
        <v>3.7895408163265305</v>
      </c>
      <c r="M37">
        <f t="shared" si="3"/>
        <v>1.9466742964159491</v>
      </c>
      <c r="N37">
        <f>_xlfn.PERCENTILE.EXC(INDEX(Table1[],0,MATCH('Análise univariada'!B37,Table1[#Headers],0)),0.05)</f>
        <v>9.4499999999999993</v>
      </c>
      <c r="O37">
        <f>_xlfn.PERCENTILE.EXC(INDEX(Table1[],0,MATCH('Análise univariada'!B37,Table1[#Headers],0)),0.95)</f>
        <v>17.549999999999997</v>
      </c>
      <c r="P37">
        <f t="shared" si="4"/>
        <v>13.25</v>
      </c>
      <c r="Q37">
        <f>TRIMMEAN(INDEX(Table1[],0,MATCH('Análise univariada'!B37,Table1[#Headers],0)),0.1)</f>
        <v>13.307692307692308</v>
      </c>
      <c r="R37">
        <f>SKEW(INDEX(Table1[],0,MATCH('Análise univariada'!B37,Table1[#Headers],0)))</f>
        <v>0.16256545252084201</v>
      </c>
      <c r="S37" t="str">
        <f t="shared" si="5"/>
        <v>Assimetrica à direita</v>
      </c>
      <c r="T37">
        <f>KURT(INDEX(Table1[],0,MATCH('Análise univariada'!B37,Table1[#Headers],0)))</f>
        <v>0.48832427714164561</v>
      </c>
      <c r="U37" t="str">
        <f t="shared" si="6"/>
        <v>Platykurtic</v>
      </c>
    </row>
    <row r="38" spans="1:29">
      <c r="B38" t="s">
        <v>18</v>
      </c>
      <c r="C38">
        <f>AVERAGE(INDEX(Table1[],0,MATCH('Análise univariada'!B38,Table1[#Headers],0)))</f>
        <v>9.7857142857142865</v>
      </c>
      <c r="D38">
        <f>MEDIAN(INDEX(Table1[],0,MATCH('Análise univariada'!B38,Table1[#Headers],0)))</f>
        <v>10</v>
      </c>
      <c r="E38">
        <f>_xlfn.QUARTILE.EXC(INDEX(Table1[],0,MATCH('Análise univariada'!B38,Table1[#Headers],0)),1)</f>
        <v>9</v>
      </c>
      <c r="F38">
        <f>_xlfn.QUARTILE.EXC(INDEX(Table1[],0,MATCH('Análise univariada'!B38,Table1[#Headers],0)),2)</f>
        <v>10</v>
      </c>
      <c r="G38">
        <f>_xlfn.QUARTILE.EXC(INDEX(Table1[],0,MATCH('Análise univariada'!B38,Table1[#Headers],0)),3)</f>
        <v>11</v>
      </c>
      <c r="H38">
        <f>MIN((INDEX(Table1[],0,MATCH('Análise univariada'!B38,Table1[#Headers],0))))</f>
        <v>7</v>
      </c>
      <c r="I38">
        <f>MAX(INDEX(Table1[],0,MATCH('Análise univariada'!B38,Table1[#Headers],0)))</f>
        <v>13</v>
      </c>
      <c r="J38">
        <f t="shared" si="2"/>
        <v>6</v>
      </c>
      <c r="K38">
        <f t="shared" si="1"/>
        <v>1</v>
      </c>
      <c r="L38">
        <f>_xlfn.VAR.P(INDEX(Table1[],0,MATCH('Análise univariada'!B38,Table1[#Headers],0)))</f>
        <v>2.239795918367347</v>
      </c>
      <c r="M38">
        <f t="shared" si="3"/>
        <v>1.4965947742683545</v>
      </c>
      <c r="N38">
        <f>_xlfn.PERCENTILE.EXC(INDEX(Table1[],0,MATCH('Análise univariada'!B38,Table1[#Headers],0)),0.05)</f>
        <v>7.45</v>
      </c>
      <c r="O38">
        <f>_xlfn.PERCENTILE.EXC(INDEX(Table1[],0,MATCH('Análise univariada'!B38,Table1[#Headers],0)),0.95)</f>
        <v>12.549999999999997</v>
      </c>
      <c r="P38">
        <f t="shared" si="4"/>
        <v>10</v>
      </c>
      <c r="Q38">
        <f>TRIMMEAN(INDEX(Table1[],0,MATCH('Análise univariada'!B38,Table1[#Headers],0)),0.1)</f>
        <v>9.7692307692307701</v>
      </c>
      <c r="R38">
        <f>SKEW(INDEX(Table1[],0,MATCH('Análise univariada'!B38,Table1[#Headers],0)))</f>
        <v>0.32215056722609908</v>
      </c>
      <c r="S38" t="str">
        <f t="shared" si="5"/>
        <v>Assimetrica à direita</v>
      </c>
      <c r="T38">
        <f>KURT(INDEX(Table1[],0,MATCH('Análise univariada'!B38,Table1[#Headers],0)))</f>
        <v>-0.59318305098681989</v>
      </c>
      <c r="U38" t="str">
        <f t="shared" si="6"/>
        <v>Platykurtic</v>
      </c>
    </row>
    <row r="41" spans="1:29">
      <c r="B41" t="s">
        <v>72</v>
      </c>
      <c r="C41">
        <f>MATCH('Análise univariada'!B23,Table1[#Headers],0)</f>
        <v>2</v>
      </c>
    </row>
    <row r="43" spans="1:29">
      <c r="A43" s="1" t="s">
        <v>88</v>
      </c>
    </row>
    <row r="45" spans="1:29" s="13" customFormat="1" ht="53" customHeight="1">
      <c r="A45" s="15" t="s">
        <v>0</v>
      </c>
      <c r="B45" s="14" t="s">
        <v>1</v>
      </c>
      <c r="C45" s="14" t="s">
        <v>2</v>
      </c>
      <c r="D45" s="14" t="s">
        <v>3</v>
      </c>
      <c r="E45" s="14" t="s">
        <v>4</v>
      </c>
      <c r="F45" s="14" t="s">
        <v>5</v>
      </c>
      <c r="G45" s="14" t="s">
        <v>8</v>
      </c>
      <c r="H45" s="14" t="s">
        <v>9</v>
      </c>
      <c r="I45" s="14" t="s">
        <v>10</v>
      </c>
      <c r="J45" s="14" t="s">
        <v>11</v>
      </c>
      <c r="K45" s="14" t="s">
        <v>12</v>
      </c>
      <c r="L45" s="14" t="s">
        <v>13</v>
      </c>
      <c r="M45" s="14" t="s">
        <v>14</v>
      </c>
      <c r="N45" s="14" t="s">
        <v>15</v>
      </c>
      <c r="O45" s="14" t="s">
        <v>16</v>
      </c>
      <c r="P45" s="14" t="s">
        <v>17</v>
      </c>
      <c r="Q45" s="14" t="s">
        <v>18</v>
      </c>
      <c r="AA45" s="17" t="s">
        <v>95</v>
      </c>
      <c r="AB45" s="18"/>
      <c r="AC45" s="18"/>
    </row>
    <row r="46" spans="1:29" ht="18">
      <c r="A46" s="2" t="s">
        <v>19</v>
      </c>
      <c r="B46">
        <v>18134</v>
      </c>
      <c r="C46">
        <v>22641</v>
      </c>
      <c r="D46">
        <v>29680</v>
      </c>
      <c r="E46">
        <v>29.1</v>
      </c>
      <c r="F46">
        <v>11.2</v>
      </c>
      <c r="G46">
        <v>28.6</v>
      </c>
      <c r="H46">
        <v>3.7</v>
      </c>
      <c r="I46">
        <v>36849.9</v>
      </c>
      <c r="J46">
        <v>11</v>
      </c>
      <c r="K46">
        <v>5</v>
      </c>
      <c r="L46">
        <v>18</v>
      </c>
      <c r="M46">
        <v>1</v>
      </c>
      <c r="N46">
        <v>23</v>
      </c>
      <c r="O46">
        <v>18</v>
      </c>
      <c r="P46">
        <v>12</v>
      </c>
      <c r="Q46">
        <v>12</v>
      </c>
      <c r="AA46" s="16" t="s">
        <v>93</v>
      </c>
    </row>
    <row r="47" spans="1:29">
      <c r="A47" s="3" t="s">
        <v>22</v>
      </c>
      <c r="B47">
        <v>21760</v>
      </c>
      <c r="C47">
        <v>27212</v>
      </c>
      <c r="D47">
        <v>34828</v>
      </c>
      <c r="E47">
        <v>27.9</v>
      </c>
      <c r="F47">
        <v>15.2</v>
      </c>
      <c r="G47">
        <v>32.4</v>
      </c>
      <c r="H47">
        <v>5.5</v>
      </c>
      <c r="I47">
        <v>38162.699999999997</v>
      </c>
      <c r="J47">
        <v>10</v>
      </c>
      <c r="K47">
        <v>4</v>
      </c>
      <c r="L47">
        <v>14</v>
      </c>
      <c r="M47">
        <v>1</v>
      </c>
      <c r="N47">
        <v>23</v>
      </c>
      <c r="O47">
        <v>23</v>
      </c>
      <c r="P47">
        <v>13</v>
      </c>
      <c r="Q47">
        <v>12</v>
      </c>
      <c r="AA47" t="s">
        <v>94</v>
      </c>
      <c r="AB47">
        <f>ROUNDUP(1+3.22*LOG10(28),0)</f>
        <v>6</v>
      </c>
    </row>
    <row r="48" spans="1:29">
      <c r="A48" s="2" t="s">
        <v>23</v>
      </c>
      <c r="B48">
        <v>18431</v>
      </c>
      <c r="C48">
        <v>23283</v>
      </c>
      <c r="D48">
        <v>30967</v>
      </c>
      <c r="E48">
        <v>26</v>
      </c>
      <c r="F48">
        <v>11.9</v>
      </c>
      <c r="G48">
        <v>40.299999999999997</v>
      </c>
      <c r="H48">
        <v>7.1</v>
      </c>
      <c r="I48">
        <v>34787.800000000003</v>
      </c>
      <c r="J48">
        <v>14</v>
      </c>
      <c r="K48">
        <v>7</v>
      </c>
      <c r="L48">
        <v>13</v>
      </c>
      <c r="M48">
        <v>0</v>
      </c>
      <c r="N48">
        <v>24</v>
      </c>
      <c r="O48">
        <v>20</v>
      </c>
      <c r="P48">
        <v>12</v>
      </c>
      <c r="Q48">
        <v>10</v>
      </c>
    </row>
    <row r="49" spans="1:17">
      <c r="A49" s="3" t="s">
        <v>24</v>
      </c>
      <c r="B49">
        <v>2539</v>
      </c>
      <c r="C49">
        <v>4452</v>
      </c>
      <c r="D49">
        <v>7494</v>
      </c>
      <c r="E49">
        <v>40.200000000000003</v>
      </c>
      <c r="F49">
        <v>1.1000000000000001</v>
      </c>
      <c r="G49">
        <v>27.8</v>
      </c>
      <c r="H49">
        <v>6.2</v>
      </c>
      <c r="I49">
        <v>14787</v>
      </c>
      <c r="J49">
        <v>19</v>
      </c>
      <c r="K49">
        <v>6</v>
      </c>
      <c r="L49">
        <v>19</v>
      </c>
      <c r="M49">
        <v>1</v>
      </c>
      <c r="N49">
        <v>20</v>
      </c>
      <c r="O49">
        <v>14</v>
      </c>
      <c r="P49">
        <v>13</v>
      </c>
      <c r="Q49">
        <v>8</v>
      </c>
    </row>
    <row r="50" spans="1:17">
      <c r="A50" s="2" t="s">
        <v>27</v>
      </c>
      <c r="B50">
        <v>12430</v>
      </c>
      <c r="C50">
        <v>16082</v>
      </c>
      <c r="D50">
        <v>23514</v>
      </c>
      <c r="E50">
        <v>30.8</v>
      </c>
      <c r="F50">
        <v>16.399999999999999</v>
      </c>
      <c r="G50">
        <v>42.5</v>
      </c>
      <c r="H50">
        <v>11</v>
      </c>
      <c r="I50">
        <v>25054</v>
      </c>
      <c r="J50">
        <v>14</v>
      </c>
      <c r="K50">
        <v>5</v>
      </c>
      <c r="L50">
        <v>16</v>
      </c>
      <c r="M50">
        <v>3</v>
      </c>
      <c r="N50">
        <v>15</v>
      </c>
      <c r="O50">
        <v>26</v>
      </c>
      <c r="P50">
        <v>12</v>
      </c>
      <c r="Q50">
        <v>9</v>
      </c>
    </row>
    <row r="51" spans="1:17">
      <c r="A51" s="3" t="s">
        <v>29</v>
      </c>
      <c r="B51">
        <v>4919</v>
      </c>
      <c r="C51">
        <v>6793</v>
      </c>
      <c r="D51">
        <v>10084</v>
      </c>
      <c r="E51">
        <v>29.9</v>
      </c>
      <c r="F51">
        <v>1.1000000000000001</v>
      </c>
      <c r="G51">
        <v>23.7</v>
      </c>
      <c r="H51">
        <v>11.2</v>
      </c>
      <c r="I51">
        <v>18476</v>
      </c>
      <c r="J51">
        <v>19</v>
      </c>
      <c r="K51">
        <v>4</v>
      </c>
      <c r="L51">
        <v>13</v>
      </c>
      <c r="M51">
        <v>1</v>
      </c>
      <c r="N51">
        <v>16</v>
      </c>
      <c r="O51">
        <v>23</v>
      </c>
      <c r="P51">
        <v>15</v>
      </c>
      <c r="Q51">
        <v>9</v>
      </c>
    </row>
    <row r="52" spans="1:17">
      <c r="A52" s="2" t="s">
        <v>30</v>
      </c>
      <c r="B52">
        <v>26758</v>
      </c>
      <c r="C52">
        <v>30748</v>
      </c>
      <c r="D52">
        <v>38423</v>
      </c>
      <c r="E52">
        <v>27.6</v>
      </c>
      <c r="F52">
        <v>8.4</v>
      </c>
      <c r="G52">
        <v>39.1</v>
      </c>
      <c r="H52">
        <v>5.7</v>
      </c>
      <c r="I52">
        <v>37469.199999999997</v>
      </c>
      <c r="J52">
        <v>11</v>
      </c>
      <c r="K52">
        <v>3</v>
      </c>
      <c r="L52">
        <v>14</v>
      </c>
      <c r="M52">
        <v>1</v>
      </c>
      <c r="N52">
        <v>29</v>
      </c>
      <c r="O52">
        <v>18</v>
      </c>
      <c r="P52">
        <v>15</v>
      </c>
      <c r="Q52">
        <v>9</v>
      </c>
    </row>
    <row r="53" spans="1:17">
      <c r="A53" s="3" t="s">
        <v>32</v>
      </c>
      <c r="B53">
        <v>5841</v>
      </c>
      <c r="C53">
        <v>7570</v>
      </c>
      <c r="D53">
        <v>9171</v>
      </c>
      <c r="E53">
        <v>23.2</v>
      </c>
      <c r="F53">
        <v>1.3</v>
      </c>
      <c r="G53">
        <v>23.1</v>
      </c>
      <c r="H53">
        <v>8.1</v>
      </c>
      <c r="I53">
        <v>22999.5</v>
      </c>
      <c r="J53">
        <v>18</v>
      </c>
      <c r="K53">
        <v>3</v>
      </c>
      <c r="L53">
        <v>11</v>
      </c>
      <c r="M53">
        <v>2</v>
      </c>
      <c r="N53">
        <v>24</v>
      </c>
      <c r="O53">
        <v>17</v>
      </c>
      <c r="P53">
        <v>15</v>
      </c>
      <c r="Q53">
        <v>10</v>
      </c>
    </row>
    <row r="54" spans="1:17">
      <c r="A54" s="2" t="s">
        <v>33</v>
      </c>
      <c r="B54">
        <v>10557</v>
      </c>
      <c r="C54">
        <v>12770</v>
      </c>
      <c r="D54">
        <v>17430</v>
      </c>
      <c r="E54">
        <v>23.7</v>
      </c>
      <c r="F54">
        <v>5.5</v>
      </c>
      <c r="G54">
        <v>32.5</v>
      </c>
      <c r="H54">
        <v>6.6</v>
      </c>
      <c r="I54">
        <v>25366.3</v>
      </c>
      <c r="J54">
        <v>15</v>
      </c>
      <c r="K54">
        <v>4</v>
      </c>
      <c r="L54">
        <v>19</v>
      </c>
      <c r="M54">
        <v>1</v>
      </c>
      <c r="N54">
        <v>19</v>
      </c>
      <c r="O54">
        <v>18</v>
      </c>
      <c r="P54">
        <v>14</v>
      </c>
      <c r="Q54">
        <v>10</v>
      </c>
    </row>
    <row r="55" spans="1:17">
      <c r="A55" s="3" t="s">
        <v>34</v>
      </c>
      <c r="B55">
        <v>13052</v>
      </c>
      <c r="C55">
        <v>16399</v>
      </c>
      <c r="D55">
        <v>22783</v>
      </c>
      <c r="E55">
        <v>34.1</v>
      </c>
      <c r="F55">
        <v>9.5</v>
      </c>
      <c r="G55">
        <v>36.4</v>
      </c>
      <c r="H55">
        <v>17.2</v>
      </c>
      <c r="I55">
        <v>27625.7</v>
      </c>
      <c r="J55">
        <v>12</v>
      </c>
      <c r="K55">
        <v>4</v>
      </c>
      <c r="L55">
        <v>15</v>
      </c>
      <c r="M55">
        <v>2</v>
      </c>
      <c r="N55">
        <v>22</v>
      </c>
      <c r="O55">
        <v>26</v>
      </c>
      <c r="P55">
        <v>11</v>
      </c>
      <c r="Q55">
        <v>8</v>
      </c>
    </row>
    <row r="56" spans="1:17">
      <c r="A56" s="2" t="s">
        <v>35</v>
      </c>
      <c r="B56">
        <v>7585</v>
      </c>
      <c r="C56">
        <v>9495</v>
      </c>
      <c r="D56">
        <v>13051</v>
      </c>
      <c r="E56">
        <v>31.6</v>
      </c>
      <c r="F56">
        <v>14.9</v>
      </c>
      <c r="G56">
        <v>39.700000000000003</v>
      </c>
      <c r="H56">
        <v>5.8</v>
      </c>
      <c r="I56">
        <v>23054.6</v>
      </c>
      <c r="J56">
        <v>20</v>
      </c>
      <c r="K56">
        <v>3</v>
      </c>
      <c r="L56">
        <v>15</v>
      </c>
      <c r="M56">
        <v>0</v>
      </c>
      <c r="N56">
        <v>18</v>
      </c>
      <c r="O56">
        <v>17</v>
      </c>
      <c r="P56">
        <v>16</v>
      </c>
      <c r="Q56">
        <v>11</v>
      </c>
    </row>
    <row r="57" spans="1:17">
      <c r="A57" s="3" t="s">
        <v>36</v>
      </c>
      <c r="B57">
        <v>21886</v>
      </c>
      <c r="C57">
        <v>24848</v>
      </c>
      <c r="D57">
        <v>33847</v>
      </c>
      <c r="E57">
        <v>25.3</v>
      </c>
      <c r="F57">
        <v>4.4000000000000004</v>
      </c>
      <c r="G57">
        <v>43.7</v>
      </c>
      <c r="H57">
        <v>8.6</v>
      </c>
      <c r="I57">
        <v>32699</v>
      </c>
      <c r="J57">
        <v>12</v>
      </c>
      <c r="K57">
        <v>5</v>
      </c>
      <c r="L57">
        <v>14</v>
      </c>
      <c r="M57">
        <v>0</v>
      </c>
      <c r="N57">
        <v>29</v>
      </c>
      <c r="O57">
        <v>17</v>
      </c>
      <c r="P57">
        <v>14</v>
      </c>
      <c r="Q57">
        <v>9</v>
      </c>
    </row>
    <row r="58" spans="1:17">
      <c r="A58" s="2" t="s">
        <v>37</v>
      </c>
      <c r="B58">
        <v>22155</v>
      </c>
      <c r="C58">
        <v>24890</v>
      </c>
      <c r="D58">
        <v>32732</v>
      </c>
      <c r="E58">
        <v>29.3</v>
      </c>
      <c r="F58">
        <v>6.9</v>
      </c>
      <c r="G58">
        <v>35.200000000000003</v>
      </c>
      <c r="H58">
        <v>9.4</v>
      </c>
      <c r="I58">
        <v>31286</v>
      </c>
      <c r="J58">
        <v>13</v>
      </c>
      <c r="K58">
        <v>4</v>
      </c>
      <c r="L58">
        <v>16</v>
      </c>
      <c r="M58">
        <v>1</v>
      </c>
      <c r="N58">
        <v>26</v>
      </c>
      <c r="O58">
        <v>19</v>
      </c>
      <c r="P58">
        <v>12</v>
      </c>
      <c r="Q58">
        <v>9</v>
      </c>
    </row>
    <row r="59" spans="1:17">
      <c r="A59" s="3" t="s">
        <v>38</v>
      </c>
      <c r="B59">
        <v>7152</v>
      </c>
      <c r="C59">
        <v>8534</v>
      </c>
      <c r="D59">
        <v>12211</v>
      </c>
      <c r="E59">
        <v>33.4</v>
      </c>
      <c r="F59">
        <v>7.5</v>
      </c>
      <c r="G59">
        <v>31</v>
      </c>
      <c r="H59">
        <v>21.5</v>
      </c>
      <c r="I59">
        <v>20087.400000000001</v>
      </c>
      <c r="J59">
        <v>17</v>
      </c>
      <c r="K59">
        <v>4</v>
      </c>
      <c r="L59">
        <v>18</v>
      </c>
      <c r="M59">
        <v>2</v>
      </c>
      <c r="N59">
        <v>20</v>
      </c>
      <c r="O59">
        <v>22</v>
      </c>
      <c r="P59">
        <v>10</v>
      </c>
      <c r="Q59">
        <v>7</v>
      </c>
    </row>
    <row r="60" spans="1:17">
      <c r="A60" s="2" t="s">
        <v>39</v>
      </c>
      <c r="B60">
        <v>4246</v>
      </c>
      <c r="C60">
        <v>5513</v>
      </c>
      <c r="D60">
        <v>7799</v>
      </c>
      <c r="E60">
        <v>28.1</v>
      </c>
      <c r="F60">
        <v>1.5</v>
      </c>
      <c r="G60">
        <v>24.1</v>
      </c>
      <c r="H60">
        <v>4.2</v>
      </c>
      <c r="I60">
        <v>20430.400000000001</v>
      </c>
      <c r="J60">
        <v>18</v>
      </c>
      <c r="K60">
        <v>4</v>
      </c>
      <c r="L60">
        <v>17</v>
      </c>
      <c r="M60">
        <v>2</v>
      </c>
      <c r="N60">
        <v>19</v>
      </c>
      <c r="O60">
        <v>18</v>
      </c>
      <c r="P60">
        <v>14</v>
      </c>
      <c r="Q60">
        <v>8</v>
      </c>
    </row>
    <row r="61" spans="1:17">
      <c r="A61" s="3" t="s">
        <v>40</v>
      </c>
      <c r="E61">
        <v>35.700000000000003</v>
      </c>
      <c r="F61">
        <v>11.8</v>
      </c>
      <c r="G61">
        <v>46.5</v>
      </c>
      <c r="H61">
        <v>6.7</v>
      </c>
      <c r="I61">
        <v>54715.3</v>
      </c>
      <c r="J61">
        <v>9</v>
      </c>
      <c r="K61">
        <v>5</v>
      </c>
      <c r="L61">
        <v>16</v>
      </c>
      <c r="M61">
        <v>3</v>
      </c>
      <c r="N61">
        <v>24</v>
      </c>
      <c r="O61">
        <v>23</v>
      </c>
      <c r="P61">
        <v>12</v>
      </c>
      <c r="Q61">
        <v>8</v>
      </c>
    </row>
    <row r="62" spans="1:17">
      <c r="A62" s="2" t="s">
        <v>41</v>
      </c>
      <c r="B62">
        <v>15621</v>
      </c>
      <c r="C62">
        <v>20161</v>
      </c>
      <c r="D62">
        <v>27535</v>
      </c>
      <c r="E62">
        <v>32.700000000000003</v>
      </c>
      <c r="F62">
        <v>8.3000000000000007</v>
      </c>
      <c r="G62">
        <v>18.7</v>
      </c>
      <c r="H62">
        <v>11.2</v>
      </c>
      <c r="I62">
        <v>28684.799999999999</v>
      </c>
      <c r="J62">
        <v>14</v>
      </c>
      <c r="K62">
        <v>4</v>
      </c>
      <c r="L62">
        <v>14</v>
      </c>
      <c r="M62">
        <v>1</v>
      </c>
      <c r="N62">
        <v>23</v>
      </c>
      <c r="O62">
        <v>21</v>
      </c>
      <c r="P62">
        <v>11</v>
      </c>
      <c r="Q62">
        <v>12</v>
      </c>
    </row>
    <row r="63" spans="1:17">
      <c r="A63" s="3" t="s">
        <v>42</v>
      </c>
      <c r="B63">
        <v>5106</v>
      </c>
      <c r="C63">
        <v>7078</v>
      </c>
      <c r="D63">
        <v>10745</v>
      </c>
      <c r="E63">
        <v>34.5</v>
      </c>
      <c r="F63">
        <v>14.3</v>
      </c>
      <c r="G63">
        <v>33.9</v>
      </c>
      <c r="H63">
        <v>8.6999999999999993</v>
      </c>
      <c r="I63">
        <v>20058.599999999999</v>
      </c>
      <c r="J63">
        <v>18</v>
      </c>
      <c r="K63">
        <v>5</v>
      </c>
      <c r="L63">
        <v>15</v>
      </c>
      <c r="M63">
        <v>2</v>
      </c>
      <c r="N63">
        <v>21</v>
      </c>
      <c r="O63">
        <v>12</v>
      </c>
      <c r="P63">
        <v>18</v>
      </c>
      <c r="Q63">
        <v>9</v>
      </c>
    </row>
    <row r="64" spans="1:17">
      <c r="A64" s="2" t="s">
        <v>43</v>
      </c>
      <c r="B64">
        <v>4763</v>
      </c>
      <c r="C64">
        <v>6528</v>
      </c>
      <c r="D64">
        <v>11038</v>
      </c>
      <c r="E64">
        <v>37.6</v>
      </c>
      <c r="F64">
        <v>0.7</v>
      </c>
      <c r="G64">
        <v>40.299999999999997</v>
      </c>
      <c r="H64">
        <v>7.1</v>
      </c>
      <c r="I64">
        <v>23337.4</v>
      </c>
      <c r="J64">
        <v>22</v>
      </c>
      <c r="K64">
        <v>5</v>
      </c>
      <c r="L64">
        <v>19</v>
      </c>
      <c r="M64">
        <v>0</v>
      </c>
      <c r="N64">
        <v>15</v>
      </c>
      <c r="O64">
        <v>12</v>
      </c>
      <c r="P64">
        <v>14</v>
      </c>
      <c r="Q64">
        <v>13</v>
      </c>
    </row>
    <row r="65" spans="1:17">
      <c r="A65" s="3" t="s">
        <v>44</v>
      </c>
      <c r="B65">
        <v>33570</v>
      </c>
      <c r="C65">
        <v>41852</v>
      </c>
      <c r="D65">
        <v>53988</v>
      </c>
      <c r="E65">
        <v>30.9</v>
      </c>
      <c r="F65">
        <v>47.6</v>
      </c>
      <c r="G65">
        <v>39.9</v>
      </c>
      <c r="H65">
        <v>5.5</v>
      </c>
      <c r="I65">
        <v>75854.600000000006</v>
      </c>
      <c r="J65">
        <v>9</v>
      </c>
      <c r="K65">
        <v>3</v>
      </c>
      <c r="L65">
        <v>17</v>
      </c>
      <c r="M65">
        <v>1</v>
      </c>
      <c r="N65">
        <v>25</v>
      </c>
      <c r="O65">
        <v>21</v>
      </c>
      <c r="P65">
        <v>14</v>
      </c>
      <c r="Q65">
        <v>10</v>
      </c>
    </row>
    <row r="66" spans="1:17">
      <c r="A66" s="2" t="s">
        <v>45</v>
      </c>
      <c r="B66">
        <v>13160</v>
      </c>
      <c r="C66">
        <v>17706</v>
      </c>
      <c r="D66">
        <v>24811</v>
      </c>
      <c r="E66">
        <v>28.3</v>
      </c>
      <c r="F66">
        <v>11.8</v>
      </c>
      <c r="G66">
        <v>23.9</v>
      </c>
      <c r="H66">
        <v>4</v>
      </c>
      <c r="I66">
        <v>28590</v>
      </c>
      <c r="J66">
        <v>12</v>
      </c>
      <c r="K66">
        <v>4</v>
      </c>
      <c r="L66">
        <v>15</v>
      </c>
      <c r="M66">
        <v>2</v>
      </c>
      <c r="N66">
        <v>10</v>
      </c>
      <c r="O66">
        <v>31</v>
      </c>
      <c r="P66">
        <v>14</v>
      </c>
      <c r="Q66">
        <v>12</v>
      </c>
    </row>
    <row r="67" spans="1:17">
      <c r="A67" s="3" t="s">
        <v>46</v>
      </c>
      <c r="B67">
        <v>21312</v>
      </c>
      <c r="C67">
        <v>24644</v>
      </c>
      <c r="D67">
        <v>32352</v>
      </c>
      <c r="E67">
        <v>27.1</v>
      </c>
      <c r="F67">
        <v>5.4</v>
      </c>
      <c r="G67">
        <v>37.200000000000003</v>
      </c>
      <c r="H67">
        <v>4.8</v>
      </c>
      <c r="I67">
        <v>38394.6</v>
      </c>
      <c r="J67">
        <v>11</v>
      </c>
      <c r="K67">
        <v>4</v>
      </c>
      <c r="L67">
        <v>15</v>
      </c>
      <c r="M67">
        <v>1</v>
      </c>
      <c r="N67">
        <v>24</v>
      </c>
      <c r="O67">
        <v>21</v>
      </c>
      <c r="P67">
        <v>13</v>
      </c>
      <c r="Q67">
        <v>11</v>
      </c>
    </row>
    <row r="68" spans="1:17">
      <c r="A68" s="2" t="s">
        <v>47</v>
      </c>
      <c r="B68">
        <v>4928</v>
      </c>
      <c r="C68">
        <v>6236</v>
      </c>
      <c r="D68">
        <v>9646</v>
      </c>
      <c r="E68">
        <v>29.2</v>
      </c>
      <c r="F68">
        <v>0.6</v>
      </c>
      <c r="G68">
        <v>29.9</v>
      </c>
      <c r="H68">
        <v>4.9000000000000004</v>
      </c>
      <c r="I68">
        <v>21111.1</v>
      </c>
      <c r="J68">
        <v>17</v>
      </c>
      <c r="K68">
        <v>6</v>
      </c>
      <c r="L68">
        <v>14</v>
      </c>
      <c r="M68">
        <v>1</v>
      </c>
      <c r="N68">
        <v>21</v>
      </c>
      <c r="O68">
        <v>17</v>
      </c>
      <c r="P68">
        <v>14</v>
      </c>
      <c r="Q68">
        <v>10</v>
      </c>
    </row>
    <row r="69" spans="1:17">
      <c r="A69" s="3" t="s">
        <v>48</v>
      </c>
      <c r="B69">
        <v>8817</v>
      </c>
      <c r="C69">
        <v>11506</v>
      </c>
      <c r="D69">
        <v>17906</v>
      </c>
      <c r="E69">
        <v>33.5</v>
      </c>
      <c r="F69">
        <v>3.9</v>
      </c>
      <c r="G69">
        <v>24</v>
      </c>
      <c r="H69">
        <v>8.9</v>
      </c>
      <c r="I69">
        <v>23022.9</v>
      </c>
      <c r="J69">
        <v>17</v>
      </c>
      <c r="K69">
        <v>5</v>
      </c>
      <c r="L69">
        <v>16</v>
      </c>
      <c r="M69">
        <v>1</v>
      </c>
      <c r="N69">
        <v>18</v>
      </c>
      <c r="O69">
        <v>23</v>
      </c>
      <c r="P69">
        <v>9</v>
      </c>
      <c r="Q69">
        <v>11</v>
      </c>
    </row>
    <row r="70" spans="1:17">
      <c r="A70" s="2" t="s">
        <v>49</v>
      </c>
      <c r="B70">
        <v>19123</v>
      </c>
      <c r="C70">
        <v>23179</v>
      </c>
      <c r="D70">
        <v>32162</v>
      </c>
      <c r="E70">
        <v>33.1</v>
      </c>
      <c r="F70">
        <v>9.1999999999999993</v>
      </c>
      <c r="G70">
        <v>42.8</v>
      </c>
      <c r="H70">
        <v>4.3</v>
      </c>
      <c r="I70">
        <v>31501.3</v>
      </c>
      <c r="J70">
        <v>8</v>
      </c>
      <c r="K70">
        <v>2</v>
      </c>
      <c r="L70">
        <v>15</v>
      </c>
      <c r="M70">
        <v>2</v>
      </c>
      <c r="N70">
        <v>27</v>
      </c>
      <c r="O70">
        <v>23</v>
      </c>
      <c r="P70">
        <v>13</v>
      </c>
      <c r="Q70">
        <v>10</v>
      </c>
    </row>
    <row r="71" spans="1:17">
      <c r="A71" s="3" t="s">
        <v>50</v>
      </c>
      <c r="B71">
        <v>6976</v>
      </c>
      <c r="C71">
        <v>8956</v>
      </c>
      <c r="D71">
        <v>12060</v>
      </c>
      <c r="E71">
        <v>24.5</v>
      </c>
      <c r="F71">
        <v>4.8</v>
      </c>
      <c r="G71">
        <v>23.9</v>
      </c>
      <c r="H71">
        <v>2.9</v>
      </c>
      <c r="I71">
        <v>26427.5</v>
      </c>
      <c r="J71">
        <v>16</v>
      </c>
      <c r="K71">
        <v>2</v>
      </c>
      <c r="L71">
        <v>13</v>
      </c>
      <c r="M71">
        <v>1</v>
      </c>
      <c r="N71">
        <v>25</v>
      </c>
      <c r="O71">
        <v>17</v>
      </c>
      <c r="P71">
        <v>17</v>
      </c>
      <c r="Q71">
        <v>9</v>
      </c>
    </row>
    <row r="72" spans="1:17">
      <c r="A72" s="2" t="s">
        <v>51</v>
      </c>
      <c r="B72">
        <v>2125</v>
      </c>
      <c r="C72">
        <v>3169</v>
      </c>
      <c r="D72">
        <v>5230</v>
      </c>
      <c r="E72">
        <v>33.1</v>
      </c>
      <c r="F72">
        <v>0.6</v>
      </c>
      <c r="G72">
        <v>17.600000000000001</v>
      </c>
      <c r="H72">
        <v>4.9000000000000004</v>
      </c>
      <c r="I72">
        <v>18802</v>
      </c>
      <c r="J72">
        <v>28</v>
      </c>
      <c r="K72">
        <v>6</v>
      </c>
      <c r="L72">
        <v>15</v>
      </c>
      <c r="M72">
        <v>2</v>
      </c>
      <c r="N72">
        <v>22</v>
      </c>
      <c r="O72">
        <v>7</v>
      </c>
      <c r="P72">
        <v>12</v>
      </c>
      <c r="Q72">
        <v>8</v>
      </c>
    </row>
    <row r="73" spans="1:17">
      <c r="A73" s="3" t="s">
        <v>52</v>
      </c>
      <c r="B73">
        <v>22632</v>
      </c>
      <c r="C73">
        <v>29090</v>
      </c>
      <c r="D73">
        <v>32358</v>
      </c>
      <c r="E73">
        <v>28</v>
      </c>
      <c r="F73">
        <v>8.4</v>
      </c>
      <c r="G73">
        <v>41.9</v>
      </c>
      <c r="H73">
        <v>6.7</v>
      </c>
      <c r="I73">
        <v>36556.1</v>
      </c>
      <c r="J73">
        <v>12</v>
      </c>
      <c r="K73">
        <v>4</v>
      </c>
      <c r="L73">
        <v>16</v>
      </c>
      <c r="M73">
        <v>0</v>
      </c>
      <c r="N73">
        <v>26</v>
      </c>
      <c r="O73">
        <v>18</v>
      </c>
      <c r="P73">
        <v>14</v>
      </c>
      <c r="Q73">
        <v>10</v>
      </c>
    </row>
    <row r="75" spans="1:17">
      <c r="A75" t="s">
        <v>70</v>
      </c>
      <c r="B75">
        <f>INDEX($C$23:$U$38,MATCH(Table13[[#Headers],[Rendimento Ensino basico]],$B$23:$B$38,0),3)</f>
        <v>5106</v>
      </c>
      <c r="C75">
        <f>INDEX($C$23:$U$38,MATCH(Table13[[#Headers],[Rendimento Ensino pos-secundario]],$B$23:$B$38,0),3)</f>
        <v>7078</v>
      </c>
      <c r="D75">
        <f>INDEX($C$23:$U$38,MATCH(Table13[[#Headers],[Rendimento Ensino superior]],$B$23:$B$38,0),3)</f>
        <v>10745</v>
      </c>
      <c r="E75">
        <f>INDEX($C$23:$U$38,MATCH(Table13[[#Headers],[Indice de Gini]],$B$23:$B$38,0),3)</f>
        <v>27.675000000000001</v>
      </c>
      <c r="F75">
        <f>INDEX($C$23:$U$38,MATCH(Table13[[#Headers],[Populacao estrangeira]],$B$23:$B$38,0),3)</f>
        <v>2.1</v>
      </c>
      <c r="G75">
        <f>INDEX($C$23:$U$38,MATCH(Table13[[#Headers],[Populacao ensino superior]],$B$23:$B$38,0),3)</f>
        <v>24.024999999999999</v>
      </c>
      <c r="H75">
        <f>INDEX($C$23:$U$38,MATCH(Table13[[#Headers],[Populacao desempregada]],$B$23:$B$38,0),3)</f>
        <v>4.9000000000000004</v>
      </c>
      <c r="I75">
        <f>INDEX($C$23:$U$38,MATCH(Table13[[#Headers],[PIB per capita]],$B$23:$B$38,0),3)</f>
        <v>21583.199999999997</v>
      </c>
      <c r="J75">
        <f>INDEX($C$23:$U$38,MATCH(Table13[[#Headers],[Despesa Alimentacao]],$B$23:$B$38,0),3)</f>
        <v>11.25</v>
      </c>
      <c r="K75">
        <f>INDEX($C$23:$U$38,MATCH(Table13[[#Headers],[Despesa Saude]],$B$23:$B$38,0),3)</f>
        <v>4</v>
      </c>
      <c r="L75">
        <f>INDEX($C$23:$U$38,MATCH(Table13[[#Headers],[Despesa Transportes e comunicacoes]],$B$23:$B$38,0),3)</f>
        <v>14</v>
      </c>
      <c r="M75">
        <f>INDEX($C$23:$U$38,MATCH(Table13[[#Headers],[Despesa Educacao]],$B$23:$B$38,0),3)</f>
        <v>1</v>
      </c>
      <c r="N75">
        <f>INDEX($C$23:$U$38,MATCH(Table13[[#Headers],[Despesa Habitacao e utilidades]],$B$23:$B$38,0),3)</f>
        <v>19</v>
      </c>
      <c r="O75">
        <f>INDEX($C$23:$U$38,MATCH(Table13[[#Headers],[Despesa Servicos]],$B$23:$B$38,0),3)</f>
        <v>17</v>
      </c>
      <c r="P75">
        <f>INDEX($C$23:$U$38,MATCH(Table13[[#Headers],[Despesa Lazer e cultura]],$B$23:$B$38,0),3)</f>
        <v>12</v>
      </c>
      <c r="Q75">
        <f>INDEX($C$23:$U$38,MATCH(Table13[[#Headers],[Despesa Vestuario e recheio de casa]],$B$23:$B$38,0),3)</f>
        <v>9</v>
      </c>
    </row>
    <row r="76" spans="1:17">
      <c r="A76" t="s">
        <v>71</v>
      </c>
      <c r="B76">
        <f>INDEX($C$23:$U$38,MATCH(Table13[[#Headers],[Rendimento Ensino basico]],$B$23:$B$38,0),5)</f>
        <v>21312</v>
      </c>
      <c r="C76">
        <f>INDEX($C$23:$U$38,MATCH(Table13[[#Headers],[Rendimento Ensino pos-secundario]],$B$23:$B$38,0),5)</f>
        <v>24644</v>
      </c>
      <c r="D76">
        <f>INDEX($C$23:$U$38,MATCH(Table13[[#Headers],[Rendimento Ensino superior]],$B$23:$B$38,0),5)</f>
        <v>32352</v>
      </c>
      <c r="E76">
        <f>INDEX($C$23:$U$38,MATCH(Table13[[#Headers],[Indice de Gini]],$B$23:$B$38,0),5)</f>
        <v>33.325000000000003</v>
      </c>
      <c r="F76">
        <f>INDEX($C$23:$U$38,MATCH(Table13[[#Headers],[Populacao estrangeira]],$B$23:$B$38,0),5)</f>
        <v>11.8</v>
      </c>
      <c r="G76">
        <f>INDEX($C$23:$U$38,MATCH(Table13[[#Headers],[Populacao ensino superior]],$B$23:$B$38,0),5)</f>
        <v>40.199999999999996</v>
      </c>
      <c r="H76">
        <f>INDEX($C$23:$U$38,MATCH(Table13[[#Headers],[Populacao desempregada]],$B$23:$B$38,0),5)</f>
        <v>8.85</v>
      </c>
      <c r="I76">
        <f>INDEX($C$23:$U$38,MATCH(Table13[[#Headers],[PIB per capita]],$B$23:$B$38,0),5)</f>
        <v>36114.025000000001</v>
      </c>
      <c r="J76">
        <f>INDEX($C$23:$U$38,MATCH(Table13[[#Headers],[Despesa Alimentacao]],$B$23:$B$38,0),5)</f>
        <v>18</v>
      </c>
      <c r="K76">
        <f>INDEX($C$23:$U$38,MATCH(Table13[[#Headers],[Despesa Saude]],$B$23:$B$38,0),5)</f>
        <v>5</v>
      </c>
      <c r="L76">
        <f>INDEX($C$23:$U$38,MATCH(Table13[[#Headers],[Despesa Transportes e comunicacoes]],$B$23:$B$38,0),5)</f>
        <v>16.75</v>
      </c>
      <c r="M76">
        <f>INDEX($C$23:$U$38,MATCH(Table13[[#Headers],[Despesa Educacao]],$B$23:$B$38,0),5)</f>
        <v>2</v>
      </c>
      <c r="N76">
        <f>INDEX($C$23:$U$38,MATCH(Table13[[#Headers],[Despesa Habitacao e utilidades]],$B$23:$B$38,0),5)</f>
        <v>24.75</v>
      </c>
      <c r="O76">
        <f>INDEX($C$23:$U$38,MATCH(Table13[[#Headers],[Despesa Servicos]],$B$23:$B$38,0),5)</f>
        <v>23</v>
      </c>
      <c r="P76">
        <f>INDEX($C$23:$U$38,MATCH(Table13[[#Headers],[Despesa Lazer e cultura]],$B$23:$B$38,0),5)</f>
        <v>14</v>
      </c>
      <c r="Q76">
        <f>INDEX($C$23:$U$38,MATCH(Table13[[#Headers],[Despesa Vestuario e recheio de casa]],$B$23:$B$38,0),5)</f>
        <v>11</v>
      </c>
    </row>
    <row r="77" spans="1:17">
      <c r="A77" t="s">
        <v>87</v>
      </c>
      <c r="B77">
        <f>B76-B75</f>
        <v>16206</v>
      </c>
      <c r="C77">
        <f t="shared" ref="C77:Q77" si="7">C76-C75</f>
        <v>17566</v>
      </c>
      <c r="D77">
        <f t="shared" si="7"/>
        <v>21607</v>
      </c>
      <c r="E77">
        <f t="shared" si="7"/>
        <v>5.6500000000000021</v>
      </c>
      <c r="F77">
        <f t="shared" si="7"/>
        <v>9.7000000000000011</v>
      </c>
      <c r="G77">
        <f t="shared" si="7"/>
        <v>16.174999999999997</v>
      </c>
      <c r="H77">
        <f t="shared" si="7"/>
        <v>3.9499999999999993</v>
      </c>
      <c r="I77">
        <f t="shared" si="7"/>
        <v>14530.825000000004</v>
      </c>
      <c r="J77">
        <f t="shared" si="7"/>
        <v>6.75</v>
      </c>
      <c r="K77">
        <f t="shared" si="7"/>
        <v>1</v>
      </c>
      <c r="L77">
        <f t="shared" si="7"/>
        <v>2.75</v>
      </c>
      <c r="M77">
        <f>M76-M75</f>
        <v>1</v>
      </c>
      <c r="N77">
        <f t="shared" si="7"/>
        <v>5.75</v>
      </c>
      <c r="O77">
        <f t="shared" si="7"/>
        <v>6</v>
      </c>
      <c r="P77">
        <f t="shared" si="7"/>
        <v>2</v>
      </c>
      <c r="Q77">
        <f t="shared" si="7"/>
        <v>2</v>
      </c>
    </row>
    <row r="79" spans="1:17">
      <c r="A79" t="s">
        <v>90</v>
      </c>
    </row>
    <row r="80" spans="1:17">
      <c r="A80" t="s">
        <v>89</v>
      </c>
      <c r="B80">
        <f>B75-1.5 *B77</f>
        <v>-19203</v>
      </c>
      <c r="C80">
        <f t="shared" ref="C80:Q80" si="8">C75-1.5 *C77</f>
        <v>-19271</v>
      </c>
      <c r="D80">
        <f t="shared" si="8"/>
        <v>-21665.5</v>
      </c>
      <c r="E80">
        <f t="shared" si="8"/>
        <v>19.199999999999996</v>
      </c>
      <c r="F80">
        <f t="shared" si="8"/>
        <v>-12.450000000000001</v>
      </c>
      <c r="G80">
        <f t="shared" si="8"/>
        <v>-0.23749999999999716</v>
      </c>
      <c r="H80">
        <f t="shared" si="8"/>
        <v>-1.0249999999999986</v>
      </c>
      <c r="I80">
        <f t="shared" si="8"/>
        <v>-213.03750000000946</v>
      </c>
      <c r="J80">
        <f t="shared" si="8"/>
        <v>1.125</v>
      </c>
      <c r="K80">
        <f t="shared" si="8"/>
        <v>2.5</v>
      </c>
      <c r="L80">
        <f t="shared" si="8"/>
        <v>9.875</v>
      </c>
      <c r="M80">
        <f t="shared" si="8"/>
        <v>-0.5</v>
      </c>
      <c r="N80">
        <f t="shared" si="8"/>
        <v>10.375</v>
      </c>
      <c r="O80">
        <f t="shared" si="8"/>
        <v>8</v>
      </c>
      <c r="P80">
        <f t="shared" si="8"/>
        <v>9</v>
      </c>
      <c r="Q80">
        <f t="shared" si="8"/>
        <v>6</v>
      </c>
    </row>
    <row r="81" spans="1:17">
      <c r="A81" t="s">
        <v>91</v>
      </c>
      <c r="B81" s="11">
        <f>B76+1.5*B77</f>
        <v>45621</v>
      </c>
      <c r="C81" s="11">
        <f t="shared" ref="C81:Q81" si="9">C76+1.5*C77</f>
        <v>50993</v>
      </c>
      <c r="D81" s="11">
        <f t="shared" si="9"/>
        <v>64762.5</v>
      </c>
      <c r="E81" s="11">
        <f t="shared" si="9"/>
        <v>41.800000000000004</v>
      </c>
      <c r="F81" s="11">
        <f t="shared" si="9"/>
        <v>26.35</v>
      </c>
      <c r="G81" s="11">
        <f t="shared" si="9"/>
        <v>64.462499999999991</v>
      </c>
      <c r="H81" s="11">
        <f t="shared" si="9"/>
        <v>14.774999999999999</v>
      </c>
      <c r="I81" s="11">
        <f t="shared" si="9"/>
        <v>57910.262500000012</v>
      </c>
      <c r="J81" s="11">
        <f t="shared" si="9"/>
        <v>28.125</v>
      </c>
      <c r="K81" s="11">
        <f t="shared" si="9"/>
        <v>6.5</v>
      </c>
      <c r="L81" s="11">
        <f t="shared" si="9"/>
        <v>20.875</v>
      </c>
      <c r="M81" s="11">
        <f t="shared" si="9"/>
        <v>3.5</v>
      </c>
      <c r="N81" s="11">
        <f t="shared" si="9"/>
        <v>33.375</v>
      </c>
      <c r="O81" s="11">
        <f t="shared" si="9"/>
        <v>32</v>
      </c>
      <c r="P81" s="11">
        <f t="shared" si="9"/>
        <v>17</v>
      </c>
      <c r="Q81" s="11">
        <f t="shared" si="9"/>
        <v>14</v>
      </c>
    </row>
    <row r="83" spans="1:17">
      <c r="A83" t="s">
        <v>92</v>
      </c>
    </row>
    <row r="84" spans="1:17">
      <c r="A84" t="s">
        <v>89</v>
      </c>
      <c r="B84" s="12">
        <f>B75-3 *B77</f>
        <v>-43512</v>
      </c>
      <c r="C84" s="12">
        <f t="shared" ref="C84:Q84" si="10">C75-3 *C77</f>
        <v>-45620</v>
      </c>
      <c r="D84" s="12">
        <f>D75-3 *D77</f>
        <v>-54076</v>
      </c>
      <c r="E84" s="12">
        <f t="shared" si="10"/>
        <v>10.724999999999994</v>
      </c>
      <c r="F84" s="12">
        <f t="shared" si="10"/>
        <v>-27</v>
      </c>
      <c r="G84" s="12">
        <f t="shared" si="10"/>
        <v>-24.499999999999993</v>
      </c>
      <c r="H84" s="12">
        <f t="shared" si="10"/>
        <v>-6.9499999999999975</v>
      </c>
      <c r="I84" s="12">
        <f t="shared" si="10"/>
        <v>-22009.275000000016</v>
      </c>
      <c r="J84" s="12">
        <f t="shared" si="10"/>
        <v>-9</v>
      </c>
      <c r="K84" s="12">
        <f t="shared" si="10"/>
        <v>1</v>
      </c>
      <c r="L84" s="12">
        <f t="shared" si="10"/>
        <v>5.75</v>
      </c>
      <c r="M84" s="12">
        <f t="shared" si="10"/>
        <v>-2</v>
      </c>
      <c r="N84" s="12">
        <f t="shared" si="10"/>
        <v>1.75</v>
      </c>
      <c r="O84" s="12">
        <f t="shared" si="10"/>
        <v>-1</v>
      </c>
      <c r="P84" s="12">
        <f t="shared" si="10"/>
        <v>6</v>
      </c>
      <c r="Q84" s="12">
        <f t="shared" si="10"/>
        <v>3</v>
      </c>
    </row>
    <row r="85" spans="1:17">
      <c r="A85" t="s">
        <v>91</v>
      </c>
      <c r="B85" s="12">
        <f>B76+3*B77</f>
        <v>69930</v>
      </c>
      <c r="C85" s="12">
        <f t="shared" ref="C85:Q85" si="11">C76+3*C77</f>
        <v>77342</v>
      </c>
      <c r="D85" s="12">
        <f>D76+3*D77</f>
        <v>97173</v>
      </c>
      <c r="E85" s="12">
        <f t="shared" si="11"/>
        <v>50.275000000000006</v>
      </c>
      <c r="F85" s="12">
        <f t="shared" si="11"/>
        <v>40.900000000000006</v>
      </c>
      <c r="G85" s="12">
        <f t="shared" si="11"/>
        <v>88.724999999999994</v>
      </c>
      <c r="H85" s="12">
        <f t="shared" si="11"/>
        <v>20.699999999999996</v>
      </c>
      <c r="I85" s="12">
        <f t="shared" si="11"/>
        <v>79706.500000000015</v>
      </c>
      <c r="J85" s="12">
        <f t="shared" si="11"/>
        <v>38.25</v>
      </c>
      <c r="K85" s="12">
        <f t="shared" si="11"/>
        <v>8</v>
      </c>
      <c r="L85" s="12">
        <f t="shared" si="11"/>
        <v>25</v>
      </c>
      <c r="M85" s="12">
        <f t="shared" si="11"/>
        <v>5</v>
      </c>
      <c r="N85" s="12">
        <f t="shared" si="11"/>
        <v>42</v>
      </c>
      <c r="O85" s="12">
        <f t="shared" si="11"/>
        <v>41</v>
      </c>
      <c r="P85" s="12">
        <f t="shared" si="11"/>
        <v>20</v>
      </c>
      <c r="Q85" s="12">
        <f t="shared" si="11"/>
        <v>17</v>
      </c>
    </row>
  </sheetData>
  <conditionalFormatting sqref="C46:Q73 B46:B47 B49:B73">
    <cfRule type="expression" dxfId="7" priority="1">
      <formula>B41&lt;B$80</formula>
    </cfRule>
    <cfRule type="expression" dxfId="6" priority="2">
      <formula>B41&gt;B$81</formula>
    </cfRule>
    <cfRule type="expression" dxfId="5" priority="3">
      <formula>B46&lt;B$84</formula>
    </cfRule>
    <cfRule type="expression" dxfId="4" priority="4">
      <formula>B46&gt;B$85</formula>
    </cfRule>
  </conditionalFormatting>
  <conditionalFormatting sqref="B48">
    <cfRule type="expression" dxfId="3" priority="9">
      <formula>A43&lt;B$80</formula>
    </cfRule>
    <cfRule type="expression" dxfId="2" priority="10">
      <formula>A43&gt;B$81</formula>
    </cfRule>
    <cfRule type="expression" dxfId="1" priority="11">
      <formula>B48&lt;B$84</formula>
    </cfRule>
    <cfRule type="expression" dxfId="0" priority="12">
      <formula>B48&gt;B$85</formula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63A0-67CC-064B-8B19-873D83F3932D}">
  <dimension ref="A1:Q110"/>
  <sheetViews>
    <sheetView tabSelected="1" topLeftCell="A87" workbookViewId="0">
      <selection activeCell="S29" sqref="S29"/>
    </sheetView>
  </sheetViews>
  <sheetFormatPr baseColWidth="10" defaultRowHeight="16"/>
  <cols>
    <col min="1" max="1" width="32.33203125" bestFit="1" customWidth="1"/>
    <col min="2" max="2" width="15.5" bestFit="1" customWidth="1"/>
    <col min="3" max="3" width="8.83203125" bestFit="1" customWidth="1"/>
    <col min="17" max="17" width="16.6640625" customWidth="1"/>
  </cols>
  <sheetData>
    <row r="1" spans="1:17">
      <c r="A1" s="1" t="s">
        <v>96</v>
      </c>
    </row>
    <row r="3" spans="1:17">
      <c r="A3" s="6" t="s">
        <v>99</v>
      </c>
      <c r="B3" s="6" t="s">
        <v>98</v>
      </c>
    </row>
    <row r="4" spans="1:17">
      <c r="A4" s="6" t="s">
        <v>97</v>
      </c>
      <c r="B4" t="s">
        <v>20</v>
      </c>
      <c r="C4" t="s">
        <v>25</v>
      </c>
      <c r="D4" t="s">
        <v>62</v>
      </c>
    </row>
    <row r="5" spans="1:17">
      <c r="A5" s="7" t="s">
        <v>21</v>
      </c>
      <c r="B5" s="4">
        <v>7</v>
      </c>
      <c r="C5" s="4">
        <v>1</v>
      </c>
      <c r="D5" s="4">
        <v>8</v>
      </c>
    </row>
    <row r="6" spans="1:17">
      <c r="A6" s="7" t="s">
        <v>26</v>
      </c>
      <c r="B6" s="4">
        <v>2</v>
      </c>
      <c r="C6" s="4">
        <v>6</v>
      </c>
      <c r="D6" s="4">
        <v>8</v>
      </c>
    </row>
    <row r="7" spans="1:17">
      <c r="A7" s="7" t="s">
        <v>31</v>
      </c>
      <c r="B7" s="4">
        <v>4</v>
      </c>
      <c r="C7" s="4">
        <v>2</v>
      </c>
      <c r="D7" s="4">
        <v>6</v>
      </c>
    </row>
    <row r="8" spans="1:17">
      <c r="A8" s="7" t="s">
        <v>28</v>
      </c>
      <c r="B8" s="4">
        <v>6</v>
      </c>
      <c r="C8" s="4"/>
      <c r="D8" s="4">
        <v>6</v>
      </c>
    </row>
    <row r="9" spans="1:17">
      <c r="A9" s="7" t="s">
        <v>62</v>
      </c>
      <c r="B9" s="4">
        <v>19</v>
      </c>
      <c r="C9" s="4">
        <v>9</v>
      </c>
      <c r="D9" s="4">
        <v>28</v>
      </c>
    </row>
    <row r="13" spans="1:17">
      <c r="A13" s="1" t="s">
        <v>100</v>
      </c>
    </row>
    <row r="14" spans="1:17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</row>
    <row r="15" spans="1:17">
      <c r="A15" t="s">
        <v>1</v>
      </c>
      <c r="B15">
        <f>CORREL(INDEX(Table1[],0,MATCH(B$14,Table1[#Headers],0)),INDEX(Table1[],0,MATCH($A15,Table1[#Headers],0)))</f>
        <v>1.0000000000000002</v>
      </c>
      <c r="C15">
        <f>CORREL(INDEX(Table1[],0,MATCH(C$14,Table1[#Headers],0)),INDEX(Table1[],0,MATCH($A15,Table1[#Headers],0)))</f>
        <v>0.99564875951530052</v>
      </c>
      <c r="D15">
        <f>CORREL(INDEX(Table1[],0,MATCH(D$14,Table1[#Headers],0)),INDEX(Table1[],0,MATCH($A15,Table1[#Headers],0)))</f>
        <v>0.99004543500344944</v>
      </c>
      <c r="E15">
        <f>CORREL(INDEX(Table1[],0,MATCH(E$14,Table1[#Headers],0)),INDEX(Table1[],0,MATCH($A15,Table1[#Headers],0)))</f>
        <v>-0.31774005161992463</v>
      </c>
      <c r="F15">
        <f>CORREL(INDEX(Table1[],0,MATCH(F$14,Table1[#Headers],0)),INDEX(Table1[],0,MATCH($A15,Table1[#Headers],0)))</f>
        <v>0.61929954368258666</v>
      </c>
      <c r="G15">
        <f>CORREL(INDEX(Table1[],0,MATCH(G$14,Table1[#Headers],0)),INDEX(Table1[],0,MATCH($A15,Table1[#Headers],0)))</f>
        <v>0.55129831214393743</v>
      </c>
      <c r="H15">
        <f>CORREL(INDEX(Table1[],0,MATCH(H$14,Table1[#Headers],0)),INDEX(Table1[],0,MATCH($A15,Table1[#Headers],0)))</f>
        <v>-0.12969243851372789</v>
      </c>
      <c r="I15">
        <f>CORREL(INDEX(Table1[],0,MATCH(I$14,Table1[#Headers],0)),INDEX(Table1[],0,MATCH($A15,Table1[#Headers],0)))</f>
        <v>0.87541521373524223</v>
      </c>
      <c r="J15">
        <f>CORREL(INDEX(Table1[],0,MATCH(J$14,Table1[#Headers],0)),INDEX(Table1[],0,MATCH($A15,Table1[#Headers],0)))</f>
        <v>-0.83373602690009652</v>
      </c>
      <c r="K15">
        <f>CORREL(INDEX(Table1[],0,MATCH(K$14,Table1[#Headers],0)),INDEX(Table1[],0,MATCH($A15,Table1[#Headers],0)))</f>
        <v>-0.27628906096101369</v>
      </c>
      <c r="L15">
        <f>CORREL(INDEX(Table1[],0,MATCH(L$14,Table1[#Headers],0)),INDEX(Table1[],0,MATCH($A15,Table1[#Headers],0)))</f>
        <v>-6.9492431617661582E-2</v>
      </c>
      <c r="M15">
        <f>CORREL(INDEX(Table1[],0,MATCH(M$14,Table1[#Headers],0)),INDEX(Table1[],0,MATCH($A15,Table1[#Headers],0)))</f>
        <v>-0.26931259505137328</v>
      </c>
      <c r="N15">
        <f>CORREL(INDEX(Table1[],0,MATCH(N$14,Table1[#Headers],0)),INDEX(Table1[],0,MATCH($A15,Table1[#Headers],0)))</f>
        <v>0.57742907263900178</v>
      </c>
      <c r="O15">
        <f>CORREL(INDEX(Table1[],0,MATCH(O$14,Table1[#Headers],0)),INDEX(Table1[],0,MATCH($A15,Table1[#Headers],0)))</f>
        <v>0.34800076442457728</v>
      </c>
      <c r="P15">
        <f>CORREL(INDEX(Table1[],0,MATCH(P$14,Table1[#Headers],0)),INDEX(Table1[],0,MATCH($A15,Table1[#Headers],0)))</f>
        <v>-0.11845090775818488</v>
      </c>
      <c r="Q15">
        <f>CORREL(INDEX(Table1[],0,MATCH(Q$14,Table1[#Headers],0)),INDEX(Table1[],0,MATCH($A15,Table1[#Headers],0)))</f>
        <v>0.23032935088784948</v>
      </c>
    </row>
    <row r="16" spans="1:17">
      <c r="A16" t="s">
        <v>2</v>
      </c>
      <c r="B16">
        <f>CORREL(INDEX(Table1[],0,MATCH(B$14,Table1[#Headers],0)),INDEX(Table1[],0,MATCH($A16,Table1[#Headers],0)))</f>
        <v>0.99564875951530052</v>
      </c>
      <c r="C16">
        <f>CORREL(INDEX(Table1[],0,MATCH(C$14,Table1[#Headers],0)),INDEX(Table1[],0,MATCH($A16,Table1[#Headers],0)))</f>
        <v>1.0000000000000002</v>
      </c>
      <c r="D16">
        <f>CORREL(INDEX(Table1[],0,MATCH(D$14,Table1[#Headers],0)),INDEX(Table1[],0,MATCH($A16,Table1[#Headers],0)))</f>
        <v>0.99325903459403164</v>
      </c>
      <c r="E16">
        <f>CORREL(INDEX(Table1[],0,MATCH(E$14,Table1[#Headers],0)),INDEX(Table1[],0,MATCH($A16,Table1[#Headers],0)))</f>
        <v>-0.29547076396401606</v>
      </c>
      <c r="F16">
        <f>CORREL(INDEX(Table1[],0,MATCH(F$14,Table1[#Headers],0)),INDEX(Table1[],0,MATCH($A16,Table1[#Headers],0)))</f>
        <v>0.65589206226180008</v>
      </c>
      <c r="G16">
        <f>CORREL(INDEX(Table1[],0,MATCH(G$14,Table1[#Headers],0)),INDEX(Table1[],0,MATCH($A16,Table1[#Headers],0)))</f>
        <v>0.53503168037672744</v>
      </c>
      <c r="H16">
        <f>CORREL(INDEX(Table1[],0,MATCH(H$14,Table1[#Headers],0)),INDEX(Table1[],0,MATCH($A16,Table1[#Headers],0)))</f>
        <v>-0.13846427252338575</v>
      </c>
      <c r="I16">
        <f>CORREL(INDEX(Table1[],0,MATCH(I$14,Table1[#Headers],0)),INDEX(Table1[],0,MATCH($A16,Table1[#Headers],0)))</f>
        <v>0.89211822559227349</v>
      </c>
      <c r="J16">
        <f>CORREL(INDEX(Table1[],0,MATCH(J$14,Table1[#Headers],0)),INDEX(Table1[],0,MATCH($A16,Table1[#Headers],0)))</f>
        <v>-0.83642430307472304</v>
      </c>
      <c r="K16">
        <f>CORREL(INDEX(Table1[],0,MATCH(K$14,Table1[#Headers],0)),INDEX(Table1[],0,MATCH($A16,Table1[#Headers],0)))</f>
        <v>-0.26470609260210765</v>
      </c>
      <c r="L16">
        <f>CORREL(INDEX(Table1[],0,MATCH(L$14,Table1[#Headers],0)),INDEX(Table1[],0,MATCH($A16,Table1[#Headers],0)))</f>
        <v>-6.1960840580112427E-2</v>
      </c>
      <c r="M16">
        <f>CORREL(INDEX(Table1[],0,MATCH(M$14,Table1[#Headers],0)),INDEX(Table1[],0,MATCH($A16,Table1[#Headers],0)))</f>
        <v>-0.26311799450329593</v>
      </c>
      <c r="N16">
        <f>CORREL(INDEX(Table1[],0,MATCH(N$14,Table1[#Headers],0)),INDEX(Table1[],0,MATCH($A16,Table1[#Headers],0)))</f>
        <v>0.54040889449652496</v>
      </c>
      <c r="O16">
        <f>CORREL(INDEX(Table1[],0,MATCH(O$14,Table1[#Headers],0)),INDEX(Table1[],0,MATCH($A16,Table1[#Headers],0)))</f>
        <v>0.37006687618270534</v>
      </c>
      <c r="P16">
        <f>CORREL(INDEX(Table1[],0,MATCH(P$14,Table1[#Headers],0)),INDEX(Table1[],0,MATCH($A16,Table1[#Headers],0)))</f>
        <v>-0.12282121960009161</v>
      </c>
      <c r="Q16">
        <f>CORREL(INDEX(Table1[],0,MATCH(Q$14,Table1[#Headers],0)),INDEX(Table1[],0,MATCH($A16,Table1[#Headers],0)))</f>
        <v>0.26012976296930157</v>
      </c>
    </row>
    <row r="17" spans="1:17">
      <c r="A17" t="s">
        <v>3</v>
      </c>
      <c r="B17">
        <f>CORREL(INDEX(Table1[],0,MATCH(B$14,Table1[#Headers],0)),INDEX(Table1[],0,MATCH($A17,Table1[#Headers],0)))</f>
        <v>0.99004543500344944</v>
      </c>
      <c r="C17">
        <f>CORREL(INDEX(Table1[],0,MATCH(C$14,Table1[#Headers],0)),INDEX(Table1[],0,MATCH($A17,Table1[#Headers],0)))</f>
        <v>0.99325903459403164</v>
      </c>
      <c r="D17">
        <f>CORREL(INDEX(Table1[],0,MATCH(D$14,Table1[#Headers],0)),INDEX(Table1[],0,MATCH($A17,Table1[#Headers],0)))</f>
        <v>1</v>
      </c>
      <c r="E17">
        <f>CORREL(INDEX(Table1[],0,MATCH(E$14,Table1[#Headers],0)),INDEX(Table1[],0,MATCH($A17,Table1[#Headers],0)))</f>
        <v>-0.25568148838721805</v>
      </c>
      <c r="F17">
        <f>CORREL(INDEX(Table1[],0,MATCH(F$14,Table1[#Headers],0)),INDEX(Table1[],0,MATCH($A17,Table1[#Headers],0)))</f>
        <v>0.67044864028675843</v>
      </c>
      <c r="G17">
        <f>CORREL(INDEX(Table1[],0,MATCH(G$14,Table1[#Headers],0)),INDEX(Table1[],0,MATCH($A17,Table1[#Headers],0)))</f>
        <v>0.54107305954230878</v>
      </c>
      <c r="H17">
        <f>CORREL(INDEX(Table1[],0,MATCH(H$14,Table1[#Headers],0)),INDEX(Table1[],0,MATCH($A17,Table1[#Headers],0)))</f>
        <v>-0.12175814157171723</v>
      </c>
      <c r="I17">
        <f>CORREL(INDEX(Table1[],0,MATCH(I$14,Table1[#Headers],0)),INDEX(Table1[],0,MATCH($A17,Table1[#Headers],0)))</f>
        <v>0.88867381210228635</v>
      </c>
      <c r="J17">
        <f>CORREL(INDEX(Table1[],0,MATCH(J$14,Table1[#Headers],0)),INDEX(Table1[],0,MATCH($A17,Table1[#Headers],0)))</f>
        <v>-0.84515544288552991</v>
      </c>
      <c r="K17">
        <f>CORREL(INDEX(Table1[],0,MATCH(K$14,Table1[#Headers],0)),INDEX(Table1[],0,MATCH($A17,Table1[#Headers],0)))</f>
        <v>-0.2426100066515624</v>
      </c>
      <c r="L17">
        <f>CORREL(INDEX(Table1[],0,MATCH(L$14,Table1[#Headers],0)),INDEX(Table1[],0,MATCH($A17,Table1[#Headers],0)))</f>
        <v>-4.5659548421281837E-2</v>
      </c>
      <c r="M17">
        <f>CORREL(INDEX(Table1[],0,MATCH(M$14,Table1[#Headers],0)),INDEX(Table1[],0,MATCH($A17,Table1[#Headers],0)))</f>
        <v>-0.23610730427268417</v>
      </c>
      <c r="N17">
        <f>CORREL(INDEX(Table1[],0,MATCH(N$14,Table1[#Headers],0)),INDEX(Table1[],0,MATCH($A17,Table1[#Headers],0)))</f>
        <v>0.50490064000671375</v>
      </c>
      <c r="O17">
        <f>CORREL(INDEX(Table1[],0,MATCH(O$14,Table1[#Headers],0)),INDEX(Table1[],0,MATCH($A17,Table1[#Headers],0)))</f>
        <v>0.40512430805997035</v>
      </c>
      <c r="P17">
        <f>CORREL(INDEX(Table1[],0,MATCH(P$14,Table1[#Headers],0)),INDEX(Table1[],0,MATCH($A17,Table1[#Headers],0)))</f>
        <v>-0.1619062348466089</v>
      </c>
      <c r="Q17">
        <f>CORREL(INDEX(Table1[],0,MATCH(Q$14,Table1[#Headers],0)),INDEX(Table1[],0,MATCH($A17,Table1[#Headers],0)))</f>
        <v>0.27643852565693067</v>
      </c>
    </row>
    <row r="18" spans="1:17">
      <c r="A18" t="s">
        <v>4</v>
      </c>
      <c r="B18">
        <f>CORREL(INDEX(Table1[],0,MATCH(B$14,Table1[#Headers],0)),INDEX(Table1[],0,MATCH($A18,Table1[#Headers],0)))</f>
        <v>-0.31774005161992463</v>
      </c>
      <c r="C18">
        <f>CORREL(INDEX(Table1[],0,MATCH(C$14,Table1[#Headers],0)),INDEX(Table1[],0,MATCH($A18,Table1[#Headers],0)))</f>
        <v>-0.29547076396401606</v>
      </c>
      <c r="D18">
        <f>CORREL(INDEX(Table1[],0,MATCH(D$14,Table1[#Headers],0)),INDEX(Table1[],0,MATCH($A18,Table1[#Headers],0)))</f>
        <v>-0.25568148838721805</v>
      </c>
      <c r="E18">
        <f>CORREL(INDEX(Table1[],0,MATCH(E$14,Table1[#Headers],0)),INDEX(Table1[],0,MATCH($A18,Table1[#Headers],0)))</f>
        <v>0.99999999999999978</v>
      </c>
      <c r="F18">
        <f>CORREL(INDEX(Table1[],0,MATCH(F$14,Table1[#Headers],0)),INDEX(Table1[],0,MATCH($A18,Table1[#Headers],0)))</f>
        <v>2.3977838116796397E-2</v>
      </c>
      <c r="G18">
        <f>CORREL(INDEX(Table1[],0,MATCH(G$14,Table1[#Headers],0)),INDEX(Table1[],0,MATCH($A18,Table1[#Headers],0)))</f>
        <v>6.9410916551324336E-2</v>
      </c>
      <c r="H18">
        <f>CORREL(INDEX(Table1[],0,MATCH(H$14,Table1[#Headers],0)),INDEX(Table1[],0,MATCH($A18,Table1[#Headers],0)))</f>
        <v>0.27052352539945795</v>
      </c>
      <c r="I18">
        <f>CORREL(INDEX(Table1[],0,MATCH(I$14,Table1[#Headers],0)),INDEX(Table1[],0,MATCH($A18,Table1[#Headers],0)))</f>
        <v>-0.12194034938981685</v>
      </c>
      <c r="J18">
        <f>CORREL(INDEX(Table1[],0,MATCH(J$14,Table1[#Headers],0)),INDEX(Table1[],0,MATCH($A18,Table1[#Headers],0)))</f>
        <v>0.24790749428107697</v>
      </c>
      <c r="K18">
        <f>CORREL(INDEX(Table1[],0,MATCH(K$14,Table1[#Headers],0)),INDEX(Table1[],0,MATCH($A18,Table1[#Headers],0)))</f>
        <v>0.29040099777963924</v>
      </c>
      <c r="L18">
        <f>CORREL(INDEX(Table1[],0,MATCH(L$14,Table1[#Headers],0)),INDEX(Table1[],0,MATCH($A18,Table1[#Headers],0)))</f>
        <v>0.48673193734773357</v>
      </c>
      <c r="M18">
        <f>CORREL(INDEX(Table1[],0,MATCH(M$14,Table1[#Headers],0)),INDEX(Table1[],0,MATCH($A18,Table1[#Headers],0)))</f>
        <v>0.21271579807809893</v>
      </c>
      <c r="N18">
        <f>CORREL(INDEX(Table1[],0,MATCH(N$14,Table1[#Headers],0)),INDEX(Table1[],0,MATCH($A18,Table1[#Headers],0)))</f>
        <v>-0.27594239463418846</v>
      </c>
      <c r="O18">
        <f>CORREL(INDEX(Table1[],0,MATCH(O$14,Table1[#Headers],0)),INDEX(Table1[],0,MATCH($A18,Table1[#Headers],0)))</f>
        <v>-0.1251137709207083</v>
      </c>
      <c r="P18">
        <f>CORREL(INDEX(Table1[],0,MATCH(P$14,Table1[#Headers],0)),INDEX(Table1[],0,MATCH($A18,Table1[#Headers],0)))</f>
        <v>-0.2991694662764387</v>
      </c>
      <c r="Q18">
        <f>CORREL(INDEX(Table1[],0,MATCH(Q$14,Table1[#Headers],0)),INDEX(Table1[],0,MATCH($A18,Table1[#Headers],0)))</f>
        <v>-0.12660190385374759</v>
      </c>
    </row>
    <row r="19" spans="1:17">
      <c r="A19" t="s">
        <v>5</v>
      </c>
      <c r="B19">
        <f>CORREL(INDEX(Table1[],0,MATCH(B$14,Table1[#Headers],0)),INDEX(Table1[],0,MATCH($A19,Table1[#Headers],0)))</f>
        <v>0.61929954368258666</v>
      </c>
      <c r="C19">
        <f>CORREL(INDEX(Table1[],0,MATCH(C$14,Table1[#Headers],0)),INDEX(Table1[],0,MATCH($A19,Table1[#Headers],0)))</f>
        <v>0.65589206226180008</v>
      </c>
      <c r="D19">
        <f>CORREL(INDEX(Table1[],0,MATCH(D$14,Table1[#Headers],0)),INDEX(Table1[],0,MATCH($A19,Table1[#Headers],0)))</f>
        <v>0.67044864028675843</v>
      </c>
      <c r="E19">
        <f>CORREL(INDEX(Table1[],0,MATCH(E$14,Table1[#Headers],0)),INDEX(Table1[],0,MATCH($A19,Table1[#Headers],0)))</f>
        <v>2.3977838116796397E-2</v>
      </c>
      <c r="F19">
        <f>CORREL(INDEX(Table1[],0,MATCH(F$14,Table1[#Headers],0)),INDEX(Table1[],0,MATCH($A19,Table1[#Headers],0)))</f>
        <v>1.0000000000000002</v>
      </c>
      <c r="G19">
        <f>CORREL(INDEX(Table1[],0,MATCH(G$14,Table1[#Headers],0)),INDEX(Table1[],0,MATCH($A19,Table1[#Headers],0)))</f>
        <v>0.38374923173299363</v>
      </c>
      <c r="H19">
        <f>CORREL(INDEX(Table1[],0,MATCH(H$14,Table1[#Headers],0)),INDEX(Table1[],0,MATCH($A19,Table1[#Headers],0)))</f>
        <v>-4.2101660708696802E-2</v>
      </c>
      <c r="I19">
        <f>CORREL(INDEX(Table1[],0,MATCH(I$14,Table1[#Headers],0)),INDEX(Table1[],0,MATCH($A19,Table1[#Headers],0)))</f>
        <v>0.78176998393012986</v>
      </c>
      <c r="J19">
        <f>CORREL(INDEX(Table1[],0,MATCH(J$14,Table1[#Headers],0)),INDEX(Table1[],0,MATCH($A19,Table1[#Headers],0)))</f>
        <v>-0.48656674649062581</v>
      </c>
      <c r="K19">
        <f>CORREL(INDEX(Table1[],0,MATCH(K$14,Table1[#Headers],0)),INDEX(Table1[],0,MATCH($A19,Table1[#Headers],0)))</f>
        <v>-0.23138033615491133</v>
      </c>
      <c r="L19">
        <f>CORREL(INDEX(Table1[],0,MATCH(L$14,Table1[#Headers],0)),INDEX(Table1[],0,MATCH($A19,Table1[#Headers],0)))</f>
        <v>9.9635334624930988E-2</v>
      </c>
      <c r="M19">
        <f>CORREL(INDEX(Table1[],0,MATCH(M$14,Table1[#Headers],0)),INDEX(Table1[],0,MATCH($A19,Table1[#Headers],0)))</f>
        <v>5.1985583796942583E-2</v>
      </c>
      <c r="N19">
        <f>CORREL(INDEX(Table1[],0,MATCH(N$14,Table1[#Headers],0)),INDEX(Table1[],0,MATCH($A19,Table1[#Headers],0)))</f>
        <v>0.11367046702847128</v>
      </c>
      <c r="O19">
        <f>CORREL(INDEX(Table1[],0,MATCH(O$14,Table1[#Headers],0)),INDEX(Table1[],0,MATCH($A19,Table1[#Headers],0)))</f>
        <v>0.2976425918073432</v>
      </c>
      <c r="P19">
        <f>CORREL(INDEX(Table1[],0,MATCH(P$14,Table1[#Headers],0)),INDEX(Table1[],0,MATCH($A19,Table1[#Headers],0)))</f>
        <v>5.4598465451467841E-2</v>
      </c>
      <c r="Q19">
        <f>CORREL(INDEX(Table1[],0,MATCH(Q$14,Table1[#Headers],0)),INDEX(Table1[],0,MATCH($A19,Table1[#Headers],0)))</f>
        <v>0.11742590156661721</v>
      </c>
    </row>
    <row r="20" spans="1:17">
      <c r="A20" t="s">
        <v>8</v>
      </c>
      <c r="B20">
        <f>CORREL(INDEX(Table1[],0,MATCH(B$14,Table1[#Headers],0)),INDEX(Table1[],0,MATCH($A20,Table1[#Headers],0)))</f>
        <v>0.55129831214393743</v>
      </c>
      <c r="C20">
        <f>CORREL(INDEX(Table1[],0,MATCH(C$14,Table1[#Headers],0)),INDEX(Table1[],0,MATCH($A20,Table1[#Headers],0)))</f>
        <v>0.53503168037672744</v>
      </c>
      <c r="D20">
        <f>CORREL(INDEX(Table1[],0,MATCH(D$14,Table1[#Headers],0)),INDEX(Table1[],0,MATCH($A20,Table1[#Headers],0)))</f>
        <v>0.54107305954230878</v>
      </c>
      <c r="E20">
        <f>CORREL(INDEX(Table1[],0,MATCH(E$14,Table1[#Headers],0)),INDEX(Table1[],0,MATCH($A20,Table1[#Headers],0)))</f>
        <v>6.9410916551324336E-2</v>
      </c>
      <c r="F20">
        <f>CORREL(INDEX(Table1[],0,MATCH(F$14,Table1[#Headers],0)),INDEX(Table1[],0,MATCH($A20,Table1[#Headers],0)))</f>
        <v>0.38374923173299363</v>
      </c>
      <c r="G20">
        <f>CORREL(INDEX(Table1[],0,MATCH(G$14,Table1[#Headers],0)),INDEX(Table1[],0,MATCH($A20,Table1[#Headers],0)))</f>
        <v>1.0000000000000002</v>
      </c>
      <c r="H20">
        <f>CORREL(INDEX(Table1[],0,MATCH(H$14,Table1[#Headers],0)),INDEX(Table1[],0,MATCH($A20,Table1[#Headers],0)))</f>
        <v>2.575711809103173E-2</v>
      </c>
      <c r="I20">
        <f>CORREL(INDEX(Table1[],0,MATCH(I$14,Table1[#Headers],0)),INDEX(Table1[],0,MATCH($A20,Table1[#Headers],0)))</f>
        <v>0.49376237589712529</v>
      </c>
      <c r="J20">
        <f>CORREL(INDEX(Table1[],0,MATCH(J$14,Table1[#Headers],0)),INDEX(Table1[],0,MATCH($A20,Table1[#Headers],0)))</f>
        <v>-0.52069814760622068</v>
      </c>
      <c r="K20">
        <f>CORREL(INDEX(Table1[],0,MATCH(K$14,Table1[#Headers],0)),INDEX(Table1[],0,MATCH($A20,Table1[#Headers],0)))</f>
        <v>-2.7398993449626655E-2</v>
      </c>
      <c r="L20">
        <f>CORREL(INDEX(Table1[],0,MATCH(L$14,Table1[#Headers],0)),INDEX(Table1[],0,MATCH($A20,Table1[#Headers],0)))</f>
        <v>0.16383584763203696</v>
      </c>
      <c r="M20">
        <f>CORREL(INDEX(Table1[],0,MATCH(M$14,Table1[#Headers],0)),INDEX(Table1[],0,MATCH($A20,Table1[#Headers],0)))</f>
        <v>-0.13396183587276345</v>
      </c>
      <c r="N20">
        <f>CORREL(INDEX(Table1[],0,MATCH(N$14,Table1[#Headers],0)),INDEX(Table1[],0,MATCH($A20,Table1[#Headers],0)))</f>
        <v>0.31992599856347798</v>
      </c>
      <c r="O20">
        <f>CORREL(INDEX(Table1[],0,MATCH(O$14,Table1[#Headers],0)),INDEX(Table1[],0,MATCH($A20,Table1[#Headers],0)))</f>
        <v>0.14477905911145914</v>
      </c>
      <c r="P20">
        <f>CORREL(INDEX(Table1[],0,MATCH(P$14,Table1[#Headers],0)),INDEX(Table1[],0,MATCH($A20,Table1[#Headers],0)))</f>
        <v>5.9641584378180422E-2</v>
      </c>
      <c r="Q20">
        <f>CORREL(INDEX(Table1[],0,MATCH(Q$14,Table1[#Headers],0)),INDEX(Table1[],0,MATCH($A20,Table1[#Headers],0)))</f>
        <v>-3.9765255205799578E-2</v>
      </c>
    </row>
    <row r="21" spans="1:17">
      <c r="A21" t="s">
        <v>9</v>
      </c>
      <c r="B21">
        <f>CORREL(INDEX(Table1[],0,MATCH(B$14,Table1[#Headers],0)),INDEX(Table1[],0,MATCH($A21,Table1[#Headers],0)))</f>
        <v>-0.12969243851372789</v>
      </c>
      <c r="C21">
        <f>CORREL(INDEX(Table1[],0,MATCH(C$14,Table1[#Headers],0)),INDEX(Table1[],0,MATCH($A21,Table1[#Headers],0)))</f>
        <v>-0.13846427252338575</v>
      </c>
      <c r="D21">
        <f>CORREL(INDEX(Table1[],0,MATCH(D$14,Table1[#Headers],0)),INDEX(Table1[],0,MATCH($A21,Table1[#Headers],0)))</f>
        <v>-0.12175814157171723</v>
      </c>
      <c r="E21">
        <f>CORREL(INDEX(Table1[],0,MATCH(E$14,Table1[#Headers],0)),INDEX(Table1[],0,MATCH($A21,Table1[#Headers],0)))</f>
        <v>0.27052352539945795</v>
      </c>
      <c r="F21">
        <f>CORREL(INDEX(Table1[],0,MATCH(F$14,Table1[#Headers],0)),INDEX(Table1[],0,MATCH($A21,Table1[#Headers],0)))</f>
        <v>-4.2101660708696802E-2</v>
      </c>
      <c r="G21">
        <f>CORREL(INDEX(Table1[],0,MATCH(G$14,Table1[#Headers],0)),INDEX(Table1[],0,MATCH($A21,Table1[#Headers],0)))</f>
        <v>2.575711809103173E-2</v>
      </c>
      <c r="H21">
        <f>CORREL(INDEX(Table1[],0,MATCH(H$14,Table1[#Headers],0)),INDEX(Table1[],0,MATCH($A21,Table1[#Headers],0)))</f>
        <v>1</v>
      </c>
      <c r="I21">
        <f>CORREL(INDEX(Table1[],0,MATCH(I$14,Table1[#Headers],0)),INDEX(Table1[],0,MATCH($A21,Table1[#Headers],0)))</f>
        <v>-0.22435026971665178</v>
      </c>
      <c r="J21">
        <f>CORREL(INDEX(Table1[],0,MATCH(J$14,Table1[#Headers],0)),INDEX(Table1[],0,MATCH($A21,Table1[#Headers],0)))</f>
        <v>6.7830524268786122E-2</v>
      </c>
      <c r="K21">
        <f>CORREL(INDEX(Table1[],0,MATCH(K$14,Table1[#Headers],0)),INDEX(Table1[],0,MATCH($A21,Table1[#Headers],0)))</f>
        <v>6.0243927548455117E-2</v>
      </c>
      <c r="L21">
        <f>CORREL(INDEX(Table1[],0,MATCH(L$14,Table1[#Headers],0)),INDEX(Table1[],0,MATCH($A21,Table1[#Headers],0)))</f>
        <v>7.1318732091872838E-2</v>
      </c>
      <c r="M21">
        <f>CORREL(INDEX(Table1[],0,MATCH(M$14,Table1[#Headers],0)),INDEX(Table1[],0,MATCH($A21,Table1[#Headers],0)))</f>
        <v>0.21474083829168425</v>
      </c>
      <c r="N21">
        <f>CORREL(INDEX(Table1[],0,MATCH(N$14,Table1[#Headers],0)),INDEX(Table1[],0,MATCH($A21,Table1[#Headers],0)))</f>
        <v>-0.11626971363798871</v>
      </c>
      <c r="O21">
        <f>CORREL(INDEX(Table1[],0,MATCH(O$14,Table1[#Headers],0)),INDEX(Table1[],0,MATCH($A21,Table1[#Headers],0)))</f>
        <v>0.26854756748441877</v>
      </c>
      <c r="P21">
        <f>CORREL(INDEX(Table1[],0,MATCH(P$14,Table1[#Headers],0)),INDEX(Table1[],0,MATCH($A21,Table1[#Headers],0)))</f>
        <v>-0.44984257026382679</v>
      </c>
      <c r="Q21">
        <f>CORREL(INDEX(Table1[],0,MATCH(Q$14,Table1[#Headers],0)),INDEX(Table1[],0,MATCH($A21,Table1[#Headers],0)))</f>
        <v>-0.39031195586408041</v>
      </c>
    </row>
    <row r="22" spans="1:17">
      <c r="A22" t="s">
        <v>10</v>
      </c>
      <c r="B22">
        <f>CORREL(INDEX(Table1[],0,MATCH(B$14,Table1[#Headers],0)),INDEX(Table1[],0,MATCH($A22,Table1[#Headers],0)))</f>
        <v>0.87541521373524223</v>
      </c>
      <c r="C22">
        <f>CORREL(INDEX(Table1[],0,MATCH(C$14,Table1[#Headers],0)),INDEX(Table1[],0,MATCH($A22,Table1[#Headers],0)))</f>
        <v>0.89211822559227349</v>
      </c>
      <c r="D22">
        <f>CORREL(INDEX(Table1[],0,MATCH(D$14,Table1[#Headers],0)),INDEX(Table1[],0,MATCH($A22,Table1[#Headers],0)))</f>
        <v>0.88867381210228635</v>
      </c>
      <c r="E22">
        <f>CORREL(INDEX(Table1[],0,MATCH(E$14,Table1[#Headers],0)),INDEX(Table1[],0,MATCH($A22,Table1[#Headers],0)))</f>
        <v>-0.12194034938981685</v>
      </c>
      <c r="F22">
        <f>CORREL(INDEX(Table1[],0,MATCH(F$14,Table1[#Headers],0)),INDEX(Table1[],0,MATCH($A22,Table1[#Headers],0)))</f>
        <v>0.78176998393012986</v>
      </c>
      <c r="G22">
        <f>CORREL(INDEX(Table1[],0,MATCH(G$14,Table1[#Headers],0)),INDEX(Table1[],0,MATCH($A22,Table1[#Headers],0)))</f>
        <v>0.49376237589712529</v>
      </c>
      <c r="H22">
        <f>CORREL(INDEX(Table1[],0,MATCH(H$14,Table1[#Headers],0)),INDEX(Table1[],0,MATCH($A22,Table1[#Headers],0)))</f>
        <v>-0.22435026971665178</v>
      </c>
      <c r="I22">
        <f>CORREL(INDEX(Table1[],0,MATCH(I$14,Table1[#Headers],0)),INDEX(Table1[],0,MATCH($A22,Table1[#Headers],0)))</f>
        <v>1</v>
      </c>
      <c r="J22">
        <f>CORREL(INDEX(Table1[],0,MATCH(J$14,Table1[#Headers],0)),INDEX(Table1[],0,MATCH($A22,Table1[#Headers],0)))</f>
        <v>-0.69592645797863728</v>
      </c>
      <c r="K22">
        <f>CORREL(INDEX(Table1[],0,MATCH(K$14,Table1[#Headers],0)),INDEX(Table1[],0,MATCH($A22,Table1[#Headers],0)))</f>
        <v>-0.21407477970365288</v>
      </c>
      <c r="L22">
        <f>CORREL(INDEX(Table1[],0,MATCH(L$14,Table1[#Headers],0)),INDEX(Table1[],0,MATCH($A22,Table1[#Headers],0)))</f>
        <v>3.0205301666011534E-2</v>
      </c>
      <c r="M22">
        <f>CORREL(INDEX(Table1[],0,MATCH(M$14,Table1[#Headers],0)),INDEX(Table1[],0,MATCH($A22,Table1[#Headers],0)))</f>
        <v>-3.4865784828244026E-2</v>
      </c>
      <c r="N22">
        <f>CORREL(INDEX(Table1[],0,MATCH(N$14,Table1[#Headers],0)),INDEX(Table1[],0,MATCH($A22,Table1[#Headers],0)))</f>
        <v>0.43676392224722227</v>
      </c>
      <c r="O22">
        <f>CORREL(INDEX(Table1[],0,MATCH(O$14,Table1[#Headers],0)),INDEX(Table1[],0,MATCH($A22,Table1[#Headers],0)))</f>
        <v>0.2748552880242367</v>
      </c>
      <c r="P22">
        <f>CORREL(INDEX(Table1[],0,MATCH(P$14,Table1[#Headers],0)),INDEX(Table1[],0,MATCH($A22,Table1[#Headers],0)))</f>
        <v>-5.7664190230945989E-2</v>
      </c>
      <c r="Q22">
        <f>CORREL(INDEX(Table1[],0,MATCH(Q$14,Table1[#Headers],0)),INDEX(Table1[],0,MATCH($A22,Table1[#Headers],0)))</f>
        <v>0.14471750255002527</v>
      </c>
    </row>
    <row r="23" spans="1:17">
      <c r="A23" t="s">
        <v>11</v>
      </c>
      <c r="B23">
        <f>CORREL(INDEX(Table1[],0,MATCH(B$14,Table1[#Headers],0)),INDEX(Table1[],0,MATCH($A23,Table1[#Headers],0)))</f>
        <v>-0.83373602690009652</v>
      </c>
      <c r="C23">
        <f>CORREL(INDEX(Table1[],0,MATCH(C$14,Table1[#Headers],0)),INDEX(Table1[],0,MATCH($A23,Table1[#Headers],0)))</f>
        <v>-0.83642430307472304</v>
      </c>
      <c r="D23">
        <f>CORREL(INDEX(Table1[],0,MATCH(D$14,Table1[#Headers],0)),INDEX(Table1[],0,MATCH($A23,Table1[#Headers],0)))</f>
        <v>-0.84515544288552991</v>
      </c>
      <c r="E23">
        <f>CORREL(INDEX(Table1[],0,MATCH(E$14,Table1[#Headers],0)),INDEX(Table1[],0,MATCH($A23,Table1[#Headers],0)))</f>
        <v>0.24790749428107697</v>
      </c>
      <c r="F23">
        <f>CORREL(INDEX(Table1[],0,MATCH(F$14,Table1[#Headers],0)),INDEX(Table1[],0,MATCH($A23,Table1[#Headers],0)))</f>
        <v>-0.48656674649062581</v>
      </c>
      <c r="G23">
        <f>CORREL(INDEX(Table1[],0,MATCH(G$14,Table1[#Headers],0)),INDEX(Table1[],0,MATCH($A23,Table1[#Headers],0)))</f>
        <v>-0.52069814760622068</v>
      </c>
      <c r="H23">
        <f>CORREL(INDEX(Table1[],0,MATCH(H$14,Table1[#Headers],0)),INDEX(Table1[],0,MATCH($A23,Table1[#Headers],0)))</f>
        <v>6.7830524268786122E-2</v>
      </c>
      <c r="I23">
        <f>CORREL(INDEX(Table1[],0,MATCH(I$14,Table1[#Headers],0)),INDEX(Table1[],0,MATCH($A23,Table1[#Headers],0)))</f>
        <v>-0.69592645797863728</v>
      </c>
      <c r="J23">
        <f>CORREL(INDEX(Table1[],0,MATCH(J$14,Table1[#Headers],0)),INDEX(Table1[],0,MATCH($A23,Table1[#Headers],0)))</f>
        <v>1</v>
      </c>
      <c r="K23">
        <f>CORREL(INDEX(Table1[],0,MATCH(K$14,Table1[#Headers],0)),INDEX(Table1[],0,MATCH($A23,Table1[#Headers],0)))</f>
        <v>0.33383685866337404</v>
      </c>
      <c r="L23">
        <f>CORREL(INDEX(Table1[],0,MATCH(L$14,Table1[#Headers],0)),INDEX(Table1[],0,MATCH($A23,Table1[#Headers],0)))</f>
        <v>6.0616767546838375E-2</v>
      </c>
      <c r="M23">
        <f>CORREL(INDEX(Table1[],0,MATCH(M$14,Table1[#Headers],0)),INDEX(Table1[],0,MATCH($A23,Table1[#Headers],0)))</f>
        <v>-6.7941955221510239E-2</v>
      </c>
      <c r="N23">
        <f>CORREL(INDEX(Table1[],0,MATCH(N$14,Table1[#Headers],0)),INDEX(Table1[],0,MATCH($A23,Table1[#Headers],0)))</f>
        <v>-0.42663201519044064</v>
      </c>
      <c r="O23">
        <f>CORREL(INDEX(Table1[],0,MATCH(O$14,Table1[#Headers],0)),INDEX(Table1[],0,MATCH($A23,Table1[#Headers],0)))</f>
        <v>-0.64613828510002858</v>
      </c>
      <c r="P23">
        <f>CORREL(INDEX(Table1[],0,MATCH(P$14,Table1[#Headers],0)),INDEX(Table1[],0,MATCH($A23,Table1[#Headers],0)))</f>
        <v>0.13760713043068001</v>
      </c>
      <c r="Q23">
        <f>CORREL(INDEX(Table1[],0,MATCH(Q$14,Table1[#Headers],0)),INDEX(Table1[],0,MATCH($A23,Table1[#Headers],0)))</f>
        <v>-0.15517632307681917</v>
      </c>
    </row>
    <row r="24" spans="1:17">
      <c r="A24" t="s">
        <v>12</v>
      </c>
      <c r="B24">
        <f>CORREL(INDEX(Table1[],0,MATCH(B$14,Table1[#Headers],0)),INDEX(Table1[],0,MATCH($A24,Table1[#Headers],0)))</f>
        <v>-0.27628906096101369</v>
      </c>
      <c r="C24">
        <f>CORREL(INDEX(Table1[],0,MATCH(C$14,Table1[#Headers],0)),INDEX(Table1[],0,MATCH($A24,Table1[#Headers],0)))</f>
        <v>-0.26470609260210765</v>
      </c>
      <c r="D24">
        <f>CORREL(INDEX(Table1[],0,MATCH(D$14,Table1[#Headers],0)),INDEX(Table1[],0,MATCH($A24,Table1[#Headers],0)))</f>
        <v>-0.2426100066515624</v>
      </c>
      <c r="E24">
        <f>CORREL(INDEX(Table1[],0,MATCH(E$14,Table1[#Headers],0)),INDEX(Table1[],0,MATCH($A24,Table1[#Headers],0)))</f>
        <v>0.29040099777963924</v>
      </c>
      <c r="F24">
        <f>CORREL(INDEX(Table1[],0,MATCH(F$14,Table1[#Headers],0)),INDEX(Table1[],0,MATCH($A24,Table1[#Headers],0)))</f>
        <v>-0.23138033615491133</v>
      </c>
      <c r="G24">
        <f>CORREL(INDEX(Table1[],0,MATCH(G$14,Table1[#Headers],0)),INDEX(Table1[],0,MATCH($A24,Table1[#Headers],0)))</f>
        <v>-2.7398993449626655E-2</v>
      </c>
      <c r="H24">
        <f>CORREL(INDEX(Table1[],0,MATCH(H$14,Table1[#Headers],0)),INDEX(Table1[],0,MATCH($A24,Table1[#Headers],0)))</f>
        <v>6.0243927548455117E-2</v>
      </c>
      <c r="I24">
        <f>CORREL(INDEX(Table1[],0,MATCH(I$14,Table1[#Headers],0)),INDEX(Table1[],0,MATCH($A24,Table1[#Headers],0)))</f>
        <v>-0.21407477970365288</v>
      </c>
      <c r="J24">
        <f>CORREL(INDEX(Table1[],0,MATCH(J$14,Table1[#Headers],0)),INDEX(Table1[],0,MATCH($A24,Table1[#Headers],0)))</f>
        <v>0.33383685866337404</v>
      </c>
      <c r="K24">
        <f>CORREL(INDEX(Table1[],0,MATCH(K$14,Table1[#Headers],0)),INDEX(Table1[],0,MATCH($A24,Table1[#Headers],0)))</f>
        <v>1</v>
      </c>
      <c r="L24">
        <f>CORREL(INDEX(Table1[],0,MATCH(L$14,Table1[#Headers],0)),INDEX(Table1[],0,MATCH($A24,Table1[#Headers],0)))</f>
        <v>0.19802950859533491</v>
      </c>
      <c r="M24">
        <f>CORREL(INDEX(Table1[],0,MATCH(M$14,Table1[#Headers],0)),INDEX(Table1[],0,MATCH($A24,Table1[#Headers],0)))</f>
        <v>-7.422696190252065E-2</v>
      </c>
      <c r="N24">
        <f>CORREL(INDEX(Table1[],0,MATCH(N$14,Table1[#Headers],0)),INDEX(Table1[],0,MATCH($A24,Table1[#Headers],0)))</f>
        <v>-0.21771484915213404</v>
      </c>
      <c r="O24">
        <f>CORREL(INDEX(Table1[],0,MATCH(O$14,Table1[#Headers],0)),INDEX(Table1[],0,MATCH($A24,Table1[#Headers],0)))</f>
        <v>-0.26455093981888306</v>
      </c>
      <c r="P24">
        <f>CORREL(INDEX(Table1[],0,MATCH(P$14,Table1[#Headers],0)),INDEX(Table1[],0,MATCH($A24,Table1[#Headers],0)))</f>
        <v>-0.34099943045171421</v>
      </c>
      <c r="Q24">
        <f>CORREL(INDEX(Table1[],0,MATCH(Q$14,Table1[#Headers],0)),INDEX(Table1[],0,MATCH($A24,Table1[#Headers],0)))</f>
        <v>-6.7560617829630382E-2</v>
      </c>
    </row>
    <row r="25" spans="1:17">
      <c r="A25" t="s">
        <v>13</v>
      </c>
      <c r="B25">
        <f>CORREL(INDEX(Table1[],0,MATCH(B$14,Table1[#Headers],0)),INDEX(Table1[],0,MATCH($A25,Table1[#Headers],0)))</f>
        <v>-6.9492431617661582E-2</v>
      </c>
      <c r="C25">
        <f>CORREL(INDEX(Table1[],0,MATCH(C$14,Table1[#Headers],0)),INDEX(Table1[],0,MATCH($A25,Table1[#Headers],0)))</f>
        <v>-6.1960840580112427E-2</v>
      </c>
      <c r="D25">
        <f>CORREL(INDEX(Table1[],0,MATCH(D$14,Table1[#Headers],0)),INDEX(Table1[],0,MATCH($A25,Table1[#Headers],0)))</f>
        <v>-4.5659548421281837E-2</v>
      </c>
      <c r="E25">
        <f>CORREL(INDEX(Table1[],0,MATCH(E$14,Table1[#Headers],0)),INDEX(Table1[],0,MATCH($A25,Table1[#Headers],0)))</f>
        <v>0.48673193734773357</v>
      </c>
      <c r="F25">
        <f>CORREL(INDEX(Table1[],0,MATCH(F$14,Table1[#Headers],0)),INDEX(Table1[],0,MATCH($A25,Table1[#Headers],0)))</f>
        <v>9.9635334624930988E-2</v>
      </c>
      <c r="G25">
        <f>CORREL(INDEX(Table1[],0,MATCH(G$14,Table1[#Headers],0)),INDEX(Table1[],0,MATCH($A25,Table1[#Headers],0)))</f>
        <v>0.16383584763203696</v>
      </c>
      <c r="H25">
        <f>CORREL(INDEX(Table1[],0,MATCH(H$14,Table1[#Headers],0)),INDEX(Table1[],0,MATCH($A25,Table1[#Headers],0)))</f>
        <v>7.1318732091872838E-2</v>
      </c>
      <c r="I25">
        <f>CORREL(INDEX(Table1[],0,MATCH(I$14,Table1[#Headers],0)),INDEX(Table1[],0,MATCH($A25,Table1[#Headers],0)))</f>
        <v>3.0205301666011534E-2</v>
      </c>
      <c r="J25">
        <f>CORREL(INDEX(Table1[],0,MATCH(J$14,Table1[#Headers],0)),INDEX(Table1[],0,MATCH($A25,Table1[#Headers],0)))</f>
        <v>6.0616767546838375E-2</v>
      </c>
      <c r="K25">
        <f>CORREL(INDEX(Table1[],0,MATCH(K$14,Table1[#Headers],0)),INDEX(Table1[],0,MATCH($A25,Table1[#Headers],0)))</f>
        <v>0.19802950859533491</v>
      </c>
      <c r="L25">
        <f>CORREL(INDEX(Table1[],0,MATCH(L$14,Table1[#Headers],0)),INDEX(Table1[],0,MATCH($A25,Table1[#Headers],0)))</f>
        <v>1</v>
      </c>
      <c r="M25">
        <f>CORREL(INDEX(Table1[],0,MATCH(M$14,Table1[#Headers],0)),INDEX(Table1[],0,MATCH($A25,Table1[#Headers],0)))</f>
        <v>2.9374760204420777E-17</v>
      </c>
      <c r="N25">
        <f>CORREL(INDEX(Table1[],0,MATCH(N$14,Table1[#Headers],0)),INDEX(Table1[],0,MATCH($A25,Table1[#Headers],0)))</f>
        <v>-0.29297442915436356</v>
      </c>
      <c r="O25">
        <f>CORREL(INDEX(Table1[],0,MATCH(O$14,Table1[#Headers],0)),INDEX(Table1[],0,MATCH($A25,Table1[#Headers],0)))</f>
        <v>-0.12804138438785467</v>
      </c>
      <c r="P25">
        <f>CORREL(INDEX(Table1[],0,MATCH(P$14,Table1[#Headers],0)),INDEX(Table1[],0,MATCH($A25,Table1[#Headers],0)))</f>
        <v>-0.28039751275869906</v>
      </c>
      <c r="Q25">
        <f>CORREL(INDEX(Table1[],0,MATCH(Q$14,Table1[#Headers],0)),INDEX(Table1[],0,MATCH($A25,Table1[#Headers],0)))</f>
        <v>-1.7450864281563821E-2</v>
      </c>
    </row>
    <row r="26" spans="1:17">
      <c r="A26" t="s">
        <v>14</v>
      </c>
      <c r="B26">
        <f>CORREL(INDEX(Table1[],0,MATCH(B$14,Table1[#Headers],0)),INDEX(Table1[],0,MATCH($A26,Table1[#Headers],0)))</f>
        <v>-0.26931259505137328</v>
      </c>
      <c r="C26">
        <f>CORREL(INDEX(Table1[],0,MATCH(C$14,Table1[#Headers],0)),INDEX(Table1[],0,MATCH($A26,Table1[#Headers],0)))</f>
        <v>-0.26311799450329593</v>
      </c>
      <c r="D26">
        <f>CORREL(INDEX(Table1[],0,MATCH(D$14,Table1[#Headers],0)),INDEX(Table1[],0,MATCH($A26,Table1[#Headers],0)))</f>
        <v>-0.23610730427268417</v>
      </c>
      <c r="E26">
        <f>CORREL(INDEX(Table1[],0,MATCH(E$14,Table1[#Headers],0)),INDEX(Table1[],0,MATCH($A26,Table1[#Headers],0)))</f>
        <v>0.21271579807809893</v>
      </c>
      <c r="F26">
        <f>CORREL(INDEX(Table1[],0,MATCH(F$14,Table1[#Headers],0)),INDEX(Table1[],0,MATCH($A26,Table1[#Headers],0)))</f>
        <v>5.1985583796942583E-2</v>
      </c>
      <c r="G26">
        <f>CORREL(INDEX(Table1[],0,MATCH(G$14,Table1[#Headers],0)),INDEX(Table1[],0,MATCH($A26,Table1[#Headers],0)))</f>
        <v>-0.13396183587276345</v>
      </c>
      <c r="H26">
        <f>CORREL(INDEX(Table1[],0,MATCH(H$14,Table1[#Headers],0)),INDEX(Table1[],0,MATCH($A26,Table1[#Headers],0)))</f>
        <v>0.21474083829168425</v>
      </c>
      <c r="I26">
        <f>CORREL(INDEX(Table1[],0,MATCH(I$14,Table1[#Headers],0)),INDEX(Table1[],0,MATCH($A26,Table1[#Headers],0)))</f>
        <v>-3.4865784828244026E-2</v>
      </c>
      <c r="J26">
        <f>CORREL(INDEX(Table1[],0,MATCH(J$14,Table1[#Headers],0)),INDEX(Table1[],0,MATCH($A26,Table1[#Headers],0)))</f>
        <v>-6.7941955221510239E-2</v>
      </c>
      <c r="K26">
        <f>CORREL(INDEX(Table1[],0,MATCH(K$14,Table1[#Headers],0)),INDEX(Table1[],0,MATCH($A26,Table1[#Headers],0)))</f>
        <v>-7.422696190252065E-2</v>
      </c>
      <c r="L26">
        <f>CORREL(INDEX(Table1[],0,MATCH(L$14,Table1[#Headers],0)),INDEX(Table1[],0,MATCH($A26,Table1[#Headers],0)))</f>
        <v>2.9374760204420777E-17</v>
      </c>
      <c r="M26">
        <f>CORREL(INDEX(Table1[],0,MATCH(M$14,Table1[#Headers],0)),INDEX(Table1[],0,MATCH($A26,Table1[#Headers],0)))</f>
        <v>1</v>
      </c>
      <c r="N26">
        <f>CORREL(INDEX(Table1[],0,MATCH(N$14,Table1[#Headers],0)),INDEX(Table1[],0,MATCH($A26,Table1[#Headers],0)))</f>
        <v>-0.20835527603431656</v>
      </c>
      <c r="O26">
        <f>CORREL(INDEX(Table1[],0,MATCH(O$14,Table1[#Headers],0)),INDEX(Table1[],0,MATCH($A26,Table1[#Headers],0)))</f>
        <v>0.31267847645853347</v>
      </c>
      <c r="P26">
        <f>CORREL(INDEX(Table1[],0,MATCH(P$14,Table1[#Headers],0)),INDEX(Table1[],0,MATCH($A26,Table1[#Headers],0)))</f>
        <v>-0.18254345719967249</v>
      </c>
      <c r="Q26">
        <f>CORREL(INDEX(Table1[],0,MATCH(Q$14,Table1[#Headers],0)),INDEX(Table1[],0,MATCH($A26,Table1[#Headers],0)))</f>
        <v>-0.44610089148547738</v>
      </c>
    </row>
    <row r="27" spans="1:17">
      <c r="A27" t="s">
        <v>15</v>
      </c>
      <c r="B27">
        <f>CORREL(INDEX(Table1[],0,MATCH(B$14,Table1[#Headers],0)),INDEX(Table1[],0,MATCH($A27,Table1[#Headers],0)))</f>
        <v>0.57742907263900178</v>
      </c>
      <c r="C27">
        <f>CORREL(INDEX(Table1[],0,MATCH(C$14,Table1[#Headers],0)),INDEX(Table1[],0,MATCH($A27,Table1[#Headers],0)))</f>
        <v>0.54040889449652496</v>
      </c>
      <c r="D27">
        <f>CORREL(INDEX(Table1[],0,MATCH(D$14,Table1[#Headers],0)),INDEX(Table1[],0,MATCH($A27,Table1[#Headers],0)))</f>
        <v>0.50490064000671375</v>
      </c>
      <c r="E27">
        <f>CORREL(INDEX(Table1[],0,MATCH(E$14,Table1[#Headers],0)),INDEX(Table1[],0,MATCH($A27,Table1[#Headers],0)))</f>
        <v>-0.27594239463418846</v>
      </c>
      <c r="F27">
        <f>CORREL(INDEX(Table1[],0,MATCH(F$14,Table1[#Headers],0)),INDEX(Table1[],0,MATCH($A27,Table1[#Headers],0)))</f>
        <v>0.11367046702847128</v>
      </c>
      <c r="G27">
        <f>CORREL(INDEX(Table1[],0,MATCH(G$14,Table1[#Headers],0)),INDEX(Table1[],0,MATCH($A27,Table1[#Headers],0)))</f>
        <v>0.31992599856347798</v>
      </c>
      <c r="H27">
        <f>CORREL(INDEX(Table1[],0,MATCH(H$14,Table1[#Headers],0)),INDEX(Table1[],0,MATCH($A27,Table1[#Headers],0)))</f>
        <v>-0.11626971363798871</v>
      </c>
      <c r="I27">
        <f>CORREL(INDEX(Table1[],0,MATCH(I$14,Table1[#Headers],0)),INDEX(Table1[],0,MATCH($A27,Table1[#Headers],0)))</f>
        <v>0.43676392224722227</v>
      </c>
      <c r="J27">
        <f>CORREL(INDEX(Table1[],0,MATCH(J$14,Table1[#Headers],0)),INDEX(Table1[],0,MATCH($A27,Table1[#Headers],0)))</f>
        <v>-0.42663201519044064</v>
      </c>
      <c r="K27">
        <f>CORREL(INDEX(Table1[],0,MATCH(K$14,Table1[#Headers],0)),INDEX(Table1[],0,MATCH($A27,Table1[#Headers],0)))</f>
        <v>-0.21771484915213404</v>
      </c>
      <c r="L27">
        <f>CORREL(INDEX(Table1[],0,MATCH(L$14,Table1[#Headers],0)),INDEX(Table1[],0,MATCH($A27,Table1[#Headers],0)))</f>
        <v>-0.29297442915436356</v>
      </c>
      <c r="M27">
        <f>CORREL(INDEX(Table1[],0,MATCH(M$14,Table1[#Headers],0)),INDEX(Table1[],0,MATCH($A27,Table1[#Headers],0)))</f>
        <v>-0.20835527603431656</v>
      </c>
      <c r="N27">
        <f>CORREL(INDEX(Table1[],0,MATCH(N$14,Table1[#Headers],0)),INDEX(Table1[],0,MATCH($A27,Table1[#Headers],0)))</f>
        <v>1</v>
      </c>
      <c r="O27">
        <f>CORREL(INDEX(Table1[],0,MATCH(O$14,Table1[#Headers],0)),INDEX(Table1[],0,MATCH($A27,Table1[#Headers],0)))</f>
        <v>-0.249510002006404</v>
      </c>
      <c r="P27">
        <f>CORREL(INDEX(Table1[],0,MATCH(P$14,Table1[#Headers],0)),INDEX(Table1[],0,MATCH($A27,Table1[#Headers],0)))</f>
        <v>4.044874272503881E-2</v>
      </c>
      <c r="Q27">
        <f>CORREL(INDEX(Table1[],0,MATCH(Q$14,Table1[#Headers],0)),INDEX(Table1[],0,MATCH($A27,Table1[#Headers],0)))</f>
        <v>-0.22929899210704435</v>
      </c>
    </row>
    <row r="28" spans="1:17">
      <c r="A28" t="s">
        <v>16</v>
      </c>
      <c r="B28">
        <f>CORREL(INDEX(Table1[],0,MATCH(B$14,Table1[#Headers],0)),INDEX(Table1[],0,MATCH($A28,Table1[#Headers],0)))</f>
        <v>0.34800076442457728</v>
      </c>
      <c r="C28">
        <f>CORREL(INDEX(Table1[],0,MATCH(C$14,Table1[#Headers],0)),INDEX(Table1[],0,MATCH($A28,Table1[#Headers],0)))</f>
        <v>0.37006687618270534</v>
      </c>
      <c r="D28">
        <f>CORREL(INDEX(Table1[],0,MATCH(D$14,Table1[#Headers],0)),INDEX(Table1[],0,MATCH($A28,Table1[#Headers],0)))</f>
        <v>0.40512430805997035</v>
      </c>
      <c r="E28">
        <f>CORREL(INDEX(Table1[],0,MATCH(E$14,Table1[#Headers],0)),INDEX(Table1[],0,MATCH($A28,Table1[#Headers],0)))</f>
        <v>-0.1251137709207083</v>
      </c>
      <c r="F28">
        <f>CORREL(INDEX(Table1[],0,MATCH(F$14,Table1[#Headers],0)),INDEX(Table1[],0,MATCH($A28,Table1[#Headers],0)))</f>
        <v>0.2976425918073432</v>
      </c>
      <c r="G28">
        <f>CORREL(INDEX(Table1[],0,MATCH(G$14,Table1[#Headers],0)),INDEX(Table1[],0,MATCH($A28,Table1[#Headers],0)))</f>
        <v>0.14477905911145914</v>
      </c>
      <c r="H28">
        <f>CORREL(INDEX(Table1[],0,MATCH(H$14,Table1[#Headers],0)),INDEX(Table1[],0,MATCH($A28,Table1[#Headers],0)))</f>
        <v>0.26854756748441877</v>
      </c>
      <c r="I28">
        <f>CORREL(INDEX(Table1[],0,MATCH(I$14,Table1[#Headers],0)),INDEX(Table1[],0,MATCH($A28,Table1[#Headers],0)))</f>
        <v>0.2748552880242367</v>
      </c>
      <c r="J28">
        <f>CORREL(INDEX(Table1[],0,MATCH(J$14,Table1[#Headers],0)),INDEX(Table1[],0,MATCH($A28,Table1[#Headers],0)))</f>
        <v>-0.64613828510002858</v>
      </c>
      <c r="K28">
        <f>CORREL(INDEX(Table1[],0,MATCH(K$14,Table1[#Headers],0)),INDEX(Table1[],0,MATCH($A28,Table1[#Headers],0)))</f>
        <v>-0.26455093981888306</v>
      </c>
      <c r="L28">
        <f>CORREL(INDEX(Table1[],0,MATCH(L$14,Table1[#Headers],0)),INDEX(Table1[],0,MATCH($A28,Table1[#Headers],0)))</f>
        <v>-0.12804138438785467</v>
      </c>
      <c r="M28">
        <f>CORREL(INDEX(Table1[],0,MATCH(M$14,Table1[#Headers],0)),INDEX(Table1[],0,MATCH($A28,Table1[#Headers],0)))</f>
        <v>0.31267847645853347</v>
      </c>
      <c r="N28">
        <f>CORREL(INDEX(Table1[],0,MATCH(N$14,Table1[#Headers],0)),INDEX(Table1[],0,MATCH($A28,Table1[#Headers],0)))</f>
        <v>-0.249510002006404</v>
      </c>
      <c r="O28">
        <f>CORREL(INDEX(Table1[],0,MATCH(O$14,Table1[#Headers],0)),INDEX(Table1[],0,MATCH($A28,Table1[#Headers],0)))</f>
        <v>1</v>
      </c>
      <c r="P28">
        <f>CORREL(INDEX(Table1[],0,MATCH(P$14,Table1[#Headers],0)),INDEX(Table1[],0,MATCH($A28,Table1[#Headers],0)))</f>
        <v>-0.35597553825751288</v>
      </c>
      <c r="Q28">
        <f>CORREL(INDEX(Table1[],0,MATCH(Q$14,Table1[#Headers],0)),INDEX(Table1[],0,MATCH($A28,Table1[#Headers],0)))</f>
        <v>0.12624833135987418</v>
      </c>
    </row>
    <row r="29" spans="1:17">
      <c r="A29" t="s">
        <v>17</v>
      </c>
      <c r="B29">
        <f>CORREL(INDEX(Table1[],0,MATCH(B$14,Table1[#Headers],0)),INDEX(Table1[],0,MATCH($A29,Table1[#Headers],0)))</f>
        <v>-0.11845090775818488</v>
      </c>
      <c r="C29">
        <f>CORREL(INDEX(Table1[],0,MATCH(C$14,Table1[#Headers],0)),INDEX(Table1[],0,MATCH($A29,Table1[#Headers],0)))</f>
        <v>-0.12282121960009161</v>
      </c>
      <c r="D29">
        <f>CORREL(INDEX(Table1[],0,MATCH(D$14,Table1[#Headers],0)),INDEX(Table1[],0,MATCH($A29,Table1[#Headers],0)))</f>
        <v>-0.1619062348466089</v>
      </c>
      <c r="E29">
        <f>CORREL(INDEX(Table1[],0,MATCH(E$14,Table1[#Headers],0)),INDEX(Table1[],0,MATCH($A29,Table1[#Headers],0)))</f>
        <v>-0.2991694662764387</v>
      </c>
      <c r="F29">
        <f>CORREL(INDEX(Table1[],0,MATCH(F$14,Table1[#Headers],0)),INDEX(Table1[],0,MATCH($A29,Table1[#Headers],0)))</f>
        <v>5.4598465451467841E-2</v>
      </c>
      <c r="G29">
        <f>CORREL(INDEX(Table1[],0,MATCH(G$14,Table1[#Headers],0)),INDEX(Table1[],0,MATCH($A29,Table1[#Headers],0)))</f>
        <v>5.9641584378180422E-2</v>
      </c>
      <c r="H29">
        <f>CORREL(INDEX(Table1[],0,MATCH(H$14,Table1[#Headers],0)),INDEX(Table1[],0,MATCH($A29,Table1[#Headers],0)))</f>
        <v>-0.44984257026382679</v>
      </c>
      <c r="I29">
        <f>CORREL(INDEX(Table1[],0,MATCH(I$14,Table1[#Headers],0)),INDEX(Table1[],0,MATCH($A29,Table1[#Headers],0)))</f>
        <v>-5.7664190230945989E-2</v>
      </c>
      <c r="J29">
        <f>CORREL(INDEX(Table1[],0,MATCH(J$14,Table1[#Headers],0)),INDEX(Table1[],0,MATCH($A29,Table1[#Headers],0)))</f>
        <v>0.13760713043068001</v>
      </c>
      <c r="K29">
        <f>CORREL(INDEX(Table1[],0,MATCH(K$14,Table1[#Headers],0)),INDEX(Table1[],0,MATCH($A29,Table1[#Headers],0)))</f>
        <v>-0.34099943045171421</v>
      </c>
      <c r="L29">
        <f>CORREL(INDEX(Table1[],0,MATCH(L$14,Table1[#Headers],0)),INDEX(Table1[],0,MATCH($A29,Table1[#Headers],0)))</f>
        <v>-0.28039751275869906</v>
      </c>
      <c r="M29">
        <f>CORREL(INDEX(Table1[],0,MATCH(M$14,Table1[#Headers],0)),INDEX(Table1[],0,MATCH($A29,Table1[#Headers],0)))</f>
        <v>-0.18254345719967249</v>
      </c>
      <c r="N29">
        <f>CORREL(INDEX(Table1[],0,MATCH(N$14,Table1[#Headers],0)),INDEX(Table1[],0,MATCH($A29,Table1[#Headers],0)))</f>
        <v>4.044874272503881E-2</v>
      </c>
      <c r="O29">
        <f>CORREL(INDEX(Table1[],0,MATCH(O$14,Table1[#Headers],0)),INDEX(Table1[],0,MATCH($A29,Table1[#Headers],0)))</f>
        <v>-0.35597553825751288</v>
      </c>
      <c r="P29">
        <f>CORREL(INDEX(Table1[],0,MATCH(P$14,Table1[#Headers],0)),INDEX(Table1[],0,MATCH($A29,Table1[#Headers],0)))</f>
        <v>1.0000000000000002</v>
      </c>
      <c r="Q29">
        <f>CORREL(INDEX(Table1[],0,MATCH(Q$14,Table1[#Headers],0)),INDEX(Table1[],0,MATCH($A29,Table1[#Headers],0)))</f>
        <v>3.5900481275873204E-2</v>
      </c>
    </row>
    <row r="30" spans="1:17">
      <c r="A30" t="s">
        <v>18</v>
      </c>
      <c r="B30">
        <f>CORREL(INDEX(Table1[],0,MATCH(B$14,Table1[#Headers],0)),INDEX(Table1[],0,MATCH($A30,Table1[#Headers],0)))</f>
        <v>0.23032935088784948</v>
      </c>
      <c r="C30">
        <f>CORREL(INDEX(Table1[],0,MATCH(C$14,Table1[#Headers],0)),INDEX(Table1[],0,MATCH($A30,Table1[#Headers],0)))</f>
        <v>0.26012976296930157</v>
      </c>
      <c r="D30">
        <f>CORREL(INDEX(Table1[],0,MATCH(D$14,Table1[#Headers],0)),INDEX(Table1[],0,MATCH($A30,Table1[#Headers],0)))</f>
        <v>0.27643852565693067</v>
      </c>
      <c r="E30">
        <f>CORREL(INDEX(Table1[],0,MATCH(E$14,Table1[#Headers],0)),INDEX(Table1[],0,MATCH($A30,Table1[#Headers],0)))</f>
        <v>-0.12660190385374759</v>
      </c>
      <c r="F30">
        <f>CORREL(INDEX(Table1[],0,MATCH(F$14,Table1[#Headers],0)),INDEX(Table1[],0,MATCH($A30,Table1[#Headers],0)))</f>
        <v>0.11742590156661721</v>
      </c>
      <c r="G30">
        <f>CORREL(INDEX(Table1[],0,MATCH(G$14,Table1[#Headers],0)),INDEX(Table1[],0,MATCH($A30,Table1[#Headers],0)))</f>
        <v>-3.9765255205799578E-2</v>
      </c>
      <c r="H30">
        <f>CORREL(INDEX(Table1[],0,MATCH(H$14,Table1[#Headers],0)),INDEX(Table1[],0,MATCH($A30,Table1[#Headers],0)))</f>
        <v>-0.39031195586408041</v>
      </c>
      <c r="I30">
        <f>CORREL(INDEX(Table1[],0,MATCH(I$14,Table1[#Headers],0)),INDEX(Table1[],0,MATCH($A30,Table1[#Headers],0)))</f>
        <v>0.14471750255002527</v>
      </c>
      <c r="J30">
        <f>CORREL(INDEX(Table1[],0,MATCH(J$14,Table1[#Headers],0)),INDEX(Table1[],0,MATCH($A30,Table1[#Headers],0)))</f>
        <v>-0.15517632307681917</v>
      </c>
      <c r="K30">
        <f>CORREL(INDEX(Table1[],0,MATCH(K$14,Table1[#Headers],0)),INDEX(Table1[],0,MATCH($A30,Table1[#Headers],0)))</f>
        <v>-6.7560617829630382E-2</v>
      </c>
      <c r="L30">
        <f>CORREL(INDEX(Table1[],0,MATCH(L$14,Table1[#Headers],0)),INDEX(Table1[],0,MATCH($A30,Table1[#Headers],0)))</f>
        <v>-1.7450864281563821E-2</v>
      </c>
      <c r="M30">
        <f>CORREL(INDEX(Table1[],0,MATCH(M$14,Table1[#Headers],0)),INDEX(Table1[],0,MATCH($A30,Table1[#Headers],0)))</f>
        <v>-0.44610089148547738</v>
      </c>
      <c r="N30">
        <f>CORREL(INDEX(Table1[],0,MATCH(N$14,Table1[#Headers],0)),INDEX(Table1[],0,MATCH($A30,Table1[#Headers],0)))</f>
        <v>-0.22929899210704435</v>
      </c>
      <c r="O30">
        <f>CORREL(INDEX(Table1[],0,MATCH(O$14,Table1[#Headers],0)),INDEX(Table1[],0,MATCH($A30,Table1[#Headers],0)))</f>
        <v>0.12624833135987418</v>
      </c>
      <c r="P30">
        <f>CORREL(INDEX(Table1[],0,MATCH(P$14,Table1[#Headers],0)),INDEX(Table1[],0,MATCH($A30,Table1[#Headers],0)))</f>
        <v>3.5900481275873204E-2</v>
      </c>
      <c r="Q30">
        <f>CORREL(INDEX(Table1[],0,MATCH(Q$14,Table1[#Headers],0)),INDEX(Table1[],0,MATCH($A30,Table1[#Headers],0)))</f>
        <v>1.0000000000000002</v>
      </c>
    </row>
    <row r="32" spans="1:17">
      <c r="A32" s="1" t="s">
        <v>101</v>
      </c>
    </row>
    <row r="33" spans="1:16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 t="s">
        <v>13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</row>
    <row r="34" spans="1:16">
      <c r="A34">
        <v>18134</v>
      </c>
      <c r="B34">
        <v>22641</v>
      </c>
      <c r="C34">
        <v>29680</v>
      </c>
      <c r="D34">
        <v>29.1</v>
      </c>
      <c r="E34">
        <v>11.2</v>
      </c>
      <c r="F34">
        <v>28.6</v>
      </c>
      <c r="G34">
        <v>3.7</v>
      </c>
      <c r="H34">
        <v>36849.9</v>
      </c>
      <c r="I34">
        <v>11</v>
      </c>
      <c r="J34">
        <v>5</v>
      </c>
      <c r="K34">
        <v>18</v>
      </c>
      <c r="L34">
        <v>1</v>
      </c>
      <c r="M34">
        <v>23</v>
      </c>
      <c r="N34">
        <v>18</v>
      </c>
      <c r="O34">
        <v>12</v>
      </c>
      <c r="P34">
        <v>12</v>
      </c>
    </row>
    <row r="35" spans="1:16">
      <c r="A35">
        <v>21760</v>
      </c>
      <c r="B35">
        <v>27212</v>
      </c>
      <c r="C35">
        <v>34828</v>
      </c>
      <c r="D35">
        <v>27.9</v>
      </c>
      <c r="E35">
        <v>15.2</v>
      </c>
      <c r="F35">
        <v>32.4</v>
      </c>
      <c r="G35">
        <v>5.5</v>
      </c>
      <c r="H35">
        <v>38162.699999999997</v>
      </c>
      <c r="I35">
        <v>10</v>
      </c>
      <c r="J35">
        <v>4</v>
      </c>
      <c r="K35">
        <v>14</v>
      </c>
      <c r="L35">
        <v>1</v>
      </c>
      <c r="M35">
        <v>23</v>
      </c>
      <c r="N35">
        <v>23</v>
      </c>
      <c r="O35">
        <v>13</v>
      </c>
      <c r="P35">
        <v>12</v>
      </c>
    </row>
    <row r="36" spans="1:16">
      <c r="A36">
        <v>18431</v>
      </c>
      <c r="B36">
        <v>23283</v>
      </c>
      <c r="C36">
        <v>30967</v>
      </c>
      <c r="D36">
        <v>26</v>
      </c>
      <c r="E36">
        <v>11.9</v>
      </c>
      <c r="F36">
        <v>40.299999999999997</v>
      </c>
      <c r="G36">
        <v>7.1</v>
      </c>
      <c r="H36">
        <v>34787.800000000003</v>
      </c>
      <c r="I36">
        <v>14</v>
      </c>
      <c r="J36">
        <v>7</v>
      </c>
      <c r="K36">
        <v>13</v>
      </c>
      <c r="L36">
        <v>0</v>
      </c>
      <c r="M36">
        <v>24</v>
      </c>
      <c r="N36">
        <v>20</v>
      </c>
      <c r="O36">
        <v>12</v>
      </c>
      <c r="P36">
        <v>10</v>
      </c>
    </row>
    <row r="37" spans="1:16">
      <c r="A37">
        <v>2539</v>
      </c>
      <c r="B37">
        <v>4452</v>
      </c>
      <c r="C37">
        <v>7494</v>
      </c>
      <c r="D37">
        <v>40.200000000000003</v>
      </c>
      <c r="E37">
        <v>1.1000000000000001</v>
      </c>
      <c r="F37">
        <v>27.8</v>
      </c>
      <c r="G37">
        <v>6.2</v>
      </c>
      <c r="H37">
        <v>14787</v>
      </c>
      <c r="I37">
        <v>19</v>
      </c>
      <c r="J37">
        <v>6</v>
      </c>
      <c r="K37">
        <v>19</v>
      </c>
      <c r="L37">
        <v>1</v>
      </c>
      <c r="M37">
        <v>20</v>
      </c>
      <c r="N37">
        <v>14</v>
      </c>
      <c r="O37">
        <v>13</v>
      </c>
      <c r="P37">
        <v>8</v>
      </c>
    </row>
    <row r="38" spans="1:16">
      <c r="A38">
        <v>12430</v>
      </c>
      <c r="B38">
        <v>16082</v>
      </c>
      <c r="C38">
        <v>23514</v>
      </c>
      <c r="D38">
        <v>30.8</v>
      </c>
      <c r="E38">
        <v>16.399999999999999</v>
      </c>
      <c r="F38">
        <v>42.5</v>
      </c>
      <c r="G38">
        <v>11</v>
      </c>
      <c r="H38">
        <v>25054</v>
      </c>
      <c r="I38">
        <v>14</v>
      </c>
      <c r="J38">
        <v>5</v>
      </c>
      <c r="K38">
        <v>16</v>
      </c>
      <c r="L38">
        <v>3</v>
      </c>
      <c r="M38">
        <v>15</v>
      </c>
      <c r="N38">
        <v>26</v>
      </c>
      <c r="O38">
        <v>12</v>
      </c>
      <c r="P38">
        <v>9</v>
      </c>
    </row>
    <row r="39" spans="1:16">
      <c r="A39">
        <v>4919</v>
      </c>
      <c r="B39">
        <v>6793</v>
      </c>
      <c r="C39">
        <v>10084</v>
      </c>
      <c r="D39">
        <v>29.9</v>
      </c>
      <c r="E39">
        <v>1.1000000000000001</v>
      </c>
      <c r="F39">
        <v>23.7</v>
      </c>
      <c r="G39">
        <v>11.2</v>
      </c>
      <c r="H39">
        <v>18476</v>
      </c>
      <c r="I39">
        <v>19</v>
      </c>
      <c r="J39">
        <v>4</v>
      </c>
      <c r="K39">
        <v>13</v>
      </c>
      <c r="L39">
        <v>1</v>
      </c>
      <c r="M39">
        <v>16</v>
      </c>
      <c r="N39">
        <v>23</v>
      </c>
      <c r="O39">
        <v>15</v>
      </c>
      <c r="P39">
        <v>9</v>
      </c>
    </row>
    <row r="40" spans="1:16">
      <c r="A40">
        <v>26758</v>
      </c>
      <c r="B40">
        <v>30748</v>
      </c>
      <c r="C40">
        <v>38423</v>
      </c>
      <c r="D40">
        <v>27.6</v>
      </c>
      <c r="E40">
        <v>8.4</v>
      </c>
      <c r="F40">
        <v>39.1</v>
      </c>
      <c r="G40">
        <v>5.7</v>
      </c>
      <c r="H40">
        <v>37469.199999999997</v>
      </c>
      <c r="I40">
        <v>11</v>
      </c>
      <c r="J40">
        <v>3</v>
      </c>
      <c r="K40">
        <v>14</v>
      </c>
      <c r="L40">
        <v>1</v>
      </c>
      <c r="M40">
        <v>29</v>
      </c>
      <c r="N40">
        <v>18</v>
      </c>
      <c r="O40">
        <v>15</v>
      </c>
      <c r="P40">
        <v>9</v>
      </c>
    </row>
    <row r="41" spans="1:16">
      <c r="A41">
        <v>5841</v>
      </c>
      <c r="B41">
        <v>7570</v>
      </c>
      <c r="C41">
        <v>9171</v>
      </c>
      <c r="D41">
        <v>23.2</v>
      </c>
      <c r="E41">
        <v>1.3</v>
      </c>
      <c r="F41">
        <v>23.1</v>
      </c>
      <c r="G41">
        <v>8.1</v>
      </c>
      <c r="H41">
        <v>22999.5</v>
      </c>
      <c r="I41">
        <v>18</v>
      </c>
      <c r="J41">
        <v>3</v>
      </c>
      <c r="K41">
        <v>11</v>
      </c>
      <c r="L41">
        <v>2</v>
      </c>
      <c r="M41">
        <v>24</v>
      </c>
      <c r="N41">
        <v>17</v>
      </c>
      <c r="O41">
        <v>15</v>
      </c>
      <c r="P41">
        <v>10</v>
      </c>
    </row>
    <row r="42" spans="1:16">
      <c r="A42">
        <v>10557</v>
      </c>
      <c r="B42">
        <v>12770</v>
      </c>
      <c r="C42">
        <v>17430</v>
      </c>
      <c r="D42">
        <v>23.7</v>
      </c>
      <c r="E42">
        <v>5.5</v>
      </c>
      <c r="F42">
        <v>32.5</v>
      </c>
      <c r="G42">
        <v>6.6</v>
      </c>
      <c r="H42">
        <v>25366.3</v>
      </c>
      <c r="I42">
        <v>15</v>
      </c>
      <c r="J42">
        <v>4</v>
      </c>
      <c r="K42">
        <v>19</v>
      </c>
      <c r="L42">
        <v>1</v>
      </c>
      <c r="M42">
        <v>19</v>
      </c>
      <c r="N42">
        <v>18</v>
      </c>
      <c r="O42">
        <v>14</v>
      </c>
      <c r="P42">
        <v>10</v>
      </c>
    </row>
    <row r="43" spans="1:16">
      <c r="A43">
        <v>13052</v>
      </c>
      <c r="B43">
        <v>16399</v>
      </c>
      <c r="C43">
        <v>22783</v>
      </c>
      <c r="D43">
        <v>34.1</v>
      </c>
      <c r="E43">
        <v>9.5</v>
      </c>
      <c r="F43">
        <v>36.4</v>
      </c>
      <c r="G43">
        <v>17.2</v>
      </c>
      <c r="H43">
        <v>27625.7</v>
      </c>
      <c r="I43">
        <v>12</v>
      </c>
      <c r="J43">
        <v>4</v>
      </c>
      <c r="K43">
        <v>15</v>
      </c>
      <c r="L43">
        <v>2</v>
      </c>
      <c r="M43">
        <v>22</v>
      </c>
      <c r="N43">
        <v>26</v>
      </c>
      <c r="O43">
        <v>11</v>
      </c>
      <c r="P43">
        <v>8</v>
      </c>
    </row>
    <row r="44" spans="1:16">
      <c r="A44">
        <v>7585</v>
      </c>
      <c r="B44">
        <v>9495</v>
      </c>
      <c r="C44">
        <v>13051</v>
      </c>
      <c r="D44">
        <v>31.6</v>
      </c>
      <c r="E44">
        <v>14.9</v>
      </c>
      <c r="F44">
        <v>39.700000000000003</v>
      </c>
      <c r="G44">
        <v>5.8</v>
      </c>
      <c r="H44">
        <v>23054.6</v>
      </c>
      <c r="I44">
        <v>20</v>
      </c>
      <c r="J44">
        <v>3</v>
      </c>
      <c r="K44">
        <v>15</v>
      </c>
      <c r="L44">
        <v>0</v>
      </c>
      <c r="M44">
        <v>18</v>
      </c>
      <c r="N44">
        <v>17</v>
      </c>
      <c r="O44">
        <v>16</v>
      </c>
      <c r="P44">
        <v>11</v>
      </c>
    </row>
    <row r="45" spans="1:16">
      <c r="A45">
        <v>21886</v>
      </c>
      <c r="B45">
        <v>24848</v>
      </c>
      <c r="C45">
        <v>33847</v>
      </c>
      <c r="D45">
        <v>25.3</v>
      </c>
      <c r="E45">
        <v>4.4000000000000004</v>
      </c>
      <c r="F45">
        <v>43.7</v>
      </c>
      <c r="G45">
        <v>8.6</v>
      </c>
      <c r="H45">
        <v>32699</v>
      </c>
      <c r="I45">
        <v>12</v>
      </c>
      <c r="J45">
        <v>5</v>
      </c>
      <c r="K45">
        <v>14</v>
      </c>
      <c r="L45">
        <v>0</v>
      </c>
      <c r="M45">
        <v>29</v>
      </c>
      <c r="N45">
        <v>17</v>
      </c>
      <c r="O45">
        <v>14</v>
      </c>
      <c r="P45">
        <v>9</v>
      </c>
    </row>
    <row r="46" spans="1:16">
      <c r="A46">
        <v>22155</v>
      </c>
      <c r="B46">
        <v>24890</v>
      </c>
      <c r="C46">
        <v>32732</v>
      </c>
      <c r="D46">
        <v>29.3</v>
      </c>
      <c r="E46">
        <v>6.9</v>
      </c>
      <c r="F46">
        <v>35.200000000000003</v>
      </c>
      <c r="G46">
        <v>9.4</v>
      </c>
      <c r="H46">
        <v>31286</v>
      </c>
      <c r="I46">
        <v>13</v>
      </c>
      <c r="J46">
        <v>4</v>
      </c>
      <c r="K46">
        <v>16</v>
      </c>
      <c r="L46">
        <v>1</v>
      </c>
      <c r="M46">
        <v>26</v>
      </c>
      <c r="N46">
        <v>19</v>
      </c>
      <c r="O46">
        <v>12</v>
      </c>
      <c r="P46">
        <v>9</v>
      </c>
    </row>
    <row r="47" spans="1:16">
      <c r="A47">
        <v>7152</v>
      </c>
      <c r="B47">
        <v>8534</v>
      </c>
      <c r="C47">
        <v>12211</v>
      </c>
      <c r="D47">
        <v>33.4</v>
      </c>
      <c r="E47">
        <v>7.5</v>
      </c>
      <c r="F47">
        <v>31</v>
      </c>
      <c r="G47">
        <v>21.5</v>
      </c>
      <c r="H47">
        <v>20087.400000000001</v>
      </c>
      <c r="I47">
        <v>17</v>
      </c>
      <c r="J47">
        <v>4</v>
      </c>
      <c r="K47">
        <v>18</v>
      </c>
      <c r="L47">
        <v>2</v>
      </c>
      <c r="M47">
        <v>20</v>
      </c>
      <c r="N47">
        <v>22</v>
      </c>
      <c r="O47">
        <v>10</v>
      </c>
      <c r="P47">
        <v>7</v>
      </c>
    </row>
    <row r="48" spans="1:16">
      <c r="A48">
        <v>4246</v>
      </c>
      <c r="B48">
        <v>5513</v>
      </c>
      <c r="C48">
        <v>7799</v>
      </c>
      <c r="D48">
        <v>28.1</v>
      </c>
      <c r="E48">
        <v>1.5</v>
      </c>
      <c r="F48">
        <v>24.1</v>
      </c>
      <c r="G48">
        <v>4.2</v>
      </c>
      <c r="H48">
        <v>20430.400000000001</v>
      </c>
      <c r="I48">
        <v>18</v>
      </c>
      <c r="J48">
        <v>4</v>
      </c>
      <c r="K48">
        <v>17</v>
      </c>
      <c r="L48">
        <v>2</v>
      </c>
      <c r="M48">
        <v>19</v>
      </c>
      <c r="N48">
        <v>18</v>
      </c>
      <c r="O48">
        <v>14</v>
      </c>
      <c r="P48">
        <v>8</v>
      </c>
    </row>
    <row r="49" spans="1:16">
      <c r="D49">
        <v>35.700000000000003</v>
      </c>
      <c r="E49">
        <v>11.8</v>
      </c>
      <c r="F49">
        <v>46.5</v>
      </c>
      <c r="G49">
        <v>6.7</v>
      </c>
      <c r="H49">
        <v>54715.3</v>
      </c>
      <c r="I49">
        <v>9</v>
      </c>
      <c r="J49">
        <v>5</v>
      </c>
      <c r="K49">
        <v>16</v>
      </c>
      <c r="L49">
        <v>3</v>
      </c>
      <c r="M49">
        <v>24</v>
      </c>
      <c r="N49">
        <v>23</v>
      </c>
      <c r="O49">
        <v>12</v>
      </c>
      <c r="P49">
        <v>8</v>
      </c>
    </row>
    <row r="50" spans="1:16">
      <c r="A50">
        <v>15621</v>
      </c>
      <c r="B50">
        <v>20161</v>
      </c>
      <c r="C50">
        <v>27535</v>
      </c>
      <c r="D50">
        <v>32.700000000000003</v>
      </c>
      <c r="E50">
        <v>8.3000000000000007</v>
      </c>
      <c r="F50">
        <v>18.7</v>
      </c>
      <c r="G50">
        <v>11.2</v>
      </c>
      <c r="H50">
        <v>28684.799999999999</v>
      </c>
      <c r="I50">
        <v>14</v>
      </c>
      <c r="J50">
        <v>4</v>
      </c>
      <c r="K50">
        <v>14</v>
      </c>
      <c r="L50">
        <v>1</v>
      </c>
      <c r="M50">
        <v>23</v>
      </c>
      <c r="N50">
        <v>21</v>
      </c>
      <c r="O50">
        <v>11</v>
      </c>
      <c r="P50">
        <v>12</v>
      </c>
    </row>
    <row r="51" spans="1:16">
      <c r="A51">
        <v>5106</v>
      </c>
      <c r="B51">
        <v>7078</v>
      </c>
      <c r="C51">
        <v>10745</v>
      </c>
      <c r="D51">
        <v>34.5</v>
      </c>
      <c r="E51">
        <v>14.3</v>
      </c>
      <c r="F51">
        <v>33.9</v>
      </c>
      <c r="G51">
        <v>8.6999999999999993</v>
      </c>
      <c r="H51">
        <v>20058.599999999999</v>
      </c>
      <c r="I51">
        <v>18</v>
      </c>
      <c r="J51">
        <v>5</v>
      </c>
      <c r="K51">
        <v>15</v>
      </c>
      <c r="L51">
        <v>2</v>
      </c>
      <c r="M51">
        <v>21</v>
      </c>
      <c r="N51">
        <v>12</v>
      </c>
      <c r="O51">
        <v>18</v>
      </c>
      <c r="P51">
        <v>9</v>
      </c>
    </row>
    <row r="52" spans="1:16">
      <c r="A52">
        <v>4763</v>
      </c>
      <c r="B52">
        <v>6528</v>
      </c>
      <c r="C52">
        <v>11038</v>
      </c>
      <c r="D52">
        <v>37.6</v>
      </c>
      <c r="E52">
        <v>0.7</v>
      </c>
      <c r="F52">
        <v>40.299999999999997</v>
      </c>
      <c r="G52">
        <v>7.1</v>
      </c>
      <c r="H52">
        <v>23337.4</v>
      </c>
      <c r="I52">
        <v>22</v>
      </c>
      <c r="J52">
        <v>5</v>
      </c>
      <c r="K52">
        <v>19</v>
      </c>
      <c r="L52">
        <v>0</v>
      </c>
      <c r="M52">
        <v>15</v>
      </c>
      <c r="N52">
        <v>12</v>
      </c>
      <c r="O52">
        <v>14</v>
      </c>
      <c r="P52">
        <v>13</v>
      </c>
    </row>
    <row r="53" spans="1:16">
      <c r="A53">
        <v>33570</v>
      </c>
      <c r="B53">
        <v>41852</v>
      </c>
      <c r="C53">
        <v>53988</v>
      </c>
      <c r="D53">
        <v>30.9</v>
      </c>
      <c r="E53">
        <v>47.6</v>
      </c>
      <c r="F53">
        <v>39.9</v>
      </c>
      <c r="G53">
        <v>5.5</v>
      </c>
      <c r="H53">
        <v>75854.600000000006</v>
      </c>
      <c r="I53">
        <v>9</v>
      </c>
      <c r="J53">
        <v>3</v>
      </c>
      <c r="K53">
        <v>17</v>
      </c>
      <c r="L53">
        <v>1</v>
      </c>
      <c r="M53">
        <v>25</v>
      </c>
      <c r="N53">
        <v>21</v>
      </c>
      <c r="O53">
        <v>14</v>
      </c>
      <c r="P53">
        <v>10</v>
      </c>
    </row>
    <row r="54" spans="1:16">
      <c r="A54">
        <v>13160</v>
      </c>
      <c r="B54">
        <v>17706</v>
      </c>
      <c r="C54">
        <v>24811</v>
      </c>
      <c r="D54">
        <v>28.3</v>
      </c>
      <c r="E54">
        <v>11.8</v>
      </c>
      <c r="F54">
        <v>23.9</v>
      </c>
      <c r="G54">
        <v>4</v>
      </c>
      <c r="H54">
        <v>28590</v>
      </c>
      <c r="I54">
        <v>12</v>
      </c>
      <c r="J54">
        <v>4</v>
      </c>
      <c r="K54">
        <v>15</v>
      </c>
      <c r="L54">
        <v>2</v>
      </c>
      <c r="M54">
        <v>10</v>
      </c>
      <c r="N54">
        <v>31</v>
      </c>
      <c r="O54">
        <v>14</v>
      </c>
      <c r="P54">
        <v>12</v>
      </c>
    </row>
    <row r="55" spans="1:16">
      <c r="A55">
        <v>21312</v>
      </c>
      <c r="B55">
        <v>24644</v>
      </c>
      <c r="C55">
        <v>32352</v>
      </c>
      <c r="D55">
        <v>27.1</v>
      </c>
      <c r="E55">
        <v>5.4</v>
      </c>
      <c r="F55">
        <v>37.200000000000003</v>
      </c>
      <c r="G55">
        <v>4.8</v>
      </c>
      <c r="H55">
        <v>38394.6</v>
      </c>
      <c r="I55">
        <v>11</v>
      </c>
      <c r="J55">
        <v>4</v>
      </c>
      <c r="K55">
        <v>15</v>
      </c>
      <c r="L55">
        <v>1</v>
      </c>
      <c r="M55">
        <v>24</v>
      </c>
      <c r="N55">
        <v>21</v>
      </c>
      <c r="O55">
        <v>13</v>
      </c>
      <c r="P55">
        <v>11</v>
      </c>
    </row>
    <row r="56" spans="1:16">
      <c r="A56">
        <v>4928</v>
      </c>
      <c r="B56">
        <v>6236</v>
      </c>
      <c r="C56">
        <v>9646</v>
      </c>
      <c r="D56">
        <v>29.2</v>
      </c>
      <c r="E56">
        <v>0.6</v>
      </c>
      <c r="F56">
        <v>29.9</v>
      </c>
      <c r="G56">
        <v>4.9000000000000004</v>
      </c>
      <c r="H56">
        <v>21111.1</v>
      </c>
      <c r="I56">
        <v>17</v>
      </c>
      <c r="J56">
        <v>6</v>
      </c>
      <c r="K56">
        <v>14</v>
      </c>
      <c r="L56">
        <v>1</v>
      </c>
      <c r="M56">
        <v>21</v>
      </c>
      <c r="N56">
        <v>17</v>
      </c>
      <c r="O56">
        <v>14</v>
      </c>
      <c r="P56">
        <v>10</v>
      </c>
    </row>
    <row r="57" spans="1:16">
      <c r="A57">
        <v>8817</v>
      </c>
      <c r="B57">
        <v>11506</v>
      </c>
      <c r="C57">
        <v>17906</v>
      </c>
      <c r="D57">
        <v>33.5</v>
      </c>
      <c r="E57">
        <v>3.9</v>
      </c>
      <c r="F57">
        <v>24</v>
      </c>
      <c r="G57">
        <v>8.9</v>
      </c>
      <c r="H57">
        <v>23022.9</v>
      </c>
      <c r="I57">
        <v>17</v>
      </c>
      <c r="J57">
        <v>5</v>
      </c>
      <c r="K57">
        <v>16</v>
      </c>
      <c r="L57">
        <v>1</v>
      </c>
      <c r="M57">
        <v>18</v>
      </c>
      <c r="N57">
        <v>23</v>
      </c>
      <c r="O57">
        <v>9</v>
      </c>
      <c r="P57">
        <v>11</v>
      </c>
    </row>
    <row r="58" spans="1:16">
      <c r="A58">
        <v>19123</v>
      </c>
      <c r="B58">
        <v>23179</v>
      </c>
      <c r="C58">
        <v>32162</v>
      </c>
      <c r="D58">
        <v>33.1</v>
      </c>
      <c r="E58">
        <v>9.1999999999999993</v>
      </c>
      <c r="F58">
        <v>42.8</v>
      </c>
      <c r="G58">
        <v>4.3</v>
      </c>
      <c r="H58">
        <v>31501.3</v>
      </c>
      <c r="I58">
        <v>8</v>
      </c>
      <c r="J58">
        <v>2</v>
      </c>
      <c r="K58">
        <v>15</v>
      </c>
      <c r="L58">
        <v>2</v>
      </c>
      <c r="M58">
        <v>27</v>
      </c>
      <c r="N58">
        <v>23</v>
      </c>
      <c r="O58">
        <v>13</v>
      </c>
      <c r="P58">
        <v>10</v>
      </c>
    </row>
    <row r="59" spans="1:16">
      <c r="A59">
        <v>6976</v>
      </c>
      <c r="B59">
        <v>8956</v>
      </c>
      <c r="C59">
        <v>12060</v>
      </c>
      <c r="D59">
        <v>24.5</v>
      </c>
      <c r="E59">
        <v>4.8</v>
      </c>
      <c r="F59">
        <v>23.9</v>
      </c>
      <c r="G59">
        <v>2.9</v>
      </c>
      <c r="H59">
        <v>26427.5</v>
      </c>
      <c r="I59">
        <v>16</v>
      </c>
      <c r="J59">
        <v>2</v>
      </c>
      <c r="K59">
        <v>13</v>
      </c>
      <c r="L59">
        <v>1</v>
      </c>
      <c r="M59">
        <v>25</v>
      </c>
      <c r="N59">
        <v>17</v>
      </c>
      <c r="O59">
        <v>17</v>
      </c>
      <c r="P59">
        <v>9</v>
      </c>
    </row>
    <row r="60" spans="1:16">
      <c r="A60">
        <v>2125</v>
      </c>
      <c r="B60">
        <v>3169</v>
      </c>
      <c r="C60">
        <v>5230</v>
      </c>
      <c r="D60">
        <v>33.1</v>
      </c>
      <c r="E60">
        <v>0.6</v>
      </c>
      <c r="F60">
        <v>17.600000000000001</v>
      </c>
      <c r="G60">
        <v>4.9000000000000004</v>
      </c>
      <c r="H60">
        <v>18802</v>
      </c>
      <c r="I60">
        <v>28</v>
      </c>
      <c r="J60">
        <v>6</v>
      </c>
      <c r="K60">
        <v>15</v>
      </c>
      <c r="L60">
        <v>2</v>
      </c>
      <c r="M60">
        <v>22</v>
      </c>
      <c r="N60">
        <v>7</v>
      </c>
      <c r="O60">
        <v>12</v>
      </c>
      <c r="P60">
        <v>8</v>
      </c>
    </row>
    <row r="61" spans="1:16">
      <c r="A61">
        <v>22632</v>
      </c>
      <c r="B61">
        <v>29090</v>
      </c>
      <c r="C61">
        <v>32358</v>
      </c>
      <c r="D61">
        <v>28</v>
      </c>
      <c r="E61">
        <v>8.4</v>
      </c>
      <c r="F61">
        <v>41.9</v>
      </c>
      <c r="G61">
        <v>6.7</v>
      </c>
      <c r="H61">
        <v>36556.1</v>
      </c>
      <c r="I61">
        <v>12</v>
      </c>
      <c r="J61">
        <v>4</v>
      </c>
      <c r="K61">
        <v>16</v>
      </c>
      <c r="L61">
        <v>0</v>
      </c>
      <c r="M61">
        <v>26</v>
      </c>
      <c r="N61">
        <v>18</v>
      </c>
      <c r="O61">
        <v>14</v>
      </c>
      <c r="P61">
        <v>10</v>
      </c>
    </row>
    <row r="64" spans="1:16">
      <c r="A64" t="str">
        <f>A33</f>
        <v>Rendimento Ensino basico</v>
      </c>
      <c r="B64" t="str">
        <f t="shared" ref="B64:P64" si="0">B33</f>
        <v>Rendimento Ensino pos-secundario</v>
      </c>
      <c r="C64" t="str">
        <f t="shared" si="0"/>
        <v>Rendimento Ensino superior</v>
      </c>
      <c r="D64" t="str">
        <f t="shared" si="0"/>
        <v>Indice de Gini</v>
      </c>
      <c r="E64" t="str">
        <f t="shared" si="0"/>
        <v>Populacao estrangeira</v>
      </c>
      <c r="F64" t="str">
        <f t="shared" si="0"/>
        <v>Populacao ensino superior</v>
      </c>
      <c r="G64" t="str">
        <f t="shared" si="0"/>
        <v>Populacao desempregada</v>
      </c>
      <c r="H64" t="str">
        <f t="shared" si="0"/>
        <v>PIB per capita</v>
      </c>
      <c r="I64" t="str">
        <f t="shared" si="0"/>
        <v>Despesa Alimentacao</v>
      </c>
      <c r="J64" t="str">
        <f t="shared" si="0"/>
        <v>Despesa Saude</v>
      </c>
      <c r="K64" t="str">
        <f t="shared" si="0"/>
        <v>Despesa Transportes e comunicacoes</v>
      </c>
      <c r="L64" t="str">
        <f t="shared" si="0"/>
        <v>Despesa Educacao</v>
      </c>
      <c r="M64" t="str">
        <f t="shared" si="0"/>
        <v>Despesa Habitacao e utilidades</v>
      </c>
      <c r="N64" t="str">
        <f t="shared" si="0"/>
        <v>Despesa Servicos</v>
      </c>
      <c r="O64" t="str">
        <f t="shared" si="0"/>
        <v>Despesa Lazer e cultura</v>
      </c>
      <c r="P64" t="str">
        <f t="shared" si="0"/>
        <v>Despesa Vestuario e recheio de casa</v>
      </c>
    </row>
    <row r="65" spans="1:16">
      <c r="A65">
        <f>_xlfn.RANK.AVG(A34,A$34:A$61,0)</f>
        <v>10</v>
      </c>
      <c r="B65">
        <f t="shared" ref="B65:P65" si="1">_xlfn.RANK.AVG(B34,B$34:B$61,0)</f>
        <v>10</v>
      </c>
      <c r="C65">
        <f t="shared" si="1"/>
        <v>10</v>
      </c>
      <c r="D65">
        <f t="shared" si="1"/>
        <v>17</v>
      </c>
      <c r="E65">
        <f t="shared" si="1"/>
        <v>9</v>
      </c>
      <c r="F65">
        <f t="shared" si="1"/>
        <v>19</v>
      </c>
      <c r="G65">
        <f t="shared" si="1"/>
        <v>27</v>
      </c>
      <c r="H65">
        <f t="shared" si="1"/>
        <v>6</v>
      </c>
      <c r="I65">
        <f t="shared" si="1"/>
        <v>23</v>
      </c>
      <c r="J65">
        <f t="shared" si="1"/>
        <v>8</v>
      </c>
      <c r="K65">
        <f t="shared" si="1"/>
        <v>4.5</v>
      </c>
      <c r="L65">
        <f t="shared" si="1"/>
        <v>17</v>
      </c>
      <c r="M65">
        <f t="shared" si="1"/>
        <v>13</v>
      </c>
      <c r="N65">
        <f t="shared" si="1"/>
        <v>17</v>
      </c>
      <c r="O65">
        <f t="shared" si="1"/>
        <v>21.5</v>
      </c>
      <c r="P65">
        <f t="shared" si="1"/>
        <v>3.5</v>
      </c>
    </row>
    <row r="66" spans="1:16">
      <c r="A66">
        <f t="shared" ref="A66:P66" si="2">_xlfn.RANK.AVG(A35,A$34:A$61,0)</f>
        <v>6</v>
      </c>
      <c r="B66">
        <f t="shared" si="2"/>
        <v>4</v>
      </c>
      <c r="C66">
        <f t="shared" si="2"/>
        <v>3</v>
      </c>
      <c r="D66">
        <f t="shared" si="2"/>
        <v>21</v>
      </c>
      <c r="E66">
        <f t="shared" si="2"/>
        <v>3</v>
      </c>
      <c r="F66">
        <f t="shared" si="2"/>
        <v>16</v>
      </c>
      <c r="G66">
        <f t="shared" si="2"/>
        <v>19.5</v>
      </c>
      <c r="H66">
        <f t="shared" si="2"/>
        <v>4</v>
      </c>
      <c r="I66">
        <f t="shared" si="2"/>
        <v>25</v>
      </c>
      <c r="J66">
        <f t="shared" si="2"/>
        <v>17</v>
      </c>
      <c r="K66">
        <f t="shared" si="2"/>
        <v>22</v>
      </c>
      <c r="L66">
        <f t="shared" si="2"/>
        <v>17</v>
      </c>
      <c r="M66">
        <f t="shared" si="2"/>
        <v>13</v>
      </c>
      <c r="N66">
        <f t="shared" si="2"/>
        <v>6</v>
      </c>
      <c r="O66">
        <f t="shared" si="2"/>
        <v>16.5</v>
      </c>
      <c r="P66">
        <f t="shared" si="2"/>
        <v>3.5</v>
      </c>
    </row>
    <row r="67" spans="1:16">
      <c r="A67">
        <f t="shared" ref="A67:P67" si="3">_xlfn.RANK.AVG(A36,A$34:A$61,0)</f>
        <v>9</v>
      </c>
      <c r="B67">
        <f t="shared" si="3"/>
        <v>8</v>
      </c>
      <c r="C67">
        <f t="shared" si="3"/>
        <v>9</v>
      </c>
      <c r="D67">
        <f t="shared" si="3"/>
        <v>24</v>
      </c>
      <c r="E67">
        <f t="shared" si="3"/>
        <v>6</v>
      </c>
      <c r="F67">
        <f t="shared" si="3"/>
        <v>6.5</v>
      </c>
      <c r="G67">
        <f t="shared" si="3"/>
        <v>11.5</v>
      </c>
      <c r="H67">
        <f t="shared" si="3"/>
        <v>8</v>
      </c>
      <c r="I67">
        <f t="shared" si="3"/>
        <v>15</v>
      </c>
      <c r="J67">
        <f t="shared" si="3"/>
        <v>1</v>
      </c>
      <c r="K67">
        <f t="shared" si="3"/>
        <v>26</v>
      </c>
      <c r="L67">
        <f t="shared" si="3"/>
        <v>26</v>
      </c>
      <c r="M67">
        <f t="shared" si="3"/>
        <v>9.5</v>
      </c>
      <c r="N67">
        <f t="shared" si="3"/>
        <v>13</v>
      </c>
      <c r="O67">
        <f t="shared" si="3"/>
        <v>21.5</v>
      </c>
      <c r="P67">
        <f t="shared" si="3"/>
        <v>12</v>
      </c>
    </row>
    <row r="68" spans="1:16">
      <c r="A68">
        <f t="shared" ref="A68:P68" si="4">_xlfn.RANK.AVG(A37,A$34:A$61,0)</f>
        <v>26</v>
      </c>
      <c r="B68">
        <f t="shared" si="4"/>
        <v>26</v>
      </c>
      <c r="C68">
        <f t="shared" si="4"/>
        <v>26</v>
      </c>
      <c r="D68">
        <f t="shared" si="4"/>
        <v>1</v>
      </c>
      <c r="E68">
        <f t="shared" si="4"/>
        <v>24.5</v>
      </c>
      <c r="F68">
        <f t="shared" si="4"/>
        <v>20</v>
      </c>
      <c r="G68">
        <f t="shared" si="4"/>
        <v>16</v>
      </c>
      <c r="H68">
        <f t="shared" si="4"/>
        <v>28</v>
      </c>
      <c r="I68">
        <f t="shared" si="4"/>
        <v>4.5</v>
      </c>
      <c r="J68">
        <f t="shared" si="4"/>
        <v>3</v>
      </c>
      <c r="K68">
        <f t="shared" si="4"/>
        <v>2</v>
      </c>
      <c r="L68">
        <f t="shared" si="4"/>
        <v>17</v>
      </c>
      <c r="M68">
        <f t="shared" si="4"/>
        <v>19.5</v>
      </c>
      <c r="N68">
        <f t="shared" si="4"/>
        <v>25</v>
      </c>
      <c r="O68">
        <f t="shared" si="4"/>
        <v>16.5</v>
      </c>
      <c r="P68">
        <f t="shared" si="4"/>
        <v>25</v>
      </c>
    </row>
    <row r="69" spans="1:16">
      <c r="A69">
        <f t="shared" ref="A69:P69" si="5">_xlfn.RANK.AVG(A38,A$34:A$61,0)</f>
        <v>14</v>
      </c>
      <c r="B69">
        <f t="shared" si="5"/>
        <v>14</v>
      </c>
      <c r="C69">
        <f t="shared" si="5"/>
        <v>13</v>
      </c>
      <c r="D69">
        <f t="shared" si="5"/>
        <v>13</v>
      </c>
      <c r="E69">
        <f t="shared" si="5"/>
        <v>2</v>
      </c>
      <c r="F69">
        <f t="shared" si="5"/>
        <v>4</v>
      </c>
      <c r="G69">
        <f t="shared" si="5"/>
        <v>5</v>
      </c>
      <c r="H69">
        <f t="shared" si="5"/>
        <v>17</v>
      </c>
      <c r="I69">
        <f t="shared" si="5"/>
        <v>15</v>
      </c>
      <c r="J69">
        <f t="shared" si="5"/>
        <v>8</v>
      </c>
      <c r="K69">
        <f t="shared" si="5"/>
        <v>10</v>
      </c>
      <c r="L69">
        <f t="shared" si="5"/>
        <v>1.5</v>
      </c>
      <c r="M69">
        <f t="shared" si="5"/>
        <v>26.5</v>
      </c>
      <c r="N69">
        <f t="shared" si="5"/>
        <v>2.5</v>
      </c>
      <c r="O69">
        <f t="shared" si="5"/>
        <v>21.5</v>
      </c>
      <c r="P69">
        <f t="shared" si="5"/>
        <v>19</v>
      </c>
    </row>
    <row r="70" spans="1:16">
      <c r="A70">
        <f t="shared" ref="A70:P70" si="6">_xlfn.RANK.AVG(A39,A$34:A$61,0)</f>
        <v>23</v>
      </c>
      <c r="B70">
        <f t="shared" si="6"/>
        <v>22</v>
      </c>
      <c r="C70">
        <f t="shared" si="6"/>
        <v>22</v>
      </c>
      <c r="D70">
        <f t="shared" si="6"/>
        <v>14</v>
      </c>
      <c r="E70">
        <f t="shared" si="6"/>
        <v>24.5</v>
      </c>
      <c r="F70">
        <f t="shared" si="6"/>
        <v>25</v>
      </c>
      <c r="G70">
        <f t="shared" si="6"/>
        <v>3.5</v>
      </c>
      <c r="H70">
        <f t="shared" si="6"/>
        <v>27</v>
      </c>
      <c r="I70">
        <f t="shared" si="6"/>
        <v>4.5</v>
      </c>
      <c r="J70">
        <f t="shared" si="6"/>
        <v>17</v>
      </c>
      <c r="K70">
        <f t="shared" si="6"/>
        <v>26</v>
      </c>
      <c r="L70">
        <f t="shared" si="6"/>
        <v>17</v>
      </c>
      <c r="M70">
        <f t="shared" si="6"/>
        <v>25</v>
      </c>
      <c r="N70">
        <f t="shared" si="6"/>
        <v>6</v>
      </c>
      <c r="O70">
        <f t="shared" si="6"/>
        <v>5</v>
      </c>
      <c r="P70">
        <f t="shared" si="6"/>
        <v>19</v>
      </c>
    </row>
    <row r="71" spans="1:16">
      <c r="A71">
        <f t="shared" ref="A71:P71" si="7">_xlfn.RANK.AVG(A40,A$34:A$61,0)</f>
        <v>2</v>
      </c>
      <c r="B71">
        <f t="shared" si="7"/>
        <v>2</v>
      </c>
      <c r="C71">
        <f t="shared" si="7"/>
        <v>2</v>
      </c>
      <c r="D71">
        <f t="shared" si="7"/>
        <v>22</v>
      </c>
      <c r="E71">
        <f t="shared" si="7"/>
        <v>12.5</v>
      </c>
      <c r="F71">
        <f t="shared" si="7"/>
        <v>10</v>
      </c>
      <c r="G71">
        <f t="shared" si="7"/>
        <v>18</v>
      </c>
      <c r="H71">
        <f t="shared" si="7"/>
        <v>5</v>
      </c>
      <c r="I71">
        <f t="shared" si="7"/>
        <v>23</v>
      </c>
      <c r="J71">
        <f t="shared" si="7"/>
        <v>24.5</v>
      </c>
      <c r="K71">
        <f t="shared" si="7"/>
        <v>22</v>
      </c>
      <c r="L71">
        <f t="shared" si="7"/>
        <v>17</v>
      </c>
      <c r="M71">
        <f t="shared" si="7"/>
        <v>1.5</v>
      </c>
      <c r="N71">
        <f t="shared" si="7"/>
        <v>17</v>
      </c>
      <c r="O71">
        <f t="shared" si="7"/>
        <v>5</v>
      </c>
      <c r="P71">
        <f t="shared" si="7"/>
        <v>19</v>
      </c>
    </row>
    <row r="72" spans="1:16">
      <c r="A72">
        <f t="shared" ref="A72:P72" si="8">_xlfn.RANK.AVG(A41,A$34:A$61,0)</f>
        <v>20</v>
      </c>
      <c r="B72">
        <f t="shared" si="8"/>
        <v>20</v>
      </c>
      <c r="C72">
        <f t="shared" si="8"/>
        <v>24</v>
      </c>
      <c r="D72">
        <f t="shared" si="8"/>
        <v>28</v>
      </c>
      <c r="E72">
        <f t="shared" si="8"/>
        <v>23</v>
      </c>
      <c r="F72">
        <f t="shared" si="8"/>
        <v>26</v>
      </c>
      <c r="G72">
        <f t="shared" si="8"/>
        <v>10</v>
      </c>
      <c r="H72">
        <f t="shared" si="8"/>
        <v>21</v>
      </c>
      <c r="I72">
        <f t="shared" si="8"/>
        <v>7</v>
      </c>
      <c r="J72">
        <f t="shared" si="8"/>
        <v>24.5</v>
      </c>
      <c r="K72">
        <f t="shared" si="8"/>
        <v>28</v>
      </c>
      <c r="L72">
        <f t="shared" si="8"/>
        <v>6.5</v>
      </c>
      <c r="M72">
        <f t="shared" si="8"/>
        <v>9.5</v>
      </c>
      <c r="N72">
        <f t="shared" si="8"/>
        <v>22</v>
      </c>
      <c r="O72">
        <f t="shared" si="8"/>
        <v>5</v>
      </c>
      <c r="P72">
        <f t="shared" si="8"/>
        <v>12</v>
      </c>
    </row>
    <row r="73" spans="1:16">
      <c r="A73">
        <f t="shared" ref="A73:P73" si="9">_xlfn.RANK.AVG(A42,A$34:A$61,0)</f>
        <v>15</v>
      </c>
      <c r="B73">
        <f t="shared" si="9"/>
        <v>15</v>
      </c>
      <c r="C73">
        <f t="shared" si="9"/>
        <v>16</v>
      </c>
      <c r="D73">
        <f t="shared" si="9"/>
        <v>27</v>
      </c>
      <c r="E73">
        <f t="shared" si="9"/>
        <v>17</v>
      </c>
      <c r="F73">
        <f t="shared" si="9"/>
        <v>15</v>
      </c>
      <c r="G73">
        <f t="shared" si="9"/>
        <v>15</v>
      </c>
      <c r="H73">
        <f t="shared" si="9"/>
        <v>16</v>
      </c>
      <c r="I73">
        <f t="shared" si="9"/>
        <v>13</v>
      </c>
      <c r="J73">
        <f t="shared" si="9"/>
        <v>17</v>
      </c>
      <c r="K73">
        <f t="shared" si="9"/>
        <v>2</v>
      </c>
      <c r="L73">
        <f t="shared" si="9"/>
        <v>17</v>
      </c>
      <c r="M73">
        <f t="shared" si="9"/>
        <v>21.5</v>
      </c>
      <c r="N73">
        <f t="shared" si="9"/>
        <v>17</v>
      </c>
      <c r="O73">
        <f t="shared" si="9"/>
        <v>10.5</v>
      </c>
      <c r="P73">
        <f t="shared" si="9"/>
        <v>12</v>
      </c>
    </row>
    <row r="74" spans="1:16">
      <c r="A74">
        <f t="shared" ref="A74:P74" si="10">_xlfn.RANK.AVG(A43,A$34:A$61,0)</f>
        <v>13</v>
      </c>
      <c r="B74">
        <f t="shared" si="10"/>
        <v>13</v>
      </c>
      <c r="C74">
        <f t="shared" si="10"/>
        <v>14</v>
      </c>
      <c r="D74">
        <f t="shared" si="10"/>
        <v>5</v>
      </c>
      <c r="E74">
        <f t="shared" si="10"/>
        <v>10</v>
      </c>
      <c r="F74">
        <f t="shared" si="10"/>
        <v>12</v>
      </c>
      <c r="G74">
        <f t="shared" si="10"/>
        <v>2</v>
      </c>
      <c r="H74">
        <f t="shared" si="10"/>
        <v>14</v>
      </c>
      <c r="I74">
        <f t="shared" si="10"/>
        <v>19.5</v>
      </c>
      <c r="J74">
        <f t="shared" si="10"/>
        <v>17</v>
      </c>
      <c r="K74">
        <f t="shared" si="10"/>
        <v>16</v>
      </c>
      <c r="L74">
        <f t="shared" si="10"/>
        <v>6.5</v>
      </c>
      <c r="M74">
        <f t="shared" si="10"/>
        <v>15.5</v>
      </c>
      <c r="N74">
        <f t="shared" si="10"/>
        <v>2.5</v>
      </c>
      <c r="O74">
        <f t="shared" si="10"/>
        <v>25.5</v>
      </c>
      <c r="P74">
        <f t="shared" si="10"/>
        <v>25</v>
      </c>
    </row>
    <row r="75" spans="1:16">
      <c r="A75">
        <f t="shared" ref="A75:P75" si="11">_xlfn.RANK.AVG(A44,A$34:A$61,0)</f>
        <v>17</v>
      </c>
      <c r="B75">
        <f t="shared" si="11"/>
        <v>17</v>
      </c>
      <c r="C75">
        <f t="shared" si="11"/>
        <v>17</v>
      </c>
      <c r="D75">
        <f t="shared" si="11"/>
        <v>11</v>
      </c>
      <c r="E75">
        <f t="shared" si="11"/>
        <v>4</v>
      </c>
      <c r="F75">
        <f t="shared" si="11"/>
        <v>9</v>
      </c>
      <c r="G75">
        <f t="shared" si="11"/>
        <v>17</v>
      </c>
      <c r="H75">
        <f t="shared" si="11"/>
        <v>19</v>
      </c>
      <c r="I75">
        <f t="shared" si="11"/>
        <v>3</v>
      </c>
      <c r="J75">
        <f t="shared" si="11"/>
        <v>24.5</v>
      </c>
      <c r="K75">
        <f t="shared" si="11"/>
        <v>16</v>
      </c>
      <c r="L75">
        <f t="shared" si="11"/>
        <v>26</v>
      </c>
      <c r="M75">
        <f t="shared" si="11"/>
        <v>23.5</v>
      </c>
      <c r="N75">
        <f t="shared" si="11"/>
        <v>22</v>
      </c>
      <c r="O75">
        <f t="shared" si="11"/>
        <v>3</v>
      </c>
      <c r="P75">
        <f t="shared" si="11"/>
        <v>7</v>
      </c>
    </row>
    <row r="76" spans="1:16">
      <c r="A76">
        <f t="shared" ref="A76:P76" si="12">_xlfn.RANK.AVG(A45,A$34:A$61,0)</f>
        <v>5</v>
      </c>
      <c r="B76">
        <f t="shared" si="12"/>
        <v>6</v>
      </c>
      <c r="C76">
        <f t="shared" si="12"/>
        <v>4</v>
      </c>
      <c r="D76">
        <f t="shared" si="12"/>
        <v>25</v>
      </c>
      <c r="E76">
        <f t="shared" si="12"/>
        <v>20</v>
      </c>
      <c r="F76">
        <f t="shared" si="12"/>
        <v>2</v>
      </c>
      <c r="G76">
        <f t="shared" si="12"/>
        <v>9</v>
      </c>
      <c r="H76">
        <f t="shared" si="12"/>
        <v>9</v>
      </c>
      <c r="I76">
        <f t="shared" si="12"/>
        <v>19.5</v>
      </c>
      <c r="J76">
        <f t="shared" si="12"/>
        <v>8</v>
      </c>
      <c r="K76">
        <f t="shared" si="12"/>
        <v>22</v>
      </c>
      <c r="L76">
        <f t="shared" si="12"/>
        <v>26</v>
      </c>
      <c r="M76">
        <f t="shared" si="12"/>
        <v>1.5</v>
      </c>
      <c r="N76">
        <f t="shared" si="12"/>
        <v>22</v>
      </c>
      <c r="O76">
        <f t="shared" si="12"/>
        <v>10.5</v>
      </c>
      <c r="P76">
        <f t="shared" si="12"/>
        <v>19</v>
      </c>
    </row>
    <row r="77" spans="1:16">
      <c r="A77">
        <f t="shared" ref="A77:P77" si="13">_xlfn.RANK.AVG(A46,A$34:A$61,0)</f>
        <v>4</v>
      </c>
      <c r="B77">
        <f t="shared" si="13"/>
        <v>5</v>
      </c>
      <c r="C77">
        <f t="shared" si="13"/>
        <v>5</v>
      </c>
      <c r="D77">
        <f t="shared" si="13"/>
        <v>15</v>
      </c>
      <c r="E77">
        <f t="shared" si="13"/>
        <v>16</v>
      </c>
      <c r="F77">
        <f t="shared" si="13"/>
        <v>13</v>
      </c>
      <c r="G77">
        <f t="shared" si="13"/>
        <v>6</v>
      </c>
      <c r="H77">
        <f t="shared" si="13"/>
        <v>11</v>
      </c>
      <c r="I77">
        <f t="shared" si="13"/>
        <v>17</v>
      </c>
      <c r="J77">
        <f t="shared" si="13"/>
        <v>17</v>
      </c>
      <c r="K77">
        <f t="shared" si="13"/>
        <v>10</v>
      </c>
      <c r="L77">
        <f t="shared" si="13"/>
        <v>17</v>
      </c>
      <c r="M77">
        <f t="shared" si="13"/>
        <v>4.5</v>
      </c>
      <c r="N77">
        <f t="shared" si="13"/>
        <v>14</v>
      </c>
      <c r="O77">
        <f t="shared" si="13"/>
        <v>21.5</v>
      </c>
      <c r="P77">
        <f t="shared" si="13"/>
        <v>19</v>
      </c>
    </row>
    <row r="78" spans="1:16">
      <c r="A78">
        <f t="shared" ref="A78:P78" si="14">_xlfn.RANK.AVG(A47,A$34:A$61,0)</f>
        <v>18</v>
      </c>
      <c r="B78">
        <f t="shared" si="14"/>
        <v>19</v>
      </c>
      <c r="C78">
        <f t="shared" si="14"/>
        <v>18</v>
      </c>
      <c r="D78">
        <f t="shared" si="14"/>
        <v>7</v>
      </c>
      <c r="E78">
        <f t="shared" si="14"/>
        <v>15</v>
      </c>
      <c r="F78">
        <f t="shared" si="14"/>
        <v>17</v>
      </c>
      <c r="G78">
        <f t="shared" si="14"/>
        <v>1</v>
      </c>
      <c r="H78">
        <f t="shared" si="14"/>
        <v>24</v>
      </c>
      <c r="I78">
        <f t="shared" si="14"/>
        <v>10</v>
      </c>
      <c r="J78">
        <f t="shared" si="14"/>
        <v>17</v>
      </c>
      <c r="K78">
        <f t="shared" si="14"/>
        <v>4.5</v>
      </c>
      <c r="L78">
        <f t="shared" si="14"/>
        <v>6.5</v>
      </c>
      <c r="M78">
        <f t="shared" si="14"/>
        <v>19.5</v>
      </c>
      <c r="N78">
        <f t="shared" si="14"/>
        <v>9</v>
      </c>
      <c r="O78">
        <f t="shared" si="14"/>
        <v>27</v>
      </c>
      <c r="P78">
        <f t="shared" si="14"/>
        <v>28</v>
      </c>
    </row>
    <row r="79" spans="1:16">
      <c r="A79">
        <f t="shared" ref="A79:P79" si="15">_xlfn.RANK.AVG(A48,A$34:A$61,0)</f>
        <v>25</v>
      </c>
      <c r="B79">
        <f t="shared" si="15"/>
        <v>25</v>
      </c>
      <c r="C79">
        <f t="shared" si="15"/>
        <v>25</v>
      </c>
      <c r="D79">
        <f t="shared" si="15"/>
        <v>19</v>
      </c>
      <c r="E79">
        <f t="shared" si="15"/>
        <v>22</v>
      </c>
      <c r="F79">
        <f t="shared" si="15"/>
        <v>21</v>
      </c>
      <c r="G79">
        <f t="shared" si="15"/>
        <v>25</v>
      </c>
      <c r="H79">
        <f t="shared" si="15"/>
        <v>23</v>
      </c>
      <c r="I79">
        <f t="shared" si="15"/>
        <v>7</v>
      </c>
      <c r="J79">
        <f t="shared" si="15"/>
        <v>17</v>
      </c>
      <c r="K79">
        <f t="shared" si="15"/>
        <v>6.5</v>
      </c>
      <c r="L79">
        <f t="shared" si="15"/>
        <v>6.5</v>
      </c>
      <c r="M79">
        <f t="shared" si="15"/>
        <v>21.5</v>
      </c>
      <c r="N79">
        <f t="shared" si="15"/>
        <v>17</v>
      </c>
      <c r="O79">
        <f t="shared" si="15"/>
        <v>10.5</v>
      </c>
      <c r="P79">
        <f t="shared" si="15"/>
        <v>25</v>
      </c>
    </row>
    <row r="80" spans="1:16">
      <c r="D80">
        <f t="shared" ref="D80:P80" si="16">_xlfn.RANK.AVG(D49,D$34:D$61,0)</f>
        <v>3</v>
      </c>
      <c r="E80">
        <f t="shared" si="16"/>
        <v>7.5</v>
      </c>
      <c r="F80">
        <f t="shared" si="16"/>
        <v>1</v>
      </c>
      <c r="G80">
        <f t="shared" si="16"/>
        <v>13.5</v>
      </c>
      <c r="H80">
        <f t="shared" si="16"/>
        <v>2</v>
      </c>
      <c r="I80">
        <f t="shared" si="16"/>
        <v>26.5</v>
      </c>
      <c r="J80">
        <f t="shared" si="16"/>
        <v>8</v>
      </c>
      <c r="K80">
        <f t="shared" si="16"/>
        <v>10</v>
      </c>
      <c r="L80">
        <f t="shared" si="16"/>
        <v>1.5</v>
      </c>
      <c r="M80">
        <f t="shared" si="16"/>
        <v>9.5</v>
      </c>
      <c r="N80">
        <f t="shared" si="16"/>
        <v>6</v>
      </c>
      <c r="O80">
        <f t="shared" si="16"/>
        <v>21.5</v>
      </c>
      <c r="P80">
        <f t="shared" si="16"/>
        <v>25</v>
      </c>
    </row>
    <row r="81" spans="1:17">
      <c r="A81">
        <f t="shared" ref="A81:P81" si="17">_xlfn.RANK.AVG(A50,A$34:A$61,0)</f>
        <v>11</v>
      </c>
      <c r="B81">
        <f t="shared" si="17"/>
        <v>11</v>
      </c>
      <c r="C81">
        <f t="shared" si="17"/>
        <v>11</v>
      </c>
      <c r="D81">
        <f t="shared" si="17"/>
        <v>10</v>
      </c>
      <c r="E81">
        <f t="shared" si="17"/>
        <v>14</v>
      </c>
      <c r="F81">
        <f t="shared" si="17"/>
        <v>27</v>
      </c>
      <c r="G81">
        <f t="shared" si="17"/>
        <v>3.5</v>
      </c>
      <c r="H81">
        <f t="shared" si="17"/>
        <v>12</v>
      </c>
      <c r="I81">
        <f t="shared" si="17"/>
        <v>15</v>
      </c>
      <c r="J81">
        <f t="shared" si="17"/>
        <v>17</v>
      </c>
      <c r="K81">
        <f t="shared" si="17"/>
        <v>22</v>
      </c>
      <c r="L81">
        <f t="shared" si="17"/>
        <v>17</v>
      </c>
      <c r="M81">
        <f t="shared" si="17"/>
        <v>13</v>
      </c>
      <c r="N81">
        <f t="shared" si="17"/>
        <v>11</v>
      </c>
      <c r="O81">
        <f t="shared" si="17"/>
        <v>25.5</v>
      </c>
      <c r="P81">
        <f t="shared" si="17"/>
        <v>3.5</v>
      </c>
    </row>
    <row r="82" spans="1:17">
      <c r="A82">
        <f t="shared" ref="A82:P82" si="18">_xlfn.RANK.AVG(A51,A$34:A$61,0)</f>
        <v>21</v>
      </c>
      <c r="B82">
        <f t="shared" si="18"/>
        <v>21</v>
      </c>
      <c r="C82">
        <f t="shared" si="18"/>
        <v>21</v>
      </c>
      <c r="D82">
        <f t="shared" si="18"/>
        <v>4</v>
      </c>
      <c r="E82">
        <f t="shared" si="18"/>
        <v>5</v>
      </c>
      <c r="F82">
        <f t="shared" si="18"/>
        <v>14</v>
      </c>
      <c r="G82">
        <f t="shared" si="18"/>
        <v>8</v>
      </c>
      <c r="H82">
        <f t="shared" si="18"/>
        <v>25</v>
      </c>
      <c r="I82">
        <f t="shared" si="18"/>
        <v>7</v>
      </c>
      <c r="J82">
        <f t="shared" si="18"/>
        <v>8</v>
      </c>
      <c r="K82">
        <f t="shared" si="18"/>
        <v>16</v>
      </c>
      <c r="L82">
        <f t="shared" si="18"/>
        <v>6.5</v>
      </c>
      <c r="M82">
        <f t="shared" si="18"/>
        <v>17.5</v>
      </c>
      <c r="N82">
        <f t="shared" si="18"/>
        <v>26.5</v>
      </c>
      <c r="O82">
        <f t="shared" si="18"/>
        <v>1</v>
      </c>
      <c r="P82">
        <f t="shared" si="18"/>
        <v>19</v>
      </c>
    </row>
    <row r="83" spans="1:17">
      <c r="A83">
        <f t="shared" ref="A83:P83" si="19">_xlfn.RANK.AVG(A52,A$34:A$61,0)</f>
        <v>24</v>
      </c>
      <c r="B83">
        <f t="shared" si="19"/>
        <v>23</v>
      </c>
      <c r="C83">
        <f t="shared" si="19"/>
        <v>20</v>
      </c>
      <c r="D83">
        <f t="shared" si="19"/>
        <v>2</v>
      </c>
      <c r="E83">
        <f t="shared" si="19"/>
        <v>26</v>
      </c>
      <c r="F83">
        <f t="shared" si="19"/>
        <v>6.5</v>
      </c>
      <c r="G83">
        <f t="shared" si="19"/>
        <v>11.5</v>
      </c>
      <c r="H83">
        <f t="shared" si="19"/>
        <v>18</v>
      </c>
      <c r="I83">
        <f t="shared" si="19"/>
        <v>2</v>
      </c>
      <c r="J83">
        <f t="shared" si="19"/>
        <v>8</v>
      </c>
      <c r="K83">
        <f t="shared" si="19"/>
        <v>2</v>
      </c>
      <c r="L83">
        <f t="shared" si="19"/>
        <v>26</v>
      </c>
      <c r="M83">
        <f t="shared" si="19"/>
        <v>26.5</v>
      </c>
      <c r="N83">
        <f t="shared" si="19"/>
        <v>26.5</v>
      </c>
      <c r="O83">
        <f t="shared" si="19"/>
        <v>10.5</v>
      </c>
      <c r="P83">
        <f t="shared" si="19"/>
        <v>1</v>
      </c>
    </row>
    <row r="84" spans="1:17">
      <c r="A84">
        <f t="shared" ref="A84:P84" si="20">_xlfn.RANK.AVG(A53,A$34:A$61,0)</f>
        <v>1</v>
      </c>
      <c r="B84">
        <f t="shared" si="20"/>
        <v>1</v>
      </c>
      <c r="C84">
        <f t="shared" si="20"/>
        <v>1</v>
      </c>
      <c r="D84">
        <f t="shared" si="20"/>
        <v>12</v>
      </c>
      <c r="E84">
        <f t="shared" si="20"/>
        <v>1</v>
      </c>
      <c r="F84">
        <f t="shared" si="20"/>
        <v>8</v>
      </c>
      <c r="G84">
        <f t="shared" si="20"/>
        <v>19.5</v>
      </c>
      <c r="H84">
        <f t="shared" si="20"/>
        <v>1</v>
      </c>
      <c r="I84">
        <f t="shared" si="20"/>
        <v>26.5</v>
      </c>
      <c r="J84">
        <f t="shared" si="20"/>
        <v>24.5</v>
      </c>
      <c r="K84">
        <f t="shared" si="20"/>
        <v>6.5</v>
      </c>
      <c r="L84">
        <f t="shared" si="20"/>
        <v>17</v>
      </c>
      <c r="M84">
        <f t="shared" si="20"/>
        <v>6.5</v>
      </c>
      <c r="N84">
        <f t="shared" si="20"/>
        <v>11</v>
      </c>
      <c r="O84">
        <f t="shared" si="20"/>
        <v>10.5</v>
      </c>
      <c r="P84">
        <f t="shared" si="20"/>
        <v>12</v>
      </c>
    </row>
    <row r="85" spans="1:17">
      <c r="A85">
        <f t="shared" ref="A85:P85" si="21">_xlfn.RANK.AVG(A54,A$34:A$61,0)</f>
        <v>12</v>
      </c>
      <c r="B85">
        <f t="shared" si="21"/>
        <v>12</v>
      </c>
      <c r="C85">
        <f t="shared" si="21"/>
        <v>12</v>
      </c>
      <c r="D85">
        <f t="shared" si="21"/>
        <v>18</v>
      </c>
      <c r="E85">
        <f t="shared" si="21"/>
        <v>7.5</v>
      </c>
      <c r="F85">
        <f t="shared" si="21"/>
        <v>23.5</v>
      </c>
      <c r="G85">
        <f t="shared" si="21"/>
        <v>26</v>
      </c>
      <c r="H85">
        <f t="shared" si="21"/>
        <v>13</v>
      </c>
      <c r="I85">
        <f t="shared" si="21"/>
        <v>19.5</v>
      </c>
      <c r="J85">
        <f t="shared" si="21"/>
        <v>17</v>
      </c>
      <c r="K85">
        <f t="shared" si="21"/>
        <v>16</v>
      </c>
      <c r="L85">
        <f t="shared" si="21"/>
        <v>6.5</v>
      </c>
      <c r="M85">
        <f t="shared" si="21"/>
        <v>28</v>
      </c>
      <c r="N85">
        <f t="shared" si="21"/>
        <v>1</v>
      </c>
      <c r="O85">
        <f t="shared" si="21"/>
        <v>10.5</v>
      </c>
      <c r="P85">
        <f t="shared" si="21"/>
        <v>3.5</v>
      </c>
    </row>
    <row r="86" spans="1:17">
      <c r="A86">
        <f t="shared" ref="A86:P86" si="22">_xlfn.RANK.AVG(A55,A$34:A$61,0)</f>
        <v>7</v>
      </c>
      <c r="B86">
        <f t="shared" si="22"/>
        <v>7</v>
      </c>
      <c r="C86">
        <f t="shared" si="22"/>
        <v>7</v>
      </c>
      <c r="D86">
        <f t="shared" si="22"/>
        <v>23</v>
      </c>
      <c r="E86">
        <f t="shared" si="22"/>
        <v>18</v>
      </c>
      <c r="F86">
        <f t="shared" si="22"/>
        <v>11</v>
      </c>
      <c r="G86">
        <f t="shared" si="22"/>
        <v>23</v>
      </c>
      <c r="H86">
        <f t="shared" si="22"/>
        <v>3</v>
      </c>
      <c r="I86">
        <f t="shared" si="22"/>
        <v>23</v>
      </c>
      <c r="J86">
        <f t="shared" si="22"/>
        <v>17</v>
      </c>
      <c r="K86">
        <f t="shared" si="22"/>
        <v>16</v>
      </c>
      <c r="L86">
        <f t="shared" si="22"/>
        <v>17</v>
      </c>
      <c r="M86">
        <f t="shared" si="22"/>
        <v>9.5</v>
      </c>
      <c r="N86">
        <f t="shared" si="22"/>
        <v>11</v>
      </c>
      <c r="O86">
        <f t="shared" si="22"/>
        <v>16.5</v>
      </c>
      <c r="P86">
        <f t="shared" si="22"/>
        <v>7</v>
      </c>
    </row>
    <row r="87" spans="1:17">
      <c r="A87">
        <f t="shared" ref="A87:P87" si="23">_xlfn.RANK.AVG(A56,A$34:A$61,0)</f>
        <v>22</v>
      </c>
      <c r="B87">
        <f t="shared" si="23"/>
        <v>24</v>
      </c>
      <c r="C87">
        <f t="shared" si="23"/>
        <v>23</v>
      </c>
      <c r="D87">
        <f t="shared" si="23"/>
        <v>16</v>
      </c>
      <c r="E87">
        <f t="shared" si="23"/>
        <v>27.5</v>
      </c>
      <c r="F87">
        <f t="shared" si="23"/>
        <v>18</v>
      </c>
      <c r="G87">
        <f t="shared" si="23"/>
        <v>21.5</v>
      </c>
      <c r="H87">
        <f t="shared" si="23"/>
        <v>22</v>
      </c>
      <c r="I87">
        <f t="shared" si="23"/>
        <v>10</v>
      </c>
      <c r="J87">
        <f t="shared" si="23"/>
        <v>3</v>
      </c>
      <c r="K87">
        <f t="shared" si="23"/>
        <v>22</v>
      </c>
      <c r="L87">
        <f t="shared" si="23"/>
        <v>17</v>
      </c>
      <c r="M87">
        <f t="shared" si="23"/>
        <v>17.5</v>
      </c>
      <c r="N87">
        <f t="shared" si="23"/>
        <v>22</v>
      </c>
      <c r="O87">
        <f t="shared" si="23"/>
        <v>10.5</v>
      </c>
      <c r="P87">
        <f t="shared" si="23"/>
        <v>12</v>
      </c>
    </row>
    <row r="88" spans="1:17">
      <c r="A88">
        <f t="shared" ref="A88:P88" si="24">_xlfn.RANK.AVG(A57,A$34:A$61,0)</f>
        <v>16</v>
      </c>
      <c r="B88">
        <f t="shared" si="24"/>
        <v>16</v>
      </c>
      <c r="C88">
        <f t="shared" si="24"/>
        <v>15</v>
      </c>
      <c r="D88">
        <f t="shared" si="24"/>
        <v>6</v>
      </c>
      <c r="E88">
        <f t="shared" si="24"/>
        <v>21</v>
      </c>
      <c r="F88">
        <f t="shared" si="24"/>
        <v>22</v>
      </c>
      <c r="G88">
        <f t="shared" si="24"/>
        <v>7</v>
      </c>
      <c r="H88">
        <f t="shared" si="24"/>
        <v>20</v>
      </c>
      <c r="I88">
        <f t="shared" si="24"/>
        <v>10</v>
      </c>
      <c r="J88">
        <f t="shared" si="24"/>
        <v>8</v>
      </c>
      <c r="K88">
        <f t="shared" si="24"/>
        <v>10</v>
      </c>
      <c r="L88">
        <f t="shared" si="24"/>
        <v>17</v>
      </c>
      <c r="M88">
        <f t="shared" si="24"/>
        <v>23.5</v>
      </c>
      <c r="N88">
        <f t="shared" si="24"/>
        <v>6</v>
      </c>
      <c r="O88">
        <f t="shared" si="24"/>
        <v>28</v>
      </c>
      <c r="P88">
        <f t="shared" si="24"/>
        <v>7</v>
      </c>
    </row>
    <row r="89" spans="1:17">
      <c r="A89">
        <f t="shared" ref="A89:P89" si="25">_xlfn.RANK.AVG(A58,A$34:A$61,0)</f>
        <v>8</v>
      </c>
      <c r="B89">
        <f t="shared" si="25"/>
        <v>9</v>
      </c>
      <c r="C89">
        <f t="shared" si="25"/>
        <v>8</v>
      </c>
      <c r="D89">
        <f t="shared" si="25"/>
        <v>8.5</v>
      </c>
      <c r="E89">
        <f t="shared" si="25"/>
        <v>11</v>
      </c>
      <c r="F89">
        <f t="shared" si="25"/>
        <v>3</v>
      </c>
      <c r="G89">
        <f t="shared" si="25"/>
        <v>24</v>
      </c>
      <c r="H89">
        <f t="shared" si="25"/>
        <v>10</v>
      </c>
      <c r="I89">
        <f t="shared" si="25"/>
        <v>28</v>
      </c>
      <c r="J89">
        <f t="shared" si="25"/>
        <v>27.5</v>
      </c>
      <c r="K89">
        <f t="shared" si="25"/>
        <v>16</v>
      </c>
      <c r="L89">
        <f t="shared" si="25"/>
        <v>6.5</v>
      </c>
      <c r="M89">
        <f t="shared" si="25"/>
        <v>3</v>
      </c>
      <c r="N89">
        <f t="shared" si="25"/>
        <v>6</v>
      </c>
      <c r="O89">
        <f t="shared" si="25"/>
        <v>16.5</v>
      </c>
      <c r="P89">
        <f t="shared" si="25"/>
        <v>12</v>
      </c>
    </row>
    <row r="90" spans="1:17">
      <c r="A90">
        <f t="shared" ref="A90:P90" si="26">_xlfn.RANK.AVG(A59,A$34:A$61,0)</f>
        <v>19</v>
      </c>
      <c r="B90">
        <f t="shared" si="26"/>
        <v>18</v>
      </c>
      <c r="C90">
        <f t="shared" si="26"/>
        <v>19</v>
      </c>
      <c r="D90">
        <f t="shared" si="26"/>
        <v>26</v>
      </c>
      <c r="E90">
        <f t="shared" si="26"/>
        <v>19</v>
      </c>
      <c r="F90">
        <f t="shared" si="26"/>
        <v>23.5</v>
      </c>
      <c r="G90">
        <f t="shared" si="26"/>
        <v>28</v>
      </c>
      <c r="H90">
        <f t="shared" si="26"/>
        <v>15</v>
      </c>
      <c r="I90">
        <f t="shared" si="26"/>
        <v>12</v>
      </c>
      <c r="J90">
        <f t="shared" si="26"/>
        <v>27.5</v>
      </c>
      <c r="K90">
        <f t="shared" si="26"/>
        <v>26</v>
      </c>
      <c r="L90">
        <f t="shared" si="26"/>
        <v>17</v>
      </c>
      <c r="M90">
        <f t="shared" si="26"/>
        <v>6.5</v>
      </c>
      <c r="N90">
        <f t="shared" si="26"/>
        <v>22</v>
      </c>
      <c r="O90">
        <f t="shared" si="26"/>
        <v>2</v>
      </c>
      <c r="P90">
        <f t="shared" si="26"/>
        <v>19</v>
      </c>
    </row>
    <row r="91" spans="1:17">
      <c r="A91">
        <f t="shared" ref="A91:P91" si="27">_xlfn.RANK.AVG(A60,A$34:A$61,0)</f>
        <v>27</v>
      </c>
      <c r="B91">
        <f t="shared" si="27"/>
        <v>27</v>
      </c>
      <c r="C91">
        <f t="shared" si="27"/>
        <v>27</v>
      </c>
      <c r="D91">
        <f t="shared" si="27"/>
        <v>8.5</v>
      </c>
      <c r="E91">
        <f t="shared" si="27"/>
        <v>27.5</v>
      </c>
      <c r="F91">
        <f t="shared" si="27"/>
        <v>28</v>
      </c>
      <c r="G91">
        <f t="shared" si="27"/>
        <v>21.5</v>
      </c>
      <c r="H91">
        <f t="shared" si="27"/>
        <v>26</v>
      </c>
      <c r="I91">
        <f t="shared" si="27"/>
        <v>1</v>
      </c>
      <c r="J91">
        <f t="shared" si="27"/>
        <v>3</v>
      </c>
      <c r="K91">
        <f t="shared" si="27"/>
        <v>16</v>
      </c>
      <c r="L91">
        <f t="shared" si="27"/>
        <v>6.5</v>
      </c>
      <c r="M91">
        <f t="shared" si="27"/>
        <v>15.5</v>
      </c>
      <c r="N91">
        <f t="shared" si="27"/>
        <v>28</v>
      </c>
      <c r="O91">
        <f t="shared" si="27"/>
        <v>21.5</v>
      </c>
      <c r="P91">
        <f t="shared" si="27"/>
        <v>25</v>
      </c>
    </row>
    <row r="92" spans="1:17">
      <c r="A92">
        <f t="shared" ref="A92:P92" si="28">_xlfn.RANK.AVG(A61,A$34:A$61,0)</f>
        <v>3</v>
      </c>
      <c r="B92">
        <f t="shared" si="28"/>
        <v>3</v>
      </c>
      <c r="C92">
        <f t="shared" si="28"/>
        <v>6</v>
      </c>
      <c r="D92">
        <f t="shared" si="28"/>
        <v>20</v>
      </c>
      <c r="E92">
        <f t="shared" si="28"/>
        <v>12.5</v>
      </c>
      <c r="F92">
        <f t="shared" si="28"/>
        <v>5</v>
      </c>
      <c r="G92">
        <f t="shared" si="28"/>
        <v>13.5</v>
      </c>
      <c r="H92">
        <f t="shared" si="28"/>
        <v>7</v>
      </c>
      <c r="I92">
        <f t="shared" si="28"/>
        <v>19.5</v>
      </c>
      <c r="J92">
        <f t="shared" si="28"/>
        <v>17</v>
      </c>
      <c r="K92">
        <f t="shared" si="28"/>
        <v>10</v>
      </c>
      <c r="L92">
        <f t="shared" si="28"/>
        <v>26</v>
      </c>
      <c r="M92">
        <f t="shared" si="28"/>
        <v>4.5</v>
      </c>
      <c r="N92">
        <f t="shared" si="28"/>
        <v>17</v>
      </c>
      <c r="O92">
        <f t="shared" si="28"/>
        <v>10.5</v>
      </c>
      <c r="P92">
        <f t="shared" si="28"/>
        <v>12</v>
      </c>
    </row>
    <row r="94" spans="1:17"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M94" t="s">
        <v>14</v>
      </c>
      <c r="N94" t="s">
        <v>15</v>
      </c>
      <c r="O94" t="s">
        <v>16</v>
      </c>
      <c r="P94" t="s">
        <v>17</v>
      </c>
      <c r="Q94" t="s">
        <v>18</v>
      </c>
    </row>
    <row r="95" spans="1:17">
      <c r="A95" t="s">
        <v>1</v>
      </c>
      <c r="B95">
        <f>CORREL(INDEX($A$65:$P$92,0,MATCH($A95,$A$64:$P$64,0)),INDEX($A$65:$P$92,0,MATCH(B$94,$A$64:$P$64,0)))</f>
        <v>1</v>
      </c>
      <c r="C95">
        <f>CORREL(INDEX($A$65:$P$92,0,MATCH($A95,$A$64:$P$64,0)),INDEX($A$65:$P$92,0,MATCH(C$94,$A$64:$P$64,0)))</f>
        <v>0.99511599511599524</v>
      </c>
      <c r="D95">
        <f t="shared" ref="D95:P110" si="29">CORREL(INDEX($A$65:$P$92,0,MATCH($A95,$A$64:$P$64,0)),INDEX($A$65:$P$92,0,MATCH(D$94,$A$64:$P$64,0)))</f>
        <v>0.98229548229548236</v>
      </c>
      <c r="E95">
        <f t="shared" si="29"/>
        <v>-0.37421599885299944</v>
      </c>
      <c r="F95">
        <f t="shared" si="29"/>
        <v>0.58865515808647062</v>
      </c>
      <c r="G95">
        <f t="shared" si="29"/>
        <v>0.54717559802694993</v>
      </c>
      <c r="H95">
        <f t="shared" si="29"/>
        <v>-2.6037968169343461E-2</v>
      </c>
      <c r="I95">
        <f t="shared" si="29"/>
        <v>0.9185997936661553</v>
      </c>
      <c r="J95">
        <f t="shared" si="29"/>
        <v>-0.88594297433521985</v>
      </c>
      <c r="K95">
        <f t="shared" si="29"/>
        <v>-0.34588183576267811</v>
      </c>
      <c r="L95">
        <f t="shared" si="29"/>
        <v>-0.10091325241614697</v>
      </c>
      <c r="M95">
        <f t="shared" si="29"/>
        <v>-0.29140983651405133</v>
      </c>
      <c r="N95">
        <f t="shared" si="29"/>
        <v>0.65533153725139925</v>
      </c>
      <c r="O95">
        <f t="shared" si="29"/>
        <v>0.41774741765287987</v>
      </c>
      <c r="P95">
        <f t="shared" si="29"/>
        <v>-0.13566703967740493</v>
      </c>
    </row>
    <row r="96" spans="1:17">
      <c r="A96" t="s">
        <v>2</v>
      </c>
      <c r="B96">
        <f t="shared" ref="B96:B110" si="30">CORREL(INDEX($A$65:$P$92,0,MATCH($A96,$A$64:$P$64,0)),INDEX($A$65:$P$92,0,MATCH(B$94,$A$64:$P$64,0)))</f>
        <v>0.99511599511599524</v>
      </c>
      <c r="C96">
        <f t="shared" ref="C96:C110" si="31">CORREL(INDEX($A$65:$P$92,0,MATCH($A96,$A$64:$P$64,0)),INDEX($A$65:$P$92,0,MATCH(C$94,$A$64:$P$64,0)))</f>
        <v>1</v>
      </c>
      <c r="D96">
        <f t="shared" si="29"/>
        <v>0.9853479853479854</v>
      </c>
      <c r="E96">
        <f t="shared" si="29"/>
        <v>-0.38653957793169252</v>
      </c>
      <c r="F96">
        <f t="shared" si="29"/>
        <v>0.60947953089371498</v>
      </c>
      <c r="G96">
        <f t="shared" si="29"/>
        <v>0.53343513937113929</v>
      </c>
      <c r="H96">
        <f t="shared" si="29"/>
        <v>-3.211349407552358E-2</v>
      </c>
      <c r="I96">
        <f t="shared" si="29"/>
        <v>0.93192161005419438</v>
      </c>
      <c r="J96">
        <f t="shared" si="29"/>
        <v>-0.87927947162227116</v>
      </c>
      <c r="K96">
        <f t="shared" si="29"/>
        <v>-0.35320854719983996</v>
      </c>
      <c r="L96">
        <f t="shared" si="29"/>
        <v>-0.11714199183979634</v>
      </c>
      <c r="M96">
        <f t="shared" si="29"/>
        <v>-0.31109969033256824</v>
      </c>
      <c r="N96">
        <f t="shared" si="29"/>
        <v>0.63780930363505162</v>
      </c>
      <c r="O96">
        <f t="shared" si="29"/>
        <v>0.42698434343550434</v>
      </c>
      <c r="P96">
        <f t="shared" si="29"/>
        <v>-0.12102456182675995</v>
      </c>
    </row>
    <row r="97" spans="1:16">
      <c r="A97" t="s">
        <v>3</v>
      </c>
      <c r="B97">
        <f t="shared" si="30"/>
        <v>0.98229548229548236</v>
      </c>
      <c r="C97">
        <f t="shared" si="31"/>
        <v>0.9853479853479854</v>
      </c>
      <c r="D97">
        <f t="shared" si="29"/>
        <v>1</v>
      </c>
      <c r="E97">
        <f t="shared" si="29"/>
        <v>-0.31049407776317139</v>
      </c>
      <c r="F97">
        <f t="shared" si="29"/>
        <v>0.60009389807918234</v>
      </c>
      <c r="G97">
        <f t="shared" si="29"/>
        <v>0.57770995059541819</v>
      </c>
      <c r="H97">
        <f t="shared" si="29"/>
        <v>-2.8352454228840633E-2</v>
      </c>
      <c r="I97">
        <f t="shared" si="29"/>
        <v>0.92526070186017473</v>
      </c>
      <c r="J97">
        <f t="shared" si="29"/>
        <v>-0.87746215270055816</v>
      </c>
      <c r="K97">
        <f t="shared" si="29"/>
        <v>-0.29764765213469652</v>
      </c>
      <c r="L97">
        <f t="shared" si="29"/>
        <v>-7.140645346405726E-2</v>
      </c>
      <c r="M97">
        <f t="shared" si="29"/>
        <v>-0.32750790184799911</v>
      </c>
      <c r="N97">
        <f t="shared" si="29"/>
        <v>0.59049927287091319</v>
      </c>
      <c r="O97">
        <f t="shared" si="29"/>
        <v>0.4380090613050881</v>
      </c>
      <c r="P97">
        <f t="shared" si="29"/>
        <v>-0.15778016949266485</v>
      </c>
    </row>
    <row r="98" spans="1:16">
      <c r="A98" t="s">
        <v>4</v>
      </c>
      <c r="B98">
        <f t="shared" si="30"/>
        <v>-0.37421599885299944</v>
      </c>
      <c r="C98">
        <f t="shared" si="31"/>
        <v>-0.38653957793169252</v>
      </c>
      <c r="D98">
        <f t="shared" si="29"/>
        <v>-0.31049407776317139</v>
      </c>
      <c r="E98">
        <f t="shared" si="29"/>
        <v>1.0000000000000002</v>
      </c>
      <c r="F98">
        <f t="shared" si="29"/>
        <v>1.8759415522288561E-2</v>
      </c>
      <c r="G98">
        <f t="shared" si="29"/>
        <v>7.3100616701364085E-2</v>
      </c>
      <c r="H98">
        <f t="shared" si="29"/>
        <v>0.32580119925289563</v>
      </c>
      <c r="I98">
        <f t="shared" si="29"/>
        <v>-0.32462023021937358</v>
      </c>
      <c r="J98">
        <f t="shared" si="29"/>
        <v>0.22448292913133877</v>
      </c>
      <c r="K98">
        <f t="shared" si="29"/>
        <v>0.31597699542016905</v>
      </c>
      <c r="L98">
        <f t="shared" si="29"/>
        <v>0.45359634147069783</v>
      </c>
      <c r="M98">
        <f t="shared" si="29"/>
        <v>0.27909843029869352</v>
      </c>
      <c r="N98">
        <f t="shared" si="29"/>
        <v>-0.36587206968420311</v>
      </c>
      <c r="O98">
        <f t="shared" si="29"/>
        <v>6.0767536081700303E-2</v>
      </c>
      <c r="P98">
        <f t="shared" si="29"/>
        <v>-0.37117770965326535</v>
      </c>
    </row>
    <row r="99" spans="1:16">
      <c r="A99" t="s">
        <v>5</v>
      </c>
      <c r="B99">
        <f t="shared" si="30"/>
        <v>0.58865515808647062</v>
      </c>
      <c r="C99">
        <f t="shared" si="31"/>
        <v>0.60947953089371498</v>
      </c>
      <c r="D99">
        <f t="shared" si="29"/>
        <v>0.60009389807918234</v>
      </c>
      <c r="E99">
        <f t="shared" si="29"/>
        <v>1.8759415522288561E-2</v>
      </c>
      <c r="F99">
        <f t="shared" si="29"/>
        <v>0.99999999999999978</v>
      </c>
      <c r="G99">
        <f t="shared" si="29"/>
        <v>0.46904959305279964</v>
      </c>
      <c r="H99">
        <f t="shared" si="29"/>
        <v>1.2193451272130744E-2</v>
      </c>
      <c r="I99">
        <f t="shared" si="29"/>
        <v>0.55585988620317095</v>
      </c>
      <c r="J99">
        <f t="shared" si="29"/>
        <v>-0.57573155425736855</v>
      </c>
      <c r="K99">
        <f t="shared" si="29"/>
        <v>-0.22248782662717317</v>
      </c>
      <c r="L99">
        <f t="shared" si="29"/>
        <v>2.6954637554155624E-2</v>
      </c>
      <c r="M99">
        <f t="shared" si="29"/>
        <v>0.12538193515765417</v>
      </c>
      <c r="N99">
        <f t="shared" si="29"/>
        <v>0.12058824192473841</v>
      </c>
      <c r="O99">
        <f t="shared" si="29"/>
        <v>0.47224722357414173</v>
      </c>
      <c r="P99">
        <f t="shared" si="29"/>
        <v>-7.3094302691302626E-2</v>
      </c>
    </row>
    <row r="100" spans="1:16">
      <c r="A100" t="s">
        <v>8</v>
      </c>
      <c r="B100">
        <f t="shared" si="30"/>
        <v>0.54717559802694993</v>
      </c>
      <c r="C100">
        <f t="shared" si="31"/>
        <v>0.53343513937113929</v>
      </c>
      <c r="D100">
        <f t="shared" si="29"/>
        <v>0.57770995059541819</v>
      </c>
      <c r="E100">
        <f t="shared" si="29"/>
        <v>7.3100616701364085E-2</v>
      </c>
      <c r="F100">
        <f t="shared" si="29"/>
        <v>0.46904959305279964</v>
      </c>
      <c r="G100">
        <f t="shared" si="29"/>
        <v>1</v>
      </c>
      <c r="H100">
        <f t="shared" si="29"/>
        <v>9.6151220279849944E-2</v>
      </c>
      <c r="I100">
        <f t="shared" si="29"/>
        <v>0.54421025855136307</v>
      </c>
      <c r="J100">
        <f t="shared" si="29"/>
        <v>-0.48791187954780457</v>
      </c>
      <c r="K100">
        <f t="shared" si="29"/>
        <v>2.6394468106447397E-2</v>
      </c>
      <c r="L100">
        <f t="shared" si="29"/>
        <v>0.20474358238916796</v>
      </c>
      <c r="M100">
        <f t="shared" si="29"/>
        <v>-0.18692185674575726</v>
      </c>
      <c r="N100">
        <f t="shared" si="29"/>
        <v>0.34038312583494312</v>
      </c>
      <c r="O100">
        <f t="shared" si="29"/>
        <v>0.13716005519674371</v>
      </c>
      <c r="P100">
        <f t="shared" si="29"/>
        <v>-1.2690381569408313E-2</v>
      </c>
    </row>
    <row r="101" spans="1:16">
      <c r="A101" t="s">
        <v>9</v>
      </c>
      <c r="B101">
        <f t="shared" si="30"/>
        <v>-2.6037968169343461E-2</v>
      </c>
      <c r="C101">
        <f t="shared" si="31"/>
        <v>-3.211349407552358E-2</v>
      </c>
      <c r="D101">
        <f t="shared" si="29"/>
        <v>-2.8352454228840633E-2</v>
      </c>
      <c r="E101">
        <f t="shared" si="29"/>
        <v>0.32580119925289563</v>
      </c>
      <c r="F101">
        <f t="shared" si="29"/>
        <v>1.2193451272130744E-2</v>
      </c>
      <c r="G101">
        <f t="shared" si="29"/>
        <v>9.6151220279849944E-2</v>
      </c>
      <c r="H101">
        <f t="shared" si="29"/>
        <v>1</v>
      </c>
      <c r="I101">
        <f t="shared" si="29"/>
        <v>-0.25277289232542016</v>
      </c>
      <c r="J101">
        <f t="shared" si="29"/>
        <v>0.22433101802203628</v>
      </c>
      <c r="K101">
        <f t="shared" si="29"/>
        <v>0.17456054775901031</v>
      </c>
      <c r="L101">
        <f t="shared" si="29"/>
        <v>-1.2089560687813724E-2</v>
      </c>
      <c r="M101">
        <f t="shared" si="29"/>
        <v>3.3439763812066772E-2</v>
      </c>
      <c r="N101">
        <f t="shared" si="29"/>
        <v>-0.158379604998174</v>
      </c>
      <c r="O101">
        <f t="shared" si="29"/>
        <v>0.21238836563827862</v>
      </c>
      <c r="P101">
        <f t="shared" si="29"/>
        <v>-0.33078308623931563</v>
      </c>
    </row>
    <row r="102" spans="1:16">
      <c r="A102" t="s">
        <v>10</v>
      </c>
      <c r="B102">
        <f t="shared" si="30"/>
        <v>0.9185997936661553</v>
      </c>
      <c r="C102">
        <f t="shared" si="31"/>
        <v>0.93192161005419438</v>
      </c>
      <c r="D102">
        <f t="shared" si="29"/>
        <v>0.92526070186017473</v>
      </c>
      <c r="E102">
        <f t="shared" si="29"/>
        <v>-0.32462023021937358</v>
      </c>
      <c r="F102">
        <f t="shared" si="29"/>
        <v>0.55585988620317095</v>
      </c>
      <c r="G102">
        <f t="shared" si="29"/>
        <v>0.54421025855136307</v>
      </c>
      <c r="H102">
        <f t="shared" si="29"/>
        <v>-0.25277289232542016</v>
      </c>
      <c r="I102">
        <f t="shared" si="29"/>
        <v>1.0000000000000002</v>
      </c>
      <c r="J102">
        <f t="shared" si="29"/>
        <v>-0.89423738343706038</v>
      </c>
      <c r="K102">
        <f t="shared" si="29"/>
        <v>-0.25246173676067646</v>
      </c>
      <c r="L102">
        <f t="shared" si="29"/>
        <v>-6.1100758803976613E-2</v>
      </c>
      <c r="M102">
        <f t="shared" si="29"/>
        <v>-0.21603717917866472</v>
      </c>
      <c r="N102">
        <f t="shared" si="29"/>
        <v>0.6237505349165694</v>
      </c>
      <c r="O102">
        <f t="shared" si="29"/>
        <v>0.36455532183153655</v>
      </c>
      <c r="P102">
        <f t="shared" si="29"/>
        <v>-0.13774357347490612</v>
      </c>
    </row>
    <row r="103" spans="1:16">
      <c r="A103" t="s">
        <v>11</v>
      </c>
      <c r="B103">
        <f t="shared" si="30"/>
        <v>-0.88594297433521985</v>
      </c>
      <c r="C103">
        <f t="shared" si="31"/>
        <v>-0.87927947162227116</v>
      </c>
      <c r="D103">
        <f t="shared" si="29"/>
        <v>-0.87746215270055816</v>
      </c>
      <c r="E103">
        <f t="shared" si="29"/>
        <v>0.22448292913133877</v>
      </c>
      <c r="F103">
        <f t="shared" si="29"/>
        <v>-0.57573155425736855</v>
      </c>
      <c r="G103">
        <f t="shared" si="29"/>
        <v>-0.48791187954780457</v>
      </c>
      <c r="H103">
        <f t="shared" si="29"/>
        <v>0.22433101802203628</v>
      </c>
      <c r="I103">
        <f t="shared" si="29"/>
        <v>-0.89423738343706038</v>
      </c>
      <c r="J103">
        <f t="shared" si="29"/>
        <v>1</v>
      </c>
      <c r="K103">
        <f t="shared" si="29"/>
        <v>0.28479178255939147</v>
      </c>
      <c r="L103">
        <f t="shared" si="29"/>
        <v>3.5825925809889553E-2</v>
      </c>
      <c r="M103">
        <f t="shared" si="29"/>
        <v>-8.0480138009814906E-2</v>
      </c>
      <c r="N103">
        <f t="shared" si="29"/>
        <v>-0.5974922184326088</v>
      </c>
      <c r="O103">
        <f t="shared" si="29"/>
        <v>-0.56515893585959698</v>
      </c>
      <c r="P103">
        <f t="shared" si="29"/>
        <v>0.22854459637885077</v>
      </c>
    </row>
    <row r="104" spans="1:16">
      <c r="A104" t="s">
        <v>12</v>
      </c>
      <c r="B104">
        <f t="shared" si="30"/>
        <v>-0.34588183576267811</v>
      </c>
      <c r="C104">
        <f t="shared" si="31"/>
        <v>-0.35320854719983996</v>
      </c>
      <c r="D104">
        <f t="shared" si="29"/>
        <v>-0.29764765213469652</v>
      </c>
      <c r="E104">
        <f t="shared" si="29"/>
        <v>0.31597699542016905</v>
      </c>
      <c r="F104">
        <f t="shared" si="29"/>
        <v>-0.22248782662717317</v>
      </c>
      <c r="G104">
        <f t="shared" si="29"/>
        <v>2.6394468106447397E-2</v>
      </c>
      <c r="H104">
        <f t="shared" si="29"/>
        <v>0.17456054775901031</v>
      </c>
      <c r="I104">
        <f t="shared" si="29"/>
        <v>-0.25246173676067646</v>
      </c>
      <c r="J104">
        <f t="shared" si="29"/>
        <v>0.28479178255939147</v>
      </c>
      <c r="K104">
        <f t="shared" si="29"/>
        <v>1</v>
      </c>
      <c r="L104">
        <f t="shared" si="29"/>
        <v>0.20452995695293835</v>
      </c>
      <c r="M104">
        <f t="shared" si="29"/>
        <v>-5.0110149225869718E-2</v>
      </c>
      <c r="N104">
        <f t="shared" si="29"/>
        <v>-0.30147963571404002</v>
      </c>
      <c r="O104">
        <f t="shared" si="29"/>
        <v>-0.21159124221622619</v>
      </c>
      <c r="P104">
        <f t="shared" si="29"/>
        <v>-0.3883038465867662</v>
      </c>
    </row>
    <row r="105" spans="1:16">
      <c r="A105" t="s">
        <v>13</v>
      </c>
      <c r="B105">
        <f t="shared" si="30"/>
        <v>-0.10091325241614697</v>
      </c>
      <c r="C105">
        <f t="shared" si="31"/>
        <v>-0.11714199183979634</v>
      </c>
      <c r="D105">
        <f t="shared" si="29"/>
        <v>-7.140645346405726E-2</v>
      </c>
      <c r="E105">
        <f t="shared" si="29"/>
        <v>0.45359634147069783</v>
      </c>
      <c r="F105">
        <f t="shared" si="29"/>
        <v>2.6954637554155624E-2</v>
      </c>
      <c r="G105">
        <f t="shared" si="29"/>
        <v>0.20474358238916796</v>
      </c>
      <c r="H105">
        <f t="shared" si="29"/>
        <v>-1.2089560687813724E-2</v>
      </c>
      <c r="I105">
        <f t="shared" si="29"/>
        <v>-6.1100758803976613E-2</v>
      </c>
      <c r="J105">
        <f t="shared" si="29"/>
        <v>3.5825925809889553E-2</v>
      </c>
      <c r="K105">
        <f t="shared" si="29"/>
        <v>0.20452995695293835</v>
      </c>
      <c r="L105">
        <f t="shared" si="29"/>
        <v>1</v>
      </c>
      <c r="M105">
        <f t="shared" si="29"/>
        <v>8.2996098866672779E-2</v>
      </c>
      <c r="N105">
        <f t="shared" si="29"/>
        <v>-0.32527595393986281</v>
      </c>
      <c r="O105">
        <f t="shared" si="29"/>
        <v>-2.5785158455092265E-2</v>
      </c>
      <c r="P105">
        <f t="shared" si="29"/>
        <v>-0.30461472755728441</v>
      </c>
    </row>
    <row r="106" spans="1:16">
      <c r="A106" t="s">
        <v>14</v>
      </c>
      <c r="B106">
        <f t="shared" si="30"/>
        <v>-0.29140983651405133</v>
      </c>
      <c r="C106">
        <f t="shared" si="31"/>
        <v>-0.31109969033256824</v>
      </c>
      <c r="D106">
        <f t="shared" si="29"/>
        <v>-0.32750790184799911</v>
      </c>
      <c r="E106">
        <f t="shared" si="29"/>
        <v>0.27909843029869352</v>
      </c>
      <c r="F106">
        <f t="shared" si="29"/>
        <v>0.12538193515765417</v>
      </c>
      <c r="G106">
        <f t="shared" si="29"/>
        <v>-0.18692185674575726</v>
      </c>
      <c r="H106">
        <f t="shared" si="29"/>
        <v>3.3439763812066772E-2</v>
      </c>
      <c r="I106">
        <f t="shared" si="29"/>
        <v>-0.21603717917866472</v>
      </c>
      <c r="J106">
        <f t="shared" si="29"/>
        <v>-8.0480138009814906E-2</v>
      </c>
      <c r="K106">
        <f t="shared" si="29"/>
        <v>-5.0110149225869718E-2</v>
      </c>
      <c r="L106">
        <f t="shared" si="29"/>
        <v>8.2996098866672779E-2</v>
      </c>
      <c r="M106">
        <f t="shared" si="29"/>
        <v>1</v>
      </c>
      <c r="N106">
        <f t="shared" si="29"/>
        <v>-0.18731458288295896</v>
      </c>
      <c r="O106">
        <f t="shared" si="29"/>
        <v>0.36192871272976124</v>
      </c>
      <c r="P106">
        <f t="shared" si="29"/>
        <v>-0.22772661879657383</v>
      </c>
    </row>
    <row r="107" spans="1:16">
      <c r="A107" t="s">
        <v>15</v>
      </c>
      <c r="B107">
        <f t="shared" si="30"/>
        <v>0.65533153725139925</v>
      </c>
      <c r="C107">
        <f t="shared" si="31"/>
        <v>0.63780930363505162</v>
      </c>
      <c r="D107">
        <f t="shared" si="29"/>
        <v>0.59049927287091319</v>
      </c>
      <c r="E107">
        <f t="shared" si="29"/>
        <v>-0.36587206968420311</v>
      </c>
      <c r="F107">
        <f t="shared" si="29"/>
        <v>0.12058824192473841</v>
      </c>
      <c r="G107">
        <f t="shared" si="29"/>
        <v>0.34038312583494312</v>
      </c>
      <c r="H107">
        <f t="shared" si="29"/>
        <v>-0.158379604998174</v>
      </c>
      <c r="I107">
        <f t="shared" si="29"/>
        <v>0.6237505349165694</v>
      </c>
      <c r="J107">
        <f t="shared" si="29"/>
        <v>-0.5974922184326088</v>
      </c>
      <c r="K107">
        <f t="shared" si="29"/>
        <v>-0.30147963571404002</v>
      </c>
      <c r="L107">
        <f t="shared" si="29"/>
        <v>-0.32527595393986281</v>
      </c>
      <c r="M107">
        <f t="shared" si="29"/>
        <v>-0.18731458288295896</v>
      </c>
      <c r="N107">
        <f t="shared" si="29"/>
        <v>0.99999999999999978</v>
      </c>
      <c r="O107">
        <f t="shared" si="29"/>
        <v>-0.1110976905157129</v>
      </c>
      <c r="P107">
        <f t="shared" si="29"/>
        <v>4.1537657159129077E-2</v>
      </c>
    </row>
    <row r="108" spans="1:16">
      <c r="A108" t="s">
        <v>16</v>
      </c>
      <c r="B108">
        <f t="shared" si="30"/>
        <v>0.41774741765287987</v>
      </c>
      <c r="C108">
        <f t="shared" si="31"/>
        <v>0.42698434343550434</v>
      </c>
      <c r="D108">
        <f t="shared" si="29"/>
        <v>0.4380090613050881</v>
      </c>
      <c r="E108">
        <f t="shared" si="29"/>
        <v>6.0767536081700303E-2</v>
      </c>
      <c r="F108">
        <f t="shared" si="29"/>
        <v>0.47224722357414173</v>
      </c>
      <c r="G108">
        <f t="shared" si="29"/>
        <v>0.13716005519674371</v>
      </c>
      <c r="H108">
        <f t="shared" si="29"/>
        <v>0.21238836563827862</v>
      </c>
      <c r="I108">
        <f t="shared" si="29"/>
        <v>0.36455532183153655</v>
      </c>
      <c r="J108">
        <f t="shared" si="29"/>
        <v>-0.56515893585959698</v>
      </c>
      <c r="K108">
        <f t="shared" si="29"/>
        <v>-0.21159124221622619</v>
      </c>
      <c r="L108">
        <f t="shared" si="29"/>
        <v>-2.5785158455092265E-2</v>
      </c>
      <c r="M108">
        <f t="shared" si="29"/>
        <v>0.36192871272976124</v>
      </c>
      <c r="N108">
        <f t="shared" si="29"/>
        <v>-0.1110976905157129</v>
      </c>
      <c r="O108">
        <f t="shared" si="29"/>
        <v>0.99999999999999978</v>
      </c>
      <c r="P108">
        <f t="shared" si="29"/>
        <v>-0.47596438086572551</v>
      </c>
    </row>
    <row r="109" spans="1:16">
      <c r="A109" t="s">
        <v>17</v>
      </c>
      <c r="B109">
        <f t="shared" si="30"/>
        <v>-0.13566703967740493</v>
      </c>
      <c r="C109">
        <f t="shared" si="31"/>
        <v>-0.12102456182675995</v>
      </c>
      <c r="D109">
        <f t="shared" si="29"/>
        <v>-0.15778016949266485</v>
      </c>
      <c r="E109">
        <f t="shared" si="29"/>
        <v>-0.37117770965326535</v>
      </c>
      <c r="F109">
        <f t="shared" si="29"/>
        <v>-7.3094302691302626E-2</v>
      </c>
      <c r="G109">
        <f t="shared" si="29"/>
        <v>-1.2690381569408313E-2</v>
      </c>
      <c r="H109">
        <f t="shared" si="29"/>
        <v>-0.33078308623931563</v>
      </c>
      <c r="I109">
        <f t="shared" si="29"/>
        <v>-0.13774357347490612</v>
      </c>
      <c r="J109">
        <f t="shared" si="29"/>
        <v>0.22854459637885077</v>
      </c>
      <c r="K109">
        <f t="shared" si="29"/>
        <v>-0.3883038465867662</v>
      </c>
      <c r="L109">
        <f t="shared" si="29"/>
        <v>-0.30461472755728441</v>
      </c>
      <c r="M109">
        <f t="shared" si="29"/>
        <v>-0.22772661879657383</v>
      </c>
      <c r="N109">
        <f t="shared" si="29"/>
        <v>4.1537657159129077E-2</v>
      </c>
      <c r="O109">
        <f t="shared" si="29"/>
        <v>-0.47596438086572551</v>
      </c>
      <c r="P109">
        <f t="shared" si="29"/>
        <v>0.99999999999999989</v>
      </c>
    </row>
    <row r="110" spans="1:16">
      <c r="A110" t="s">
        <v>18</v>
      </c>
      <c r="B110">
        <f t="shared" si="30"/>
        <v>0.30112889075602189</v>
      </c>
      <c r="C110">
        <f t="shared" si="31"/>
        <v>0.32797726196831162</v>
      </c>
      <c r="D110">
        <f t="shared" si="29"/>
        <v>0.34597787448564232</v>
      </c>
      <c r="E110">
        <f t="shared" si="29"/>
        <v>-0.21146634114007448</v>
      </c>
      <c r="F110">
        <f t="shared" si="29"/>
        <v>0.17983421630888335</v>
      </c>
      <c r="G110">
        <f t="shared" si="29"/>
        <v>-2.5005057556290521E-2</v>
      </c>
      <c r="H110">
        <f t="shared" si="29"/>
        <v>-0.25155084782677123</v>
      </c>
      <c r="I110">
        <f t="shared" si="29"/>
        <v>0.35500256150505394</v>
      </c>
      <c r="J110">
        <f t="shared" si="29"/>
        <v>-0.17482066406315186</v>
      </c>
      <c r="K110">
        <f t="shared" si="29"/>
        <v>-0.1083053010499969</v>
      </c>
      <c r="L110">
        <f t="shared" si="29"/>
        <v>-8.0925336632929654E-2</v>
      </c>
      <c r="M110">
        <f t="shared" si="29"/>
        <v>-0.46535620033629232</v>
      </c>
      <c r="N110">
        <f t="shared" si="29"/>
        <v>-0.1154394633683459</v>
      </c>
      <c r="O110">
        <f t="shared" si="29"/>
        <v>7.6385914311676531E-2</v>
      </c>
      <c r="P110">
        <f t="shared" si="29"/>
        <v>8.0819696638731647E-2</v>
      </c>
    </row>
  </sheetData>
  <conditionalFormatting sqref="B95:P1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data_set</vt:lpstr>
      <vt:lpstr>Variaveis</vt:lpstr>
      <vt:lpstr>Análise univariada</vt:lpstr>
      <vt:lpstr>Análise bivariada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Costa Ferreira</dc:creator>
  <cp:lastModifiedBy>Jorge Costa Ferreira</cp:lastModifiedBy>
  <dcterms:created xsi:type="dcterms:W3CDTF">2019-04-07T10:56:42Z</dcterms:created>
  <dcterms:modified xsi:type="dcterms:W3CDTF">2019-04-07T21:49:37Z</dcterms:modified>
</cp:coreProperties>
</file>