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geferreira/Documents/V2 Data Analytics - Edit /3. Digital Data Analytics - Descritivo/"/>
    </mc:Choice>
  </mc:AlternateContent>
  <xr:revisionPtr revIDLastSave="0" documentId="8_{15933588-A85E-C649-9684-518102327F60}" xr6:coauthVersionLast="43" xr6:coauthVersionMax="43" xr10:uidLastSave="{00000000-0000-0000-0000-000000000000}"/>
  <bookViews>
    <workbookView xWindow="0" yWindow="460" windowWidth="38400" windowHeight="20200" activeTab="2" xr2:uid="{00000000-000D-0000-FFFF-FFFF00000000}"/>
  </bookViews>
  <sheets>
    <sheet name="data_set_EU" sheetId="1" r:id="rId1"/>
    <sheet name="Análise univariada" sheetId="2" r:id="rId2"/>
    <sheet name="Analise bivariada" sheetId="3" r:id="rId3"/>
  </sheets>
  <definedNames>
    <definedName name="_xlchart.v1.0" hidden="1">data_set_EU!$N$2:$N$29</definedName>
    <definedName name="_xlchart.v1.1" hidden="1">data_set_EU!$P$2:$P$29</definedName>
  </definedNames>
  <calcPr calcId="191029"/>
  <pivotCaches>
    <pivotCache cacheId="0" r:id="rId4"/>
  </pivotCaches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44" i="1" l="1"/>
  <c r="D44" i="1"/>
  <c r="E44" i="1"/>
  <c r="F44" i="1"/>
  <c r="G44" i="1"/>
  <c r="J44" i="1"/>
  <c r="K44" i="1"/>
  <c r="L44" i="1"/>
  <c r="M44" i="1"/>
  <c r="N44" i="1"/>
  <c r="O44" i="1"/>
  <c r="P44" i="1"/>
  <c r="Q44" i="1"/>
  <c r="R44" i="1"/>
  <c r="S44" i="1"/>
  <c r="T44" i="1"/>
  <c r="C45" i="1"/>
  <c r="D45" i="1"/>
  <c r="E45" i="1"/>
  <c r="F45" i="1"/>
  <c r="G45" i="1"/>
  <c r="J45" i="1"/>
  <c r="K45" i="1"/>
  <c r="L45" i="1"/>
  <c r="M45" i="1"/>
  <c r="N45" i="1"/>
  <c r="O45" i="1"/>
  <c r="P45" i="1"/>
  <c r="Q45" i="1"/>
  <c r="R45" i="1"/>
  <c r="S45" i="1"/>
  <c r="T45" i="1"/>
  <c r="C46" i="1"/>
  <c r="D46" i="1"/>
  <c r="E46" i="1"/>
  <c r="F46" i="1"/>
  <c r="G46" i="1"/>
  <c r="J46" i="1"/>
  <c r="K46" i="1"/>
  <c r="L46" i="1"/>
  <c r="M46" i="1"/>
  <c r="N46" i="1"/>
  <c r="O46" i="1"/>
  <c r="P46" i="1"/>
  <c r="Q46" i="1"/>
  <c r="R46" i="1"/>
  <c r="S46" i="1"/>
  <c r="T46" i="1"/>
  <c r="C47" i="1"/>
  <c r="D47" i="1"/>
  <c r="E47" i="1"/>
  <c r="F47" i="1"/>
  <c r="G47" i="1"/>
  <c r="J47" i="1"/>
  <c r="K47" i="1"/>
  <c r="L47" i="1"/>
  <c r="M47" i="1"/>
  <c r="N47" i="1"/>
  <c r="O47" i="1"/>
  <c r="P47" i="1"/>
  <c r="Q47" i="1"/>
  <c r="R47" i="1"/>
  <c r="S47" i="1"/>
  <c r="T47" i="1"/>
  <c r="C48" i="1"/>
  <c r="D48" i="1"/>
  <c r="E48" i="1"/>
  <c r="F48" i="1"/>
  <c r="G48" i="1"/>
  <c r="J48" i="1"/>
  <c r="K48" i="1"/>
  <c r="L48" i="1"/>
  <c r="M48" i="1"/>
  <c r="N48" i="1"/>
  <c r="O48" i="1"/>
  <c r="P48" i="1"/>
  <c r="Q48" i="1"/>
  <c r="R48" i="1"/>
  <c r="S48" i="1"/>
  <c r="T48" i="1"/>
  <c r="C49" i="1"/>
  <c r="D49" i="1"/>
  <c r="E49" i="1"/>
  <c r="F49" i="1"/>
  <c r="G49" i="1"/>
  <c r="J49" i="1"/>
  <c r="K49" i="1"/>
  <c r="L49" i="1"/>
  <c r="M49" i="1"/>
  <c r="N49" i="1"/>
  <c r="O49" i="1"/>
  <c r="P49" i="1"/>
  <c r="Q49" i="1"/>
  <c r="R49" i="1"/>
  <c r="S49" i="1"/>
  <c r="T49" i="1"/>
  <c r="C50" i="1"/>
  <c r="D50" i="1"/>
  <c r="E50" i="1"/>
  <c r="F50" i="1"/>
  <c r="G50" i="1"/>
  <c r="J50" i="1"/>
  <c r="K50" i="1"/>
  <c r="L50" i="1"/>
  <c r="M50" i="1"/>
  <c r="N50" i="1"/>
  <c r="O50" i="1"/>
  <c r="P50" i="1"/>
  <c r="Q50" i="1"/>
  <c r="R50" i="1"/>
  <c r="S50" i="1"/>
  <c r="T50" i="1"/>
  <c r="C51" i="1"/>
  <c r="D51" i="1"/>
  <c r="E51" i="1"/>
  <c r="F51" i="1"/>
  <c r="G51" i="1"/>
  <c r="J51" i="1"/>
  <c r="K51" i="1"/>
  <c r="L51" i="1"/>
  <c r="M51" i="1"/>
  <c r="N51" i="1"/>
  <c r="O51" i="1"/>
  <c r="P51" i="1"/>
  <c r="Q51" i="1"/>
  <c r="R51" i="1"/>
  <c r="S51" i="1"/>
  <c r="T51" i="1"/>
  <c r="C52" i="1"/>
  <c r="D52" i="1"/>
  <c r="E52" i="1"/>
  <c r="F52" i="1"/>
  <c r="G52" i="1"/>
  <c r="J52" i="1"/>
  <c r="K52" i="1"/>
  <c r="L52" i="1"/>
  <c r="M52" i="1"/>
  <c r="N52" i="1"/>
  <c r="O52" i="1"/>
  <c r="P52" i="1"/>
  <c r="Q52" i="1"/>
  <c r="R52" i="1"/>
  <c r="S52" i="1"/>
  <c r="T52" i="1"/>
  <c r="C53" i="1"/>
  <c r="D53" i="1"/>
  <c r="E53" i="1"/>
  <c r="F53" i="1"/>
  <c r="G53" i="1"/>
  <c r="J53" i="1"/>
  <c r="K53" i="1"/>
  <c r="L53" i="1"/>
  <c r="M53" i="1"/>
  <c r="N53" i="1"/>
  <c r="O53" i="1"/>
  <c r="P53" i="1"/>
  <c r="Q53" i="1"/>
  <c r="R53" i="1"/>
  <c r="S53" i="1"/>
  <c r="T53" i="1"/>
  <c r="C54" i="1"/>
  <c r="D54" i="1"/>
  <c r="E54" i="1"/>
  <c r="F54" i="1"/>
  <c r="G54" i="1"/>
  <c r="J54" i="1"/>
  <c r="K54" i="1"/>
  <c r="L54" i="1"/>
  <c r="M54" i="1"/>
  <c r="N54" i="1"/>
  <c r="O54" i="1"/>
  <c r="P54" i="1"/>
  <c r="Q54" i="1"/>
  <c r="R54" i="1"/>
  <c r="S54" i="1"/>
  <c r="T54" i="1"/>
  <c r="C55" i="1"/>
  <c r="D55" i="1"/>
  <c r="E55" i="1"/>
  <c r="F55" i="1"/>
  <c r="G55" i="1"/>
  <c r="J55" i="1"/>
  <c r="K55" i="1"/>
  <c r="L55" i="1"/>
  <c r="M55" i="1"/>
  <c r="N55" i="1"/>
  <c r="O55" i="1"/>
  <c r="P55" i="1"/>
  <c r="Q55" i="1"/>
  <c r="R55" i="1"/>
  <c r="S55" i="1"/>
  <c r="T55" i="1"/>
  <c r="C56" i="1"/>
  <c r="D56" i="1"/>
  <c r="E56" i="1"/>
  <c r="F56" i="1"/>
  <c r="G56" i="1"/>
  <c r="J56" i="1"/>
  <c r="K56" i="1"/>
  <c r="L56" i="1"/>
  <c r="M56" i="1"/>
  <c r="N56" i="1"/>
  <c r="O56" i="1"/>
  <c r="P56" i="1"/>
  <c r="Q56" i="1"/>
  <c r="R56" i="1"/>
  <c r="S56" i="1"/>
  <c r="T56" i="1"/>
  <c r="C57" i="1"/>
  <c r="D57" i="1"/>
  <c r="E57" i="1"/>
  <c r="F57" i="1"/>
  <c r="G57" i="1"/>
  <c r="J57" i="1"/>
  <c r="K57" i="1"/>
  <c r="L57" i="1"/>
  <c r="M57" i="1"/>
  <c r="N57" i="1"/>
  <c r="O57" i="1"/>
  <c r="P57" i="1"/>
  <c r="Q57" i="1"/>
  <c r="R57" i="1"/>
  <c r="S57" i="1"/>
  <c r="T57" i="1"/>
  <c r="F58" i="1"/>
  <c r="G58" i="1"/>
  <c r="J58" i="1"/>
  <c r="K58" i="1"/>
  <c r="L58" i="1"/>
  <c r="M58" i="1"/>
  <c r="N58" i="1"/>
  <c r="O58" i="1"/>
  <c r="P58" i="1"/>
  <c r="Q58" i="1"/>
  <c r="R58" i="1"/>
  <c r="S58" i="1"/>
  <c r="T58" i="1"/>
  <c r="C59" i="1"/>
  <c r="D59" i="1"/>
  <c r="E59" i="1"/>
  <c r="F59" i="1"/>
  <c r="G59" i="1"/>
  <c r="J59" i="1"/>
  <c r="K59" i="1"/>
  <c r="L59" i="1"/>
  <c r="M59" i="1"/>
  <c r="N59" i="1"/>
  <c r="O59" i="1"/>
  <c r="P59" i="1"/>
  <c r="Q59" i="1"/>
  <c r="R59" i="1"/>
  <c r="S59" i="1"/>
  <c r="T59" i="1"/>
  <c r="C60" i="1"/>
  <c r="D60" i="1"/>
  <c r="E60" i="1"/>
  <c r="F60" i="1"/>
  <c r="G60" i="1"/>
  <c r="J60" i="1"/>
  <c r="K60" i="1"/>
  <c r="L60" i="1"/>
  <c r="M60" i="1"/>
  <c r="N60" i="1"/>
  <c r="O60" i="1"/>
  <c r="P60" i="1"/>
  <c r="Q60" i="1"/>
  <c r="R60" i="1"/>
  <c r="S60" i="1"/>
  <c r="T60" i="1"/>
  <c r="C61" i="1"/>
  <c r="D61" i="1"/>
  <c r="E61" i="1"/>
  <c r="F61" i="1"/>
  <c r="G61" i="1"/>
  <c r="J61" i="1"/>
  <c r="K61" i="1"/>
  <c r="L61" i="1"/>
  <c r="M61" i="1"/>
  <c r="N61" i="1"/>
  <c r="O61" i="1"/>
  <c r="P61" i="1"/>
  <c r="Q61" i="1"/>
  <c r="R61" i="1"/>
  <c r="S61" i="1"/>
  <c r="T61" i="1"/>
  <c r="C62" i="1"/>
  <c r="D62" i="1"/>
  <c r="E62" i="1"/>
  <c r="F62" i="1"/>
  <c r="G62" i="1"/>
  <c r="J62" i="1"/>
  <c r="K62" i="1"/>
  <c r="L62" i="1"/>
  <c r="M62" i="1"/>
  <c r="N62" i="1"/>
  <c r="O62" i="1"/>
  <c r="P62" i="1"/>
  <c r="Q62" i="1"/>
  <c r="R62" i="1"/>
  <c r="S62" i="1"/>
  <c r="T62" i="1"/>
  <c r="C63" i="1"/>
  <c r="D63" i="1"/>
  <c r="E63" i="1"/>
  <c r="F63" i="1"/>
  <c r="G63" i="1"/>
  <c r="J63" i="1"/>
  <c r="K63" i="1"/>
  <c r="L63" i="1"/>
  <c r="M63" i="1"/>
  <c r="N63" i="1"/>
  <c r="O63" i="1"/>
  <c r="P63" i="1"/>
  <c r="Q63" i="1"/>
  <c r="R63" i="1"/>
  <c r="S63" i="1"/>
  <c r="T63" i="1"/>
  <c r="C64" i="1"/>
  <c r="D64" i="1"/>
  <c r="E64" i="1"/>
  <c r="F64" i="1"/>
  <c r="G64" i="1"/>
  <c r="J64" i="1"/>
  <c r="K64" i="1"/>
  <c r="L64" i="1"/>
  <c r="M64" i="1"/>
  <c r="N64" i="1"/>
  <c r="O64" i="1"/>
  <c r="P64" i="1"/>
  <c r="Q64" i="1"/>
  <c r="R64" i="1"/>
  <c r="S64" i="1"/>
  <c r="T64" i="1"/>
  <c r="C65" i="1"/>
  <c r="D65" i="1"/>
  <c r="E65" i="1"/>
  <c r="F65" i="1"/>
  <c r="G65" i="1"/>
  <c r="J65" i="1"/>
  <c r="K65" i="1"/>
  <c r="L65" i="1"/>
  <c r="M65" i="1"/>
  <c r="N65" i="1"/>
  <c r="O65" i="1"/>
  <c r="P65" i="1"/>
  <c r="Q65" i="1"/>
  <c r="R65" i="1"/>
  <c r="S65" i="1"/>
  <c r="T65" i="1"/>
  <c r="C66" i="1"/>
  <c r="D66" i="1"/>
  <c r="E66" i="1"/>
  <c r="F66" i="1"/>
  <c r="G66" i="1"/>
  <c r="J66" i="1"/>
  <c r="K66" i="1"/>
  <c r="L66" i="1"/>
  <c r="M66" i="1"/>
  <c r="N66" i="1"/>
  <c r="O66" i="1"/>
  <c r="P66" i="1"/>
  <c r="Q66" i="1"/>
  <c r="R66" i="1"/>
  <c r="S66" i="1"/>
  <c r="T66" i="1"/>
  <c r="C67" i="1"/>
  <c r="D67" i="1"/>
  <c r="E67" i="1"/>
  <c r="F67" i="1"/>
  <c r="G67" i="1"/>
  <c r="J67" i="1"/>
  <c r="K67" i="1"/>
  <c r="L67" i="1"/>
  <c r="M67" i="1"/>
  <c r="N67" i="1"/>
  <c r="O67" i="1"/>
  <c r="P67" i="1"/>
  <c r="Q67" i="1"/>
  <c r="R67" i="1"/>
  <c r="S67" i="1"/>
  <c r="T67" i="1"/>
  <c r="C68" i="1"/>
  <c r="D68" i="1"/>
  <c r="E68" i="1"/>
  <c r="F68" i="1"/>
  <c r="G68" i="1"/>
  <c r="J68" i="1"/>
  <c r="K68" i="1"/>
  <c r="L68" i="1"/>
  <c r="M68" i="1"/>
  <c r="N68" i="1"/>
  <c r="O68" i="1"/>
  <c r="P68" i="1"/>
  <c r="Q68" i="1"/>
  <c r="R68" i="1"/>
  <c r="S68" i="1"/>
  <c r="T68" i="1"/>
  <c r="C69" i="1"/>
  <c r="D69" i="1"/>
  <c r="E69" i="1"/>
  <c r="F69" i="1"/>
  <c r="G69" i="1"/>
  <c r="J69" i="1"/>
  <c r="K69" i="1"/>
  <c r="L69" i="1"/>
  <c r="M69" i="1"/>
  <c r="N69" i="1"/>
  <c r="O69" i="1"/>
  <c r="P69" i="1"/>
  <c r="Q69" i="1"/>
  <c r="R69" i="1"/>
  <c r="S69" i="1"/>
  <c r="T69" i="1"/>
  <c r="C70" i="1"/>
  <c r="D70" i="1"/>
  <c r="E70" i="1"/>
  <c r="F70" i="1"/>
  <c r="G70" i="1"/>
  <c r="J70" i="1"/>
  <c r="K70" i="1"/>
  <c r="L70" i="1"/>
  <c r="M70" i="1"/>
  <c r="N70" i="1"/>
  <c r="O70" i="1"/>
  <c r="P70" i="1"/>
  <c r="Q70" i="1"/>
  <c r="R70" i="1"/>
  <c r="S70" i="1"/>
  <c r="T70" i="1"/>
  <c r="D43" i="1"/>
  <c r="C36" i="3" s="1"/>
  <c r="E43" i="1"/>
  <c r="F43" i="1"/>
  <c r="B38" i="3" s="1"/>
  <c r="G43" i="1"/>
  <c r="B39" i="3" s="1"/>
  <c r="J43" i="1"/>
  <c r="B40" i="3" s="1"/>
  <c r="K43" i="1"/>
  <c r="B41" i="3" s="1"/>
  <c r="L43" i="1"/>
  <c r="M43" i="1"/>
  <c r="N43" i="1"/>
  <c r="O43" i="1"/>
  <c r="P43" i="1"/>
  <c r="M36" i="3" s="1"/>
  <c r="Q43" i="1"/>
  <c r="B47" i="3" s="1"/>
  <c r="R43" i="1"/>
  <c r="B48" i="3" s="1"/>
  <c r="S43" i="1"/>
  <c r="B49" i="3" s="1"/>
  <c r="T43" i="1"/>
  <c r="C43" i="1"/>
  <c r="B36" i="3" s="1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5" i="3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20" i="2"/>
  <c r="R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20" i="2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20" i="2"/>
  <c r="N20" i="2" s="1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20" i="2"/>
  <c r="D20" i="2"/>
  <c r="E20" i="2"/>
  <c r="F20" i="2"/>
  <c r="G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B39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15" i="2"/>
  <c r="D13" i="2"/>
  <c r="D14" i="2"/>
  <c r="D12" i="2"/>
  <c r="D11" i="2"/>
  <c r="D5" i="2"/>
  <c r="D4" i="2"/>
  <c r="D36" i="3" l="1"/>
  <c r="J35" i="3"/>
  <c r="Q35" i="3"/>
  <c r="I35" i="3"/>
  <c r="L35" i="3"/>
  <c r="D35" i="3"/>
  <c r="K35" i="3"/>
  <c r="C35" i="3"/>
  <c r="J36" i="3"/>
  <c r="B37" i="3"/>
  <c r="B35" i="3"/>
  <c r="Q50" i="3"/>
  <c r="I50" i="3"/>
  <c r="Q49" i="3"/>
  <c r="I49" i="3"/>
  <c r="Q48" i="3"/>
  <c r="I48" i="3"/>
  <c r="Q47" i="3"/>
  <c r="I47" i="3"/>
  <c r="Q46" i="3"/>
  <c r="I46" i="3"/>
  <c r="Q45" i="3"/>
  <c r="I45" i="3"/>
  <c r="Q44" i="3"/>
  <c r="I44" i="3"/>
  <c r="Q43" i="3"/>
  <c r="I43" i="3"/>
  <c r="Q42" i="3"/>
  <c r="I42" i="3"/>
  <c r="Q41" i="3"/>
  <c r="I41" i="3"/>
  <c r="Q40" i="3"/>
  <c r="I40" i="3"/>
  <c r="Q39" i="3"/>
  <c r="I39" i="3"/>
  <c r="Q38" i="3"/>
  <c r="I38" i="3"/>
  <c r="Q37" i="3"/>
  <c r="I37" i="3"/>
  <c r="Q36" i="3"/>
  <c r="I36" i="3"/>
  <c r="P50" i="3"/>
  <c r="H50" i="3"/>
  <c r="P49" i="3"/>
  <c r="H49" i="3"/>
  <c r="P48" i="3"/>
  <c r="H48" i="3"/>
  <c r="P47" i="3"/>
  <c r="H47" i="3"/>
  <c r="P46" i="3"/>
  <c r="H46" i="3"/>
  <c r="P45" i="3"/>
  <c r="H45" i="3"/>
  <c r="P44" i="3"/>
  <c r="H44" i="3"/>
  <c r="P43" i="3"/>
  <c r="H43" i="3"/>
  <c r="P42" i="3"/>
  <c r="H42" i="3"/>
  <c r="P41" i="3"/>
  <c r="H41" i="3"/>
  <c r="P40" i="3"/>
  <c r="H40" i="3"/>
  <c r="P39" i="3"/>
  <c r="H39" i="3"/>
  <c r="P38" i="3"/>
  <c r="H38" i="3"/>
  <c r="P37" i="3"/>
  <c r="H37" i="3"/>
  <c r="P36" i="3"/>
  <c r="H36" i="3"/>
  <c r="P35" i="3"/>
  <c r="H35" i="3"/>
  <c r="O50" i="3"/>
  <c r="G50" i="3"/>
  <c r="O49" i="3"/>
  <c r="G49" i="3"/>
  <c r="O48" i="3"/>
  <c r="G48" i="3"/>
  <c r="O47" i="3"/>
  <c r="G47" i="3"/>
  <c r="O46" i="3"/>
  <c r="G46" i="3"/>
  <c r="O45" i="3"/>
  <c r="G45" i="3"/>
  <c r="O44" i="3"/>
  <c r="G44" i="3"/>
  <c r="O43" i="3"/>
  <c r="G43" i="3"/>
  <c r="O42" i="3"/>
  <c r="G42" i="3"/>
  <c r="O41" i="3"/>
  <c r="G41" i="3"/>
  <c r="O40" i="3"/>
  <c r="G40" i="3"/>
  <c r="O39" i="3"/>
  <c r="G39" i="3"/>
  <c r="O38" i="3"/>
  <c r="G38" i="3"/>
  <c r="O37" i="3"/>
  <c r="G37" i="3"/>
  <c r="O36" i="3"/>
  <c r="G36" i="3"/>
  <c r="O35" i="3"/>
  <c r="G35" i="3"/>
  <c r="N50" i="3"/>
  <c r="F50" i="3"/>
  <c r="N49" i="3"/>
  <c r="F49" i="3"/>
  <c r="N48" i="3"/>
  <c r="F48" i="3"/>
  <c r="N47" i="3"/>
  <c r="F47" i="3"/>
  <c r="N46" i="3"/>
  <c r="F46" i="3"/>
  <c r="N45" i="3"/>
  <c r="F45" i="3"/>
  <c r="N44" i="3"/>
  <c r="F44" i="3"/>
  <c r="N43" i="3"/>
  <c r="F43" i="3"/>
  <c r="N42" i="3"/>
  <c r="F42" i="3"/>
  <c r="N41" i="3"/>
  <c r="F41" i="3"/>
  <c r="N40" i="3"/>
  <c r="F40" i="3"/>
  <c r="N39" i="3"/>
  <c r="F39" i="3"/>
  <c r="N38" i="3"/>
  <c r="F38" i="3"/>
  <c r="N37" i="3"/>
  <c r="F37" i="3"/>
  <c r="N36" i="3"/>
  <c r="F36" i="3"/>
  <c r="N35" i="3"/>
  <c r="F35" i="3"/>
  <c r="M50" i="3"/>
  <c r="E50" i="3"/>
  <c r="M49" i="3"/>
  <c r="E49" i="3"/>
  <c r="M48" i="3"/>
  <c r="E48" i="3"/>
  <c r="M47" i="3"/>
  <c r="E47" i="3"/>
  <c r="M46" i="3"/>
  <c r="E46" i="3"/>
  <c r="M45" i="3"/>
  <c r="E45" i="3"/>
  <c r="M44" i="3"/>
  <c r="E44" i="3"/>
  <c r="M43" i="3"/>
  <c r="E43" i="3"/>
  <c r="M42" i="3"/>
  <c r="E42" i="3"/>
  <c r="M41" i="3"/>
  <c r="E41" i="3"/>
  <c r="M40" i="3"/>
  <c r="E40" i="3"/>
  <c r="M39" i="3"/>
  <c r="E39" i="3"/>
  <c r="M38" i="3"/>
  <c r="E38" i="3"/>
  <c r="M37" i="3"/>
  <c r="E37" i="3"/>
  <c r="E36" i="3"/>
  <c r="M35" i="3"/>
  <c r="E35" i="3"/>
  <c r="L50" i="3"/>
  <c r="D50" i="3"/>
  <c r="L49" i="3"/>
  <c r="D49" i="3"/>
  <c r="L48" i="3"/>
  <c r="D48" i="3"/>
  <c r="L47" i="3"/>
  <c r="D47" i="3"/>
  <c r="L46" i="3"/>
  <c r="D46" i="3"/>
  <c r="L45" i="3"/>
  <c r="D45" i="3"/>
  <c r="L44" i="3"/>
  <c r="D44" i="3"/>
  <c r="L43" i="3"/>
  <c r="D43" i="3"/>
  <c r="L42" i="3"/>
  <c r="D42" i="3"/>
  <c r="L41" i="3"/>
  <c r="D41" i="3"/>
  <c r="L40" i="3"/>
  <c r="D40" i="3"/>
  <c r="L39" i="3"/>
  <c r="D39" i="3"/>
  <c r="L38" i="3"/>
  <c r="D38" i="3"/>
  <c r="L37" i="3"/>
  <c r="D37" i="3"/>
  <c r="L36" i="3"/>
  <c r="K50" i="3"/>
  <c r="C50" i="3"/>
  <c r="K49" i="3"/>
  <c r="C49" i="3"/>
  <c r="K48" i="3"/>
  <c r="C48" i="3"/>
  <c r="K47" i="3"/>
  <c r="C47" i="3"/>
  <c r="K46" i="3"/>
  <c r="C46" i="3"/>
  <c r="K45" i="3"/>
  <c r="C45" i="3"/>
  <c r="K44" i="3"/>
  <c r="C44" i="3"/>
  <c r="K43" i="3"/>
  <c r="C43" i="3"/>
  <c r="K42" i="3"/>
  <c r="C42" i="3"/>
  <c r="K41" i="3"/>
  <c r="C41" i="3"/>
  <c r="K40" i="3"/>
  <c r="C40" i="3"/>
  <c r="K39" i="3"/>
  <c r="C39" i="3"/>
  <c r="K38" i="3"/>
  <c r="C38" i="3"/>
  <c r="K37" i="3"/>
  <c r="C37" i="3"/>
  <c r="K36" i="3"/>
  <c r="J50" i="3"/>
  <c r="B50" i="3"/>
  <c r="J49" i="3"/>
  <c r="J48" i="3"/>
  <c r="J47" i="3"/>
  <c r="J46" i="3"/>
  <c r="B46" i="3"/>
  <c r="J45" i="3"/>
  <c r="B45" i="3"/>
  <c r="J44" i="3"/>
  <c r="B44" i="3"/>
  <c r="J43" i="3"/>
  <c r="B43" i="3"/>
  <c r="J42" i="3"/>
  <c r="B42" i="3"/>
  <c r="J41" i="3"/>
  <c r="J40" i="3"/>
  <c r="J39" i="3"/>
  <c r="J38" i="3"/>
  <c r="J37" i="3"/>
  <c r="S20" i="2"/>
  <c r="C31" i="1" s="1"/>
  <c r="C39" i="1" s="1"/>
  <c r="S28" i="2"/>
  <c r="M31" i="1" s="1"/>
  <c r="M38" i="1" s="1"/>
  <c r="S35" i="2"/>
  <c r="T31" i="1" s="1"/>
  <c r="S27" i="2"/>
  <c r="L31" i="1" s="1"/>
  <c r="S26" i="2"/>
  <c r="K31" i="1" s="1"/>
  <c r="K34" i="1" s="1"/>
  <c r="S31" i="2"/>
  <c r="P31" i="1" s="1"/>
  <c r="P34" i="1" s="1"/>
  <c r="S23" i="2"/>
  <c r="F31" i="1" s="1"/>
  <c r="F35" i="1" s="1"/>
  <c r="S34" i="2"/>
  <c r="S31" i="1" s="1"/>
  <c r="S38" i="1" s="1"/>
  <c r="S30" i="2"/>
  <c r="O31" i="1" s="1"/>
  <c r="O39" i="1" s="1"/>
  <c r="S22" i="2"/>
  <c r="E31" i="1" s="1"/>
  <c r="E35" i="1" s="1"/>
  <c r="S29" i="2"/>
  <c r="N31" i="1" s="1"/>
  <c r="N34" i="1" s="1"/>
  <c r="S21" i="2"/>
  <c r="D31" i="1" s="1"/>
  <c r="D34" i="1" s="1"/>
  <c r="I31" i="2"/>
  <c r="I23" i="2"/>
  <c r="I30" i="2"/>
  <c r="I22" i="2"/>
  <c r="S33" i="2"/>
  <c r="R31" i="1" s="1"/>
  <c r="R39" i="1" s="1"/>
  <c r="S25" i="2"/>
  <c r="J31" i="1" s="1"/>
  <c r="J39" i="1" s="1"/>
  <c r="S32" i="2"/>
  <c r="Q31" i="1" s="1"/>
  <c r="Q34" i="1" s="1"/>
  <c r="S24" i="2"/>
  <c r="G31" i="1" s="1"/>
  <c r="G34" i="1" s="1"/>
  <c r="I33" i="2"/>
  <c r="I25" i="2"/>
  <c r="I29" i="2"/>
  <c r="I21" i="2"/>
  <c r="D6" i="2"/>
  <c r="I32" i="2"/>
  <c r="I24" i="2"/>
  <c r="I35" i="2"/>
  <c r="I27" i="2"/>
  <c r="I34" i="2"/>
  <c r="I26" i="2"/>
  <c r="L35" i="2"/>
  <c r="L34" i="2"/>
  <c r="L25" i="2"/>
  <c r="L32" i="2"/>
  <c r="L24" i="2"/>
  <c r="L27" i="2"/>
  <c r="L33" i="2"/>
  <c r="I28" i="2"/>
  <c r="L31" i="2"/>
  <c r="L23" i="2"/>
  <c r="I20" i="2"/>
  <c r="L30" i="2"/>
  <c r="L22" i="2"/>
  <c r="L29" i="2"/>
  <c r="L21" i="2"/>
  <c r="L26" i="2"/>
  <c r="L20" i="2"/>
  <c r="L28" i="2"/>
  <c r="P20" i="2"/>
  <c r="C34" i="1" l="1"/>
  <c r="C35" i="1"/>
  <c r="M39" i="1"/>
  <c r="C38" i="1"/>
  <c r="P39" i="1"/>
  <c r="E38" i="1"/>
  <c r="O35" i="1"/>
  <c r="N39" i="1"/>
  <c r="S34" i="1"/>
  <c r="K35" i="1"/>
  <c r="K38" i="1"/>
  <c r="S35" i="1"/>
  <c r="G38" i="1"/>
  <c r="F38" i="1"/>
  <c r="L35" i="1"/>
  <c r="L39" i="1"/>
  <c r="L38" i="1"/>
  <c r="P35" i="1"/>
  <c r="Q38" i="1"/>
  <c r="F39" i="1"/>
  <c r="N38" i="1"/>
  <c r="T35" i="1"/>
  <c r="T39" i="1"/>
  <c r="T38" i="1"/>
  <c r="T34" i="1"/>
  <c r="D39" i="1"/>
  <c r="G39" i="1"/>
  <c r="O38" i="1"/>
  <c r="J34" i="1"/>
  <c r="J38" i="1"/>
  <c r="O34" i="1"/>
  <c r="E39" i="1"/>
  <c r="Q39" i="1"/>
  <c r="P38" i="1"/>
  <c r="S39" i="1"/>
  <c r="R34" i="1"/>
  <c r="R38" i="1"/>
  <c r="E34" i="1"/>
  <c r="D38" i="1"/>
  <c r="K39" i="1"/>
  <c r="L34" i="1"/>
  <c r="D35" i="1"/>
  <c r="N35" i="1"/>
  <c r="G35" i="1"/>
  <c r="J35" i="1"/>
  <c r="M35" i="1"/>
  <c r="M34" i="1"/>
  <c r="Q35" i="1"/>
  <c r="F34" i="1"/>
  <c r="R35" i="1"/>
</calcChain>
</file>

<file path=xl/sharedStrings.xml><?xml version="1.0" encoding="utf-8"?>
<sst xmlns="http://purl.oclc.org/ooxml/spreadsheetml/main" count="260" uniqueCount="87">
  <si>
    <t>Paises</t>
  </si>
  <si>
    <t>Rendimento Ensino basico</t>
  </si>
  <si>
    <t>Rendimento Ensino pos-secundario</t>
  </si>
  <si>
    <t>Rendimento Ensino superior</t>
  </si>
  <si>
    <t>Indice de Gini</t>
  </si>
  <si>
    <t>Populacao estrangeira</t>
  </si>
  <si>
    <t>Moeda</t>
  </si>
  <si>
    <t>Regiao</t>
  </si>
  <si>
    <t>Populacao ensino superior</t>
  </si>
  <si>
    <t>Populacao desempregada</t>
  </si>
  <si>
    <t>PIB per capita</t>
  </si>
  <si>
    <t>Despesa Alimentacao</t>
  </si>
  <si>
    <t>Despesa Saude</t>
  </si>
  <si>
    <t>Despesa Transportes e comunicacoes</t>
  </si>
  <si>
    <t>Despesa Educacao</t>
  </si>
  <si>
    <t>Despesa Habitacao e utilidades</t>
  </si>
  <si>
    <t>Despesa Servicos</t>
  </si>
  <si>
    <t>Despesa Lazer e cultura</t>
  </si>
  <si>
    <t>Despesa Vestuario e recheio de casa</t>
  </si>
  <si>
    <t>Alemanha</t>
  </si>
  <si>
    <t>Euro</t>
  </si>
  <si>
    <t>Europa central</t>
  </si>
  <si>
    <t>Austria</t>
  </si>
  <si>
    <t>Belgica</t>
  </si>
  <si>
    <t>Bulgaria</t>
  </si>
  <si>
    <t>Nao-euro</t>
  </si>
  <si>
    <t>Europa de leste</t>
  </si>
  <si>
    <t>Chipre</t>
  </si>
  <si>
    <t>Europa de sul</t>
  </si>
  <si>
    <t>Croacia</t>
  </si>
  <si>
    <t>Dinamarca</t>
  </si>
  <si>
    <t>Europa de norte</t>
  </si>
  <si>
    <t>Eslovaquia</t>
  </si>
  <si>
    <t>Eslovenia</t>
  </si>
  <si>
    <t>Espanha</t>
  </si>
  <si>
    <t>EstÛnia</t>
  </si>
  <si>
    <t>Finlandia</t>
  </si>
  <si>
    <t>Franca</t>
  </si>
  <si>
    <t>Grecia</t>
  </si>
  <si>
    <t>Hungria</t>
  </si>
  <si>
    <t>Irlanda</t>
  </si>
  <si>
    <t>Italia</t>
  </si>
  <si>
    <t>Letonia</t>
  </si>
  <si>
    <t>Lituania</t>
  </si>
  <si>
    <t>Luxemburgo</t>
  </si>
  <si>
    <t>Malta</t>
  </si>
  <si>
    <t>Paises Baixos</t>
  </si>
  <si>
    <t>Polonia</t>
  </si>
  <si>
    <t>Portugal</t>
  </si>
  <si>
    <t>Reino Unido</t>
  </si>
  <si>
    <t>Republica Checa</t>
  </si>
  <si>
    <t>Romenia</t>
  </si>
  <si>
    <t>Suecia</t>
  </si>
  <si>
    <t>Count of Moeda</t>
  </si>
  <si>
    <t>Row Labels</t>
  </si>
  <si>
    <t>Grand Total</t>
  </si>
  <si>
    <t>Frequencia relativa</t>
  </si>
  <si>
    <t>Count of Regiao</t>
  </si>
  <si>
    <t>Média</t>
  </si>
  <si>
    <t>AVERAGE(INDEX(Table1;0;MATCH(B20;Table1[#Headers];0)))</t>
  </si>
  <si>
    <t>Mediana</t>
  </si>
  <si>
    <t>Trim mean</t>
  </si>
  <si>
    <t>Q1</t>
  </si>
  <si>
    <t>Q2</t>
  </si>
  <si>
    <t>Q3</t>
  </si>
  <si>
    <t>Trimean</t>
  </si>
  <si>
    <t>Min</t>
  </si>
  <si>
    <t>Max</t>
  </si>
  <si>
    <t>Amplitude</t>
  </si>
  <si>
    <t>Desvio  Padrão</t>
  </si>
  <si>
    <t>Variancia</t>
  </si>
  <si>
    <t>Skewness</t>
  </si>
  <si>
    <t>Simetria</t>
  </si>
  <si>
    <t>Kurtosis</t>
  </si>
  <si>
    <t>Achatamento</t>
  </si>
  <si>
    <r>
      <t>K = 1 + 3. 322 log</t>
    </r>
    <r>
      <rPr>
        <b/>
        <sz val="10"/>
        <color rgb="FF777777"/>
        <rFont val="PT Sans"/>
        <family val="2"/>
        <charset val="204"/>
      </rPr>
      <t>N</t>
    </r>
  </si>
  <si>
    <t>IQI</t>
  </si>
  <si>
    <t>Outliers moderados</t>
  </si>
  <si>
    <t>Limite inferior</t>
  </si>
  <si>
    <t>Limite superior</t>
  </si>
  <si>
    <t>Outliers severos</t>
  </si>
  <si>
    <t>Column Labels</t>
  </si>
  <si>
    <t>Par de variaveis categoricas - tabela de contigência</t>
  </si>
  <si>
    <t>Par de variáveis numéricas</t>
  </si>
  <si>
    <t>Correlação de pearson</t>
  </si>
  <si>
    <t>Correlação de spearman</t>
  </si>
  <si>
    <t>Ranks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</si>
</sst>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rgb="FF777777"/>
      <name val="PT Sans"/>
      <family val="2"/>
      <charset val="204"/>
    </font>
    <font>
      <b/>
      <sz val="10"/>
      <color rgb="FF777777"/>
      <name val="PT Sans"/>
      <family val="2"/>
      <charset val="204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/>
    <xf numFmtId="0" fontId="0" fillId="0" borderId="0" xfId="0" applyNumberFormat="1"/>
    <xf numFmtId="0" fontId="16" fillId="3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4" borderId="12" xfId="0" applyNumberFormat="1" applyFont="1" applyFill="1" applyBorder="1"/>
    <xf numFmtId="0" fontId="13" fillId="33" borderId="13" xfId="0" applyFont="1" applyFill="1" applyBorder="1"/>
    <xf numFmtId="0" fontId="0" fillId="35" borderId="0" xfId="0" applyNumberFormat="1" applyFill="1"/>
    <xf numFmtId="0" fontId="13" fillId="33" borderId="0" xfId="0" applyFont="1" applyFill="1" applyBorder="1"/>
    <xf numFmtId="0" fontId="18" fillId="0" borderId="0" xfId="0" applyFont="1"/>
    <xf numFmtId="0" fontId="20" fillId="0" borderId="0" xfId="0" applyFont="1"/>
    <xf numFmtId="0" fontId="16" fillId="0" borderId="0" xfId="0" applyFont="1"/>
    <xf numFmtId="0" fontId="13" fillId="33" borderId="11" xfId="0" applyFont="1" applyFill="1" applyBorder="1"/>
    <xf numFmtId="0" fontId="13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[data_set_EU_aula.xlsx]Análise univariada!PivotTable1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Moeda na 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%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dk1">
                <a:tint val="88.5%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chemeClr val="dk1">
                      <a:tint val="88.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dk1">
                <a:tint val="88.5%"/>
              </a:schemeClr>
            </a:solidFill>
          </a:ln>
          <a:effectLst/>
        </c:spPr>
      </c:pivotFmt>
      <c:pivotFmt>
        <c:idx val="2"/>
        <c:spPr>
          <a:solidFill>
            <a:schemeClr val="lt1"/>
          </a:solidFill>
          <a:ln w="19050">
            <a:solidFill>
              <a:schemeClr val="dk1">
                <a:tint val="88.5%"/>
              </a:schemeClr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'Análise univariada'!$C$3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dk1">
                  <a:tint val="88.5%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dk1">
                    <a:tint val="88.5%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D5-A941-8C33-40DCB5379A15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dk1">
                    <a:tint val="88.5%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D5-A941-8C33-40DCB5379A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tint val="88.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tint val="88.5%"/>
                      <a:lumMod val="60%"/>
                      <a:lumOff val="4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univariada'!$B$4:$B$6</c:f>
              <c:strCache>
                <c:ptCount val="2"/>
                <c:pt idx="0">
                  <c:v>Euro</c:v>
                </c:pt>
                <c:pt idx="1">
                  <c:v>Nao-euro</c:v>
                </c:pt>
              </c:strCache>
            </c:strRef>
          </c:cat>
          <c:val>
            <c:numRef>
              <c:f>'Análise univariada'!$C$4:$C$6</c:f>
              <c:numCache>
                <c:formatCode>General</c:formatCode>
                <c:ptCount val="2"/>
                <c:pt idx="0">
                  <c:v>19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2-C444-95AC-D399F2C0F348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tint val="88.5%"/>
      </a:schemeClr>
    </a:solidFill>
    <a:ln w="9525" cap="flat" cmpd="sng" algn="ctr">
      <a:solidFill>
        <a:schemeClr val="dk1">
          <a:tint val="88.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[data_set_EU_aula.xlsx]Análise univariada!PivotTable2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Regiões na 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%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%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'Análise univariada'!$C$10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'Análise univariada'!$B$11:$B$15</c:f>
              <c:strCache>
                <c:ptCount val="4"/>
                <c:pt idx="0">
                  <c:v>Europa central</c:v>
                </c:pt>
                <c:pt idx="1">
                  <c:v>Europa de leste</c:v>
                </c:pt>
                <c:pt idx="2">
                  <c:v>Europa de norte</c:v>
                </c:pt>
                <c:pt idx="3">
                  <c:v>Europa de sul</c:v>
                </c:pt>
              </c:strCache>
            </c:strRef>
          </c:cat>
          <c:val>
            <c:numRef>
              <c:f>'Análise univariada'!$C$11:$C$15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1-5C45-A16D-58D2898BB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11626399"/>
        <c:axId val="612197423"/>
      </c:barChart>
      <c:catAx>
        <c:axId val="6116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%"/>
                <a:lumOff val="4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97423"/>
        <c:crosses val="autoZero"/>
        <c:auto val="1"/>
        <c:lblAlgn val="ctr"/>
        <c:lblOffset val="100"/>
        <c:noMultiLvlLbl val="0"/>
      </c:catAx>
      <c:valAx>
        <c:axId val="61219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2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Despesa de educação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Despesa de educação</a:t>
          </a:r>
        </a:p>
      </cx:txPr>
    </cx:title>
    <cx:plotArea>
      <cx:plotAreaRegion>
        <cx:series layoutId="clusteredColumn" uniqueId="{3FDC60CF-999D-D540-A176-D7E04D6FDC55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Despesa de saude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Despesa de saude</a:t>
          </a:r>
        </a:p>
      </cx:txPr>
    </cx:title>
    <cx:plotArea>
      <cx:plotAreaRegion>
        <cx:series layoutId="clusteredColumn" uniqueId="{C26BA126-91D6-C944-8228-1D76E89077E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20">
  <a:schemeClr val="dk1"/>
  <cs:variation>
    <a:tint val="88.5%"/>
  </cs:variation>
  <cs:variation>
    <a:tint val="55%"/>
  </cs:variation>
  <cs:variation>
    <a:tint val="75%"/>
  </cs:variation>
  <cs:variation>
    <a:tint val="98.5%"/>
  </cs:variation>
  <cs:variation>
    <a:tint val="30%"/>
  </cs:variation>
  <cs:variation>
    <a:tint val="60%"/>
  </cs:variation>
  <cs:variation>
    <a:tint val="8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%"/>
            <a:lumOff val="40%"/>
          </a:schemeClr>
        </a:solidFill>
        <a:round/>
      </a:ln>
    </cs:spPr>
    <cs:defRPr sz="800" kern="1200" cap="all" spc="150" normalizeH="0" baseline="0%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%"/>
            <a:lumOff val="40%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%"/>
          <a:lumOff val="65%"/>
        </a:schemeClr>
      </a:solidFill>
      <a:ln w="9525">
        <a:solidFill>
          <a:schemeClr val="phClr">
            <a:lumMod val="60%"/>
            <a:lumOff val="40%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%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%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%"/>
            <a:lumOff val="40%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  <a:tint val="50%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%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%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%"/>
        </a:schemeClr>
      </a:solidFill>
      <a:ln w="9525">
        <a:solidFill>
          <a:schemeClr val="phClr">
            <a:lumMod val="60%"/>
            <a:lumOff val="40%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%"/>
            <a:lumOff val="40%"/>
          </a:schemeClr>
        </a:solidFill>
        <a:round/>
      </a:ln>
    </cs:spPr>
    <cs:defRPr sz="800" kern="1200" cap="all" spc="150" normalizeH="0" baseline="0%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%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%"/>
            <a:lumOff val="40%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%"/>
          <a:lumOff val="65%"/>
        </a:schemeClr>
      </a:solidFill>
      <a:ln w="9525">
        <a:solidFill>
          <a:schemeClr val="phClr">
            <a:lumMod val="60%"/>
            <a:lumOff val="40%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%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%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%"/>
            <a:lumOff val="40%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  <a:tint val="50%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%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%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%"/>
        </a:schemeClr>
      </a:solidFill>
      <a:ln w="9525">
        <a:solidFill>
          <a:schemeClr val="phClr">
            <a:lumMod val="60%"/>
            <a:lumOff val="40%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800100</xdr:colOff>
      <xdr:row>0</xdr:row>
      <xdr:rowOff>88900</xdr:rowOff>
    </xdr:from>
    <xdr:to>
      <xdr:col>10</xdr:col>
      <xdr:colOff>419100</xdr:colOff>
      <xdr:row>13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C3AAF-2296-9848-86E4-7B30619BB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228600</xdr:colOff>
      <xdr:row>0</xdr:row>
      <xdr:rowOff>88900</xdr:rowOff>
    </xdr:from>
    <xdr:to>
      <xdr:col>16</xdr:col>
      <xdr:colOff>673100</xdr:colOff>
      <xdr:row>13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B00DD1-9B56-A943-947B-C4D970DC4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21</xdr:col>
      <xdr:colOff>0</xdr:colOff>
      <xdr:row>19</xdr:row>
      <xdr:rowOff>0</xdr:rowOff>
    </xdr:from>
    <xdr:to>
      <xdr:col>26</xdr:col>
      <xdr:colOff>444500</xdr:colOff>
      <xdr:row>32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5E4C593-0A1C-794D-B86C-41F0CA5FF4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34900" y="3860800"/>
              <a:ext cx="45720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34</xdr:row>
      <xdr:rowOff>0</xdr:rowOff>
    </xdr:from>
    <xdr:to>
      <xdr:col>26</xdr:col>
      <xdr:colOff>444500</xdr:colOff>
      <xdr:row>47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9091C2C-428E-A54A-8FAD-A439A425D5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34900" y="6934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rge Costa Ferreira" refreshedDateIso="2019-04-08T10:56:39.78000016417354425" createdVersion="6" refreshedVersion="6" minRefreshableVersion="3" recordCount="28" xr:uid="{00000000-000A-0000-FFFF-FFFF06000000}">
  <cacheSource type="worksheet">
    <worksheetSource name="Table1"/>
  </cacheSource>
  <cacheFields count="19">
    <cacheField name="Paises" numFmtId="0">
      <sharedItems/>
    </cacheField>
    <cacheField name="Rendimento Ensino basico" numFmtId="0">
      <sharedItems containsString="0" containsBlank="1" containsNumber="1" containsInteger="1" minValue="2125" maxValue="33570"/>
    </cacheField>
    <cacheField name="Rendimento Ensino pos-secundario" numFmtId="0">
      <sharedItems containsString="0" containsBlank="1" containsNumber="1" containsInteger="1" minValue="3169" maxValue="41852"/>
    </cacheField>
    <cacheField name="Rendimento Ensino superior" numFmtId="0">
      <sharedItems containsString="0" containsBlank="1" containsNumber="1" containsInteger="1" minValue="5230" maxValue="53988"/>
    </cacheField>
    <cacheField name="Indice de Gini" numFmtId="0">
      <sharedItems containsMixedTypes="1" containsNumber="1" containsInteger="1" minValue="26" maxValue="28"/>
    </cacheField>
    <cacheField name="Populacao estrangeira" numFmtId="0">
      <sharedItems/>
    </cacheField>
    <cacheField name="Moeda" numFmtId="0">
      <sharedItems count="2">
        <s v="Euro"/>
        <s v="Nao-euro"/>
      </sharedItems>
    </cacheField>
    <cacheField name="Regiao" numFmtId="0">
      <sharedItems count="4">
        <s v="Europa central"/>
        <s v="Europa de leste"/>
        <s v="Europa de sul"/>
        <s v="Europa de norte"/>
      </sharedItems>
    </cacheField>
    <cacheField name="Populacao ensino superior" numFmtId="0">
      <sharedItems containsMixedTypes="1" containsNumber="1" containsInteger="1" minValue="24" maxValue="31"/>
    </cacheField>
    <cacheField name="Populacao desempregada" numFmtId="0">
      <sharedItems containsMixedTypes="1" containsNumber="1" containsInteger="1" minValue="4" maxValue="11"/>
    </cacheField>
    <cacheField name="PIB per capita" numFmtId="0">
      <sharedItems/>
    </cacheField>
    <cacheField name="Despesa Alimentacao" numFmtId="0">
      <sharedItems containsSemiMixedTypes="0" containsString="0" containsNumber="1" containsInteger="1" minValue="8" maxValue="28"/>
    </cacheField>
    <cacheField name="Despesa Saude" numFmtId="0">
      <sharedItems containsSemiMixedTypes="0" containsString="0" containsNumber="1" containsInteger="1" minValue="2" maxValue="7"/>
    </cacheField>
    <cacheField name="Despesa Transportes e comunicacoes" numFmtId="0">
      <sharedItems containsSemiMixedTypes="0" containsString="0" containsNumber="1" containsInteger="1" minValue="11" maxValue="19"/>
    </cacheField>
    <cacheField name="Despesa Educacao" numFmtId="0">
      <sharedItems containsSemiMixedTypes="0" containsString="0" containsNumber="1" containsInteger="1" minValue="0" maxValue="3"/>
    </cacheField>
    <cacheField name="Despesa Habitacao e utilidades" numFmtId="0">
      <sharedItems containsSemiMixedTypes="0" containsString="0" containsNumber="1" containsInteger="1" minValue="10" maxValue="29"/>
    </cacheField>
    <cacheField name="Despesa Servicos" numFmtId="0">
      <sharedItems containsSemiMixedTypes="0" containsString="0" containsNumber="1" containsInteger="1" minValue="7" maxValue="31"/>
    </cacheField>
    <cacheField name="Despesa Lazer e cultura" numFmtId="0">
      <sharedItems containsSemiMixedTypes="0" containsString="0" containsNumber="1" containsInteger="1" minValue="9" maxValue="18"/>
    </cacheField>
    <cacheField name="Despesa Vestuario e recheio de casa" numFmtId="0">
      <sharedItems containsSemiMixedTypes="0" containsString="0" containsNumber="1" containsInteger="1" minValue="7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8">
  <r>
    <s v="Alemanha"/>
    <n v="18134"/>
    <n v="22641"/>
    <n v="29680"/>
    <s v="29.1"/>
    <s v="11.2"/>
    <x v="0"/>
    <x v="0"/>
    <s v="28.6"/>
    <s v="3.7"/>
    <s v="36849.90"/>
    <n v="11"/>
    <n v="5"/>
    <n v="18"/>
    <n v="1"/>
    <n v="23"/>
    <n v="18"/>
    <n v="12"/>
    <n v="12"/>
  </r>
  <r>
    <s v="Austria"/>
    <n v="21760"/>
    <n v="27212"/>
    <n v="34828"/>
    <s v="27.9"/>
    <s v="15.2"/>
    <x v="0"/>
    <x v="0"/>
    <s v="32.4"/>
    <s v="5.5"/>
    <s v="38162.70"/>
    <n v="10"/>
    <n v="4"/>
    <n v="14"/>
    <n v="1"/>
    <n v="23"/>
    <n v="23"/>
    <n v="13"/>
    <n v="12"/>
  </r>
  <r>
    <s v="Belgica"/>
    <n v="18431"/>
    <n v="23283"/>
    <n v="30967"/>
    <n v="26"/>
    <s v="11.9"/>
    <x v="0"/>
    <x v="0"/>
    <s v="40.3"/>
    <s v="7.1"/>
    <s v="34787.80"/>
    <n v="14"/>
    <n v="7"/>
    <n v="13"/>
    <n v="0"/>
    <n v="24"/>
    <n v="20"/>
    <n v="12"/>
    <n v="10"/>
  </r>
  <r>
    <s v="Bulgaria"/>
    <n v="2539"/>
    <n v="4452"/>
    <n v="7494"/>
    <s v="40.2"/>
    <s v="1.1"/>
    <x v="1"/>
    <x v="1"/>
    <s v="27.8"/>
    <s v="6.2"/>
    <s v="14787.00"/>
    <n v="19"/>
    <n v="6"/>
    <n v="19"/>
    <n v="1"/>
    <n v="20"/>
    <n v="14"/>
    <n v="13"/>
    <n v="8"/>
  </r>
  <r>
    <s v="Chipre"/>
    <n v="12430"/>
    <n v="16082"/>
    <n v="23514"/>
    <s v="30.8"/>
    <s v="16.4"/>
    <x v="0"/>
    <x v="2"/>
    <s v="42.5"/>
    <n v="11"/>
    <s v="25054.00"/>
    <n v="14"/>
    <n v="5"/>
    <n v="16"/>
    <n v="3"/>
    <n v="15"/>
    <n v="26"/>
    <n v="12"/>
    <n v="9"/>
  </r>
  <r>
    <s v="Croacia"/>
    <n v="4919"/>
    <n v="6793"/>
    <n v="10084"/>
    <s v="29.9"/>
    <s v="1.1"/>
    <x v="1"/>
    <x v="1"/>
    <s v="23.7"/>
    <s v="11.2"/>
    <s v="18476.00"/>
    <n v="19"/>
    <n v="4"/>
    <n v="13"/>
    <n v="1"/>
    <n v="16"/>
    <n v="23"/>
    <n v="15"/>
    <n v="9"/>
  </r>
  <r>
    <s v="Dinamarca"/>
    <n v="26758"/>
    <n v="30748"/>
    <n v="38423"/>
    <s v="27.6"/>
    <s v="8.4"/>
    <x v="1"/>
    <x v="3"/>
    <s v="39.1"/>
    <s v="5.7"/>
    <s v="37469.20"/>
    <n v="11"/>
    <n v="3"/>
    <n v="14"/>
    <n v="1"/>
    <n v="29"/>
    <n v="18"/>
    <n v="15"/>
    <n v="9"/>
  </r>
  <r>
    <s v="Eslovaquia"/>
    <n v="5841"/>
    <n v="7570"/>
    <n v="9171"/>
    <s v="23.2"/>
    <s v="1.3"/>
    <x v="0"/>
    <x v="1"/>
    <s v="23.1"/>
    <s v="8.1"/>
    <s v="22999.50"/>
    <n v="18"/>
    <n v="3"/>
    <n v="11"/>
    <n v="2"/>
    <n v="24"/>
    <n v="17"/>
    <n v="15"/>
    <n v="10"/>
  </r>
  <r>
    <s v="Eslovenia"/>
    <n v="10557"/>
    <n v="12770"/>
    <n v="17430"/>
    <s v="23.7"/>
    <s v="5.5"/>
    <x v="0"/>
    <x v="1"/>
    <s v="32.5"/>
    <s v="6.6"/>
    <s v="25366.30"/>
    <n v="15"/>
    <n v="4"/>
    <n v="19"/>
    <n v="1"/>
    <n v="19"/>
    <n v="18"/>
    <n v="14"/>
    <n v="10"/>
  </r>
  <r>
    <s v="Espanha"/>
    <n v="13052"/>
    <n v="16399"/>
    <n v="22783"/>
    <s v="34.1"/>
    <s v="9.5"/>
    <x v="0"/>
    <x v="2"/>
    <s v="36.4"/>
    <s v="17.2"/>
    <s v="27625.70"/>
    <n v="12"/>
    <n v="4"/>
    <n v="15"/>
    <n v="2"/>
    <n v="22"/>
    <n v="26"/>
    <n v="11"/>
    <n v="8"/>
  </r>
  <r>
    <s v="EstÛnia"/>
    <n v="7585"/>
    <n v="9495"/>
    <n v="13051"/>
    <s v="31.6"/>
    <s v="14.9"/>
    <x v="0"/>
    <x v="3"/>
    <s v="39.7"/>
    <s v="5.8"/>
    <s v="23054.60"/>
    <n v="20"/>
    <n v="3"/>
    <n v="15"/>
    <n v="0"/>
    <n v="18"/>
    <n v="17"/>
    <n v="16"/>
    <n v="11"/>
  </r>
  <r>
    <s v="Finlandia"/>
    <n v="21886"/>
    <n v="24848"/>
    <n v="33847"/>
    <s v="25.3"/>
    <s v="4.4"/>
    <x v="0"/>
    <x v="3"/>
    <s v="43.7"/>
    <s v="8.6"/>
    <s v="32699.00"/>
    <n v="12"/>
    <n v="5"/>
    <n v="14"/>
    <n v="0"/>
    <n v="29"/>
    <n v="17"/>
    <n v="14"/>
    <n v="9"/>
  </r>
  <r>
    <s v="Franca"/>
    <n v="22155"/>
    <n v="24890"/>
    <n v="32732"/>
    <s v="29.3"/>
    <s v="6.9"/>
    <x v="0"/>
    <x v="0"/>
    <s v="35.2"/>
    <s v="9.4"/>
    <s v="31286.00"/>
    <n v="13"/>
    <n v="4"/>
    <n v="16"/>
    <n v="1"/>
    <n v="26"/>
    <n v="19"/>
    <n v="12"/>
    <n v="9"/>
  </r>
  <r>
    <s v="Grecia"/>
    <n v="7152"/>
    <n v="8534"/>
    <n v="12211"/>
    <s v="33.4"/>
    <s v="7.5"/>
    <x v="0"/>
    <x v="2"/>
    <n v="31"/>
    <s v="21.5"/>
    <s v="20087.40"/>
    <n v="17"/>
    <n v="4"/>
    <n v="18"/>
    <n v="2"/>
    <n v="20"/>
    <n v="22"/>
    <n v="10"/>
    <n v="7"/>
  </r>
  <r>
    <s v="Hungria"/>
    <n v="4246"/>
    <n v="5513"/>
    <n v="7799"/>
    <s v="28.1"/>
    <s v="1.5"/>
    <x v="1"/>
    <x v="1"/>
    <s v="24.1"/>
    <s v="4.2"/>
    <s v="20430.40"/>
    <n v="18"/>
    <n v="4"/>
    <n v="17"/>
    <n v="2"/>
    <n v="19"/>
    <n v="18"/>
    <n v="14"/>
    <n v="8"/>
  </r>
  <r>
    <s v="Irlanda"/>
    <m/>
    <m/>
    <m/>
    <s v="35.7"/>
    <s v="11.8"/>
    <x v="0"/>
    <x v="0"/>
    <s v="46.5"/>
    <s v="6.7"/>
    <s v="54715.30"/>
    <n v="9"/>
    <n v="5"/>
    <n v="16"/>
    <n v="3"/>
    <n v="24"/>
    <n v="23"/>
    <n v="12"/>
    <n v="8"/>
  </r>
  <r>
    <s v="Italia"/>
    <n v="15621"/>
    <n v="20161"/>
    <n v="27535"/>
    <s v="32.7"/>
    <s v="8.3"/>
    <x v="0"/>
    <x v="2"/>
    <s v="18.7"/>
    <s v="11.2"/>
    <s v="28684.80"/>
    <n v="14"/>
    <n v="4"/>
    <n v="14"/>
    <n v="1"/>
    <n v="23"/>
    <n v="21"/>
    <n v="11"/>
    <n v="12"/>
  </r>
  <r>
    <s v="Letonia"/>
    <n v="5106"/>
    <n v="7078"/>
    <n v="10745"/>
    <s v="34.5"/>
    <s v="14.3"/>
    <x v="0"/>
    <x v="3"/>
    <s v="33.9"/>
    <s v="8.7"/>
    <s v="20058.60"/>
    <n v="18"/>
    <n v="5"/>
    <n v="15"/>
    <n v="2"/>
    <n v="21"/>
    <n v="12"/>
    <n v="18"/>
    <n v="9"/>
  </r>
  <r>
    <s v="Lituania"/>
    <n v="4763"/>
    <n v="6528"/>
    <n v="11038"/>
    <s v="37.6"/>
    <s v="0.7"/>
    <x v="0"/>
    <x v="3"/>
    <s v="40.3"/>
    <s v="7.1"/>
    <s v="23337.40"/>
    <n v="22"/>
    <n v="5"/>
    <n v="19"/>
    <n v="0"/>
    <n v="15"/>
    <n v="12"/>
    <n v="14"/>
    <n v="13"/>
  </r>
  <r>
    <s v="Luxemburgo"/>
    <n v="33570"/>
    <n v="41852"/>
    <n v="53988"/>
    <s v="30.9"/>
    <s v="47.6"/>
    <x v="0"/>
    <x v="0"/>
    <s v="39.9"/>
    <s v="5.5"/>
    <s v="75854.60"/>
    <n v="9"/>
    <n v="3"/>
    <n v="17"/>
    <n v="1"/>
    <n v="25"/>
    <n v="21"/>
    <n v="14"/>
    <n v="10"/>
  </r>
  <r>
    <s v="Malta"/>
    <n v="13160"/>
    <n v="17706"/>
    <n v="24811"/>
    <s v="28.3"/>
    <s v="11.8"/>
    <x v="0"/>
    <x v="2"/>
    <s v="23.9"/>
    <n v="4"/>
    <s v="28590.00"/>
    <n v="12"/>
    <n v="4"/>
    <n v="15"/>
    <n v="2"/>
    <n v="10"/>
    <n v="31"/>
    <n v="14"/>
    <n v="12"/>
  </r>
  <r>
    <s v="Paises Baixos"/>
    <n v="21312"/>
    <n v="24644"/>
    <n v="32352"/>
    <s v="27.1"/>
    <s v="5.4"/>
    <x v="0"/>
    <x v="0"/>
    <s v="37.2"/>
    <s v="4.8"/>
    <s v="38394.60"/>
    <n v="11"/>
    <n v="4"/>
    <n v="15"/>
    <n v="1"/>
    <n v="24"/>
    <n v="21"/>
    <n v="13"/>
    <n v="11"/>
  </r>
  <r>
    <s v="Polonia"/>
    <n v="4928"/>
    <n v="6236"/>
    <n v="9646"/>
    <s v="29.2"/>
    <s v="0.6"/>
    <x v="1"/>
    <x v="1"/>
    <s v="29.9"/>
    <s v="4.9"/>
    <s v="21111.10"/>
    <n v="17"/>
    <n v="6"/>
    <n v="14"/>
    <n v="1"/>
    <n v="21"/>
    <n v="17"/>
    <n v="14"/>
    <n v="10"/>
  </r>
  <r>
    <s v="Portugal"/>
    <n v="8817"/>
    <n v="11506"/>
    <n v="17906"/>
    <s v="33.5"/>
    <s v="3.9"/>
    <x v="0"/>
    <x v="2"/>
    <n v="24"/>
    <s v="8.9"/>
    <s v="23022.90"/>
    <n v="17"/>
    <n v="5"/>
    <n v="16"/>
    <n v="1"/>
    <n v="18"/>
    <n v="23"/>
    <n v="9"/>
    <n v="11"/>
  </r>
  <r>
    <s v="Reino Unido"/>
    <n v="19123"/>
    <n v="23179"/>
    <n v="32162"/>
    <s v="33.1"/>
    <s v="9.2"/>
    <x v="1"/>
    <x v="0"/>
    <s v="42.8"/>
    <s v="4.3"/>
    <s v="31501.30"/>
    <n v="8"/>
    <n v="2"/>
    <n v="15"/>
    <n v="2"/>
    <n v="27"/>
    <n v="23"/>
    <n v="13"/>
    <n v="10"/>
  </r>
  <r>
    <s v="Republica Checa"/>
    <n v="6976"/>
    <n v="8956"/>
    <n v="12060"/>
    <s v="24.5"/>
    <s v="4.8"/>
    <x v="1"/>
    <x v="1"/>
    <s v="23.9"/>
    <s v="2.9"/>
    <s v="26427.50"/>
    <n v="16"/>
    <n v="2"/>
    <n v="13"/>
    <n v="1"/>
    <n v="25"/>
    <n v="17"/>
    <n v="17"/>
    <n v="9"/>
  </r>
  <r>
    <s v="Romenia"/>
    <n v="2125"/>
    <n v="3169"/>
    <n v="5230"/>
    <s v="33.1"/>
    <s v="0.6"/>
    <x v="1"/>
    <x v="1"/>
    <s v="17.6"/>
    <s v="4.9"/>
    <s v="18802.00"/>
    <n v="28"/>
    <n v="6"/>
    <n v="15"/>
    <n v="2"/>
    <n v="22"/>
    <n v="7"/>
    <n v="12"/>
    <n v="8"/>
  </r>
  <r>
    <s v="Suecia"/>
    <n v="22632"/>
    <n v="29090"/>
    <n v="32358"/>
    <n v="28"/>
    <s v="8.4"/>
    <x v="1"/>
    <x v="3"/>
    <s v="41.9"/>
    <s v="6.7"/>
    <s v="36556.10"/>
    <n v="12"/>
    <n v="4"/>
    <n v="16"/>
    <n v="0"/>
    <n v="26"/>
    <n v="18"/>
    <n v="14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Moeda" fld="6" subtotal="count" baseField="0" baseItem="0"/>
  </dataFields>
  <formats count="1">
    <format dxfId="0">
      <pivotArea collapsedLevelsAreSubtotals="1" fieldPosition="0">
        <references count="1">
          <reference field="6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10:C15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ao" fld="7" subtotal="count" baseField="0" baseItem="0"/>
  </dataFields>
  <formats count="1">
    <format dxfId="1">
      <pivotArea collapsedLevelsAreSubtotals="1" fieldPosition="0">
        <references count="1">
          <reference field="7" count="2">
            <x v="0"/>
            <x v="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G7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oed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T29" totalsRowShown="0">
  <autoFilter ref="B1:T29" xr:uid="{00000000-0009-0000-0100-000001000000}"/>
  <tableColumns count="19">
    <tableColumn id="1" xr3:uid="{00000000-0010-0000-0000-000001000000}" name="Paises"/>
    <tableColumn id="2" xr3:uid="{00000000-0010-0000-0000-000002000000}" name="Rendimento Ensino basico"/>
    <tableColumn id="3" xr3:uid="{00000000-0010-0000-0000-000003000000}" name="Rendimento Ensino pos-secundario"/>
    <tableColumn id="4" xr3:uid="{00000000-0010-0000-0000-000004000000}" name="Rendimento Ensino superior"/>
    <tableColumn id="5" xr3:uid="{00000000-0010-0000-0000-000005000000}" name="Indice de Gini"/>
    <tableColumn id="6" xr3:uid="{00000000-0010-0000-0000-000006000000}" name="Populacao estrangeira"/>
    <tableColumn id="7" xr3:uid="{00000000-0010-0000-0000-000007000000}" name="Moeda"/>
    <tableColumn id="8" xr3:uid="{00000000-0010-0000-0000-000008000000}" name="Regiao"/>
    <tableColumn id="9" xr3:uid="{00000000-0010-0000-0000-000009000000}" name="Populacao ensino superior"/>
    <tableColumn id="10" xr3:uid="{00000000-0010-0000-0000-00000A000000}" name="Populacao desempregada"/>
    <tableColumn id="11" xr3:uid="{00000000-0010-0000-0000-00000B000000}" name="PIB per capita"/>
    <tableColumn id="12" xr3:uid="{00000000-0010-0000-0000-00000C000000}" name="Despesa Alimentacao"/>
    <tableColumn id="13" xr3:uid="{00000000-0010-0000-0000-00000D000000}" name="Despesa Saude"/>
    <tableColumn id="14" xr3:uid="{00000000-0010-0000-0000-00000E000000}" name="Despesa Transportes e comunicacoes"/>
    <tableColumn id="15" xr3:uid="{00000000-0010-0000-0000-00000F000000}" name="Despesa Educacao"/>
    <tableColumn id="16" xr3:uid="{00000000-0010-0000-0000-000010000000}" name="Despesa Habitacao e utilidades"/>
    <tableColumn id="17" xr3:uid="{00000000-0010-0000-0000-000011000000}" name="Despesa Servicos"/>
    <tableColumn id="18" xr3:uid="{00000000-0010-0000-0000-000012000000}" name="Despesa Lazer e cultura"/>
    <tableColumn id="19" xr3:uid="{00000000-0010-0000-0000-000013000000}" name="Despesa Vestuario e recheio de cas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42:T70" totalsRowShown="0" headerRowDxfId="4" headerRowBorderDxfId="3" tableBorderDxfId="2">
  <autoFilter ref="C42:T70" xr:uid="{00000000-0009-0000-0100-000002000000}"/>
  <tableColumns count="18">
    <tableColumn id="1" xr3:uid="{00000000-0010-0000-0100-000001000000}" name="Rendimento Ensino basico">
      <calculatedColumnFormula>_xlfn.RANK.AVG(C2,Table1[Rendimento Ensino basico])</calculatedColumnFormula>
    </tableColumn>
    <tableColumn id="2" xr3:uid="{00000000-0010-0000-0100-000002000000}" name="Rendimento Ensino pos-secundario">
      <calculatedColumnFormula>_xlfn.RANK.AVG(D2,Table1[Rendimento Ensino pos-secundario])</calculatedColumnFormula>
    </tableColumn>
    <tableColumn id="3" xr3:uid="{00000000-0010-0000-0100-000003000000}" name="Rendimento Ensino superior">
      <calculatedColumnFormula>_xlfn.RANK.AVG(E2,Table1[Rendimento Ensino superior])</calculatedColumnFormula>
    </tableColumn>
    <tableColumn id="4" xr3:uid="{00000000-0010-0000-0100-000004000000}" name="Indice de Gini">
      <calculatedColumnFormula>_xlfn.RANK.AVG(F2,Table1[Indice de Gini])</calculatedColumnFormula>
    </tableColumn>
    <tableColumn id="5" xr3:uid="{00000000-0010-0000-0100-000005000000}" name="Populacao estrangeira">
      <calculatedColumnFormula>_xlfn.RANK.AVG(G2,Table1[Populacao estrangeira])</calculatedColumnFormula>
    </tableColumn>
    <tableColumn id="6" xr3:uid="{00000000-0010-0000-0100-000006000000}" name="Moeda"/>
    <tableColumn id="7" xr3:uid="{00000000-0010-0000-0100-000007000000}" name="Regiao"/>
    <tableColumn id="8" xr3:uid="{00000000-0010-0000-0100-000008000000}" name="Populacao ensino superior">
      <calculatedColumnFormula>_xlfn.RANK.AVG(J2,Table1[Populacao ensino superior])</calculatedColumnFormula>
    </tableColumn>
    <tableColumn id="9" xr3:uid="{00000000-0010-0000-0100-000009000000}" name="Populacao desempregada">
      <calculatedColumnFormula>_xlfn.RANK.AVG(K2,Table1[Populacao desempregada])</calculatedColumnFormula>
    </tableColumn>
    <tableColumn id="10" xr3:uid="{00000000-0010-0000-0100-00000A000000}" name="PIB per capita">
      <calculatedColumnFormula>_xlfn.RANK.AVG(L2,Table1[PIB per capita])</calculatedColumnFormula>
    </tableColumn>
    <tableColumn id="11" xr3:uid="{00000000-0010-0000-0100-00000B000000}" name="Despesa Alimentacao">
      <calculatedColumnFormula>_xlfn.RANK.AVG(M2,Table1[Despesa Alimentacao])</calculatedColumnFormula>
    </tableColumn>
    <tableColumn id="12" xr3:uid="{00000000-0010-0000-0100-00000C000000}" name="Despesa Saude">
      <calculatedColumnFormula>_xlfn.RANK.AVG(N2,Table1[Despesa Saude])</calculatedColumnFormula>
    </tableColumn>
    <tableColumn id="13" xr3:uid="{00000000-0010-0000-0100-00000D000000}" name="Despesa Transportes e comunicacoes">
      <calculatedColumnFormula>_xlfn.RANK.AVG(O2,Table1[Despesa Transportes e comunicacoes])</calculatedColumnFormula>
    </tableColumn>
    <tableColumn id="14" xr3:uid="{00000000-0010-0000-0100-00000E000000}" name="Despesa Educacao">
      <calculatedColumnFormula>_xlfn.RANK.AVG(P2,Table1[Despesa Educacao])</calculatedColumnFormula>
    </tableColumn>
    <tableColumn id="15" xr3:uid="{00000000-0010-0000-0100-00000F000000}" name="Despesa Habitacao e utilidades">
      <calculatedColumnFormula>_xlfn.RANK.AVG(Q2,Table1[Despesa Habitacao e utilidades])</calculatedColumnFormula>
    </tableColumn>
    <tableColumn id="16" xr3:uid="{00000000-0010-0000-0100-000010000000}" name="Despesa Servicos">
      <calculatedColumnFormula>_xlfn.RANK.AVG(R2,Table1[Despesa Servicos])</calculatedColumnFormula>
    </tableColumn>
    <tableColumn id="17" xr3:uid="{00000000-0010-0000-0100-000011000000}" name="Despesa Lazer e cultura">
      <calculatedColumnFormula>_xlfn.RANK.AVG(S2,Table1[Despesa Lazer e cultura])</calculatedColumnFormula>
    </tableColumn>
    <tableColumn id="18" xr3:uid="{00000000-0010-0000-0100-000012000000}" name="Despesa Vestuario e recheio de casa">
      <calculatedColumnFormula>_xlfn.RANK.AVG(T2,Table1[Despesa Vestuario e recheio de casa])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opLeftCell="A26" workbookViewId="0">
      <selection activeCell="C54" sqref="C54"/>
    </sheetView>
  </sheetViews>
  <sheetFormatPr baseColWidth="10" defaultRowHeight="16" x14ac:dyDescent="0.2"/>
  <cols>
    <col min="1" max="1" width="17.5" bestFit="1" customWidth="1"/>
    <col min="3" max="3" width="25" customWidth="1"/>
    <col min="4" max="4" width="32.1640625" customWidth="1"/>
    <col min="5" max="5" width="26.5" customWidth="1"/>
    <col min="6" max="6" width="14.6640625" customWidth="1"/>
    <col min="7" max="7" width="21.6640625" customWidth="1"/>
    <col min="9" max="9" width="14.1640625" bestFit="1" customWidth="1"/>
    <col min="10" max="10" width="24.83203125" customWidth="1"/>
    <col min="11" max="11" width="24.5" customWidth="1"/>
    <col min="12" max="12" width="14.83203125" customWidth="1"/>
    <col min="13" max="13" width="21.33203125" customWidth="1"/>
    <col min="14" max="14" width="16" customWidth="1"/>
    <col min="15" max="15" width="34.1640625" customWidth="1"/>
    <col min="16" max="16" width="18.6640625" customWidth="1"/>
    <col min="17" max="17" width="29.33203125" customWidth="1"/>
    <col min="18" max="18" width="17.83203125" customWidth="1"/>
    <col min="19" max="19" width="23" customWidth="1"/>
    <col min="20" max="20" width="33.5" customWidth="1"/>
  </cols>
  <sheetData>
    <row r="1" spans="2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0" x14ac:dyDescent="0.2">
      <c r="B2" t="s">
        <v>19</v>
      </c>
      <c r="C2">
        <v>18134</v>
      </c>
      <c r="D2">
        <v>22641</v>
      </c>
      <c r="E2">
        <v>29680</v>
      </c>
      <c r="F2">
        <v>29.1</v>
      </c>
      <c r="G2">
        <v>11.2</v>
      </c>
      <c r="H2" t="s">
        <v>20</v>
      </c>
      <c r="I2" t="s">
        <v>21</v>
      </c>
      <c r="J2">
        <v>28.6</v>
      </c>
      <c r="K2">
        <v>3.7</v>
      </c>
      <c r="L2">
        <v>36849.9</v>
      </c>
      <c r="M2">
        <v>11</v>
      </c>
      <c r="N2">
        <v>5</v>
      </c>
      <c r="O2">
        <v>18</v>
      </c>
      <c r="P2">
        <v>1</v>
      </c>
      <c r="Q2">
        <v>23</v>
      </c>
      <c r="R2">
        <v>18</v>
      </c>
      <c r="S2">
        <v>12</v>
      </c>
      <c r="T2">
        <v>12</v>
      </c>
    </row>
    <row r="3" spans="2:20" x14ac:dyDescent="0.2">
      <c r="B3" t="s">
        <v>22</v>
      </c>
      <c r="C3">
        <v>21760</v>
      </c>
      <c r="D3">
        <v>27212</v>
      </c>
      <c r="E3">
        <v>34828</v>
      </c>
      <c r="F3">
        <v>27.9</v>
      </c>
      <c r="G3">
        <v>15.2</v>
      </c>
      <c r="H3" t="s">
        <v>20</v>
      </c>
      <c r="I3" t="s">
        <v>21</v>
      </c>
      <c r="J3">
        <v>32.4</v>
      </c>
      <c r="K3">
        <v>5.5</v>
      </c>
      <c r="L3">
        <v>38162.699999999997</v>
      </c>
      <c r="M3">
        <v>10</v>
      </c>
      <c r="N3">
        <v>4</v>
      </c>
      <c r="O3">
        <v>14</v>
      </c>
      <c r="P3">
        <v>1</v>
      </c>
      <c r="Q3">
        <v>23</v>
      </c>
      <c r="R3">
        <v>23</v>
      </c>
      <c r="S3">
        <v>13</v>
      </c>
      <c r="T3">
        <v>12</v>
      </c>
    </row>
    <row r="4" spans="2:20" x14ac:dyDescent="0.2">
      <c r="B4" t="s">
        <v>23</v>
      </c>
      <c r="C4">
        <v>18431</v>
      </c>
      <c r="D4">
        <v>23283</v>
      </c>
      <c r="E4">
        <v>30967</v>
      </c>
      <c r="F4">
        <v>26</v>
      </c>
      <c r="G4">
        <v>11.9</v>
      </c>
      <c r="H4" t="s">
        <v>20</v>
      </c>
      <c r="I4" t="s">
        <v>21</v>
      </c>
      <c r="J4">
        <v>40.299999999999997</v>
      </c>
      <c r="K4">
        <v>7.1</v>
      </c>
      <c r="L4">
        <v>34787.800000000003</v>
      </c>
      <c r="M4">
        <v>14</v>
      </c>
      <c r="N4">
        <v>7</v>
      </c>
      <c r="O4">
        <v>13</v>
      </c>
      <c r="P4">
        <v>0</v>
      </c>
      <c r="Q4">
        <v>24</v>
      </c>
      <c r="R4">
        <v>20</v>
      </c>
      <c r="S4">
        <v>12</v>
      </c>
      <c r="T4">
        <v>10</v>
      </c>
    </row>
    <row r="5" spans="2:20" x14ac:dyDescent="0.2">
      <c r="B5" t="s">
        <v>24</v>
      </c>
      <c r="C5">
        <v>2539</v>
      </c>
      <c r="D5">
        <v>4452</v>
      </c>
      <c r="E5">
        <v>7494</v>
      </c>
      <c r="F5">
        <v>40.200000000000003</v>
      </c>
      <c r="G5">
        <v>1.1000000000000001</v>
      </c>
      <c r="H5" t="s">
        <v>25</v>
      </c>
      <c r="I5" t="s">
        <v>26</v>
      </c>
      <c r="J5">
        <v>27.8</v>
      </c>
      <c r="K5">
        <v>6.2</v>
      </c>
      <c r="L5">
        <v>14787</v>
      </c>
      <c r="M5">
        <v>19</v>
      </c>
      <c r="N5">
        <v>6</v>
      </c>
      <c r="O5">
        <v>19</v>
      </c>
      <c r="P5">
        <v>1</v>
      </c>
      <c r="Q5">
        <v>20</v>
      </c>
      <c r="R5">
        <v>14</v>
      </c>
      <c r="S5">
        <v>13</v>
      </c>
      <c r="T5">
        <v>8</v>
      </c>
    </row>
    <row r="6" spans="2:20" x14ac:dyDescent="0.2">
      <c r="B6" t="s">
        <v>27</v>
      </c>
      <c r="C6">
        <v>12430</v>
      </c>
      <c r="D6">
        <v>16082</v>
      </c>
      <c r="E6">
        <v>23514</v>
      </c>
      <c r="F6">
        <v>30.8</v>
      </c>
      <c r="G6">
        <v>16.399999999999999</v>
      </c>
      <c r="H6" t="s">
        <v>20</v>
      </c>
      <c r="I6" t="s">
        <v>28</v>
      </c>
      <c r="J6">
        <v>42.5</v>
      </c>
      <c r="K6">
        <v>11</v>
      </c>
      <c r="L6">
        <v>25054</v>
      </c>
      <c r="M6">
        <v>14</v>
      </c>
      <c r="N6">
        <v>5</v>
      </c>
      <c r="O6">
        <v>16</v>
      </c>
      <c r="P6">
        <v>3</v>
      </c>
      <c r="Q6">
        <v>15</v>
      </c>
      <c r="R6">
        <v>26</v>
      </c>
      <c r="S6">
        <v>12</v>
      </c>
      <c r="T6">
        <v>9</v>
      </c>
    </row>
    <row r="7" spans="2:20" x14ac:dyDescent="0.2">
      <c r="B7" t="s">
        <v>29</v>
      </c>
      <c r="C7">
        <v>4919</v>
      </c>
      <c r="D7">
        <v>6793</v>
      </c>
      <c r="E7">
        <v>10084</v>
      </c>
      <c r="F7">
        <v>29.9</v>
      </c>
      <c r="G7">
        <v>1.1000000000000001</v>
      </c>
      <c r="H7" t="s">
        <v>25</v>
      </c>
      <c r="I7" t="s">
        <v>26</v>
      </c>
      <c r="J7">
        <v>23.7</v>
      </c>
      <c r="K7">
        <v>11.2</v>
      </c>
      <c r="L7">
        <v>18476</v>
      </c>
      <c r="M7">
        <v>19</v>
      </c>
      <c r="N7">
        <v>4</v>
      </c>
      <c r="O7">
        <v>13</v>
      </c>
      <c r="P7">
        <v>1</v>
      </c>
      <c r="Q7">
        <v>16</v>
      </c>
      <c r="R7">
        <v>23</v>
      </c>
      <c r="S7">
        <v>15</v>
      </c>
      <c r="T7">
        <v>9</v>
      </c>
    </row>
    <row r="8" spans="2:20" x14ac:dyDescent="0.2">
      <c r="B8" t="s">
        <v>30</v>
      </c>
      <c r="C8">
        <v>26758</v>
      </c>
      <c r="D8">
        <v>30748</v>
      </c>
      <c r="E8">
        <v>38423</v>
      </c>
      <c r="F8">
        <v>27.6</v>
      </c>
      <c r="G8">
        <v>8.4</v>
      </c>
      <c r="H8" t="s">
        <v>25</v>
      </c>
      <c r="I8" t="s">
        <v>31</v>
      </c>
      <c r="J8">
        <v>39.1</v>
      </c>
      <c r="K8">
        <v>5.7</v>
      </c>
      <c r="L8">
        <v>37469.199999999997</v>
      </c>
      <c r="M8">
        <v>11</v>
      </c>
      <c r="N8">
        <v>3</v>
      </c>
      <c r="O8">
        <v>14</v>
      </c>
      <c r="P8">
        <v>1</v>
      </c>
      <c r="Q8">
        <v>29</v>
      </c>
      <c r="R8">
        <v>18</v>
      </c>
      <c r="S8">
        <v>15</v>
      </c>
      <c r="T8">
        <v>9</v>
      </c>
    </row>
    <row r="9" spans="2:20" x14ac:dyDescent="0.2">
      <c r="B9" t="s">
        <v>32</v>
      </c>
      <c r="C9">
        <v>5841</v>
      </c>
      <c r="D9">
        <v>7570</v>
      </c>
      <c r="E9">
        <v>9171</v>
      </c>
      <c r="F9">
        <v>23.2</v>
      </c>
      <c r="G9">
        <v>1.3</v>
      </c>
      <c r="H9" t="s">
        <v>20</v>
      </c>
      <c r="I9" t="s">
        <v>26</v>
      </c>
      <c r="J9">
        <v>23.1</v>
      </c>
      <c r="K9">
        <v>8.1</v>
      </c>
      <c r="L9">
        <v>22999.5</v>
      </c>
      <c r="M9">
        <v>18</v>
      </c>
      <c r="N9">
        <v>3</v>
      </c>
      <c r="O9">
        <v>11</v>
      </c>
      <c r="P9">
        <v>2</v>
      </c>
      <c r="Q9">
        <v>24</v>
      </c>
      <c r="R9">
        <v>17</v>
      </c>
      <c r="S9">
        <v>15</v>
      </c>
      <c r="T9">
        <v>10</v>
      </c>
    </row>
    <row r="10" spans="2:20" x14ac:dyDescent="0.2">
      <c r="B10" t="s">
        <v>33</v>
      </c>
      <c r="C10">
        <v>10557</v>
      </c>
      <c r="D10">
        <v>12770</v>
      </c>
      <c r="E10">
        <v>17430</v>
      </c>
      <c r="F10">
        <v>23.7</v>
      </c>
      <c r="G10">
        <v>5.5</v>
      </c>
      <c r="H10" t="s">
        <v>20</v>
      </c>
      <c r="I10" t="s">
        <v>26</v>
      </c>
      <c r="J10">
        <v>32.5</v>
      </c>
      <c r="K10">
        <v>6.6</v>
      </c>
      <c r="L10">
        <v>25366.3</v>
      </c>
      <c r="M10">
        <v>15</v>
      </c>
      <c r="N10">
        <v>4</v>
      </c>
      <c r="O10">
        <v>19</v>
      </c>
      <c r="P10">
        <v>1</v>
      </c>
      <c r="Q10">
        <v>19</v>
      </c>
      <c r="R10">
        <v>18</v>
      </c>
      <c r="S10">
        <v>14</v>
      </c>
      <c r="T10">
        <v>10</v>
      </c>
    </row>
    <row r="11" spans="2:20" x14ac:dyDescent="0.2">
      <c r="B11" t="s">
        <v>34</v>
      </c>
      <c r="C11">
        <v>13052</v>
      </c>
      <c r="D11">
        <v>16399</v>
      </c>
      <c r="E11">
        <v>22783</v>
      </c>
      <c r="F11">
        <v>34.1</v>
      </c>
      <c r="G11">
        <v>9.5</v>
      </c>
      <c r="H11" t="s">
        <v>20</v>
      </c>
      <c r="I11" t="s">
        <v>28</v>
      </c>
      <c r="J11">
        <v>36.4</v>
      </c>
      <c r="K11">
        <v>17.2</v>
      </c>
      <c r="L11">
        <v>27625.7</v>
      </c>
      <c r="M11">
        <v>12</v>
      </c>
      <c r="N11">
        <v>4</v>
      </c>
      <c r="O11">
        <v>15</v>
      </c>
      <c r="P11">
        <v>2</v>
      </c>
      <c r="Q11">
        <v>22</v>
      </c>
      <c r="R11">
        <v>26</v>
      </c>
      <c r="S11">
        <v>11</v>
      </c>
      <c r="T11">
        <v>8</v>
      </c>
    </row>
    <row r="12" spans="2:20" x14ac:dyDescent="0.2">
      <c r="B12" t="s">
        <v>35</v>
      </c>
      <c r="C12">
        <v>7585</v>
      </c>
      <c r="D12">
        <v>9495</v>
      </c>
      <c r="E12">
        <v>13051</v>
      </c>
      <c r="F12">
        <v>31.6</v>
      </c>
      <c r="G12">
        <v>14.9</v>
      </c>
      <c r="H12" t="s">
        <v>20</v>
      </c>
      <c r="I12" t="s">
        <v>31</v>
      </c>
      <c r="J12">
        <v>39.700000000000003</v>
      </c>
      <c r="K12">
        <v>5.8</v>
      </c>
      <c r="L12">
        <v>23054.6</v>
      </c>
      <c r="M12">
        <v>20</v>
      </c>
      <c r="N12">
        <v>3</v>
      </c>
      <c r="O12">
        <v>15</v>
      </c>
      <c r="P12">
        <v>0</v>
      </c>
      <c r="Q12">
        <v>18</v>
      </c>
      <c r="R12">
        <v>17</v>
      </c>
      <c r="S12">
        <v>16</v>
      </c>
      <c r="T12">
        <v>11</v>
      </c>
    </row>
    <row r="13" spans="2:20" x14ac:dyDescent="0.2">
      <c r="B13" t="s">
        <v>36</v>
      </c>
      <c r="C13">
        <v>21886</v>
      </c>
      <c r="D13">
        <v>24848</v>
      </c>
      <c r="E13">
        <v>33847</v>
      </c>
      <c r="F13">
        <v>25.3</v>
      </c>
      <c r="G13">
        <v>4.4000000000000004</v>
      </c>
      <c r="H13" t="s">
        <v>20</v>
      </c>
      <c r="I13" t="s">
        <v>31</v>
      </c>
      <c r="J13">
        <v>43.7</v>
      </c>
      <c r="K13">
        <v>8.6</v>
      </c>
      <c r="L13">
        <v>32699</v>
      </c>
      <c r="M13">
        <v>12</v>
      </c>
      <c r="N13">
        <v>5</v>
      </c>
      <c r="O13">
        <v>14</v>
      </c>
      <c r="P13">
        <v>0</v>
      </c>
      <c r="Q13">
        <v>29</v>
      </c>
      <c r="R13">
        <v>17</v>
      </c>
      <c r="S13">
        <v>14</v>
      </c>
      <c r="T13">
        <v>9</v>
      </c>
    </row>
    <row r="14" spans="2:20" x14ac:dyDescent="0.2">
      <c r="B14" t="s">
        <v>37</v>
      </c>
      <c r="C14">
        <v>22155</v>
      </c>
      <c r="D14">
        <v>24890</v>
      </c>
      <c r="E14">
        <v>32732</v>
      </c>
      <c r="F14">
        <v>29.3</v>
      </c>
      <c r="G14">
        <v>6.9</v>
      </c>
      <c r="H14" t="s">
        <v>20</v>
      </c>
      <c r="I14" t="s">
        <v>21</v>
      </c>
      <c r="J14">
        <v>35.200000000000003</v>
      </c>
      <c r="K14">
        <v>9.4</v>
      </c>
      <c r="L14">
        <v>31286</v>
      </c>
      <c r="M14">
        <v>13</v>
      </c>
      <c r="N14">
        <v>4</v>
      </c>
      <c r="O14">
        <v>16</v>
      </c>
      <c r="P14">
        <v>1</v>
      </c>
      <c r="Q14">
        <v>26</v>
      </c>
      <c r="R14">
        <v>19</v>
      </c>
      <c r="S14">
        <v>12</v>
      </c>
      <c r="T14">
        <v>9</v>
      </c>
    </row>
    <row r="15" spans="2:20" x14ac:dyDescent="0.2">
      <c r="B15" t="s">
        <v>38</v>
      </c>
      <c r="C15">
        <v>7152</v>
      </c>
      <c r="D15">
        <v>8534</v>
      </c>
      <c r="E15">
        <v>12211</v>
      </c>
      <c r="F15">
        <v>33.4</v>
      </c>
      <c r="G15">
        <v>7.5</v>
      </c>
      <c r="H15" t="s">
        <v>20</v>
      </c>
      <c r="I15" t="s">
        <v>28</v>
      </c>
      <c r="J15">
        <v>31</v>
      </c>
      <c r="K15">
        <v>21.5</v>
      </c>
      <c r="L15">
        <v>20087.400000000001</v>
      </c>
      <c r="M15">
        <v>17</v>
      </c>
      <c r="N15">
        <v>4</v>
      </c>
      <c r="O15">
        <v>18</v>
      </c>
      <c r="P15">
        <v>2</v>
      </c>
      <c r="Q15">
        <v>20</v>
      </c>
      <c r="R15">
        <v>22</v>
      </c>
      <c r="S15">
        <v>10</v>
      </c>
      <c r="T15">
        <v>7</v>
      </c>
    </row>
    <row r="16" spans="2:20" x14ac:dyDescent="0.2">
      <c r="B16" t="s">
        <v>39</v>
      </c>
      <c r="C16">
        <v>4246</v>
      </c>
      <c r="D16">
        <v>5513</v>
      </c>
      <c r="E16">
        <v>7799</v>
      </c>
      <c r="F16">
        <v>28.1</v>
      </c>
      <c r="G16">
        <v>1.5</v>
      </c>
      <c r="H16" t="s">
        <v>25</v>
      </c>
      <c r="I16" t="s">
        <v>26</v>
      </c>
      <c r="J16">
        <v>24.1</v>
      </c>
      <c r="K16">
        <v>4.2</v>
      </c>
      <c r="L16">
        <v>20430.400000000001</v>
      </c>
      <c r="M16">
        <v>18</v>
      </c>
      <c r="N16">
        <v>4</v>
      </c>
      <c r="O16">
        <v>17</v>
      </c>
      <c r="P16">
        <v>2</v>
      </c>
      <c r="Q16">
        <v>19</v>
      </c>
      <c r="R16">
        <v>18</v>
      </c>
      <c r="S16">
        <v>14</v>
      </c>
      <c r="T16">
        <v>8</v>
      </c>
    </row>
    <row r="17" spans="1:20" x14ac:dyDescent="0.2">
      <c r="B17" t="s">
        <v>40</v>
      </c>
      <c r="F17">
        <v>35.700000000000003</v>
      </c>
      <c r="G17">
        <v>11.8</v>
      </c>
      <c r="H17" t="s">
        <v>20</v>
      </c>
      <c r="I17" t="s">
        <v>21</v>
      </c>
      <c r="J17">
        <v>46.5</v>
      </c>
      <c r="K17">
        <v>6.7</v>
      </c>
      <c r="L17">
        <v>54715.3</v>
      </c>
      <c r="M17">
        <v>9</v>
      </c>
      <c r="N17">
        <v>5</v>
      </c>
      <c r="O17">
        <v>16</v>
      </c>
      <c r="P17">
        <v>3</v>
      </c>
      <c r="Q17">
        <v>24</v>
      </c>
      <c r="R17">
        <v>23</v>
      </c>
      <c r="S17">
        <v>12</v>
      </c>
      <c r="T17">
        <v>8</v>
      </c>
    </row>
    <row r="18" spans="1:20" x14ac:dyDescent="0.2">
      <c r="B18" t="s">
        <v>41</v>
      </c>
      <c r="C18">
        <v>15621</v>
      </c>
      <c r="D18">
        <v>20161</v>
      </c>
      <c r="E18">
        <v>27535</v>
      </c>
      <c r="F18">
        <v>32.700000000000003</v>
      </c>
      <c r="G18">
        <v>8.3000000000000007</v>
      </c>
      <c r="H18" t="s">
        <v>20</v>
      </c>
      <c r="I18" t="s">
        <v>28</v>
      </c>
      <c r="J18">
        <v>18.7</v>
      </c>
      <c r="K18">
        <v>11.2</v>
      </c>
      <c r="L18">
        <v>28684.799999999999</v>
      </c>
      <c r="M18">
        <v>14</v>
      </c>
      <c r="N18">
        <v>4</v>
      </c>
      <c r="O18">
        <v>14</v>
      </c>
      <c r="P18">
        <v>1</v>
      </c>
      <c r="Q18">
        <v>23</v>
      </c>
      <c r="R18">
        <v>21</v>
      </c>
      <c r="S18">
        <v>11</v>
      </c>
      <c r="T18">
        <v>12</v>
      </c>
    </row>
    <row r="19" spans="1:20" x14ac:dyDescent="0.2">
      <c r="B19" t="s">
        <v>42</v>
      </c>
      <c r="C19">
        <v>5106</v>
      </c>
      <c r="D19">
        <v>7078</v>
      </c>
      <c r="E19">
        <v>10745</v>
      </c>
      <c r="F19">
        <v>34.5</v>
      </c>
      <c r="G19">
        <v>14.3</v>
      </c>
      <c r="H19" t="s">
        <v>20</v>
      </c>
      <c r="I19" t="s">
        <v>31</v>
      </c>
      <c r="J19">
        <v>33.9</v>
      </c>
      <c r="K19">
        <v>8.6999999999999993</v>
      </c>
      <c r="L19">
        <v>20058.599999999999</v>
      </c>
      <c r="M19">
        <v>18</v>
      </c>
      <c r="N19">
        <v>5</v>
      </c>
      <c r="O19">
        <v>15</v>
      </c>
      <c r="P19">
        <v>2</v>
      </c>
      <c r="Q19">
        <v>21</v>
      </c>
      <c r="R19">
        <v>12</v>
      </c>
      <c r="S19">
        <v>18</v>
      </c>
      <c r="T19">
        <v>9</v>
      </c>
    </row>
    <row r="20" spans="1:20" x14ac:dyDescent="0.2">
      <c r="B20" t="s">
        <v>43</v>
      </c>
      <c r="C20">
        <v>4763</v>
      </c>
      <c r="D20">
        <v>6528</v>
      </c>
      <c r="E20">
        <v>11038</v>
      </c>
      <c r="F20">
        <v>37.6</v>
      </c>
      <c r="G20">
        <v>0.7</v>
      </c>
      <c r="H20" t="s">
        <v>20</v>
      </c>
      <c r="I20" t="s">
        <v>31</v>
      </c>
      <c r="J20">
        <v>40.299999999999997</v>
      </c>
      <c r="K20">
        <v>7.1</v>
      </c>
      <c r="L20">
        <v>23337.4</v>
      </c>
      <c r="M20">
        <v>22</v>
      </c>
      <c r="N20">
        <v>5</v>
      </c>
      <c r="O20">
        <v>19</v>
      </c>
      <c r="P20">
        <v>0</v>
      </c>
      <c r="Q20">
        <v>15</v>
      </c>
      <c r="R20">
        <v>12</v>
      </c>
      <c r="S20">
        <v>14</v>
      </c>
      <c r="T20">
        <v>13</v>
      </c>
    </row>
    <row r="21" spans="1:20" x14ac:dyDescent="0.2">
      <c r="B21" t="s">
        <v>44</v>
      </c>
      <c r="C21">
        <v>33570</v>
      </c>
      <c r="D21">
        <v>41852</v>
      </c>
      <c r="E21">
        <v>53988</v>
      </c>
      <c r="F21">
        <v>30.9</v>
      </c>
      <c r="G21">
        <v>47.6</v>
      </c>
      <c r="H21" t="s">
        <v>20</v>
      </c>
      <c r="I21" t="s">
        <v>21</v>
      </c>
      <c r="J21">
        <v>39.9</v>
      </c>
      <c r="K21">
        <v>5.5</v>
      </c>
      <c r="L21">
        <v>75854.600000000006</v>
      </c>
      <c r="M21">
        <v>9</v>
      </c>
      <c r="N21">
        <v>3</v>
      </c>
      <c r="O21">
        <v>17</v>
      </c>
      <c r="P21">
        <v>1</v>
      </c>
      <c r="Q21">
        <v>25</v>
      </c>
      <c r="R21">
        <v>21</v>
      </c>
      <c r="S21">
        <v>14</v>
      </c>
      <c r="T21">
        <v>10</v>
      </c>
    </row>
    <row r="22" spans="1:20" x14ac:dyDescent="0.2">
      <c r="B22" t="s">
        <v>45</v>
      </c>
      <c r="C22">
        <v>13160</v>
      </c>
      <c r="D22">
        <v>17706</v>
      </c>
      <c r="E22">
        <v>24811</v>
      </c>
      <c r="F22">
        <v>28.3</v>
      </c>
      <c r="G22">
        <v>11.8</v>
      </c>
      <c r="H22" t="s">
        <v>20</v>
      </c>
      <c r="I22" t="s">
        <v>28</v>
      </c>
      <c r="J22">
        <v>23.9</v>
      </c>
      <c r="K22">
        <v>4</v>
      </c>
      <c r="L22">
        <v>28590</v>
      </c>
      <c r="M22">
        <v>12</v>
      </c>
      <c r="N22">
        <v>4</v>
      </c>
      <c r="O22">
        <v>15</v>
      </c>
      <c r="P22">
        <v>2</v>
      </c>
      <c r="Q22">
        <v>10</v>
      </c>
      <c r="R22">
        <v>31</v>
      </c>
      <c r="S22">
        <v>14</v>
      </c>
      <c r="T22">
        <v>12</v>
      </c>
    </row>
    <row r="23" spans="1:20" x14ac:dyDescent="0.2">
      <c r="B23" t="s">
        <v>46</v>
      </c>
      <c r="C23">
        <v>21312</v>
      </c>
      <c r="D23">
        <v>24644</v>
      </c>
      <c r="E23">
        <v>32352</v>
      </c>
      <c r="F23">
        <v>27.1</v>
      </c>
      <c r="G23">
        <v>5.4</v>
      </c>
      <c r="H23" t="s">
        <v>20</v>
      </c>
      <c r="I23" t="s">
        <v>21</v>
      </c>
      <c r="J23">
        <v>37.200000000000003</v>
      </c>
      <c r="K23">
        <v>4.8</v>
      </c>
      <c r="L23">
        <v>38394.6</v>
      </c>
      <c r="M23">
        <v>11</v>
      </c>
      <c r="N23">
        <v>4</v>
      </c>
      <c r="O23">
        <v>15</v>
      </c>
      <c r="P23">
        <v>1</v>
      </c>
      <c r="Q23">
        <v>24</v>
      </c>
      <c r="R23">
        <v>21</v>
      </c>
      <c r="S23">
        <v>13</v>
      </c>
      <c r="T23">
        <v>11</v>
      </c>
    </row>
    <row r="24" spans="1:20" x14ac:dyDescent="0.2">
      <c r="B24" t="s">
        <v>47</v>
      </c>
      <c r="C24">
        <v>4928</v>
      </c>
      <c r="D24">
        <v>6236</v>
      </c>
      <c r="E24">
        <v>9646</v>
      </c>
      <c r="F24">
        <v>29.2</v>
      </c>
      <c r="G24">
        <v>0.6</v>
      </c>
      <c r="H24" t="s">
        <v>25</v>
      </c>
      <c r="I24" t="s">
        <v>26</v>
      </c>
      <c r="J24">
        <v>29.9</v>
      </c>
      <c r="K24">
        <v>4.9000000000000004</v>
      </c>
      <c r="L24">
        <v>21111.1</v>
      </c>
      <c r="M24">
        <v>17</v>
      </c>
      <c r="N24">
        <v>6</v>
      </c>
      <c r="O24">
        <v>14</v>
      </c>
      <c r="P24">
        <v>1</v>
      </c>
      <c r="Q24">
        <v>21</v>
      </c>
      <c r="R24">
        <v>17</v>
      </c>
      <c r="S24">
        <v>14</v>
      </c>
      <c r="T24">
        <v>10</v>
      </c>
    </row>
    <row r="25" spans="1:20" x14ac:dyDescent="0.2">
      <c r="B25" t="s">
        <v>48</v>
      </c>
      <c r="C25">
        <v>8817</v>
      </c>
      <c r="D25">
        <v>11506</v>
      </c>
      <c r="E25">
        <v>17906</v>
      </c>
      <c r="F25">
        <v>33.5</v>
      </c>
      <c r="G25">
        <v>3.9</v>
      </c>
      <c r="H25" t="s">
        <v>20</v>
      </c>
      <c r="I25" t="s">
        <v>28</v>
      </c>
      <c r="J25">
        <v>24</v>
      </c>
      <c r="K25">
        <v>8.9</v>
      </c>
      <c r="L25">
        <v>23022.9</v>
      </c>
      <c r="M25">
        <v>17</v>
      </c>
      <c r="N25">
        <v>5</v>
      </c>
      <c r="O25">
        <v>16</v>
      </c>
      <c r="P25">
        <v>1</v>
      </c>
      <c r="Q25">
        <v>18</v>
      </c>
      <c r="R25">
        <v>23</v>
      </c>
      <c r="S25">
        <v>9</v>
      </c>
      <c r="T25">
        <v>11</v>
      </c>
    </row>
    <row r="26" spans="1:20" x14ac:dyDescent="0.2">
      <c r="B26" t="s">
        <v>49</v>
      </c>
      <c r="C26">
        <v>19123</v>
      </c>
      <c r="D26">
        <v>23179</v>
      </c>
      <c r="E26">
        <v>32162</v>
      </c>
      <c r="F26">
        <v>33.1</v>
      </c>
      <c r="G26">
        <v>9.1999999999999993</v>
      </c>
      <c r="H26" t="s">
        <v>25</v>
      </c>
      <c r="I26" t="s">
        <v>21</v>
      </c>
      <c r="J26">
        <v>42.8</v>
      </c>
      <c r="K26">
        <v>4.3</v>
      </c>
      <c r="L26">
        <v>31501.3</v>
      </c>
      <c r="M26">
        <v>8</v>
      </c>
      <c r="N26">
        <v>2</v>
      </c>
      <c r="O26">
        <v>15</v>
      </c>
      <c r="P26">
        <v>2</v>
      </c>
      <c r="Q26">
        <v>27</v>
      </c>
      <c r="R26">
        <v>23</v>
      </c>
      <c r="S26">
        <v>13</v>
      </c>
      <c r="T26">
        <v>10</v>
      </c>
    </row>
    <row r="27" spans="1:20" x14ac:dyDescent="0.2">
      <c r="B27" t="s">
        <v>50</v>
      </c>
      <c r="C27">
        <v>6976</v>
      </c>
      <c r="D27">
        <v>8956</v>
      </c>
      <c r="E27">
        <v>12060</v>
      </c>
      <c r="F27">
        <v>24.5</v>
      </c>
      <c r="G27">
        <v>4.8</v>
      </c>
      <c r="H27" t="s">
        <v>25</v>
      </c>
      <c r="I27" t="s">
        <v>26</v>
      </c>
      <c r="J27">
        <v>23.9</v>
      </c>
      <c r="K27">
        <v>2.9</v>
      </c>
      <c r="L27">
        <v>26427.5</v>
      </c>
      <c r="M27">
        <v>16</v>
      </c>
      <c r="N27">
        <v>2</v>
      </c>
      <c r="O27">
        <v>13</v>
      </c>
      <c r="P27">
        <v>1</v>
      </c>
      <c r="Q27">
        <v>25</v>
      </c>
      <c r="R27">
        <v>17</v>
      </c>
      <c r="S27">
        <v>17</v>
      </c>
      <c r="T27">
        <v>9</v>
      </c>
    </row>
    <row r="28" spans="1:20" x14ac:dyDescent="0.2">
      <c r="B28" t="s">
        <v>51</v>
      </c>
      <c r="C28">
        <v>2125</v>
      </c>
      <c r="D28">
        <v>3169</v>
      </c>
      <c r="E28">
        <v>5230</v>
      </c>
      <c r="F28">
        <v>33.1</v>
      </c>
      <c r="G28">
        <v>0.6</v>
      </c>
      <c r="H28" t="s">
        <v>25</v>
      </c>
      <c r="I28" t="s">
        <v>26</v>
      </c>
      <c r="J28">
        <v>17.600000000000001</v>
      </c>
      <c r="K28">
        <v>4.9000000000000004</v>
      </c>
      <c r="L28">
        <v>18802</v>
      </c>
      <c r="M28">
        <v>28</v>
      </c>
      <c r="N28">
        <v>6</v>
      </c>
      <c r="O28">
        <v>15</v>
      </c>
      <c r="P28">
        <v>2</v>
      </c>
      <c r="Q28">
        <v>22</v>
      </c>
      <c r="R28">
        <v>7</v>
      </c>
      <c r="S28">
        <v>12</v>
      </c>
      <c r="T28">
        <v>8</v>
      </c>
    </row>
    <row r="29" spans="1:20" x14ac:dyDescent="0.2">
      <c r="B29" t="s">
        <v>52</v>
      </c>
      <c r="C29">
        <v>22632</v>
      </c>
      <c r="D29">
        <v>29090</v>
      </c>
      <c r="E29">
        <v>32358</v>
      </c>
      <c r="F29">
        <v>28</v>
      </c>
      <c r="G29">
        <v>8.4</v>
      </c>
      <c r="H29" t="s">
        <v>25</v>
      </c>
      <c r="I29" t="s">
        <v>31</v>
      </c>
      <c r="J29">
        <v>41.9</v>
      </c>
      <c r="K29">
        <v>6.7</v>
      </c>
      <c r="L29">
        <v>36556.1</v>
      </c>
      <c r="M29">
        <v>12</v>
      </c>
      <c r="N29">
        <v>4</v>
      </c>
      <c r="O29">
        <v>16</v>
      </c>
      <c r="P29">
        <v>0</v>
      </c>
      <c r="Q29">
        <v>26</v>
      </c>
      <c r="R29">
        <v>18</v>
      </c>
      <c r="S29">
        <v>14</v>
      </c>
      <c r="T29">
        <v>10</v>
      </c>
    </row>
    <row r="31" spans="1:20" x14ac:dyDescent="0.2">
      <c r="A31" t="s">
        <v>76</v>
      </c>
      <c r="C31">
        <f>VLOOKUP(Table1[[#Headers],[Rendimento Ensino basico]],'Análise univariada'!$B$20:$S$35,18,0)</f>
        <v>16206</v>
      </c>
      <c r="D31">
        <f>VLOOKUP(Table1[[#Headers],[Rendimento Ensino pos-secundario]],'Análise univariada'!$B$20:$S$35,18,0)</f>
        <v>17566</v>
      </c>
      <c r="E31">
        <f>VLOOKUP(Table1[[#Headers],[Rendimento Ensino superior]],'Análise univariada'!$B$20:$S$35,18,0)</f>
        <v>21607</v>
      </c>
      <c r="F31">
        <f>VLOOKUP(Table1[[#Headers],[Indice de Gini]],'Análise univariada'!$B$20:$S$35,18,0)</f>
        <v>5.6500000000000021</v>
      </c>
      <c r="G31">
        <f>VLOOKUP(Table1[[#Headers],[Populacao estrangeira]],'Análise univariada'!$B$20:$S$35,18,0)</f>
        <v>9.7000000000000011</v>
      </c>
      <c r="J31">
        <f>VLOOKUP(Table1[[#Headers],[Populacao ensino superior]],'Análise univariada'!$B$20:$S$35,18,0)</f>
        <v>16.174999999999997</v>
      </c>
      <c r="K31">
        <f>VLOOKUP(Table1[[#Headers],[Populacao desempregada]],'Análise univariada'!$B$20:$S$35,18,0)</f>
        <v>3.9499999999999993</v>
      </c>
      <c r="L31">
        <f>VLOOKUP(Table1[[#Headers],[PIB per capita]],'Análise univariada'!$B$20:$S$35,18,0)</f>
        <v>14530.825000000004</v>
      </c>
      <c r="M31">
        <f>VLOOKUP(Table1[[#Headers],[Despesa Alimentacao]],'Análise univariada'!$B$20:$S$35,18,0)</f>
        <v>6.75</v>
      </c>
      <c r="N31">
        <f>VLOOKUP(Table1[[#Headers],[Despesa Saude]],'Análise univariada'!$B$20:$S$35,18,0)</f>
        <v>1</v>
      </c>
      <c r="O31">
        <f>VLOOKUP(Table1[[#Headers],[Despesa Transportes e comunicacoes]],'Análise univariada'!$B$20:$S$35,18,0)</f>
        <v>2.75</v>
      </c>
      <c r="P31">
        <f>VLOOKUP(Table1[[#Headers],[Despesa Educacao]],'Análise univariada'!$B$20:$S$35,18,0)</f>
        <v>1</v>
      </c>
      <c r="Q31">
        <f>VLOOKUP(Table1[[#Headers],[Despesa Habitacao e utilidades]],'Análise univariada'!$B$20:$S$35,18,0)</f>
        <v>5.75</v>
      </c>
      <c r="R31">
        <f>VLOOKUP(Table1[[#Headers],[Despesa Servicos]],'Análise univariada'!$B$20:$S$35,18,0)</f>
        <v>6</v>
      </c>
      <c r="S31">
        <f>VLOOKUP(Table1[[#Headers],[Despesa Lazer e cultura]],'Análise univariada'!$B$20:$S$35,18,0)</f>
        <v>2</v>
      </c>
      <c r="T31">
        <f>VLOOKUP(Table1[[#Headers],[Despesa Vestuario e recheio de casa]],'Análise univariada'!$B$20:$S$35,18,0)</f>
        <v>2</v>
      </c>
    </row>
    <row r="33" spans="1:20" x14ac:dyDescent="0.2">
      <c r="A33" s="11" t="s">
        <v>77</v>
      </c>
    </row>
    <row r="34" spans="1:20" x14ac:dyDescent="0.2">
      <c r="A34" s="11" t="s">
        <v>78</v>
      </c>
      <c r="C34">
        <f>VLOOKUP(Table1[[#Headers],[Rendimento Ensino basico]],'Análise univariada'!$B$20:$S$35,5,0)-1.5*C31</f>
        <v>-19203</v>
      </c>
      <c r="D34">
        <f>VLOOKUP(Table1[[#Headers],[Rendimento Ensino pos-secundario]],'Análise univariada'!$B$20:$S$35,5,0)-1.5*D31</f>
        <v>-19271</v>
      </c>
      <c r="E34">
        <f>VLOOKUP(Table1[[#Headers],[Rendimento Ensino superior]],'Análise univariada'!$B$20:$S$35,5,0)-1.5*E31</f>
        <v>-21665.5</v>
      </c>
      <c r="F34">
        <f>VLOOKUP(Table1[[#Headers],[Indice de Gini]],'Análise univariada'!$B$20:$S$35,5,0)-1.5*F31</f>
        <v>19.199999999999996</v>
      </c>
      <c r="G34">
        <f>VLOOKUP(Table1[[#Headers],[Populacao estrangeira]],'Análise univariada'!$B$20:$S$35,5,0)-1.5*G31</f>
        <v>-12.450000000000001</v>
      </c>
      <c r="J34">
        <f>VLOOKUP(Table1[[#Headers],[Populacao ensino superior]],'Análise univariada'!$B$20:$S$35,5,0)-1.5*J31</f>
        <v>-0.23749999999999716</v>
      </c>
      <c r="K34">
        <f>VLOOKUP(Table1[[#Headers],[Populacao desempregada]],'Análise univariada'!$B$20:$S$35,5,0)-1.5*K31</f>
        <v>-1.0249999999999986</v>
      </c>
      <c r="L34">
        <f>VLOOKUP(Table1[[#Headers],[PIB per capita]],'Análise univariada'!$B$20:$S$35,5,0)-1.5*L31</f>
        <v>-213.03750000000946</v>
      </c>
      <c r="M34">
        <f>VLOOKUP(Table1[[#Headers],[Despesa Alimentacao]],'Análise univariada'!$B$20:$S$35,5,0)-1.5*M31</f>
        <v>1.125</v>
      </c>
      <c r="N34">
        <f>VLOOKUP(Table1[[#Headers],[Despesa Saude]],'Análise univariada'!$B$20:$S$35,5,0)-1.5*N31</f>
        <v>2.5</v>
      </c>
      <c r="O34">
        <f>VLOOKUP(Table1[[#Headers],[Despesa Transportes e comunicacoes]],'Análise univariada'!$B$20:$S$35,5,0)-1.5*O31</f>
        <v>9.875</v>
      </c>
      <c r="P34">
        <f>VLOOKUP(Table1[[#Headers],[Despesa Educacao]],'Análise univariada'!$B$20:$S$35,5,0)-1.5*P31</f>
        <v>-0.5</v>
      </c>
      <c r="Q34">
        <f>VLOOKUP(Table1[[#Headers],[Despesa Habitacao e utilidades]],'Análise univariada'!$B$20:$S$35,5,0)-1.5*Q31</f>
        <v>10.375</v>
      </c>
      <c r="R34">
        <f>VLOOKUP(Table1[[#Headers],[Despesa Servicos]],'Análise univariada'!$B$20:$S$35,5,0)-1.5*R31</f>
        <v>8</v>
      </c>
      <c r="S34">
        <f>VLOOKUP(Table1[[#Headers],[Despesa Lazer e cultura]],'Análise univariada'!$B$20:$S$35,5,0)-1.5*S31</f>
        <v>9</v>
      </c>
      <c r="T34">
        <f>VLOOKUP(Table1[[#Headers],[Despesa Vestuario e recheio de casa]],'Análise univariada'!$B$20:$S$35,5,0)-1.5*T31</f>
        <v>6</v>
      </c>
    </row>
    <row r="35" spans="1:20" x14ac:dyDescent="0.2">
      <c r="A35" s="11" t="s">
        <v>79</v>
      </c>
      <c r="C35">
        <f>VLOOKUP(Table1[[#Headers],[Rendimento Ensino basico]],'Análise univariada'!$B$20:$S$35,7,0)+1.5*C31</f>
        <v>45621</v>
      </c>
      <c r="D35">
        <f>VLOOKUP(Table1[[#Headers],[Rendimento Ensino pos-secundario]],'Análise univariada'!$B$20:$S$35,7,0)+1.5*D31</f>
        <v>50993</v>
      </c>
      <c r="E35">
        <f>VLOOKUP(Table1[[#Headers],[Rendimento Ensino superior]],'Análise univariada'!$B$20:$S$35,7,0)+1.5*E31</f>
        <v>64762.5</v>
      </c>
      <c r="F35">
        <f>VLOOKUP(Table1[[#Headers],[Indice de Gini]],'Análise univariada'!$B$20:$S$35,7,0)+1.5*F31</f>
        <v>41.800000000000004</v>
      </c>
      <c r="G35">
        <f>VLOOKUP(Table1[[#Headers],[Populacao estrangeira]],'Análise univariada'!$B$20:$S$35,7,0)+1.5*G31</f>
        <v>26.35</v>
      </c>
      <c r="J35">
        <f>VLOOKUP(Table1[[#Headers],[Populacao ensino superior]],'Análise univariada'!$B$20:$S$35,7,0)+1.5*J31</f>
        <v>64.462499999999991</v>
      </c>
      <c r="K35">
        <f>VLOOKUP(Table1[[#Headers],[Populacao desempregada]],'Análise univariada'!$B$20:$S$35,7,0)+1.5*K31</f>
        <v>14.774999999999999</v>
      </c>
      <c r="L35">
        <f>VLOOKUP(Table1[[#Headers],[PIB per capita]],'Análise univariada'!$B$20:$S$35,7,0)+1.5*L31</f>
        <v>57910.262500000012</v>
      </c>
      <c r="M35">
        <f>VLOOKUP(Table1[[#Headers],[Despesa Alimentacao]],'Análise univariada'!$B$20:$S$35,7,0)+1.5*M31</f>
        <v>28.125</v>
      </c>
      <c r="N35">
        <f>VLOOKUP(Table1[[#Headers],[Despesa Saude]],'Análise univariada'!$B$20:$S$35,7,0)+1.5*N31</f>
        <v>6.5</v>
      </c>
      <c r="O35">
        <f>VLOOKUP(Table1[[#Headers],[Despesa Transportes e comunicacoes]],'Análise univariada'!$B$20:$S$35,7,0)+1.5*O31</f>
        <v>20.875</v>
      </c>
      <c r="P35">
        <f>VLOOKUP(Table1[[#Headers],[Despesa Educacao]],'Análise univariada'!$B$20:$S$35,7,0)+1.5*P31</f>
        <v>3.5</v>
      </c>
      <c r="Q35">
        <f>VLOOKUP(Table1[[#Headers],[Despesa Habitacao e utilidades]],'Análise univariada'!$B$20:$S$35,7,0)+1.5*Q31</f>
        <v>33.375</v>
      </c>
      <c r="R35">
        <f>VLOOKUP(Table1[[#Headers],[Despesa Servicos]],'Análise univariada'!$B$20:$S$35,7,0)+1.5*R31</f>
        <v>32</v>
      </c>
      <c r="S35">
        <f>VLOOKUP(Table1[[#Headers],[Despesa Lazer e cultura]],'Análise univariada'!$B$20:$S$35,7,0)+1.5*S31</f>
        <v>17</v>
      </c>
      <c r="T35">
        <f>VLOOKUP(Table1[[#Headers],[Despesa Vestuario e recheio de casa]],'Análise univariada'!$B$20:$S$35,7,0)+1.5*T31</f>
        <v>14</v>
      </c>
    </row>
    <row r="37" spans="1:20" x14ac:dyDescent="0.2">
      <c r="A37" s="11" t="s">
        <v>80</v>
      </c>
    </row>
    <row r="38" spans="1:20" x14ac:dyDescent="0.2">
      <c r="A38" s="11" t="s">
        <v>78</v>
      </c>
      <c r="C38">
        <f>VLOOKUP(Table1[[#Headers],[Rendimento Ensino basico]],'Análise univariada'!$B$20:$S$35,5,0)-3*C31</f>
        <v>-43512</v>
      </c>
      <c r="D38">
        <f>VLOOKUP(Table1[[#Headers],[Rendimento Ensino pos-secundario]],'Análise univariada'!$B$20:$S$35,5,0)-3*D31</f>
        <v>-45620</v>
      </c>
      <c r="E38">
        <f>VLOOKUP(Table1[[#Headers],[Rendimento Ensino superior]],'Análise univariada'!$B$20:$S$35,5,0)-3*E31</f>
        <v>-54076</v>
      </c>
      <c r="F38">
        <f>VLOOKUP(Table1[[#Headers],[Indice de Gini]],'Análise univariada'!$B$20:$S$35,5,0)-3*F31</f>
        <v>10.724999999999994</v>
      </c>
      <c r="G38">
        <f>VLOOKUP(Table1[[#Headers],[Populacao estrangeira]],'Análise univariada'!$B$20:$S$35,5,0)-3*G31</f>
        <v>-27</v>
      </c>
      <c r="J38">
        <f>VLOOKUP(Table1[[#Headers],[Populacao ensino superior]],'Análise univariada'!$B$20:$S$35,5,0)-3*J31</f>
        <v>-24.499999999999993</v>
      </c>
      <c r="K38">
        <f>VLOOKUP(Table1[[#Headers],[Populacao desempregada]],'Análise univariada'!$B$20:$S$35,5,0)-3*K31</f>
        <v>-6.9499999999999975</v>
      </c>
      <c r="L38">
        <f>VLOOKUP(Table1[[#Headers],[PIB per capita]],'Análise univariada'!$B$20:$S$35,5,0)-3*L31</f>
        <v>-22009.275000000016</v>
      </c>
      <c r="M38">
        <f>VLOOKUP(Table1[[#Headers],[Despesa Alimentacao]],'Análise univariada'!$B$20:$S$35,5,0)-3*M31</f>
        <v>-9</v>
      </c>
      <c r="N38">
        <f>VLOOKUP(Table1[[#Headers],[Despesa Saude]],'Análise univariada'!$B$20:$S$35,5,0)-3*N31</f>
        <v>1</v>
      </c>
      <c r="O38">
        <f>VLOOKUP(Table1[[#Headers],[Despesa Transportes e comunicacoes]],'Análise univariada'!$B$20:$S$35,5,0)-3*O31</f>
        <v>5.75</v>
      </c>
      <c r="P38">
        <f>VLOOKUP(Table1[[#Headers],[Despesa Educacao]],'Análise univariada'!$B$20:$S$35,5,0)-3*P31</f>
        <v>-2</v>
      </c>
      <c r="Q38">
        <f>VLOOKUP(Table1[[#Headers],[Despesa Habitacao e utilidades]],'Análise univariada'!$B$20:$S$35,5,0)-3*Q31</f>
        <v>1.75</v>
      </c>
      <c r="R38">
        <f>VLOOKUP(Table1[[#Headers],[Despesa Servicos]],'Análise univariada'!$B$20:$S$35,5,0)-3*R31</f>
        <v>-1</v>
      </c>
      <c r="S38">
        <f>VLOOKUP(Table1[[#Headers],[Despesa Lazer e cultura]],'Análise univariada'!$B$20:$S$35,5,0)-3*S31</f>
        <v>6</v>
      </c>
      <c r="T38">
        <f>VLOOKUP(Table1[[#Headers],[Despesa Vestuario e recheio de casa]],'Análise univariada'!$B$20:$S$35,5,0)-3*T31</f>
        <v>3</v>
      </c>
    </row>
    <row r="39" spans="1:20" x14ac:dyDescent="0.2">
      <c r="A39" s="11" t="s">
        <v>79</v>
      </c>
      <c r="C39">
        <f>VLOOKUP(Table1[[#Headers],[Rendimento Ensino basico]],'Análise univariada'!$B$20:$S$35,7,0)+3*C31</f>
        <v>69930</v>
      </c>
      <c r="D39">
        <f>VLOOKUP(Table1[[#Headers],[Rendimento Ensino pos-secundario]],'Análise univariada'!$B$20:$S$35,7,0)+3*D31</f>
        <v>77342</v>
      </c>
      <c r="E39">
        <f>VLOOKUP(Table1[[#Headers],[Rendimento Ensino superior]],'Análise univariada'!$B$20:$S$35,7,0)+3*E31</f>
        <v>97173</v>
      </c>
      <c r="F39">
        <f>VLOOKUP(Table1[[#Headers],[Indice de Gini]],'Análise univariada'!$B$20:$S$35,7,0)+3*F31</f>
        <v>50.275000000000006</v>
      </c>
      <c r="G39">
        <f>VLOOKUP(Table1[[#Headers],[Populacao estrangeira]],'Análise univariada'!$B$20:$S$35,7,0)+3*G31</f>
        <v>40.900000000000006</v>
      </c>
      <c r="J39">
        <f>VLOOKUP(Table1[[#Headers],[Populacao ensino superior]],'Análise univariada'!$B$20:$S$35,7,0)+3*J31</f>
        <v>88.724999999999994</v>
      </c>
      <c r="K39">
        <f>VLOOKUP(Table1[[#Headers],[Populacao desempregada]],'Análise univariada'!$B$20:$S$35,7,0)+3*K31</f>
        <v>20.699999999999996</v>
      </c>
      <c r="L39">
        <f>VLOOKUP(Table1[[#Headers],[PIB per capita]],'Análise univariada'!$B$20:$S$35,7,0)+3*L31</f>
        <v>79706.500000000015</v>
      </c>
      <c r="M39">
        <f>VLOOKUP(Table1[[#Headers],[Despesa Alimentacao]],'Análise univariada'!$B$20:$S$35,7,0)+3*M31</f>
        <v>38.25</v>
      </c>
      <c r="N39">
        <f>VLOOKUP(Table1[[#Headers],[Despesa Saude]],'Análise univariada'!$B$20:$S$35,7,0)+3*N31</f>
        <v>8</v>
      </c>
      <c r="O39">
        <f>VLOOKUP(Table1[[#Headers],[Despesa Transportes e comunicacoes]],'Análise univariada'!$B$20:$S$35,7,0)+3*O31</f>
        <v>25</v>
      </c>
      <c r="P39">
        <f>VLOOKUP(Table1[[#Headers],[Despesa Educacao]],'Análise univariada'!$B$20:$S$35,7,0)+3*P31</f>
        <v>5</v>
      </c>
      <c r="Q39">
        <f>VLOOKUP(Table1[[#Headers],[Despesa Habitacao e utilidades]],'Análise univariada'!$B$20:$S$35,7,0)+3*Q31</f>
        <v>42</v>
      </c>
      <c r="R39">
        <f>VLOOKUP(Table1[[#Headers],[Despesa Servicos]],'Análise univariada'!$B$20:$S$35,7,0)+3*R31</f>
        <v>41</v>
      </c>
      <c r="S39">
        <f>VLOOKUP(Table1[[#Headers],[Despesa Lazer e cultura]],'Análise univariada'!$B$20:$S$35,7,0)+3*S31</f>
        <v>20</v>
      </c>
      <c r="T39">
        <f>VLOOKUP(Table1[[#Headers],[Despesa Vestuario e recheio de casa]],'Análise univariada'!$B$20:$S$35,7,0)+3*T31</f>
        <v>17</v>
      </c>
    </row>
    <row r="41" spans="1:20" x14ac:dyDescent="0.2">
      <c r="A41" s="11" t="s">
        <v>86</v>
      </c>
    </row>
    <row r="42" spans="1:20" x14ac:dyDescent="0.2"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5</v>
      </c>
      <c r="H42" s="13" t="s">
        <v>6</v>
      </c>
      <c r="I42" s="13" t="s">
        <v>7</v>
      </c>
      <c r="J42" s="13" t="s">
        <v>8</v>
      </c>
      <c r="K42" s="13" t="s">
        <v>9</v>
      </c>
      <c r="L42" s="13" t="s">
        <v>10</v>
      </c>
      <c r="M42" s="13" t="s">
        <v>11</v>
      </c>
      <c r="N42" s="13" t="s">
        <v>12</v>
      </c>
      <c r="O42" s="13" t="s">
        <v>13</v>
      </c>
      <c r="P42" s="13" t="s">
        <v>14</v>
      </c>
      <c r="Q42" s="13" t="s">
        <v>15</v>
      </c>
      <c r="R42" s="13" t="s">
        <v>16</v>
      </c>
      <c r="S42" s="13" t="s">
        <v>17</v>
      </c>
      <c r="T42" s="14" t="s">
        <v>18</v>
      </c>
    </row>
    <row r="43" spans="1:20" x14ac:dyDescent="0.2">
      <c r="C43">
        <f>_xlfn.RANK.AVG(C2,Table1[Rendimento Ensino basico])</f>
        <v>10</v>
      </c>
      <c r="D43">
        <f>_xlfn.RANK.AVG(D2,Table1[Rendimento Ensino pos-secundario])</f>
        <v>10</v>
      </c>
      <c r="E43">
        <f>_xlfn.RANK.AVG(E2,Table1[Rendimento Ensino superior])</f>
        <v>10</v>
      </c>
      <c r="F43">
        <f>_xlfn.RANK.AVG(F2,Table1[Indice de Gini])</f>
        <v>17</v>
      </c>
      <c r="G43">
        <f>_xlfn.RANK.AVG(G2,Table1[Populacao estrangeira])</f>
        <v>9</v>
      </c>
      <c r="J43">
        <f>_xlfn.RANK.AVG(J2,Table1[Populacao ensino superior])</f>
        <v>19</v>
      </c>
      <c r="K43">
        <f>_xlfn.RANK.AVG(K2,Table1[Populacao desempregada])</f>
        <v>27</v>
      </c>
      <c r="L43">
        <f>_xlfn.RANK.AVG(L2,Table1[PIB per capita])</f>
        <v>6</v>
      </c>
      <c r="M43">
        <f>_xlfn.RANK.AVG(M2,Table1[Despesa Alimentacao])</f>
        <v>23</v>
      </c>
      <c r="N43">
        <f>_xlfn.RANK.AVG(N2,Table1[Despesa Saude])</f>
        <v>8</v>
      </c>
      <c r="O43">
        <f>_xlfn.RANK.AVG(O2,Table1[Despesa Transportes e comunicacoes])</f>
        <v>4.5</v>
      </c>
      <c r="P43">
        <f>_xlfn.RANK.AVG(P2,Table1[Despesa Educacao])</f>
        <v>17</v>
      </c>
      <c r="Q43">
        <f>_xlfn.RANK.AVG(Q2,Table1[Despesa Habitacao e utilidades])</f>
        <v>13</v>
      </c>
      <c r="R43">
        <f>_xlfn.RANK.AVG(R2,Table1[Despesa Servicos])</f>
        <v>17</v>
      </c>
      <c r="S43">
        <f>_xlfn.RANK.AVG(S2,Table1[Despesa Lazer e cultura])</f>
        <v>21.5</v>
      </c>
      <c r="T43">
        <f>_xlfn.RANK.AVG(T2,Table1[Despesa Vestuario e recheio de casa])</f>
        <v>3.5</v>
      </c>
    </row>
    <row r="44" spans="1:20" x14ac:dyDescent="0.2">
      <c r="C44">
        <f>_xlfn.RANK.AVG(C3,Table1[Rendimento Ensino basico])</f>
        <v>6</v>
      </c>
      <c r="D44">
        <f>_xlfn.RANK.AVG(D3,Table1[Rendimento Ensino pos-secundario])</f>
        <v>4</v>
      </c>
      <c r="E44">
        <f>_xlfn.RANK.AVG(E3,Table1[Rendimento Ensino superior])</f>
        <v>3</v>
      </c>
      <c r="F44">
        <f>_xlfn.RANK.AVG(F3,Table1[Indice de Gini])</f>
        <v>21</v>
      </c>
      <c r="G44">
        <f>_xlfn.RANK.AVG(G3,Table1[Populacao estrangeira])</f>
        <v>3</v>
      </c>
      <c r="J44">
        <f>_xlfn.RANK.AVG(J3,Table1[Populacao ensino superior])</f>
        <v>16</v>
      </c>
      <c r="K44">
        <f>_xlfn.RANK.AVG(K3,Table1[Populacao desempregada])</f>
        <v>19.5</v>
      </c>
      <c r="L44">
        <f>_xlfn.RANK.AVG(L3,Table1[PIB per capita])</f>
        <v>4</v>
      </c>
      <c r="M44">
        <f>_xlfn.RANK.AVG(M3,Table1[Despesa Alimentacao])</f>
        <v>25</v>
      </c>
      <c r="N44">
        <f>_xlfn.RANK.AVG(N3,Table1[Despesa Saude])</f>
        <v>17</v>
      </c>
      <c r="O44">
        <f>_xlfn.RANK.AVG(O3,Table1[Despesa Transportes e comunicacoes])</f>
        <v>22</v>
      </c>
      <c r="P44">
        <f>_xlfn.RANK.AVG(P3,Table1[Despesa Educacao])</f>
        <v>17</v>
      </c>
      <c r="Q44">
        <f>_xlfn.RANK.AVG(Q3,Table1[Despesa Habitacao e utilidades])</f>
        <v>13</v>
      </c>
      <c r="R44">
        <f>_xlfn.RANK.AVG(R3,Table1[Despesa Servicos])</f>
        <v>6</v>
      </c>
      <c r="S44">
        <f>_xlfn.RANK.AVG(S3,Table1[Despesa Lazer e cultura])</f>
        <v>16.5</v>
      </c>
      <c r="T44">
        <f>_xlfn.RANK.AVG(T3,Table1[Despesa Vestuario e recheio de casa])</f>
        <v>3.5</v>
      </c>
    </row>
    <row r="45" spans="1:20" x14ac:dyDescent="0.2">
      <c r="C45">
        <f>_xlfn.RANK.AVG(C4,Table1[Rendimento Ensino basico])</f>
        <v>9</v>
      </c>
      <c r="D45">
        <f>_xlfn.RANK.AVG(D4,Table1[Rendimento Ensino pos-secundario])</f>
        <v>8</v>
      </c>
      <c r="E45">
        <f>_xlfn.RANK.AVG(E4,Table1[Rendimento Ensino superior])</f>
        <v>9</v>
      </c>
      <c r="F45">
        <f>_xlfn.RANK.AVG(F4,Table1[Indice de Gini])</f>
        <v>24</v>
      </c>
      <c r="G45">
        <f>_xlfn.RANK.AVG(G4,Table1[Populacao estrangeira])</f>
        <v>6</v>
      </c>
      <c r="J45">
        <f>_xlfn.RANK.AVG(J4,Table1[Populacao ensino superior])</f>
        <v>6.5</v>
      </c>
      <c r="K45">
        <f>_xlfn.RANK.AVG(K4,Table1[Populacao desempregada])</f>
        <v>11.5</v>
      </c>
      <c r="L45">
        <f>_xlfn.RANK.AVG(L4,Table1[PIB per capita])</f>
        <v>8</v>
      </c>
      <c r="M45">
        <f>_xlfn.RANK.AVG(M4,Table1[Despesa Alimentacao])</f>
        <v>15</v>
      </c>
      <c r="N45">
        <f>_xlfn.RANK.AVG(N4,Table1[Despesa Saude])</f>
        <v>1</v>
      </c>
      <c r="O45">
        <f>_xlfn.RANK.AVG(O4,Table1[Despesa Transportes e comunicacoes])</f>
        <v>26</v>
      </c>
      <c r="P45">
        <f>_xlfn.RANK.AVG(P4,Table1[Despesa Educacao])</f>
        <v>26</v>
      </c>
      <c r="Q45">
        <f>_xlfn.RANK.AVG(Q4,Table1[Despesa Habitacao e utilidades])</f>
        <v>9.5</v>
      </c>
      <c r="R45">
        <f>_xlfn.RANK.AVG(R4,Table1[Despesa Servicos])</f>
        <v>13</v>
      </c>
      <c r="S45">
        <f>_xlfn.RANK.AVG(S4,Table1[Despesa Lazer e cultura])</f>
        <v>21.5</v>
      </c>
      <c r="T45">
        <f>_xlfn.RANK.AVG(T4,Table1[Despesa Vestuario e recheio de casa])</f>
        <v>12</v>
      </c>
    </row>
    <row r="46" spans="1:20" x14ac:dyDescent="0.2">
      <c r="C46">
        <f>_xlfn.RANK.AVG(C5,Table1[Rendimento Ensino basico])</f>
        <v>26</v>
      </c>
      <c r="D46">
        <f>_xlfn.RANK.AVG(D5,Table1[Rendimento Ensino pos-secundario])</f>
        <v>26</v>
      </c>
      <c r="E46">
        <f>_xlfn.RANK.AVG(E5,Table1[Rendimento Ensino superior])</f>
        <v>26</v>
      </c>
      <c r="F46">
        <f>_xlfn.RANK.AVG(F5,Table1[Indice de Gini])</f>
        <v>1</v>
      </c>
      <c r="G46">
        <f>_xlfn.RANK.AVG(G5,Table1[Populacao estrangeira])</f>
        <v>24.5</v>
      </c>
      <c r="J46">
        <f>_xlfn.RANK.AVG(J5,Table1[Populacao ensino superior])</f>
        <v>20</v>
      </c>
      <c r="K46">
        <f>_xlfn.RANK.AVG(K5,Table1[Populacao desempregada])</f>
        <v>16</v>
      </c>
      <c r="L46">
        <f>_xlfn.RANK.AVG(L5,Table1[PIB per capita])</f>
        <v>28</v>
      </c>
      <c r="M46">
        <f>_xlfn.RANK.AVG(M5,Table1[Despesa Alimentacao])</f>
        <v>4.5</v>
      </c>
      <c r="N46">
        <f>_xlfn.RANK.AVG(N5,Table1[Despesa Saude])</f>
        <v>3</v>
      </c>
      <c r="O46">
        <f>_xlfn.RANK.AVG(O5,Table1[Despesa Transportes e comunicacoes])</f>
        <v>2</v>
      </c>
      <c r="P46">
        <f>_xlfn.RANK.AVG(P5,Table1[Despesa Educacao])</f>
        <v>17</v>
      </c>
      <c r="Q46">
        <f>_xlfn.RANK.AVG(Q5,Table1[Despesa Habitacao e utilidades])</f>
        <v>19.5</v>
      </c>
      <c r="R46">
        <f>_xlfn.RANK.AVG(R5,Table1[Despesa Servicos])</f>
        <v>25</v>
      </c>
      <c r="S46">
        <f>_xlfn.RANK.AVG(S5,Table1[Despesa Lazer e cultura])</f>
        <v>16.5</v>
      </c>
      <c r="T46">
        <f>_xlfn.RANK.AVG(T5,Table1[Despesa Vestuario e recheio de casa])</f>
        <v>25</v>
      </c>
    </row>
    <row r="47" spans="1:20" x14ac:dyDescent="0.2">
      <c r="C47">
        <f>_xlfn.RANK.AVG(C6,Table1[Rendimento Ensino basico])</f>
        <v>14</v>
      </c>
      <c r="D47">
        <f>_xlfn.RANK.AVG(D6,Table1[Rendimento Ensino pos-secundario])</f>
        <v>14</v>
      </c>
      <c r="E47">
        <f>_xlfn.RANK.AVG(E6,Table1[Rendimento Ensino superior])</f>
        <v>13</v>
      </c>
      <c r="F47">
        <f>_xlfn.RANK.AVG(F6,Table1[Indice de Gini])</f>
        <v>13</v>
      </c>
      <c r="G47">
        <f>_xlfn.RANK.AVG(G6,Table1[Populacao estrangeira])</f>
        <v>2</v>
      </c>
      <c r="J47">
        <f>_xlfn.RANK.AVG(J6,Table1[Populacao ensino superior])</f>
        <v>4</v>
      </c>
      <c r="K47">
        <f>_xlfn.RANK.AVG(K6,Table1[Populacao desempregada])</f>
        <v>5</v>
      </c>
      <c r="L47">
        <f>_xlfn.RANK.AVG(L6,Table1[PIB per capita])</f>
        <v>17</v>
      </c>
      <c r="M47">
        <f>_xlfn.RANK.AVG(M6,Table1[Despesa Alimentacao])</f>
        <v>15</v>
      </c>
      <c r="N47">
        <f>_xlfn.RANK.AVG(N6,Table1[Despesa Saude])</f>
        <v>8</v>
      </c>
      <c r="O47">
        <f>_xlfn.RANK.AVG(O6,Table1[Despesa Transportes e comunicacoes])</f>
        <v>10</v>
      </c>
      <c r="P47">
        <f>_xlfn.RANK.AVG(P6,Table1[Despesa Educacao])</f>
        <v>1.5</v>
      </c>
      <c r="Q47">
        <f>_xlfn.RANK.AVG(Q6,Table1[Despesa Habitacao e utilidades])</f>
        <v>26.5</v>
      </c>
      <c r="R47">
        <f>_xlfn.RANK.AVG(R6,Table1[Despesa Servicos])</f>
        <v>2.5</v>
      </c>
      <c r="S47">
        <f>_xlfn.RANK.AVG(S6,Table1[Despesa Lazer e cultura])</f>
        <v>21.5</v>
      </c>
      <c r="T47">
        <f>_xlfn.RANK.AVG(T6,Table1[Despesa Vestuario e recheio de casa])</f>
        <v>19</v>
      </c>
    </row>
    <row r="48" spans="1:20" x14ac:dyDescent="0.2">
      <c r="C48">
        <f>_xlfn.RANK.AVG(C7,Table1[Rendimento Ensino basico])</f>
        <v>23</v>
      </c>
      <c r="D48">
        <f>_xlfn.RANK.AVG(D7,Table1[Rendimento Ensino pos-secundario])</f>
        <v>22</v>
      </c>
      <c r="E48">
        <f>_xlfn.RANK.AVG(E7,Table1[Rendimento Ensino superior])</f>
        <v>22</v>
      </c>
      <c r="F48">
        <f>_xlfn.RANK.AVG(F7,Table1[Indice de Gini])</f>
        <v>14</v>
      </c>
      <c r="G48">
        <f>_xlfn.RANK.AVG(G7,Table1[Populacao estrangeira])</f>
        <v>24.5</v>
      </c>
      <c r="J48">
        <f>_xlfn.RANK.AVG(J7,Table1[Populacao ensino superior])</f>
        <v>25</v>
      </c>
      <c r="K48">
        <f>_xlfn.RANK.AVG(K7,Table1[Populacao desempregada])</f>
        <v>3.5</v>
      </c>
      <c r="L48">
        <f>_xlfn.RANK.AVG(L7,Table1[PIB per capita])</f>
        <v>27</v>
      </c>
      <c r="M48">
        <f>_xlfn.RANK.AVG(M7,Table1[Despesa Alimentacao])</f>
        <v>4.5</v>
      </c>
      <c r="N48">
        <f>_xlfn.RANK.AVG(N7,Table1[Despesa Saude])</f>
        <v>17</v>
      </c>
      <c r="O48">
        <f>_xlfn.RANK.AVG(O7,Table1[Despesa Transportes e comunicacoes])</f>
        <v>26</v>
      </c>
      <c r="P48">
        <f>_xlfn.RANK.AVG(P7,Table1[Despesa Educacao])</f>
        <v>17</v>
      </c>
      <c r="Q48">
        <f>_xlfn.RANK.AVG(Q7,Table1[Despesa Habitacao e utilidades])</f>
        <v>25</v>
      </c>
      <c r="R48">
        <f>_xlfn.RANK.AVG(R7,Table1[Despesa Servicos])</f>
        <v>6</v>
      </c>
      <c r="S48">
        <f>_xlfn.RANK.AVG(S7,Table1[Despesa Lazer e cultura])</f>
        <v>5</v>
      </c>
      <c r="T48">
        <f>_xlfn.RANK.AVG(T7,Table1[Despesa Vestuario e recheio de casa])</f>
        <v>19</v>
      </c>
    </row>
    <row r="49" spans="3:20" x14ac:dyDescent="0.2">
      <c r="C49">
        <f>_xlfn.RANK.AVG(C8,Table1[Rendimento Ensino basico])</f>
        <v>2</v>
      </c>
      <c r="D49">
        <f>_xlfn.RANK.AVG(D8,Table1[Rendimento Ensino pos-secundario])</f>
        <v>2</v>
      </c>
      <c r="E49">
        <f>_xlfn.RANK.AVG(E8,Table1[Rendimento Ensino superior])</f>
        <v>2</v>
      </c>
      <c r="F49">
        <f>_xlfn.RANK.AVG(F8,Table1[Indice de Gini])</f>
        <v>22</v>
      </c>
      <c r="G49">
        <f>_xlfn.RANK.AVG(G8,Table1[Populacao estrangeira])</f>
        <v>12.5</v>
      </c>
      <c r="J49">
        <f>_xlfn.RANK.AVG(J8,Table1[Populacao ensino superior])</f>
        <v>10</v>
      </c>
      <c r="K49">
        <f>_xlfn.RANK.AVG(K8,Table1[Populacao desempregada])</f>
        <v>18</v>
      </c>
      <c r="L49">
        <f>_xlfn.RANK.AVG(L8,Table1[PIB per capita])</f>
        <v>5</v>
      </c>
      <c r="M49">
        <f>_xlfn.RANK.AVG(M8,Table1[Despesa Alimentacao])</f>
        <v>23</v>
      </c>
      <c r="N49">
        <f>_xlfn.RANK.AVG(N8,Table1[Despesa Saude])</f>
        <v>24.5</v>
      </c>
      <c r="O49">
        <f>_xlfn.RANK.AVG(O8,Table1[Despesa Transportes e comunicacoes])</f>
        <v>22</v>
      </c>
      <c r="P49">
        <f>_xlfn.RANK.AVG(P8,Table1[Despesa Educacao])</f>
        <v>17</v>
      </c>
      <c r="Q49">
        <f>_xlfn.RANK.AVG(Q8,Table1[Despesa Habitacao e utilidades])</f>
        <v>1.5</v>
      </c>
      <c r="R49">
        <f>_xlfn.RANK.AVG(R8,Table1[Despesa Servicos])</f>
        <v>17</v>
      </c>
      <c r="S49">
        <f>_xlfn.RANK.AVG(S8,Table1[Despesa Lazer e cultura])</f>
        <v>5</v>
      </c>
      <c r="T49">
        <f>_xlfn.RANK.AVG(T8,Table1[Despesa Vestuario e recheio de casa])</f>
        <v>19</v>
      </c>
    </row>
    <row r="50" spans="3:20" x14ac:dyDescent="0.2">
      <c r="C50">
        <f>_xlfn.RANK.AVG(C9,Table1[Rendimento Ensino basico])</f>
        <v>20</v>
      </c>
      <c r="D50">
        <f>_xlfn.RANK.AVG(D9,Table1[Rendimento Ensino pos-secundario])</f>
        <v>20</v>
      </c>
      <c r="E50">
        <f>_xlfn.RANK.AVG(E9,Table1[Rendimento Ensino superior])</f>
        <v>24</v>
      </c>
      <c r="F50">
        <f>_xlfn.RANK.AVG(F9,Table1[Indice de Gini])</f>
        <v>28</v>
      </c>
      <c r="G50">
        <f>_xlfn.RANK.AVG(G9,Table1[Populacao estrangeira])</f>
        <v>23</v>
      </c>
      <c r="J50">
        <f>_xlfn.RANK.AVG(J9,Table1[Populacao ensino superior])</f>
        <v>26</v>
      </c>
      <c r="K50">
        <f>_xlfn.RANK.AVG(K9,Table1[Populacao desempregada])</f>
        <v>10</v>
      </c>
      <c r="L50">
        <f>_xlfn.RANK.AVG(L9,Table1[PIB per capita])</f>
        <v>21</v>
      </c>
      <c r="M50">
        <f>_xlfn.RANK.AVG(M9,Table1[Despesa Alimentacao])</f>
        <v>7</v>
      </c>
      <c r="N50">
        <f>_xlfn.RANK.AVG(N9,Table1[Despesa Saude])</f>
        <v>24.5</v>
      </c>
      <c r="O50">
        <f>_xlfn.RANK.AVG(O9,Table1[Despesa Transportes e comunicacoes])</f>
        <v>28</v>
      </c>
      <c r="P50">
        <f>_xlfn.RANK.AVG(P9,Table1[Despesa Educacao])</f>
        <v>6.5</v>
      </c>
      <c r="Q50">
        <f>_xlfn.RANK.AVG(Q9,Table1[Despesa Habitacao e utilidades])</f>
        <v>9.5</v>
      </c>
      <c r="R50">
        <f>_xlfn.RANK.AVG(R9,Table1[Despesa Servicos])</f>
        <v>22</v>
      </c>
      <c r="S50">
        <f>_xlfn.RANK.AVG(S9,Table1[Despesa Lazer e cultura])</f>
        <v>5</v>
      </c>
      <c r="T50">
        <f>_xlfn.RANK.AVG(T9,Table1[Despesa Vestuario e recheio de casa])</f>
        <v>12</v>
      </c>
    </row>
    <row r="51" spans="3:20" x14ac:dyDescent="0.2">
      <c r="C51">
        <f>_xlfn.RANK.AVG(C10,Table1[Rendimento Ensino basico])</f>
        <v>15</v>
      </c>
      <c r="D51">
        <f>_xlfn.RANK.AVG(D10,Table1[Rendimento Ensino pos-secundario])</f>
        <v>15</v>
      </c>
      <c r="E51">
        <f>_xlfn.RANK.AVG(E10,Table1[Rendimento Ensino superior])</f>
        <v>16</v>
      </c>
      <c r="F51">
        <f>_xlfn.RANK.AVG(F10,Table1[Indice de Gini])</f>
        <v>27</v>
      </c>
      <c r="G51">
        <f>_xlfn.RANK.AVG(G10,Table1[Populacao estrangeira])</f>
        <v>17</v>
      </c>
      <c r="J51">
        <f>_xlfn.RANK.AVG(J10,Table1[Populacao ensino superior])</f>
        <v>15</v>
      </c>
      <c r="K51">
        <f>_xlfn.RANK.AVG(K10,Table1[Populacao desempregada])</f>
        <v>15</v>
      </c>
      <c r="L51">
        <f>_xlfn.RANK.AVG(L10,Table1[PIB per capita])</f>
        <v>16</v>
      </c>
      <c r="M51">
        <f>_xlfn.RANK.AVG(M10,Table1[Despesa Alimentacao])</f>
        <v>13</v>
      </c>
      <c r="N51">
        <f>_xlfn.RANK.AVG(N10,Table1[Despesa Saude])</f>
        <v>17</v>
      </c>
      <c r="O51">
        <f>_xlfn.RANK.AVG(O10,Table1[Despesa Transportes e comunicacoes])</f>
        <v>2</v>
      </c>
      <c r="P51">
        <f>_xlfn.RANK.AVG(P10,Table1[Despesa Educacao])</f>
        <v>17</v>
      </c>
      <c r="Q51">
        <f>_xlfn.RANK.AVG(Q10,Table1[Despesa Habitacao e utilidades])</f>
        <v>21.5</v>
      </c>
      <c r="R51">
        <f>_xlfn.RANK.AVG(R10,Table1[Despesa Servicos])</f>
        <v>17</v>
      </c>
      <c r="S51">
        <f>_xlfn.RANK.AVG(S10,Table1[Despesa Lazer e cultura])</f>
        <v>10.5</v>
      </c>
      <c r="T51">
        <f>_xlfn.RANK.AVG(T10,Table1[Despesa Vestuario e recheio de casa])</f>
        <v>12</v>
      </c>
    </row>
    <row r="52" spans="3:20" x14ac:dyDescent="0.2">
      <c r="C52">
        <f>_xlfn.RANK.AVG(C11,Table1[Rendimento Ensino basico])</f>
        <v>13</v>
      </c>
      <c r="D52">
        <f>_xlfn.RANK.AVG(D11,Table1[Rendimento Ensino pos-secundario])</f>
        <v>13</v>
      </c>
      <c r="E52">
        <f>_xlfn.RANK.AVG(E11,Table1[Rendimento Ensino superior])</f>
        <v>14</v>
      </c>
      <c r="F52">
        <f>_xlfn.RANK.AVG(F11,Table1[Indice de Gini])</f>
        <v>5</v>
      </c>
      <c r="G52">
        <f>_xlfn.RANK.AVG(G11,Table1[Populacao estrangeira])</f>
        <v>10</v>
      </c>
      <c r="J52">
        <f>_xlfn.RANK.AVG(J11,Table1[Populacao ensino superior])</f>
        <v>12</v>
      </c>
      <c r="K52">
        <f>_xlfn.RANK.AVG(K11,Table1[Populacao desempregada])</f>
        <v>2</v>
      </c>
      <c r="L52">
        <f>_xlfn.RANK.AVG(L11,Table1[PIB per capita])</f>
        <v>14</v>
      </c>
      <c r="M52">
        <f>_xlfn.RANK.AVG(M11,Table1[Despesa Alimentacao])</f>
        <v>19.5</v>
      </c>
      <c r="N52">
        <f>_xlfn.RANK.AVG(N11,Table1[Despesa Saude])</f>
        <v>17</v>
      </c>
      <c r="O52">
        <f>_xlfn.RANK.AVG(O11,Table1[Despesa Transportes e comunicacoes])</f>
        <v>16</v>
      </c>
      <c r="P52">
        <f>_xlfn.RANK.AVG(P11,Table1[Despesa Educacao])</f>
        <v>6.5</v>
      </c>
      <c r="Q52">
        <f>_xlfn.RANK.AVG(Q11,Table1[Despesa Habitacao e utilidades])</f>
        <v>15.5</v>
      </c>
      <c r="R52">
        <f>_xlfn.RANK.AVG(R11,Table1[Despesa Servicos])</f>
        <v>2.5</v>
      </c>
      <c r="S52">
        <f>_xlfn.RANK.AVG(S11,Table1[Despesa Lazer e cultura])</f>
        <v>25.5</v>
      </c>
      <c r="T52">
        <f>_xlfn.RANK.AVG(T11,Table1[Despesa Vestuario e recheio de casa])</f>
        <v>25</v>
      </c>
    </row>
    <row r="53" spans="3:20" x14ac:dyDescent="0.2">
      <c r="C53">
        <f>_xlfn.RANK.AVG(C12,Table1[Rendimento Ensino basico])</f>
        <v>17</v>
      </c>
      <c r="D53">
        <f>_xlfn.RANK.AVG(D12,Table1[Rendimento Ensino pos-secundario])</f>
        <v>17</v>
      </c>
      <c r="E53">
        <f>_xlfn.RANK.AVG(E12,Table1[Rendimento Ensino superior])</f>
        <v>17</v>
      </c>
      <c r="F53">
        <f>_xlfn.RANK.AVG(F12,Table1[Indice de Gini])</f>
        <v>11</v>
      </c>
      <c r="G53">
        <f>_xlfn.RANK.AVG(G12,Table1[Populacao estrangeira])</f>
        <v>4</v>
      </c>
      <c r="J53">
        <f>_xlfn.RANK.AVG(J12,Table1[Populacao ensino superior])</f>
        <v>9</v>
      </c>
      <c r="K53">
        <f>_xlfn.RANK.AVG(K12,Table1[Populacao desempregada])</f>
        <v>17</v>
      </c>
      <c r="L53">
        <f>_xlfn.RANK.AVG(L12,Table1[PIB per capita])</f>
        <v>19</v>
      </c>
      <c r="M53">
        <f>_xlfn.RANK.AVG(M12,Table1[Despesa Alimentacao])</f>
        <v>3</v>
      </c>
      <c r="N53">
        <f>_xlfn.RANK.AVG(N12,Table1[Despesa Saude])</f>
        <v>24.5</v>
      </c>
      <c r="O53">
        <f>_xlfn.RANK.AVG(O12,Table1[Despesa Transportes e comunicacoes])</f>
        <v>16</v>
      </c>
      <c r="P53">
        <f>_xlfn.RANK.AVG(P12,Table1[Despesa Educacao])</f>
        <v>26</v>
      </c>
      <c r="Q53">
        <f>_xlfn.RANK.AVG(Q12,Table1[Despesa Habitacao e utilidades])</f>
        <v>23.5</v>
      </c>
      <c r="R53">
        <f>_xlfn.RANK.AVG(R12,Table1[Despesa Servicos])</f>
        <v>22</v>
      </c>
      <c r="S53">
        <f>_xlfn.RANK.AVG(S12,Table1[Despesa Lazer e cultura])</f>
        <v>3</v>
      </c>
      <c r="T53">
        <f>_xlfn.RANK.AVG(T12,Table1[Despesa Vestuario e recheio de casa])</f>
        <v>7</v>
      </c>
    </row>
    <row r="54" spans="3:20" x14ac:dyDescent="0.2">
      <c r="C54">
        <f>_xlfn.RANK.AVG(C13,Table1[Rendimento Ensino basico])</f>
        <v>5</v>
      </c>
      <c r="D54">
        <f>_xlfn.RANK.AVG(D13,Table1[Rendimento Ensino pos-secundario])</f>
        <v>6</v>
      </c>
      <c r="E54">
        <f>_xlfn.RANK.AVG(E13,Table1[Rendimento Ensino superior])</f>
        <v>4</v>
      </c>
      <c r="F54">
        <f>_xlfn.RANK.AVG(F13,Table1[Indice de Gini])</f>
        <v>25</v>
      </c>
      <c r="G54">
        <f>_xlfn.RANK.AVG(G13,Table1[Populacao estrangeira])</f>
        <v>20</v>
      </c>
      <c r="J54">
        <f>_xlfn.RANK.AVG(J13,Table1[Populacao ensino superior])</f>
        <v>2</v>
      </c>
      <c r="K54">
        <f>_xlfn.RANK.AVG(K13,Table1[Populacao desempregada])</f>
        <v>9</v>
      </c>
      <c r="L54">
        <f>_xlfn.RANK.AVG(L13,Table1[PIB per capita])</f>
        <v>9</v>
      </c>
      <c r="M54">
        <f>_xlfn.RANK.AVG(M13,Table1[Despesa Alimentacao])</f>
        <v>19.5</v>
      </c>
      <c r="N54">
        <f>_xlfn.RANK.AVG(N13,Table1[Despesa Saude])</f>
        <v>8</v>
      </c>
      <c r="O54">
        <f>_xlfn.RANK.AVG(O13,Table1[Despesa Transportes e comunicacoes])</f>
        <v>22</v>
      </c>
      <c r="P54">
        <f>_xlfn.RANK.AVG(P13,Table1[Despesa Educacao])</f>
        <v>26</v>
      </c>
      <c r="Q54">
        <f>_xlfn.RANK.AVG(Q13,Table1[Despesa Habitacao e utilidades])</f>
        <v>1.5</v>
      </c>
      <c r="R54">
        <f>_xlfn.RANK.AVG(R13,Table1[Despesa Servicos])</f>
        <v>22</v>
      </c>
      <c r="S54">
        <f>_xlfn.RANK.AVG(S13,Table1[Despesa Lazer e cultura])</f>
        <v>10.5</v>
      </c>
      <c r="T54">
        <f>_xlfn.RANK.AVG(T13,Table1[Despesa Vestuario e recheio de casa])</f>
        <v>19</v>
      </c>
    </row>
    <row r="55" spans="3:20" x14ac:dyDescent="0.2">
      <c r="C55">
        <f>_xlfn.RANK.AVG(C14,Table1[Rendimento Ensino basico])</f>
        <v>4</v>
      </c>
      <c r="D55">
        <f>_xlfn.RANK.AVG(D14,Table1[Rendimento Ensino pos-secundario])</f>
        <v>5</v>
      </c>
      <c r="E55">
        <f>_xlfn.RANK.AVG(E14,Table1[Rendimento Ensino superior])</f>
        <v>5</v>
      </c>
      <c r="F55">
        <f>_xlfn.RANK.AVG(F14,Table1[Indice de Gini])</f>
        <v>15</v>
      </c>
      <c r="G55">
        <f>_xlfn.RANK.AVG(G14,Table1[Populacao estrangeira])</f>
        <v>16</v>
      </c>
      <c r="J55">
        <f>_xlfn.RANK.AVG(J14,Table1[Populacao ensino superior])</f>
        <v>13</v>
      </c>
      <c r="K55">
        <f>_xlfn.RANK.AVG(K14,Table1[Populacao desempregada])</f>
        <v>6</v>
      </c>
      <c r="L55">
        <f>_xlfn.RANK.AVG(L14,Table1[PIB per capita])</f>
        <v>11</v>
      </c>
      <c r="M55">
        <f>_xlfn.RANK.AVG(M14,Table1[Despesa Alimentacao])</f>
        <v>17</v>
      </c>
      <c r="N55">
        <f>_xlfn.RANK.AVG(N14,Table1[Despesa Saude])</f>
        <v>17</v>
      </c>
      <c r="O55">
        <f>_xlfn.RANK.AVG(O14,Table1[Despesa Transportes e comunicacoes])</f>
        <v>10</v>
      </c>
      <c r="P55">
        <f>_xlfn.RANK.AVG(P14,Table1[Despesa Educacao])</f>
        <v>17</v>
      </c>
      <c r="Q55">
        <f>_xlfn.RANK.AVG(Q14,Table1[Despesa Habitacao e utilidades])</f>
        <v>4.5</v>
      </c>
      <c r="R55">
        <f>_xlfn.RANK.AVG(R14,Table1[Despesa Servicos])</f>
        <v>14</v>
      </c>
      <c r="S55">
        <f>_xlfn.RANK.AVG(S14,Table1[Despesa Lazer e cultura])</f>
        <v>21.5</v>
      </c>
      <c r="T55">
        <f>_xlfn.RANK.AVG(T14,Table1[Despesa Vestuario e recheio de casa])</f>
        <v>19</v>
      </c>
    </row>
    <row r="56" spans="3:20" x14ac:dyDescent="0.2">
      <c r="C56">
        <f>_xlfn.RANK.AVG(C15,Table1[Rendimento Ensino basico])</f>
        <v>18</v>
      </c>
      <c r="D56">
        <f>_xlfn.RANK.AVG(D15,Table1[Rendimento Ensino pos-secundario])</f>
        <v>19</v>
      </c>
      <c r="E56">
        <f>_xlfn.RANK.AVG(E15,Table1[Rendimento Ensino superior])</f>
        <v>18</v>
      </c>
      <c r="F56">
        <f>_xlfn.RANK.AVG(F15,Table1[Indice de Gini])</f>
        <v>7</v>
      </c>
      <c r="G56">
        <f>_xlfn.RANK.AVG(G15,Table1[Populacao estrangeira])</f>
        <v>15</v>
      </c>
      <c r="J56">
        <f>_xlfn.RANK.AVG(J15,Table1[Populacao ensino superior])</f>
        <v>17</v>
      </c>
      <c r="K56">
        <f>_xlfn.RANK.AVG(K15,Table1[Populacao desempregada])</f>
        <v>1</v>
      </c>
      <c r="L56">
        <f>_xlfn.RANK.AVG(L15,Table1[PIB per capita])</f>
        <v>24</v>
      </c>
      <c r="M56">
        <f>_xlfn.RANK.AVG(M15,Table1[Despesa Alimentacao])</f>
        <v>10</v>
      </c>
      <c r="N56">
        <f>_xlfn.RANK.AVG(N15,Table1[Despesa Saude])</f>
        <v>17</v>
      </c>
      <c r="O56">
        <f>_xlfn.RANK.AVG(O15,Table1[Despesa Transportes e comunicacoes])</f>
        <v>4.5</v>
      </c>
      <c r="P56">
        <f>_xlfn.RANK.AVG(P15,Table1[Despesa Educacao])</f>
        <v>6.5</v>
      </c>
      <c r="Q56">
        <f>_xlfn.RANK.AVG(Q15,Table1[Despesa Habitacao e utilidades])</f>
        <v>19.5</v>
      </c>
      <c r="R56">
        <f>_xlfn.RANK.AVG(R15,Table1[Despesa Servicos])</f>
        <v>9</v>
      </c>
      <c r="S56">
        <f>_xlfn.RANK.AVG(S15,Table1[Despesa Lazer e cultura])</f>
        <v>27</v>
      </c>
      <c r="T56">
        <f>_xlfn.RANK.AVG(T15,Table1[Despesa Vestuario e recheio de casa])</f>
        <v>28</v>
      </c>
    </row>
    <row r="57" spans="3:20" x14ac:dyDescent="0.2">
      <c r="C57">
        <f>_xlfn.RANK.AVG(C16,Table1[Rendimento Ensino basico])</f>
        <v>25</v>
      </c>
      <c r="D57">
        <f>_xlfn.RANK.AVG(D16,Table1[Rendimento Ensino pos-secundario])</f>
        <v>25</v>
      </c>
      <c r="E57">
        <f>_xlfn.RANK.AVG(E16,Table1[Rendimento Ensino superior])</f>
        <v>25</v>
      </c>
      <c r="F57">
        <f>_xlfn.RANK.AVG(F16,Table1[Indice de Gini])</f>
        <v>19</v>
      </c>
      <c r="G57">
        <f>_xlfn.RANK.AVG(G16,Table1[Populacao estrangeira])</f>
        <v>22</v>
      </c>
      <c r="J57">
        <f>_xlfn.RANK.AVG(J16,Table1[Populacao ensino superior])</f>
        <v>21</v>
      </c>
      <c r="K57">
        <f>_xlfn.RANK.AVG(K16,Table1[Populacao desempregada])</f>
        <v>25</v>
      </c>
      <c r="L57">
        <f>_xlfn.RANK.AVG(L16,Table1[PIB per capita])</f>
        <v>23</v>
      </c>
      <c r="M57">
        <f>_xlfn.RANK.AVG(M16,Table1[Despesa Alimentacao])</f>
        <v>7</v>
      </c>
      <c r="N57">
        <f>_xlfn.RANK.AVG(N16,Table1[Despesa Saude])</f>
        <v>17</v>
      </c>
      <c r="O57">
        <f>_xlfn.RANK.AVG(O16,Table1[Despesa Transportes e comunicacoes])</f>
        <v>6.5</v>
      </c>
      <c r="P57">
        <f>_xlfn.RANK.AVG(P16,Table1[Despesa Educacao])</f>
        <v>6.5</v>
      </c>
      <c r="Q57">
        <f>_xlfn.RANK.AVG(Q16,Table1[Despesa Habitacao e utilidades])</f>
        <v>21.5</v>
      </c>
      <c r="R57">
        <f>_xlfn.RANK.AVG(R16,Table1[Despesa Servicos])</f>
        <v>17</v>
      </c>
      <c r="S57">
        <f>_xlfn.RANK.AVG(S16,Table1[Despesa Lazer e cultura])</f>
        <v>10.5</v>
      </c>
      <c r="T57">
        <f>_xlfn.RANK.AVG(T16,Table1[Despesa Vestuario e recheio de casa])</f>
        <v>25</v>
      </c>
    </row>
    <row r="58" spans="3:20" x14ac:dyDescent="0.2">
      <c r="F58">
        <f>_xlfn.RANK.AVG(F17,Table1[Indice de Gini])</f>
        <v>3</v>
      </c>
      <c r="G58">
        <f>_xlfn.RANK.AVG(G17,Table1[Populacao estrangeira])</f>
        <v>7.5</v>
      </c>
      <c r="J58">
        <f>_xlfn.RANK.AVG(J17,Table1[Populacao ensino superior])</f>
        <v>1</v>
      </c>
      <c r="K58">
        <f>_xlfn.RANK.AVG(K17,Table1[Populacao desempregada])</f>
        <v>13.5</v>
      </c>
      <c r="L58">
        <f>_xlfn.RANK.AVG(L17,Table1[PIB per capita])</f>
        <v>2</v>
      </c>
      <c r="M58">
        <f>_xlfn.RANK.AVG(M17,Table1[Despesa Alimentacao])</f>
        <v>26.5</v>
      </c>
      <c r="N58">
        <f>_xlfn.RANK.AVG(N17,Table1[Despesa Saude])</f>
        <v>8</v>
      </c>
      <c r="O58">
        <f>_xlfn.RANK.AVG(O17,Table1[Despesa Transportes e comunicacoes])</f>
        <v>10</v>
      </c>
      <c r="P58">
        <f>_xlfn.RANK.AVG(P17,Table1[Despesa Educacao])</f>
        <v>1.5</v>
      </c>
      <c r="Q58">
        <f>_xlfn.RANK.AVG(Q17,Table1[Despesa Habitacao e utilidades])</f>
        <v>9.5</v>
      </c>
      <c r="R58">
        <f>_xlfn.RANK.AVG(R17,Table1[Despesa Servicos])</f>
        <v>6</v>
      </c>
      <c r="S58">
        <f>_xlfn.RANK.AVG(S17,Table1[Despesa Lazer e cultura])</f>
        <v>21.5</v>
      </c>
      <c r="T58">
        <f>_xlfn.RANK.AVG(T17,Table1[Despesa Vestuario e recheio de casa])</f>
        <v>25</v>
      </c>
    </row>
    <row r="59" spans="3:20" x14ac:dyDescent="0.2">
      <c r="C59">
        <f>_xlfn.RANK.AVG(C18,Table1[Rendimento Ensino basico])</f>
        <v>11</v>
      </c>
      <c r="D59">
        <f>_xlfn.RANK.AVG(D18,Table1[Rendimento Ensino pos-secundario])</f>
        <v>11</v>
      </c>
      <c r="E59">
        <f>_xlfn.RANK.AVG(E18,Table1[Rendimento Ensino superior])</f>
        <v>11</v>
      </c>
      <c r="F59">
        <f>_xlfn.RANK.AVG(F18,Table1[Indice de Gini])</f>
        <v>10</v>
      </c>
      <c r="G59">
        <f>_xlfn.RANK.AVG(G18,Table1[Populacao estrangeira])</f>
        <v>14</v>
      </c>
      <c r="J59">
        <f>_xlfn.RANK.AVG(J18,Table1[Populacao ensino superior])</f>
        <v>27</v>
      </c>
      <c r="K59">
        <f>_xlfn.RANK.AVG(K18,Table1[Populacao desempregada])</f>
        <v>3.5</v>
      </c>
      <c r="L59">
        <f>_xlfn.RANK.AVG(L18,Table1[PIB per capita])</f>
        <v>12</v>
      </c>
      <c r="M59">
        <f>_xlfn.RANK.AVG(M18,Table1[Despesa Alimentacao])</f>
        <v>15</v>
      </c>
      <c r="N59">
        <f>_xlfn.RANK.AVG(N18,Table1[Despesa Saude])</f>
        <v>17</v>
      </c>
      <c r="O59">
        <f>_xlfn.RANK.AVG(O18,Table1[Despesa Transportes e comunicacoes])</f>
        <v>22</v>
      </c>
      <c r="P59">
        <f>_xlfn.RANK.AVG(P18,Table1[Despesa Educacao])</f>
        <v>17</v>
      </c>
      <c r="Q59">
        <f>_xlfn.RANK.AVG(Q18,Table1[Despesa Habitacao e utilidades])</f>
        <v>13</v>
      </c>
      <c r="R59">
        <f>_xlfn.RANK.AVG(R18,Table1[Despesa Servicos])</f>
        <v>11</v>
      </c>
      <c r="S59">
        <f>_xlfn.RANK.AVG(S18,Table1[Despesa Lazer e cultura])</f>
        <v>25.5</v>
      </c>
      <c r="T59">
        <f>_xlfn.RANK.AVG(T18,Table1[Despesa Vestuario e recheio de casa])</f>
        <v>3.5</v>
      </c>
    </row>
    <row r="60" spans="3:20" x14ac:dyDescent="0.2">
      <c r="C60">
        <f>_xlfn.RANK.AVG(C19,Table1[Rendimento Ensino basico])</f>
        <v>21</v>
      </c>
      <c r="D60">
        <f>_xlfn.RANK.AVG(D19,Table1[Rendimento Ensino pos-secundario])</f>
        <v>21</v>
      </c>
      <c r="E60">
        <f>_xlfn.RANK.AVG(E19,Table1[Rendimento Ensino superior])</f>
        <v>21</v>
      </c>
      <c r="F60">
        <f>_xlfn.RANK.AVG(F19,Table1[Indice de Gini])</f>
        <v>4</v>
      </c>
      <c r="G60">
        <f>_xlfn.RANK.AVG(G19,Table1[Populacao estrangeira])</f>
        <v>5</v>
      </c>
      <c r="J60">
        <f>_xlfn.RANK.AVG(J19,Table1[Populacao ensino superior])</f>
        <v>14</v>
      </c>
      <c r="K60">
        <f>_xlfn.RANK.AVG(K19,Table1[Populacao desempregada])</f>
        <v>8</v>
      </c>
      <c r="L60">
        <f>_xlfn.RANK.AVG(L19,Table1[PIB per capita])</f>
        <v>25</v>
      </c>
      <c r="M60">
        <f>_xlfn.RANK.AVG(M19,Table1[Despesa Alimentacao])</f>
        <v>7</v>
      </c>
      <c r="N60">
        <f>_xlfn.RANK.AVG(N19,Table1[Despesa Saude])</f>
        <v>8</v>
      </c>
      <c r="O60">
        <f>_xlfn.RANK.AVG(O19,Table1[Despesa Transportes e comunicacoes])</f>
        <v>16</v>
      </c>
      <c r="P60">
        <f>_xlfn.RANK.AVG(P19,Table1[Despesa Educacao])</f>
        <v>6.5</v>
      </c>
      <c r="Q60">
        <f>_xlfn.RANK.AVG(Q19,Table1[Despesa Habitacao e utilidades])</f>
        <v>17.5</v>
      </c>
      <c r="R60">
        <f>_xlfn.RANK.AVG(R19,Table1[Despesa Servicos])</f>
        <v>26.5</v>
      </c>
      <c r="S60">
        <f>_xlfn.RANK.AVG(S19,Table1[Despesa Lazer e cultura])</f>
        <v>1</v>
      </c>
      <c r="T60">
        <f>_xlfn.RANK.AVG(T19,Table1[Despesa Vestuario e recheio de casa])</f>
        <v>19</v>
      </c>
    </row>
    <row r="61" spans="3:20" x14ac:dyDescent="0.2">
      <c r="C61">
        <f>_xlfn.RANK.AVG(C20,Table1[Rendimento Ensino basico])</f>
        <v>24</v>
      </c>
      <c r="D61">
        <f>_xlfn.RANK.AVG(D20,Table1[Rendimento Ensino pos-secundario])</f>
        <v>23</v>
      </c>
      <c r="E61">
        <f>_xlfn.RANK.AVG(E20,Table1[Rendimento Ensino superior])</f>
        <v>20</v>
      </c>
      <c r="F61">
        <f>_xlfn.RANK.AVG(F20,Table1[Indice de Gini])</f>
        <v>2</v>
      </c>
      <c r="G61">
        <f>_xlfn.RANK.AVG(G20,Table1[Populacao estrangeira])</f>
        <v>26</v>
      </c>
      <c r="J61">
        <f>_xlfn.RANK.AVG(J20,Table1[Populacao ensino superior])</f>
        <v>6.5</v>
      </c>
      <c r="K61">
        <f>_xlfn.RANK.AVG(K20,Table1[Populacao desempregada])</f>
        <v>11.5</v>
      </c>
      <c r="L61">
        <f>_xlfn.RANK.AVG(L20,Table1[PIB per capita])</f>
        <v>18</v>
      </c>
      <c r="M61">
        <f>_xlfn.RANK.AVG(M20,Table1[Despesa Alimentacao])</f>
        <v>2</v>
      </c>
      <c r="N61">
        <f>_xlfn.RANK.AVG(N20,Table1[Despesa Saude])</f>
        <v>8</v>
      </c>
      <c r="O61">
        <f>_xlfn.RANK.AVG(O20,Table1[Despesa Transportes e comunicacoes])</f>
        <v>2</v>
      </c>
      <c r="P61">
        <f>_xlfn.RANK.AVG(P20,Table1[Despesa Educacao])</f>
        <v>26</v>
      </c>
      <c r="Q61">
        <f>_xlfn.RANK.AVG(Q20,Table1[Despesa Habitacao e utilidades])</f>
        <v>26.5</v>
      </c>
      <c r="R61">
        <f>_xlfn.RANK.AVG(R20,Table1[Despesa Servicos])</f>
        <v>26.5</v>
      </c>
      <c r="S61">
        <f>_xlfn.RANK.AVG(S20,Table1[Despesa Lazer e cultura])</f>
        <v>10.5</v>
      </c>
      <c r="T61">
        <f>_xlfn.RANK.AVG(T20,Table1[Despesa Vestuario e recheio de casa])</f>
        <v>1</v>
      </c>
    </row>
    <row r="62" spans="3:20" x14ac:dyDescent="0.2">
      <c r="C62">
        <f>_xlfn.RANK.AVG(C21,Table1[Rendimento Ensino basico])</f>
        <v>1</v>
      </c>
      <c r="D62">
        <f>_xlfn.RANK.AVG(D21,Table1[Rendimento Ensino pos-secundario])</f>
        <v>1</v>
      </c>
      <c r="E62">
        <f>_xlfn.RANK.AVG(E21,Table1[Rendimento Ensino superior])</f>
        <v>1</v>
      </c>
      <c r="F62">
        <f>_xlfn.RANK.AVG(F21,Table1[Indice de Gini])</f>
        <v>12</v>
      </c>
      <c r="G62">
        <f>_xlfn.RANK.AVG(G21,Table1[Populacao estrangeira])</f>
        <v>1</v>
      </c>
      <c r="J62">
        <f>_xlfn.RANK.AVG(J21,Table1[Populacao ensino superior])</f>
        <v>8</v>
      </c>
      <c r="K62">
        <f>_xlfn.RANK.AVG(K21,Table1[Populacao desempregada])</f>
        <v>19.5</v>
      </c>
      <c r="L62">
        <f>_xlfn.RANK.AVG(L21,Table1[PIB per capita])</f>
        <v>1</v>
      </c>
      <c r="M62">
        <f>_xlfn.RANK.AVG(M21,Table1[Despesa Alimentacao])</f>
        <v>26.5</v>
      </c>
      <c r="N62">
        <f>_xlfn.RANK.AVG(N21,Table1[Despesa Saude])</f>
        <v>24.5</v>
      </c>
      <c r="O62">
        <f>_xlfn.RANK.AVG(O21,Table1[Despesa Transportes e comunicacoes])</f>
        <v>6.5</v>
      </c>
      <c r="P62">
        <f>_xlfn.RANK.AVG(P21,Table1[Despesa Educacao])</f>
        <v>17</v>
      </c>
      <c r="Q62">
        <f>_xlfn.RANK.AVG(Q21,Table1[Despesa Habitacao e utilidades])</f>
        <v>6.5</v>
      </c>
      <c r="R62">
        <f>_xlfn.RANK.AVG(R21,Table1[Despesa Servicos])</f>
        <v>11</v>
      </c>
      <c r="S62">
        <f>_xlfn.RANK.AVG(S21,Table1[Despesa Lazer e cultura])</f>
        <v>10.5</v>
      </c>
      <c r="T62">
        <f>_xlfn.RANK.AVG(T21,Table1[Despesa Vestuario e recheio de casa])</f>
        <v>12</v>
      </c>
    </row>
    <row r="63" spans="3:20" x14ac:dyDescent="0.2">
      <c r="C63">
        <f>_xlfn.RANK.AVG(C22,Table1[Rendimento Ensino basico])</f>
        <v>12</v>
      </c>
      <c r="D63">
        <f>_xlfn.RANK.AVG(D22,Table1[Rendimento Ensino pos-secundario])</f>
        <v>12</v>
      </c>
      <c r="E63">
        <f>_xlfn.RANK.AVG(E22,Table1[Rendimento Ensino superior])</f>
        <v>12</v>
      </c>
      <c r="F63">
        <f>_xlfn.RANK.AVG(F22,Table1[Indice de Gini])</f>
        <v>18</v>
      </c>
      <c r="G63">
        <f>_xlfn.RANK.AVG(G22,Table1[Populacao estrangeira])</f>
        <v>7.5</v>
      </c>
      <c r="J63">
        <f>_xlfn.RANK.AVG(J22,Table1[Populacao ensino superior])</f>
        <v>23.5</v>
      </c>
      <c r="K63">
        <f>_xlfn.RANK.AVG(K22,Table1[Populacao desempregada])</f>
        <v>26</v>
      </c>
      <c r="L63">
        <f>_xlfn.RANK.AVG(L22,Table1[PIB per capita])</f>
        <v>13</v>
      </c>
      <c r="M63">
        <f>_xlfn.RANK.AVG(M22,Table1[Despesa Alimentacao])</f>
        <v>19.5</v>
      </c>
      <c r="N63">
        <f>_xlfn.RANK.AVG(N22,Table1[Despesa Saude])</f>
        <v>17</v>
      </c>
      <c r="O63">
        <f>_xlfn.RANK.AVG(O22,Table1[Despesa Transportes e comunicacoes])</f>
        <v>16</v>
      </c>
      <c r="P63">
        <f>_xlfn.RANK.AVG(P22,Table1[Despesa Educacao])</f>
        <v>6.5</v>
      </c>
      <c r="Q63">
        <f>_xlfn.RANK.AVG(Q22,Table1[Despesa Habitacao e utilidades])</f>
        <v>28</v>
      </c>
      <c r="R63">
        <f>_xlfn.RANK.AVG(R22,Table1[Despesa Servicos])</f>
        <v>1</v>
      </c>
      <c r="S63">
        <f>_xlfn.RANK.AVG(S22,Table1[Despesa Lazer e cultura])</f>
        <v>10.5</v>
      </c>
      <c r="T63">
        <f>_xlfn.RANK.AVG(T22,Table1[Despesa Vestuario e recheio de casa])</f>
        <v>3.5</v>
      </c>
    </row>
    <row r="64" spans="3:20" x14ac:dyDescent="0.2">
      <c r="C64">
        <f>_xlfn.RANK.AVG(C23,Table1[Rendimento Ensino basico])</f>
        <v>7</v>
      </c>
      <c r="D64">
        <f>_xlfn.RANK.AVG(D23,Table1[Rendimento Ensino pos-secundario])</f>
        <v>7</v>
      </c>
      <c r="E64">
        <f>_xlfn.RANK.AVG(E23,Table1[Rendimento Ensino superior])</f>
        <v>7</v>
      </c>
      <c r="F64">
        <f>_xlfn.RANK.AVG(F23,Table1[Indice de Gini])</f>
        <v>23</v>
      </c>
      <c r="G64">
        <f>_xlfn.RANK.AVG(G23,Table1[Populacao estrangeira])</f>
        <v>18</v>
      </c>
      <c r="J64">
        <f>_xlfn.RANK.AVG(J23,Table1[Populacao ensino superior])</f>
        <v>11</v>
      </c>
      <c r="K64">
        <f>_xlfn.RANK.AVG(K23,Table1[Populacao desempregada])</f>
        <v>23</v>
      </c>
      <c r="L64">
        <f>_xlfn.RANK.AVG(L23,Table1[PIB per capita])</f>
        <v>3</v>
      </c>
      <c r="M64">
        <f>_xlfn.RANK.AVG(M23,Table1[Despesa Alimentacao])</f>
        <v>23</v>
      </c>
      <c r="N64">
        <f>_xlfn.RANK.AVG(N23,Table1[Despesa Saude])</f>
        <v>17</v>
      </c>
      <c r="O64">
        <f>_xlfn.RANK.AVG(O23,Table1[Despesa Transportes e comunicacoes])</f>
        <v>16</v>
      </c>
      <c r="P64">
        <f>_xlfn.RANK.AVG(P23,Table1[Despesa Educacao])</f>
        <v>17</v>
      </c>
      <c r="Q64">
        <f>_xlfn.RANK.AVG(Q23,Table1[Despesa Habitacao e utilidades])</f>
        <v>9.5</v>
      </c>
      <c r="R64">
        <f>_xlfn.RANK.AVG(R23,Table1[Despesa Servicos])</f>
        <v>11</v>
      </c>
      <c r="S64">
        <f>_xlfn.RANK.AVG(S23,Table1[Despesa Lazer e cultura])</f>
        <v>16.5</v>
      </c>
      <c r="T64">
        <f>_xlfn.RANK.AVG(T23,Table1[Despesa Vestuario e recheio de casa])</f>
        <v>7</v>
      </c>
    </row>
    <row r="65" spans="3:20" x14ac:dyDescent="0.2">
      <c r="C65">
        <f>_xlfn.RANK.AVG(C24,Table1[Rendimento Ensino basico])</f>
        <v>22</v>
      </c>
      <c r="D65">
        <f>_xlfn.RANK.AVG(D24,Table1[Rendimento Ensino pos-secundario])</f>
        <v>24</v>
      </c>
      <c r="E65">
        <f>_xlfn.RANK.AVG(E24,Table1[Rendimento Ensino superior])</f>
        <v>23</v>
      </c>
      <c r="F65">
        <f>_xlfn.RANK.AVG(F24,Table1[Indice de Gini])</f>
        <v>16</v>
      </c>
      <c r="G65">
        <f>_xlfn.RANK.AVG(G24,Table1[Populacao estrangeira])</f>
        <v>27.5</v>
      </c>
      <c r="J65">
        <f>_xlfn.RANK.AVG(J24,Table1[Populacao ensino superior])</f>
        <v>18</v>
      </c>
      <c r="K65">
        <f>_xlfn.RANK.AVG(K24,Table1[Populacao desempregada])</f>
        <v>21.5</v>
      </c>
      <c r="L65">
        <f>_xlfn.RANK.AVG(L24,Table1[PIB per capita])</f>
        <v>22</v>
      </c>
      <c r="M65">
        <f>_xlfn.RANK.AVG(M24,Table1[Despesa Alimentacao])</f>
        <v>10</v>
      </c>
      <c r="N65">
        <f>_xlfn.RANK.AVG(N24,Table1[Despesa Saude])</f>
        <v>3</v>
      </c>
      <c r="O65">
        <f>_xlfn.RANK.AVG(O24,Table1[Despesa Transportes e comunicacoes])</f>
        <v>22</v>
      </c>
      <c r="P65">
        <f>_xlfn.RANK.AVG(P24,Table1[Despesa Educacao])</f>
        <v>17</v>
      </c>
      <c r="Q65">
        <f>_xlfn.RANK.AVG(Q24,Table1[Despesa Habitacao e utilidades])</f>
        <v>17.5</v>
      </c>
      <c r="R65">
        <f>_xlfn.RANK.AVG(R24,Table1[Despesa Servicos])</f>
        <v>22</v>
      </c>
      <c r="S65">
        <f>_xlfn.RANK.AVG(S24,Table1[Despesa Lazer e cultura])</f>
        <v>10.5</v>
      </c>
      <c r="T65">
        <f>_xlfn.RANK.AVG(T24,Table1[Despesa Vestuario e recheio de casa])</f>
        <v>12</v>
      </c>
    </row>
    <row r="66" spans="3:20" x14ac:dyDescent="0.2">
      <c r="C66">
        <f>_xlfn.RANK.AVG(C25,Table1[Rendimento Ensino basico])</f>
        <v>16</v>
      </c>
      <c r="D66">
        <f>_xlfn.RANK.AVG(D25,Table1[Rendimento Ensino pos-secundario])</f>
        <v>16</v>
      </c>
      <c r="E66">
        <f>_xlfn.RANK.AVG(E25,Table1[Rendimento Ensino superior])</f>
        <v>15</v>
      </c>
      <c r="F66">
        <f>_xlfn.RANK.AVG(F25,Table1[Indice de Gini])</f>
        <v>6</v>
      </c>
      <c r="G66">
        <f>_xlfn.RANK.AVG(G25,Table1[Populacao estrangeira])</f>
        <v>21</v>
      </c>
      <c r="J66">
        <f>_xlfn.RANK.AVG(J25,Table1[Populacao ensino superior])</f>
        <v>22</v>
      </c>
      <c r="K66">
        <f>_xlfn.RANK.AVG(K25,Table1[Populacao desempregada])</f>
        <v>7</v>
      </c>
      <c r="L66">
        <f>_xlfn.RANK.AVG(L25,Table1[PIB per capita])</f>
        <v>20</v>
      </c>
      <c r="M66">
        <f>_xlfn.RANK.AVG(M25,Table1[Despesa Alimentacao])</f>
        <v>10</v>
      </c>
      <c r="N66">
        <f>_xlfn.RANK.AVG(N25,Table1[Despesa Saude])</f>
        <v>8</v>
      </c>
      <c r="O66">
        <f>_xlfn.RANK.AVG(O25,Table1[Despesa Transportes e comunicacoes])</f>
        <v>10</v>
      </c>
      <c r="P66">
        <f>_xlfn.RANK.AVG(P25,Table1[Despesa Educacao])</f>
        <v>17</v>
      </c>
      <c r="Q66">
        <f>_xlfn.RANK.AVG(Q25,Table1[Despesa Habitacao e utilidades])</f>
        <v>23.5</v>
      </c>
      <c r="R66">
        <f>_xlfn.RANK.AVG(R25,Table1[Despesa Servicos])</f>
        <v>6</v>
      </c>
      <c r="S66">
        <f>_xlfn.RANK.AVG(S25,Table1[Despesa Lazer e cultura])</f>
        <v>28</v>
      </c>
      <c r="T66">
        <f>_xlfn.RANK.AVG(T25,Table1[Despesa Vestuario e recheio de casa])</f>
        <v>7</v>
      </c>
    </row>
    <row r="67" spans="3:20" x14ac:dyDescent="0.2">
      <c r="C67">
        <f>_xlfn.RANK.AVG(C26,Table1[Rendimento Ensino basico])</f>
        <v>8</v>
      </c>
      <c r="D67">
        <f>_xlfn.RANK.AVG(D26,Table1[Rendimento Ensino pos-secundario])</f>
        <v>9</v>
      </c>
      <c r="E67">
        <f>_xlfn.RANK.AVG(E26,Table1[Rendimento Ensino superior])</f>
        <v>8</v>
      </c>
      <c r="F67">
        <f>_xlfn.RANK.AVG(F26,Table1[Indice de Gini])</f>
        <v>8.5</v>
      </c>
      <c r="G67">
        <f>_xlfn.RANK.AVG(G26,Table1[Populacao estrangeira])</f>
        <v>11</v>
      </c>
      <c r="J67">
        <f>_xlfn.RANK.AVG(J26,Table1[Populacao ensino superior])</f>
        <v>3</v>
      </c>
      <c r="K67">
        <f>_xlfn.RANK.AVG(K26,Table1[Populacao desempregada])</f>
        <v>24</v>
      </c>
      <c r="L67">
        <f>_xlfn.RANK.AVG(L26,Table1[PIB per capita])</f>
        <v>10</v>
      </c>
      <c r="M67">
        <f>_xlfn.RANK.AVG(M26,Table1[Despesa Alimentacao])</f>
        <v>28</v>
      </c>
      <c r="N67">
        <f>_xlfn.RANK.AVG(N26,Table1[Despesa Saude])</f>
        <v>27.5</v>
      </c>
      <c r="O67">
        <f>_xlfn.RANK.AVG(O26,Table1[Despesa Transportes e comunicacoes])</f>
        <v>16</v>
      </c>
      <c r="P67">
        <f>_xlfn.RANK.AVG(P26,Table1[Despesa Educacao])</f>
        <v>6.5</v>
      </c>
      <c r="Q67">
        <f>_xlfn.RANK.AVG(Q26,Table1[Despesa Habitacao e utilidades])</f>
        <v>3</v>
      </c>
      <c r="R67">
        <f>_xlfn.RANK.AVG(R26,Table1[Despesa Servicos])</f>
        <v>6</v>
      </c>
      <c r="S67">
        <f>_xlfn.RANK.AVG(S26,Table1[Despesa Lazer e cultura])</f>
        <v>16.5</v>
      </c>
      <c r="T67">
        <f>_xlfn.RANK.AVG(T26,Table1[Despesa Vestuario e recheio de casa])</f>
        <v>12</v>
      </c>
    </row>
    <row r="68" spans="3:20" x14ac:dyDescent="0.2">
      <c r="C68">
        <f>_xlfn.RANK.AVG(C27,Table1[Rendimento Ensino basico])</f>
        <v>19</v>
      </c>
      <c r="D68">
        <f>_xlfn.RANK.AVG(D27,Table1[Rendimento Ensino pos-secundario])</f>
        <v>18</v>
      </c>
      <c r="E68">
        <f>_xlfn.RANK.AVG(E27,Table1[Rendimento Ensino superior])</f>
        <v>19</v>
      </c>
      <c r="F68">
        <f>_xlfn.RANK.AVG(F27,Table1[Indice de Gini])</f>
        <v>26</v>
      </c>
      <c r="G68">
        <f>_xlfn.RANK.AVG(G27,Table1[Populacao estrangeira])</f>
        <v>19</v>
      </c>
      <c r="J68">
        <f>_xlfn.RANK.AVG(J27,Table1[Populacao ensino superior])</f>
        <v>23.5</v>
      </c>
      <c r="K68">
        <f>_xlfn.RANK.AVG(K27,Table1[Populacao desempregada])</f>
        <v>28</v>
      </c>
      <c r="L68">
        <f>_xlfn.RANK.AVG(L27,Table1[PIB per capita])</f>
        <v>15</v>
      </c>
      <c r="M68">
        <f>_xlfn.RANK.AVG(M27,Table1[Despesa Alimentacao])</f>
        <v>12</v>
      </c>
      <c r="N68">
        <f>_xlfn.RANK.AVG(N27,Table1[Despesa Saude])</f>
        <v>27.5</v>
      </c>
      <c r="O68">
        <f>_xlfn.RANK.AVG(O27,Table1[Despesa Transportes e comunicacoes])</f>
        <v>26</v>
      </c>
      <c r="P68">
        <f>_xlfn.RANK.AVG(P27,Table1[Despesa Educacao])</f>
        <v>17</v>
      </c>
      <c r="Q68">
        <f>_xlfn.RANK.AVG(Q27,Table1[Despesa Habitacao e utilidades])</f>
        <v>6.5</v>
      </c>
      <c r="R68">
        <f>_xlfn.RANK.AVG(R27,Table1[Despesa Servicos])</f>
        <v>22</v>
      </c>
      <c r="S68">
        <f>_xlfn.RANK.AVG(S27,Table1[Despesa Lazer e cultura])</f>
        <v>2</v>
      </c>
      <c r="T68">
        <f>_xlfn.RANK.AVG(T27,Table1[Despesa Vestuario e recheio de casa])</f>
        <v>19</v>
      </c>
    </row>
    <row r="69" spans="3:20" x14ac:dyDescent="0.2">
      <c r="C69">
        <f>_xlfn.RANK.AVG(C28,Table1[Rendimento Ensino basico])</f>
        <v>27</v>
      </c>
      <c r="D69">
        <f>_xlfn.RANK.AVG(D28,Table1[Rendimento Ensino pos-secundario])</f>
        <v>27</v>
      </c>
      <c r="E69">
        <f>_xlfn.RANK.AVG(E28,Table1[Rendimento Ensino superior])</f>
        <v>27</v>
      </c>
      <c r="F69">
        <f>_xlfn.RANK.AVG(F28,Table1[Indice de Gini])</f>
        <v>8.5</v>
      </c>
      <c r="G69">
        <f>_xlfn.RANK.AVG(G28,Table1[Populacao estrangeira])</f>
        <v>27.5</v>
      </c>
      <c r="J69">
        <f>_xlfn.RANK.AVG(J28,Table1[Populacao ensino superior])</f>
        <v>28</v>
      </c>
      <c r="K69">
        <f>_xlfn.RANK.AVG(K28,Table1[Populacao desempregada])</f>
        <v>21.5</v>
      </c>
      <c r="L69">
        <f>_xlfn.RANK.AVG(L28,Table1[PIB per capita])</f>
        <v>26</v>
      </c>
      <c r="M69">
        <f>_xlfn.RANK.AVG(M28,Table1[Despesa Alimentacao])</f>
        <v>1</v>
      </c>
      <c r="N69">
        <f>_xlfn.RANK.AVG(N28,Table1[Despesa Saude])</f>
        <v>3</v>
      </c>
      <c r="O69">
        <f>_xlfn.RANK.AVG(O28,Table1[Despesa Transportes e comunicacoes])</f>
        <v>16</v>
      </c>
      <c r="P69">
        <f>_xlfn.RANK.AVG(P28,Table1[Despesa Educacao])</f>
        <v>6.5</v>
      </c>
      <c r="Q69">
        <f>_xlfn.RANK.AVG(Q28,Table1[Despesa Habitacao e utilidades])</f>
        <v>15.5</v>
      </c>
      <c r="R69">
        <f>_xlfn.RANK.AVG(R28,Table1[Despesa Servicos])</f>
        <v>28</v>
      </c>
      <c r="S69">
        <f>_xlfn.RANK.AVG(S28,Table1[Despesa Lazer e cultura])</f>
        <v>21.5</v>
      </c>
      <c r="T69">
        <f>_xlfn.RANK.AVG(T28,Table1[Despesa Vestuario e recheio de casa])</f>
        <v>25</v>
      </c>
    </row>
    <row r="70" spans="3:20" x14ac:dyDescent="0.2">
      <c r="C70">
        <f>_xlfn.RANK.AVG(C29,Table1[Rendimento Ensino basico])</f>
        <v>3</v>
      </c>
      <c r="D70">
        <f>_xlfn.RANK.AVG(D29,Table1[Rendimento Ensino pos-secundario])</f>
        <v>3</v>
      </c>
      <c r="E70">
        <f>_xlfn.RANK.AVG(E29,Table1[Rendimento Ensino superior])</f>
        <v>6</v>
      </c>
      <c r="F70">
        <f>_xlfn.RANK.AVG(F29,Table1[Indice de Gini])</f>
        <v>20</v>
      </c>
      <c r="G70">
        <f>_xlfn.RANK.AVG(G29,Table1[Populacao estrangeira])</f>
        <v>12.5</v>
      </c>
      <c r="J70">
        <f>_xlfn.RANK.AVG(J29,Table1[Populacao ensino superior])</f>
        <v>5</v>
      </c>
      <c r="K70">
        <f>_xlfn.RANK.AVG(K29,Table1[Populacao desempregada])</f>
        <v>13.5</v>
      </c>
      <c r="L70">
        <f>_xlfn.RANK.AVG(L29,Table1[PIB per capita])</f>
        <v>7</v>
      </c>
      <c r="M70">
        <f>_xlfn.RANK.AVG(M29,Table1[Despesa Alimentacao])</f>
        <v>19.5</v>
      </c>
      <c r="N70">
        <f>_xlfn.RANK.AVG(N29,Table1[Despesa Saude])</f>
        <v>17</v>
      </c>
      <c r="O70">
        <f>_xlfn.RANK.AVG(O29,Table1[Despesa Transportes e comunicacoes])</f>
        <v>10</v>
      </c>
      <c r="P70">
        <f>_xlfn.RANK.AVG(P29,Table1[Despesa Educacao])</f>
        <v>26</v>
      </c>
      <c r="Q70">
        <f>_xlfn.RANK.AVG(Q29,Table1[Despesa Habitacao e utilidades])</f>
        <v>4.5</v>
      </c>
      <c r="R70">
        <f>_xlfn.RANK.AVG(R29,Table1[Despesa Servicos])</f>
        <v>17</v>
      </c>
      <c r="S70">
        <f>_xlfn.RANK.AVG(S29,Table1[Despesa Lazer e cultura])</f>
        <v>10.5</v>
      </c>
      <c r="T70">
        <f>_xlfn.RANK.AVG(T29,Table1[Despesa Vestuario e recheio de casa])</f>
        <v>12</v>
      </c>
    </row>
  </sheetData>
  <conditionalFormatting sqref="C2:G29 J2:T29">
    <cfRule type="expression" dxfId="8" priority="3">
      <formula>C2&gt;C$35</formula>
    </cfRule>
  </conditionalFormatting>
  <conditionalFormatting sqref="C2:G29 J2:T29">
    <cfRule type="expression" dxfId="7" priority="4">
      <formula>C2&lt;C$34</formula>
    </cfRule>
  </conditionalFormatting>
  <conditionalFormatting sqref="C2:G29 J2:T29">
    <cfRule type="expression" dxfId="6" priority="1">
      <formula>C2&lt;C$38</formula>
    </cfRule>
    <cfRule type="expression" dxfId="5" priority="2">
      <formula>C2&gt;C$39</formula>
    </cfRule>
  </conditionalFormatting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C43"/>
  <sheetViews>
    <sheetView showGridLines="0" topLeftCell="B2" workbookViewId="0">
      <selection activeCell="F20" sqref="B20:F20"/>
    </sheetView>
  </sheetViews>
  <sheetFormatPr baseColWidth="10" defaultRowHeight="16" x14ac:dyDescent="0.2"/>
  <cols>
    <col min="2" max="2" width="32.1640625" customWidth="1"/>
    <col min="3" max="3" width="23" customWidth="1"/>
    <col min="4" max="4" width="16.5" customWidth="1"/>
    <col min="5" max="5" width="18.1640625" customWidth="1"/>
    <col min="10" max="10" width="13.6640625" customWidth="1"/>
    <col min="11" max="11" width="15.83203125" customWidth="1"/>
    <col min="12" max="12" width="15.5" customWidth="1"/>
    <col min="13" max="13" width="17.83203125" customWidth="1"/>
    <col min="14" max="14" width="15.1640625" customWidth="1"/>
    <col min="15" max="15" width="16.5" customWidth="1"/>
    <col min="16" max="16" width="20.1640625" bestFit="1" customWidth="1"/>
    <col min="17" max="17" width="15" customWidth="1"/>
    <col min="18" max="18" width="25" bestFit="1" customWidth="1"/>
  </cols>
  <sheetData>
    <row r="3" spans="2:4" x14ac:dyDescent="0.2">
      <c r="B3" s="4" t="s">
        <v>54</v>
      </c>
      <c r="C3" t="s">
        <v>53</v>
      </c>
      <c r="D3" s="3" t="s">
        <v>56</v>
      </c>
    </row>
    <row r="4" spans="2:4" x14ac:dyDescent="0.2">
      <c r="B4" s="5" t="s">
        <v>20</v>
      </c>
      <c r="C4" s="8">
        <v>19</v>
      </c>
      <c r="D4">
        <f>C4/$C$6</f>
        <v>0.6785714285714286</v>
      </c>
    </row>
    <row r="5" spans="2:4" x14ac:dyDescent="0.2">
      <c r="B5" s="5" t="s">
        <v>25</v>
      </c>
      <c r="C5" s="2">
        <v>9</v>
      </c>
      <c r="D5">
        <f>C5/$C$6</f>
        <v>0.32142857142857145</v>
      </c>
    </row>
    <row r="6" spans="2:4" x14ac:dyDescent="0.2">
      <c r="B6" s="5" t="s">
        <v>55</v>
      </c>
      <c r="C6" s="2">
        <v>28</v>
      </c>
      <c r="D6" s="6">
        <f>SUM(D4:D5)</f>
        <v>1</v>
      </c>
    </row>
    <row r="10" spans="2:4" x14ac:dyDescent="0.2">
      <c r="B10" s="4" t="s">
        <v>54</v>
      </c>
      <c r="C10" t="s">
        <v>57</v>
      </c>
      <c r="D10" s="3" t="s">
        <v>56</v>
      </c>
    </row>
    <row r="11" spans="2:4" x14ac:dyDescent="0.2">
      <c r="B11" s="5" t="s">
        <v>21</v>
      </c>
      <c r="C11" s="8">
        <v>8</v>
      </c>
      <c r="D11">
        <f>C11/$C$15</f>
        <v>0.2857142857142857</v>
      </c>
    </row>
    <row r="12" spans="2:4" x14ac:dyDescent="0.2">
      <c r="B12" s="5" t="s">
        <v>26</v>
      </c>
      <c r="C12" s="8">
        <v>8</v>
      </c>
      <c r="D12">
        <f>C12/$C$15</f>
        <v>0.2857142857142857</v>
      </c>
    </row>
    <row r="13" spans="2:4" x14ac:dyDescent="0.2">
      <c r="B13" s="5" t="s">
        <v>31</v>
      </c>
      <c r="C13" s="2">
        <v>6</v>
      </c>
      <c r="D13">
        <f>C13/$C$15</f>
        <v>0.21428571428571427</v>
      </c>
    </row>
    <row r="14" spans="2:4" x14ac:dyDescent="0.2">
      <c r="B14" s="5" t="s">
        <v>28</v>
      </c>
      <c r="C14" s="2">
        <v>6</v>
      </c>
      <c r="D14">
        <f>C14/$C$15</f>
        <v>0.21428571428571427</v>
      </c>
    </row>
    <row r="15" spans="2:4" x14ac:dyDescent="0.2">
      <c r="B15" s="5" t="s">
        <v>55</v>
      </c>
      <c r="C15" s="2">
        <v>28</v>
      </c>
      <c r="D15" s="6">
        <f>C15/$C$15</f>
        <v>1</v>
      </c>
    </row>
    <row r="19" spans="2:29" x14ac:dyDescent="0.2">
      <c r="C19" s="1" t="s">
        <v>58</v>
      </c>
      <c r="D19" s="1" t="s">
        <v>60</v>
      </c>
      <c r="E19" s="1" t="s">
        <v>61</v>
      </c>
      <c r="F19" s="9" t="s">
        <v>62</v>
      </c>
      <c r="G19" s="9" t="s">
        <v>63</v>
      </c>
      <c r="H19" s="9" t="s">
        <v>64</v>
      </c>
      <c r="I19" s="9" t="s">
        <v>65</v>
      </c>
      <c r="J19" s="9" t="s">
        <v>66</v>
      </c>
      <c r="K19" s="9" t="s">
        <v>67</v>
      </c>
      <c r="L19" s="9" t="s">
        <v>68</v>
      </c>
      <c r="M19" s="9" t="s">
        <v>69</v>
      </c>
      <c r="N19" s="9" t="s">
        <v>70</v>
      </c>
      <c r="O19" s="9" t="s">
        <v>71</v>
      </c>
      <c r="P19" s="9" t="s">
        <v>72</v>
      </c>
      <c r="Q19" s="9" t="s">
        <v>73</v>
      </c>
      <c r="R19" s="9" t="s">
        <v>74</v>
      </c>
      <c r="S19" s="9" t="s">
        <v>76</v>
      </c>
    </row>
    <row r="20" spans="2:29" x14ac:dyDescent="0.2">
      <c r="B20" s="1" t="s">
        <v>1</v>
      </c>
      <c r="C20">
        <f>AVERAGE(INDEX(Table1[],0,MATCH($B20,Table1[#Headers],0)))</f>
        <v>13169.555555555555</v>
      </c>
      <c r="D20">
        <f>MEDIAN(INDEX(Table1[],0,MATCH(B20,Table1[#Headers],0)))</f>
        <v>12430</v>
      </c>
      <c r="E20">
        <f>TRIMMEAN(INDEX(Table1[],0,MATCH(B20,Table1[#Headers],0)),0.1)</f>
        <v>12795.32</v>
      </c>
      <c r="F20">
        <f>_xlfn.QUARTILE.EXC(INDEX(Table1[],0,MATCH(B20,Table1[#Headers],0)),1)</f>
        <v>5106</v>
      </c>
      <c r="G20">
        <f>_xlfn.QUARTILE.EXC(INDEX(Table1[],0,MATCH(B20,Table1[#Headers],0)),2)</f>
        <v>12430</v>
      </c>
      <c r="H20">
        <f>_xlfn.QUARTILE.EXC(INDEX(Table1[],0,MATCH($B20,Table1[#Headers],0)),3)</f>
        <v>21312</v>
      </c>
      <c r="I20">
        <f>1/4*F20+1/2*G20+1/4*H20</f>
        <v>12819.5</v>
      </c>
      <c r="J20">
        <f>MIN(INDEX(Table1[],0,MATCH($B20,Table1[#Headers],0)))</f>
        <v>2125</v>
      </c>
      <c r="K20">
        <f>MAX(INDEX(Table1[],0,MATCH($B20,Table1[#Headers],0)))</f>
        <v>33570</v>
      </c>
      <c r="L20">
        <f>K20-J20</f>
        <v>31445</v>
      </c>
      <c r="M20">
        <f>STDEV(INDEX(Table1[],0,MATCH(B20,Table1[#Headers],0)))</f>
        <v>8442.2405307766021</v>
      </c>
      <c r="N20">
        <f>M20^2</f>
        <v>71271425.179487199</v>
      </c>
      <c r="O20">
        <f>SKEW(INDEX(Table1[],0,MATCH(B20,Table1[#Headers],0)))</f>
        <v>0.57153884475936956</v>
      </c>
      <c r="P20" t="str">
        <f>IF(O20&gt;0.5,"Assimétrica à direita",IF(O20&lt;-0.5,"Assimétrica à esquerda","Simétrica"))</f>
        <v>Assimétrica à direita</v>
      </c>
      <c r="Q20">
        <f>KURT(INDEX(Table1[],0,MATCH(B20,Table1[#Headers],0)))</f>
        <v>-0.52150250739573334</v>
      </c>
      <c r="R20" t="str">
        <f>IF(Q20&gt;0.5,"Menos achatada q normal",IF(Q20&lt;-0.5,"Mais achatada que a normal","Tão achatada como a normal"))</f>
        <v>Mais achatada que a normal</v>
      </c>
      <c r="S20">
        <f>H20-F20</f>
        <v>16206</v>
      </c>
    </row>
    <row r="21" spans="2:29" ht="18" x14ac:dyDescent="0.25">
      <c r="B21" s="1" t="s">
        <v>2</v>
      </c>
      <c r="C21">
        <f>AVERAGE(INDEX(Table1[],0,MATCH($B21,Table1[#Headers],0)))</f>
        <v>16345.740740740741</v>
      </c>
      <c r="D21">
        <f>MEDIAN(INDEX(Table1[],0,MATCH(B21,Table1[#Headers],0)))</f>
        <v>16082</v>
      </c>
      <c r="E21">
        <f>TRIMMEAN(INDEX(Table1[],0,MATCH(B21,Table1[#Headers],0)),0.1)</f>
        <v>15852.56</v>
      </c>
      <c r="F21">
        <f>_xlfn.QUARTILE.EXC(INDEX(Table1[],0,MATCH(B21,Table1[#Headers],0)),1)</f>
        <v>7078</v>
      </c>
      <c r="G21">
        <f>_xlfn.QUARTILE.EXC(INDEX(Table1[],0,MATCH(B21,Table1[#Headers],0)),2)</f>
        <v>16082</v>
      </c>
      <c r="H21">
        <f>_xlfn.QUARTILE.EXC(INDEX(Table1[],0,MATCH($B21,Table1[#Headers],0)),3)</f>
        <v>24644</v>
      </c>
      <c r="I21">
        <f t="shared" ref="I21:I35" si="0">1/4*F21+1/2*G21+1/4*H21</f>
        <v>15971.5</v>
      </c>
      <c r="J21">
        <f>MIN(INDEX(Table1[],0,MATCH($B21,Table1[#Headers],0)))</f>
        <v>3169</v>
      </c>
      <c r="K21">
        <f>MAX(INDEX(Table1[],0,MATCH($B21,Table1[#Headers],0)))</f>
        <v>41852</v>
      </c>
      <c r="L21">
        <f t="shared" ref="L21:L35" si="1">K21-J21</f>
        <v>38683</v>
      </c>
      <c r="M21">
        <f>STDEV(INDEX(Table1[],0,MATCH(B21,Table1[#Headers],0)))</f>
        <v>9975.9934827896195</v>
      </c>
      <c r="N21">
        <f t="shared" ref="N21:N35" si="2">M21^2</f>
        <v>99520445.968660966</v>
      </c>
      <c r="O21">
        <f>SKEW(INDEX(Table1[],0,MATCH(B21,Table1[#Headers],0)))</f>
        <v>0.61832144984681647</v>
      </c>
      <c r="P21" t="str">
        <f t="shared" ref="P21:P35" si="3">IF(O21&gt;0.5,"Assimétrica à direita",IF(O21&lt;-0.5,"Assimétrica à esquerda","Simétrica"))</f>
        <v>Assimétrica à direita</v>
      </c>
      <c r="Q21">
        <f>KURT(INDEX(Table1[],0,MATCH(B21,Table1[#Headers],0)))</f>
        <v>-0.23339391325837733</v>
      </c>
      <c r="R21" t="str">
        <f t="shared" ref="R21:R35" si="4">IF(Q21&gt;0.5,"Menos achatada q normal",IF(Q21&lt;-0.5,"Mais achatada que a normal","Tão achatada como a normal"))</f>
        <v>Tão achatada como a normal</v>
      </c>
      <c r="S21">
        <f t="shared" ref="S21:S35" si="5">H21-F21</f>
        <v>17566</v>
      </c>
      <c r="AC21" s="10" t="s">
        <v>75</v>
      </c>
    </row>
    <row r="22" spans="2:29" x14ac:dyDescent="0.2">
      <c r="B22" s="1" t="s">
        <v>3</v>
      </c>
      <c r="C22">
        <f>AVERAGE(INDEX(Table1[],0,MATCH($B22,Table1[#Headers],0)))</f>
        <v>21994.259259259259</v>
      </c>
      <c r="D22">
        <f>MEDIAN(INDEX(Table1[],0,MATCH(B22,Table1[#Headers],0)))</f>
        <v>22783</v>
      </c>
      <c r="E22">
        <f>TRIMMEAN(INDEX(Table1[],0,MATCH(B22,Table1[#Headers],0)),0.1)</f>
        <v>21385.08</v>
      </c>
      <c r="F22">
        <f>_xlfn.QUARTILE.EXC(INDEX(Table1[],0,MATCH(B22,Table1[#Headers],0)),1)</f>
        <v>10745</v>
      </c>
      <c r="G22">
        <f>_xlfn.QUARTILE.EXC(INDEX(Table1[],0,MATCH(B22,Table1[#Headers],0)),2)</f>
        <v>22783</v>
      </c>
      <c r="H22">
        <f>_xlfn.QUARTILE.EXC(INDEX(Table1[],0,MATCH($B22,Table1[#Headers],0)),3)</f>
        <v>32352</v>
      </c>
      <c r="I22">
        <f t="shared" si="0"/>
        <v>22165.75</v>
      </c>
      <c r="J22">
        <f>MIN(INDEX(Table1[],0,MATCH($B22,Table1[#Headers],0)))</f>
        <v>5230</v>
      </c>
      <c r="K22">
        <f>MAX(INDEX(Table1[],0,MATCH($B22,Table1[#Headers],0)))</f>
        <v>53988</v>
      </c>
      <c r="L22">
        <f t="shared" si="1"/>
        <v>48758</v>
      </c>
      <c r="M22">
        <f>STDEV(INDEX(Table1[],0,MATCH(B22,Table1[#Headers],0)))</f>
        <v>12283.982549497261</v>
      </c>
      <c r="N22">
        <f t="shared" si="2"/>
        <v>150896227.27635324</v>
      </c>
      <c r="O22">
        <f>SKEW(INDEX(Table1[],0,MATCH(B22,Table1[#Headers],0)))</f>
        <v>0.56051737314504602</v>
      </c>
      <c r="P22" t="str">
        <f t="shared" si="3"/>
        <v>Assimétrica à direita</v>
      </c>
      <c r="Q22">
        <f>KURT(INDEX(Table1[],0,MATCH(B22,Table1[#Headers],0)))</f>
        <v>-0.15318384550167563</v>
      </c>
      <c r="R22" t="str">
        <f t="shared" si="4"/>
        <v>Tão achatada como a normal</v>
      </c>
      <c r="S22">
        <f t="shared" si="5"/>
        <v>21607</v>
      </c>
    </row>
    <row r="23" spans="2:29" x14ac:dyDescent="0.2">
      <c r="B23" s="1" t="s">
        <v>4</v>
      </c>
      <c r="C23">
        <f>AVERAGE(INDEX(Table1[],0,MATCH($B23,Table1[#Headers],0)))</f>
        <v>30.300000000000004</v>
      </c>
      <c r="D23">
        <f>MEDIAN(INDEX(Table1[],0,MATCH(B23,Table1[#Headers],0)))</f>
        <v>29.6</v>
      </c>
      <c r="E23">
        <f>TRIMMEAN(INDEX(Table1[],0,MATCH(B23,Table1[#Headers],0)),0.1)</f>
        <v>30.192307692307693</v>
      </c>
      <c r="F23">
        <f>_xlfn.QUARTILE.EXC(INDEX(Table1[],0,MATCH(B23,Table1[#Headers],0)),1)</f>
        <v>27.675000000000001</v>
      </c>
      <c r="G23">
        <f>_xlfn.QUARTILE.EXC(INDEX(Table1[],0,MATCH(B23,Table1[#Headers],0)),2)</f>
        <v>29.6</v>
      </c>
      <c r="H23">
        <f>_xlfn.QUARTILE.EXC(INDEX(Table1[],0,MATCH($B23,Table1[#Headers],0)),3)</f>
        <v>33.325000000000003</v>
      </c>
      <c r="I23">
        <f t="shared" si="0"/>
        <v>30.05</v>
      </c>
      <c r="J23">
        <f>MIN(INDEX(Table1[],0,MATCH($B23,Table1[#Headers],0)))</f>
        <v>23.2</v>
      </c>
      <c r="K23">
        <f>MAX(INDEX(Table1[],0,MATCH($B23,Table1[#Headers],0)))</f>
        <v>40.200000000000003</v>
      </c>
      <c r="L23">
        <f t="shared" si="1"/>
        <v>17.000000000000004</v>
      </c>
      <c r="M23">
        <f>STDEV(INDEX(Table1[],0,MATCH(B23,Table1[#Headers],0)))</f>
        <v>4.165377578367921</v>
      </c>
      <c r="N23">
        <f t="shared" si="2"/>
        <v>17.350370370370207</v>
      </c>
      <c r="O23">
        <f>SKEW(INDEX(Table1[],0,MATCH(B23,Table1[#Headers],0)))</f>
        <v>0.34345966341941814</v>
      </c>
      <c r="P23" t="str">
        <f t="shared" si="3"/>
        <v>Simétrica</v>
      </c>
      <c r="Q23">
        <f>KURT(INDEX(Table1[],0,MATCH(B23,Table1[#Headers],0)))</f>
        <v>-0.14124023236671945</v>
      </c>
      <c r="R23" t="str">
        <f t="shared" si="4"/>
        <v>Tão achatada como a normal</v>
      </c>
      <c r="S23">
        <f t="shared" si="5"/>
        <v>5.6500000000000021</v>
      </c>
    </row>
    <row r="24" spans="2:29" x14ac:dyDescent="0.2">
      <c r="B24" s="1" t="s">
        <v>5</v>
      </c>
      <c r="C24">
        <f>AVERAGE(INDEX(Table1[],0,MATCH($B24,Table1[#Headers],0)))</f>
        <v>8.7214285714285733</v>
      </c>
      <c r="D24">
        <f>MEDIAN(INDEX(Table1[],0,MATCH(B24,Table1[#Headers],0)))</f>
        <v>7.9</v>
      </c>
      <c r="E24">
        <f>TRIMMEAN(INDEX(Table1[],0,MATCH(B24,Table1[#Headers],0)),0.1)</f>
        <v>7.538461538461541</v>
      </c>
      <c r="F24">
        <f>_xlfn.QUARTILE.EXC(INDEX(Table1[],0,MATCH(B24,Table1[#Headers],0)),1)</f>
        <v>2.1</v>
      </c>
      <c r="G24">
        <f>_xlfn.QUARTILE.EXC(INDEX(Table1[],0,MATCH(B24,Table1[#Headers],0)),2)</f>
        <v>7.9</v>
      </c>
      <c r="H24">
        <f>_xlfn.QUARTILE.EXC(INDEX(Table1[],0,MATCH($B24,Table1[#Headers],0)),3)</f>
        <v>11.8</v>
      </c>
      <c r="I24">
        <f t="shared" si="0"/>
        <v>7.4250000000000007</v>
      </c>
      <c r="J24">
        <f>MIN(INDEX(Table1[],0,MATCH($B24,Table1[#Headers],0)))</f>
        <v>0.6</v>
      </c>
      <c r="K24">
        <f>MAX(INDEX(Table1[],0,MATCH($B24,Table1[#Headers],0)))</f>
        <v>47.6</v>
      </c>
      <c r="L24">
        <f t="shared" si="1"/>
        <v>47</v>
      </c>
      <c r="M24">
        <f>STDEV(INDEX(Table1[],0,MATCH(B24,Table1[#Headers],0)))</f>
        <v>9.0704386411494529</v>
      </c>
      <c r="N24">
        <f t="shared" si="2"/>
        <v>82.272857142857134</v>
      </c>
      <c r="O24">
        <f>SKEW(INDEX(Table1[],0,MATCH(B24,Table1[#Headers],0)))</f>
        <v>3.0154436930732436</v>
      </c>
      <c r="P24" t="str">
        <f t="shared" si="3"/>
        <v>Assimétrica à direita</v>
      </c>
      <c r="Q24">
        <f>KURT(INDEX(Table1[],0,MATCH(B24,Table1[#Headers],0)))</f>
        <v>12.489867810011596</v>
      </c>
      <c r="R24" t="str">
        <f t="shared" si="4"/>
        <v>Menos achatada q normal</v>
      </c>
      <c r="S24">
        <f t="shared" si="5"/>
        <v>9.7000000000000011</v>
      </c>
    </row>
    <row r="25" spans="2:29" x14ac:dyDescent="0.2">
      <c r="B25" s="1" t="s">
        <v>8</v>
      </c>
      <c r="C25">
        <f>AVERAGE(INDEX(Table1[],0,MATCH($B25,Table1[#Headers],0)))</f>
        <v>32.878571428571419</v>
      </c>
      <c r="D25">
        <f>MEDIAN(INDEX(Table1[],0,MATCH(B25,Table1[#Headers],0)))</f>
        <v>33.200000000000003</v>
      </c>
      <c r="E25">
        <f>TRIMMEAN(INDEX(Table1[],0,MATCH(B25,Table1[#Headers],0)),0.1)</f>
        <v>32.942307692307686</v>
      </c>
      <c r="F25">
        <f>_xlfn.QUARTILE.EXC(INDEX(Table1[],0,MATCH(B25,Table1[#Headers],0)),1)</f>
        <v>24.024999999999999</v>
      </c>
      <c r="G25">
        <f>_xlfn.QUARTILE.EXC(INDEX(Table1[],0,MATCH(B25,Table1[#Headers],0)),2)</f>
        <v>33.200000000000003</v>
      </c>
      <c r="H25">
        <f>_xlfn.QUARTILE.EXC(INDEX(Table1[],0,MATCH($B25,Table1[#Headers],0)),3)</f>
        <v>40.199999999999996</v>
      </c>
      <c r="I25">
        <f t="shared" si="0"/>
        <v>32.65625</v>
      </c>
      <c r="J25">
        <f>MIN(INDEX(Table1[],0,MATCH($B25,Table1[#Headers],0)))</f>
        <v>17.600000000000001</v>
      </c>
      <c r="K25">
        <f>MAX(INDEX(Table1[],0,MATCH($B25,Table1[#Headers],0)))</f>
        <v>46.5</v>
      </c>
      <c r="L25">
        <f t="shared" si="1"/>
        <v>28.9</v>
      </c>
      <c r="M25">
        <f>STDEV(INDEX(Table1[],0,MATCH(B25,Table1[#Headers],0)))</f>
        <v>8.2676682700951982</v>
      </c>
      <c r="N25">
        <f t="shared" si="2"/>
        <v>68.354338624338922</v>
      </c>
      <c r="O25">
        <f>SKEW(INDEX(Table1[],0,MATCH(B25,Table1[#Headers],0)))</f>
        <v>-0.20720321989083212</v>
      </c>
      <c r="P25" t="str">
        <f t="shared" si="3"/>
        <v>Simétrica</v>
      </c>
      <c r="Q25">
        <f>KURT(INDEX(Table1[],0,MATCH(B25,Table1[#Headers],0)))</f>
        <v>-1.1553190897541903</v>
      </c>
      <c r="R25" t="str">
        <f t="shared" si="4"/>
        <v>Mais achatada que a normal</v>
      </c>
      <c r="S25">
        <f t="shared" si="5"/>
        <v>16.174999999999997</v>
      </c>
    </row>
    <row r="26" spans="2:29" x14ac:dyDescent="0.2">
      <c r="B26" s="1" t="s">
        <v>9</v>
      </c>
      <c r="C26">
        <f>AVERAGE(INDEX(Table1[],0,MATCH($B26,Table1[#Headers],0)))</f>
        <v>7.5857142857142863</v>
      </c>
      <c r="D26">
        <f>MEDIAN(INDEX(Table1[],0,MATCH(B26,Table1[#Headers],0)))</f>
        <v>6.65</v>
      </c>
      <c r="E26">
        <f>TRIMMEAN(INDEX(Table1[],0,MATCH(B26,Table1[#Headers],0)),0.1)</f>
        <v>7.2307692307692317</v>
      </c>
      <c r="F26">
        <f>_xlfn.QUARTILE.EXC(INDEX(Table1[],0,MATCH(B26,Table1[#Headers],0)),1)</f>
        <v>4.9000000000000004</v>
      </c>
      <c r="G26">
        <f>_xlfn.QUARTILE.EXC(INDEX(Table1[],0,MATCH(B26,Table1[#Headers],0)),2)</f>
        <v>6.65</v>
      </c>
      <c r="H26">
        <f>_xlfn.QUARTILE.EXC(INDEX(Table1[],0,MATCH($B26,Table1[#Headers],0)),3)</f>
        <v>8.85</v>
      </c>
      <c r="I26">
        <f t="shared" si="0"/>
        <v>6.7625000000000011</v>
      </c>
      <c r="J26">
        <f>MIN(INDEX(Table1[],0,MATCH($B26,Table1[#Headers],0)))</f>
        <v>2.9</v>
      </c>
      <c r="K26">
        <f>MAX(INDEX(Table1[],0,MATCH($B26,Table1[#Headers],0)))</f>
        <v>21.5</v>
      </c>
      <c r="L26">
        <f t="shared" si="1"/>
        <v>18.600000000000001</v>
      </c>
      <c r="M26">
        <f>STDEV(INDEX(Table1[],0,MATCH(B26,Table1[#Headers],0)))</f>
        <v>4.0648187318441824</v>
      </c>
      <c r="N26">
        <f t="shared" si="2"/>
        <v>16.522751322751347</v>
      </c>
      <c r="O26">
        <f>SKEW(INDEX(Table1[],0,MATCH(B26,Table1[#Headers],0)))</f>
        <v>1.9892265993583564</v>
      </c>
      <c r="P26" t="str">
        <f t="shared" si="3"/>
        <v>Assimétrica à direita</v>
      </c>
      <c r="Q26">
        <f>KURT(INDEX(Table1[],0,MATCH(B26,Table1[#Headers],0)))</f>
        <v>4.7492988945896437</v>
      </c>
      <c r="R26" t="str">
        <f t="shared" si="4"/>
        <v>Menos achatada q normal</v>
      </c>
      <c r="S26">
        <f t="shared" si="5"/>
        <v>3.9499999999999993</v>
      </c>
    </row>
    <row r="27" spans="2:29" x14ac:dyDescent="0.2">
      <c r="B27" s="1" t="s">
        <v>10</v>
      </c>
      <c r="C27">
        <f>AVERAGE(INDEX(Table1[],0,MATCH($B27,Table1[#Headers],0)))</f>
        <v>29863.989285714284</v>
      </c>
      <c r="D27">
        <f>MEDIAN(INDEX(Table1[],0,MATCH(B27,Table1[#Headers],0)))</f>
        <v>27026.6</v>
      </c>
      <c r="E27">
        <f>TRIMMEAN(INDEX(Table1[],0,MATCH(B27,Table1[#Headers],0)),0.1)</f>
        <v>28675.00384615385</v>
      </c>
      <c r="F27">
        <f>_xlfn.QUARTILE.EXC(INDEX(Table1[],0,MATCH(B27,Table1[#Headers],0)),1)</f>
        <v>21583.199999999997</v>
      </c>
      <c r="G27">
        <f>_xlfn.QUARTILE.EXC(INDEX(Table1[],0,MATCH(B27,Table1[#Headers],0)),2)</f>
        <v>27026.6</v>
      </c>
      <c r="H27">
        <f>_xlfn.QUARTILE.EXC(INDEX(Table1[],0,MATCH($B27,Table1[#Headers],0)),3)</f>
        <v>36114.025000000001</v>
      </c>
      <c r="I27">
        <f t="shared" si="0"/>
        <v>27937.606249999997</v>
      </c>
      <c r="J27">
        <f>MIN(INDEX(Table1[],0,MATCH($B27,Table1[#Headers],0)))</f>
        <v>14787</v>
      </c>
      <c r="K27">
        <f>MAX(INDEX(Table1[],0,MATCH($B27,Table1[#Headers],0)))</f>
        <v>75854.600000000006</v>
      </c>
      <c r="L27">
        <f t="shared" si="1"/>
        <v>61067.600000000006</v>
      </c>
      <c r="M27">
        <f>STDEV(INDEX(Table1[],0,MATCH(B27,Table1[#Headers],0)))</f>
        <v>12391.097480205497</v>
      </c>
      <c r="N27">
        <f t="shared" si="2"/>
        <v>153539296.76395503</v>
      </c>
      <c r="O27">
        <f>SKEW(INDEX(Table1[],0,MATCH(B27,Table1[#Headers],0)))</f>
        <v>2.1783796323088636</v>
      </c>
      <c r="P27" t="str">
        <f t="shared" si="3"/>
        <v>Assimétrica à direita</v>
      </c>
      <c r="Q27">
        <f>KURT(INDEX(Table1[],0,MATCH(B27,Table1[#Headers],0)))</f>
        <v>6.4461586071985346</v>
      </c>
      <c r="R27" t="str">
        <f t="shared" si="4"/>
        <v>Menos achatada q normal</v>
      </c>
      <c r="S27">
        <f t="shared" si="5"/>
        <v>14530.825000000004</v>
      </c>
    </row>
    <row r="28" spans="2:29" x14ac:dyDescent="0.2">
      <c r="B28" s="1" t="s">
        <v>11</v>
      </c>
      <c r="C28">
        <f>AVERAGE(INDEX(Table1[],0,MATCH($B28,Table1[#Headers],0)))</f>
        <v>14.857142857142858</v>
      </c>
      <c r="D28">
        <f>MEDIAN(INDEX(Table1[],0,MATCH(B28,Table1[#Headers],0)))</f>
        <v>14</v>
      </c>
      <c r="E28">
        <f>TRIMMEAN(INDEX(Table1[],0,MATCH(B28,Table1[#Headers],0)),0.1)</f>
        <v>14.615384615384615</v>
      </c>
      <c r="F28">
        <f>_xlfn.QUARTILE.EXC(INDEX(Table1[],0,MATCH(B28,Table1[#Headers],0)),1)</f>
        <v>11.25</v>
      </c>
      <c r="G28">
        <f>_xlfn.QUARTILE.EXC(INDEX(Table1[],0,MATCH(B28,Table1[#Headers],0)),2)</f>
        <v>14</v>
      </c>
      <c r="H28">
        <f>_xlfn.QUARTILE.EXC(INDEX(Table1[],0,MATCH($B28,Table1[#Headers],0)),3)</f>
        <v>18</v>
      </c>
      <c r="I28">
        <f t="shared" si="0"/>
        <v>14.3125</v>
      </c>
      <c r="J28">
        <f>MIN(INDEX(Table1[],0,MATCH($B28,Table1[#Headers],0)))</f>
        <v>8</v>
      </c>
      <c r="K28">
        <f>MAX(INDEX(Table1[],0,MATCH($B28,Table1[#Headers],0)))</f>
        <v>28</v>
      </c>
      <c r="L28">
        <f t="shared" si="1"/>
        <v>20</v>
      </c>
      <c r="M28">
        <f>STDEV(INDEX(Table1[],0,MATCH(B28,Table1[#Headers],0)))</f>
        <v>4.5192123675791587</v>
      </c>
      <c r="N28">
        <f t="shared" si="2"/>
        <v>20.423280423280424</v>
      </c>
      <c r="O28">
        <f>SKEW(INDEX(Table1[],0,MATCH(B28,Table1[#Headers],0)))</f>
        <v>0.83162944734812905</v>
      </c>
      <c r="P28" t="str">
        <f t="shared" si="3"/>
        <v>Assimétrica à direita</v>
      </c>
      <c r="Q28">
        <f>KURT(INDEX(Table1[],0,MATCH(B28,Table1[#Headers],0)))</f>
        <v>1.0892437546077662</v>
      </c>
      <c r="R28" t="str">
        <f t="shared" si="4"/>
        <v>Menos achatada q normal</v>
      </c>
      <c r="S28">
        <f t="shared" si="5"/>
        <v>6.75</v>
      </c>
    </row>
    <row r="29" spans="2:29" x14ac:dyDescent="0.2">
      <c r="B29" s="1" t="s">
        <v>12</v>
      </c>
      <c r="C29">
        <f>AVERAGE(INDEX(Table1[],0,MATCH($B29,Table1[#Headers],0)))</f>
        <v>4.2857142857142856</v>
      </c>
      <c r="D29">
        <f>MEDIAN(INDEX(Table1[],0,MATCH(B29,Table1[#Headers],0)))</f>
        <v>4</v>
      </c>
      <c r="E29">
        <f>TRIMMEAN(INDEX(Table1[],0,MATCH(B29,Table1[#Headers],0)),0.1)</f>
        <v>4.2692307692307692</v>
      </c>
      <c r="F29">
        <f>_xlfn.QUARTILE.EXC(INDEX(Table1[],0,MATCH(B29,Table1[#Headers],0)),1)</f>
        <v>4</v>
      </c>
      <c r="G29">
        <f>_xlfn.QUARTILE.EXC(INDEX(Table1[],0,MATCH(B29,Table1[#Headers],0)),2)</f>
        <v>4</v>
      </c>
      <c r="H29">
        <f>_xlfn.QUARTILE.EXC(INDEX(Table1[],0,MATCH($B29,Table1[#Headers],0)),3)</f>
        <v>5</v>
      </c>
      <c r="I29">
        <f t="shared" si="0"/>
        <v>4.25</v>
      </c>
      <c r="J29">
        <f>MIN(INDEX(Table1[],0,MATCH($B29,Table1[#Headers],0)))</f>
        <v>2</v>
      </c>
      <c r="K29">
        <f>MAX(INDEX(Table1[],0,MATCH($B29,Table1[#Headers],0)))</f>
        <v>7</v>
      </c>
      <c r="L29">
        <f t="shared" si="1"/>
        <v>5</v>
      </c>
      <c r="M29">
        <f>STDEV(INDEX(Table1[],0,MATCH(B29,Table1[#Headers],0)))</f>
        <v>1.181873680570557</v>
      </c>
      <c r="N29">
        <f t="shared" si="2"/>
        <v>1.396825396825395</v>
      </c>
      <c r="O29">
        <f>SKEW(INDEX(Table1[],0,MATCH(B29,Table1[#Headers],0)))</f>
        <v>0.12129607902549874</v>
      </c>
      <c r="P29" t="str">
        <f t="shared" si="3"/>
        <v>Simétrica</v>
      </c>
      <c r="Q29">
        <f>KURT(INDEX(Table1[],0,MATCH(B29,Table1[#Headers],0)))</f>
        <v>0.13557215511760612</v>
      </c>
      <c r="R29" t="str">
        <f t="shared" si="4"/>
        <v>Tão achatada como a normal</v>
      </c>
      <c r="S29">
        <f t="shared" si="5"/>
        <v>1</v>
      </c>
    </row>
    <row r="30" spans="2:29" x14ac:dyDescent="0.2">
      <c r="B30" s="1" t="s">
        <v>13</v>
      </c>
      <c r="C30">
        <f>AVERAGE(INDEX(Table1[],0,MATCH($B30,Table1[#Headers],0)))</f>
        <v>15.428571428571429</v>
      </c>
      <c r="D30">
        <f>MEDIAN(INDEX(Table1[],0,MATCH(B30,Table1[#Headers],0)))</f>
        <v>15</v>
      </c>
      <c r="E30">
        <f>TRIMMEAN(INDEX(Table1[],0,MATCH(B30,Table1[#Headers],0)),0.1)</f>
        <v>15.461538461538462</v>
      </c>
      <c r="F30">
        <f>_xlfn.QUARTILE.EXC(INDEX(Table1[],0,MATCH(B30,Table1[#Headers],0)),1)</f>
        <v>14</v>
      </c>
      <c r="G30">
        <f>_xlfn.QUARTILE.EXC(INDEX(Table1[],0,MATCH(B30,Table1[#Headers],0)),2)</f>
        <v>15</v>
      </c>
      <c r="H30">
        <f>_xlfn.QUARTILE.EXC(INDEX(Table1[],0,MATCH($B30,Table1[#Headers],0)),3)</f>
        <v>16.75</v>
      </c>
      <c r="I30">
        <f t="shared" si="0"/>
        <v>15.1875</v>
      </c>
      <c r="J30">
        <f>MIN(INDEX(Table1[],0,MATCH($B30,Table1[#Headers],0)))</f>
        <v>11</v>
      </c>
      <c r="K30">
        <f>MAX(INDEX(Table1[],0,MATCH($B30,Table1[#Headers],0)))</f>
        <v>19</v>
      </c>
      <c r="L30">
        <f t="shared" si="1"/>
        <v>8</v>
      </c>
      <c r="M30">
        <f>STDEV(INDEX(Table1[],0,MATCH(B30,Table1[#Headers],0)))</f>
        <v>1.9893898455737546</v>
      </c>
      <c r="N30">
        <f t="shared" si="2"/>
        <v>3.9576719576719674</v>
      </c>
      <c r="O30">
        <f>SKEW(INDEX(Table1[],0,MATCH(B30,Table1[#Headers],0)))</f>
        <v>0.17431016698621443</v>
      </c>
      <c r="P30" t="str">
        <f t="shared" si="3"/>
        <v>Simétrica</v>
      </c>
      <c r="Q30">
        <f>KURT(INDEX(Table1[],0,MATCH(B30,Table1[#Headers],0)))</f>
        <v>-0.12029393066826133</v>
      </c>
      <c r="R30" t="str">
        <f t="shared" si="4"/>
        <v>Tão achatada como a normal</v>
      </c>
      <c r="S30">
        <f t="shared" si="5"/>
        <v>2.75</v>
      </c>
    </row>
    <row r="31" spans="2:29" x14ac:dyDescent="0.2">
      <c r="B31" s="1" t="s">
        <v>14</v>
      </c>
      <c r="C31">
        <f>AVERAGE(INDEX(Table1[],0,MATCH($B31,Table1[#Headers],0)))</f>
        <v>1.25</v>
      </c>
      <c r="D31">
        <f>MEDIAN(INDEX(Table1[],0,MATCH(B31,Table1[#Headers],0)))</f>
        <v>1</v>
      </c>
      <c r="E31">
        <f>TRIMMEAN(INDEX(Table1[],0,MATCH(B31,Table1[#Headers],0)),0.1)</f>
        <v>1.2307692307692308</v>
      </c>
      <c r="F31">
        <f>_xlfn.QUARTILE.EXC(INDEX(Table1[],0,MATCH(B31,Table1[#Headers],0)),1)</f>
        <v>1</v>
      </c>
      <c r="G31">
        <f>_xlfn.QUARTILE.EXC(INDEX(Table1[],0,MATCH(B31,Table1[#Headers],0)),2)</f>
        <v>1</v>
      </c>
      <c r="H31">
        <f>_xlfn.QUARTILE.EXC(INDEX(Table1[],0,MATCH($B31,Table1[#Headers],0)),3)</f>
        <v>2</v>
      </c>
      <c r="I31">
        <f t="shared" si="0"/>
        <v>1.25</v>
      </c>
      <c r="J31">
        <f>MIN(INDEX(Table1[],0,MATCH($B31,Table1[#Headers],0)))</f>
        <v>0</v>
      </c>
      <c r="K31">
        <f>MAX(INDEX(Table1[],0,MATCH($B31,Table1[#Headers],0)))</f>
        <v>3</v>
      </c>
      <c r="L31">
        <f t="shared" si="1"/>
        <v>3</v>
      </c>
      <c r="M31">
        <f>STDEV(INDEX(Table1[],0,MATCH(B31,Table1[#Headers],0)))</f>
        <v>0.84437134186503682</v>
      </c>
      <c r="N31">
        <f t="shared" si="2"/>
        <v>0.71296296296296291</v>
      </c>
      <c r="O31">
        <f>SKEW(INDEX(Table1[],0,MATCH(B31,Table1[#Headers],0)))</f>
        <v>0.27330301175251964</v>
      </c>
      <c r="P31" t="str">
        <f t="shared" si="3"/>
        <v>Simétrica</v>
      </c>
      <c r="Q31">
        <f>KURT(INDEX(Table1[],0,MATCH(B31,Table1[#Headers],0)))</f>
        <v>-0.31112160566706049</v>
      </c>
      <c r="R31" t="str">
        <f t="shared" si="4"/>
        <v>Tão achatada como a normal</v>
      </c>
      <c r="S31">
        <f t="shared" si="5"/>
        <v>1</v>
      </c>
    </row>
    <row r="32" spans="2:29" x14ac:dyDescent="0.2">
      <c r="B32" s="1" t="s">
        <v>15</v>
      </c>
      <c r="C32">
        <f>AVERAGE(INDEX(Table1[],0,MATCH($B32,Table1[#Headers],0)))</f>
        <v>21.714285714285715</v>
      </c>
      <c r="D32">
        <f>MEDIAN(INDEX(Table1[],0,MATCH(B32,Table1[#Headers],0)))</f>
        <v>22.5</v>
      </c>
      <c r="E32">
        <f>TRIMMEAN(INDEX(Table1[],0,MATCH(B32,Table1[#Headers],0)),0.1)</f>
        <v>21.884615384615383</v>
      </c>
      <c r="F32">
        <f>_xlfn.QUARTILE.EXC(INDEX(Table1[],0,MATCH(B32,Table1[#Headers],0)),1)</f>
        <v>19</v>
      </c>
      <c r="G32">
        <f>_xlfn.QUARTILE.EXC(INDEX(Table1[],0,MATCH(B32,Table1[#Headers],0)),2)</f>
        <v>22.5</v>
      </c>
      <c r="H32">
        <f>_xlfn.QUARTILE.EXC(INDEX(Table1[],0,MATCH($B32,Table1[#Headers],0)),3)</f>
        <v>24.75</v>
      </c>
      <c r="I32">
        <f t="shared" si="0"/>
        <v>22.1875</v>
      </c>
      <c r="J32">
        <f>MIN(INDEX(Table1[],0,MATCH($B32,Table1[#Headers],0)))</f>
        <v>10</v>
      </c>
      <c r="K32">
        <f>MAX(INDEX(Table1[],0,MATCH($B32,Table1[#Headers],0)))</f>
        <v>29</v>
      </c>
      <c r="L32">
        <f t="shared" si="1"/>
        <v>19</v>
      </c>
      <c r="M32">
        <f>STDEV(INDEX(Table1[],0,MATCH(B32,Table1[#Headers],0)))</f>
        <v>4.4209697516465285</v>
      </c>
      <c r="N32">
        <f t="shared" si="2"/>
        <v>19.544973544973569</v>
      </c>
      <c r="O32">
        <f>SKEW(INDEX(Table1[],0,MATCH(B32,Table1[#Headers],0)))</f>
        <v>-0.62271138876488907</v>
      </c>
      <c r="P32" t="str">
        <f t="shared" si="3"/>
        <v>Assimétrica à esquerda</v>
      </c>
      <c r="Q32">
        <f>KURT(INDEX(Table1[],0,MATCH(B32,Table1[#Headers],0)))</f>
        <v>0.50021236161002491</v>
      </c>
      <c r="R32" t="str">
        <f t="shared" si="4"/>
        <v>Menos achatada q normal</v>
      </c>
      <c r="S32">
        <f t="shared" si="5"/>
        <v>5.75</v>
      </c>
    </row>
    <row r="33" spans="2:19" x14ac:dyDescent="0.2">
      <c r="B33" s="1" t="s">
        <v>16</v>
      </c>
      <c r="C33">
        <f>AVERAGE(INDEX(Table1[],0,MATCH($B33,Table1[#Headers],0)))</f>
        <v>19.357142857142858</v>
      </c>
      <c r="D33">
        <f>MEDIAN(INDEX(Table1[],0,MATCH(B33,Table1[#Headers],0)))</f>
        <v>18.5</v>
      </c>
      <c r="E33">
        <f>TRIMMEAN(INDEX(Table1[],0,MATCH(B33,Table1[#Headers],0)),0.1)</f>
        <v>19.384615384615383</v>
      </c>
      <c r="F33">
        <f>_xlfn.QUARTILE.EXC(INDEX(Table1[],0,MATCH(B33,Table1[#Headers],0)),1)</f>
        <v>17</v>
      </c>
      <c r="G33">
        <f>_xlfn.QUARTILE.EXC(INDEX(Table1[],0,MATCH(B33,Table1[#Headers],0)),2)</f>
        <v>18.5</v>
      </c>
      <c r="H33">
        <f>_xlfn.QUARTILE.EXC(INDEX(Table1[],0,MATCH($B33,Table1[#Headers],0)),3)</f>
        <v>23</v>
      </c>
      <c r="I33">
        <f t="shared" si="0"/>
        <v>19.25</v>
      </c>
      <c r="J33">
        <f>MIN(INDEX(Table1[],0,MATCH($B33,Table1[#Headers],0)))</f>
        <v>7</v>
      </c>
      <c r="K33">
        <f>MAX(INDEX(Table1[],0,MATCH($B33,Table1[#Headers],0)))</f>
        <v>31</v>
      </c>
      <c r="L33">
        <f t="shared" si="1"/>
        <v>24</v>
      </c>
      <c r="M33">
        <f>STDEV(INDEX(Table1[],0,MATCH(B33,Table1[#Headers],0)))</f>
        <v>4.839760368373665</v>
      </c>
      <c r="N33">
        <f t="shared" si="2"/>
        <v>23.423280423280392</v>
      </c>
      <c r="O33">
        <f>SKEW(INDEX(Table1[],0,MATCH(B33,Table1[#Headers],0)))</f>
        <v>-0.16778619332410241</v>
      </c>
      <c r="P33" t="str">
        <f t="shared" si="3"/>
        <v>Simétrica</v>
      </c>
      <c r="Q33">
        <f>KURT(INDEX(Table1[],0,MATCH(B33,Table1[#Headers],0)))</f>
        <v>1.1380133862825339</v>
      </c>
      <c r="R33" t="str">
        <f t="shared" si="4"/>
        <v>Menos achatada q normal</v>
      </c>
      <c r="S33">
        <f t="shared" si="5"/>
        <v>6</v>
      </c>
    </row>
    <row r="34" spans="2:19" x14ac:dyDescent="0.2">
      <c r="B34" s="1" t="s">
        <v>17</v>
      </c>
      <c r="C34">
        <f>AVERAGE(INDEX(Table1[],0,MATCH($B34,Table1[#Headers],0)))</f>
        <v>13.321428571428571</v>
      </c>
      <c r="D34">
        <f>MEDIAN(INDEX(Table1[],0,MATCH(B34,Table1[#Headers],0)))</f>
        <v>13.5</v>
      </c>
      <c r="E34">
        <f>TRIMMEAN(INDEX(Table1[],0,MATCH(B34,Table1[#Headers],0)),0.1)</f>
        <v>13.307692307692308</v>
      </c>
      <c r="F34">
        <f>_xlfn.QUARTILE.EXC(INDEX(Table1[],0,MATCH(B34,Table1[#Headers],0)),1)</f>
        <v>12</v>
      </c>
      <c r="G34">
        <f>_xlfn.QUARTILE.EXC(INDEX(Table1[],0,MATCH(B34,Table1[#Headers],0)),2)</f>
        <v>13.5</v>
      </c>
      <c r="H34">
        <f>_xlfn.QUARTILE.EXC(INDEX(Table1[],0,MATCH($B34,Table1[#Headers],0)),3)</f>
        <v>14</v>
      </c>
      <c r="I34">
        <f t="shared" si="0"/>
        <v>13.25</v>
      </c>
      <c r="J34">
        <f>MIN(INDEX(Table1[],0,MATCH($B34,Table1[#Headers],0)))</f>
        <v>9</v>
      </c>
      <c r="K34">
        <f>MAX(INDEX(Table1[],0,MATCH($B34,Table1[#Headers],0)))</f>
        <v>18</v>
      </c>
      <c r="L34">
        <f t="shared" si="1"/>
        <v>9</v>
      </c>
      <c r="M34">
        <f>STDEV(INDEX(Table1[],0,MATCH(B34,Table1[#Headers],0)))</f>
        <v>1.982396070389111</v>
      </c>
      <c r="N34">
        <f t="shared" si="2"/>
        <v>3.9298941798941893</v>
      </c>
      <c r="O34">
        <f>SKEW(INDEX(Table1[],0,MATCH(B34,Table1[#Headers],0)))</f>
        <v>0.16256545252084201</v>
      </c>
      <c r="P34" t="str">
        <f t="shared" si="3"/>
        <v>Simétrica</v>
      </c>
      <c r="Q34">
        <f>KURT(INDEX(Table1[],0,MATCH(B34,Table1[#Headers],0)))</f>
        <v>0.48832427714164561</v>
      </c>
      <c r="R34" t="str">
        <f t="shared" si="4"/>
        <v>Tão achatada como a normal</v>
      </c>
      <c r="S34">
        <f t="shared" si="5"/>
        <v>2</v>
      </c>
    </row>
    <row r="35" spans="2:19" x14ac:dyDescent="0.2">
      <c r="B35" s="7" t="s">
        <v>18</v>
      </c>
      <c r="C35">
        <f>AVERAGE(INDEX(Table1[],0,MATCH($B35,Table1[#Headers],0)))</f>
        <v>9.7857142857142865</v>
      </c>
      <c r="D35">
        <f>MEDIAN(INDEX(Table1[],0,MATCH(B35,Table1[#Headers],0)))</f>
        <v>10</v>
      </c>
      <c r="E35">
        <f>TRIMMEAN(INDEX(Table1[],0,MATCH(B35,Table1[#Headers],0)),0.1)</f>
        <v>9.7692307692307701</v>
      </c>
      <c r="F35">
        <f>_xlfn.QUARTILE.EXC(INDEX(Table1[],0,MATCH(B35,Table1[#Headers],0)),1)</f>
        <v>9</v>
      </c>
      <c r="G35">
        <f>_xlfn.QUARTILE.EXC(INDEX(Table1[],0,MATCH(B35,Table1[#Headers],0)),2)</f>
        <v>10</v>
      </c>
      <c r="H35">
        <f>_xlfn.QUARTILE.EXC(INDEX(Table1[],0,MATCH($B35,Table1[#Headers],0)),3)</f>
        <v>11</v>
      </c>
      <c r="I35">
        <f t="shared" si="0"/>
        <v>10</v>
      </c>
      <c r="J35">
        <f>MIN(INDEX(Table1[],0,MATCH($B35,Table1[#Headers],0)))</f>
        <v>7</v>
      </c>
      <c r="K35">
        <f>MAX(INDEX(Table1[],0,MATCH($B35,Table1[#Headers],0)))</f>
        <v>13</v>
      </c>
      <c r="L35">
        <f t="shared" si="1"/>
        <v>6</v>
      </c>
      <c r="M35">
        <f>STDEV(INDEX(Table1[],0,MATCH(B35,Table1[#Headers],0)))</f>
        <v>1.5240575195022414</v>
      </c>
      <c r="N35">
        <f t="shared" si="2"/>
        <v>2.322751322751325</v>
      </c>
      <c r="O35">
        <f>SKEW(INDEX(Table1[],0,MATCH(B35,Table1[#Headers],0)))</f>
        <v>0.32215056722609908</v>
      </c>
      <c r="P35" t="str">
        <f t="shared" si="3"/>
        <v>Simétrica</v>
      </c>
      <c r="Q35">
        <f>KURT(INDEX(Table1[],0,MATCH(B35,Table1[#Headers],0)))</f>
        <v>-0.59318305098681989</v>
      </c>
      <c r="R35" t="str">
        <f t="shared" si="4"/>
        <v>Mais achatada que a normal</v>
      </c>
      <c r="S35">
        <f t="shared" si="5"/>
        <v>2</v>
      </c>
    </row>
    <row r="38" spans="2:19" x14ac:dyDescent="0.2">
      <c r="B38" t="s">
        <v>59</v>
      </c>
    </row>
    <row r="39" spans="2:19" x14ac:dyDescent="0.2">
      <c r="B39">
        <f>MATCH(B20,Table1[#Headers],0)</f>
        <v>2</v>
      </c>
    </row>
    <row r="41" spans="2:19" x14ac:dyDescent="0.2">
      <c r="B41" t="s">
        <v>77</v>
      </c>
    </row>
    <row r="42" spans="2:19" x14ac:dyDescent="0.2">
      <c r="B42" t="s">
        <v>78</v>
      </c>
    </row>
    <row r="43" spans="2:19" x14ac:dyDescent="0.2">
      <c r="B43" t="s">
        <v>79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tabSelected="1" topLeftCell="A4" zoomScale="136" workbookViewId="0">
      <selection activeCell="J15" sqref="J15:J17"/>
    </sheetView>
  </sheetViews>
  <sheetFormatPr baseColWidth="10" defaultRowHeight="16" x14ac:dyDescent="0.2"/>
  <cols>
    <col min="1" max="1" width="44.33203125" bestFit="1" customWidth="1"/>
    <col min="2" max="2" width="24.33203125" customWidth="1"/>
    <col min="3" max="3" width="15.5" bestFit="1" customWidth="1"/>
    <col min="4" max="4" width="27.1640625" customWidth="1"/>
    <col min="5" max="5" width="14.1640625" bestFit="1" customWidth="1"/>
    <col min="6" max="6" width="12.1640625" bestFit="1" customWidth="1"/>
  </cols>
  <sheetData>
    <row r="1" spans="1:17" x14ac:dyDescent="0.2">
      <c r="A1" s="12" t="s">
        <v>82</v>
      </c>
    </row>
    <row r="3" spans="1:17" x14ac:dyDescent="0.2">
      <c r="B3" s="4" t="s">
        <v>53</v>
      </c>
      <c r="C3" s="4" t="s">
        <v>81</v>
      </c>
    </row>
    <row r="4" spans="1:17" x14ac:dyDescent="0.2">
      <c r="B4" s="4" t="s">
        <v>54</v>
      </c>
      <c r="C4" t="s">
        <v>21</v>
      </c>
      <c r="D4" t="s">
        <v>26</v>
      </c>
      <c r="E4" t="s">
        <v>31</v>
      </c>
      <c r="F4" t="s">
        <v>28</v>
      </c>
      <c r="G4" t="s">
        <v>55</v>
      </c>
    </row>
    <row r="5" spans="1:17" x14ac:dyDescent="0.2">
      <c r="B5" s="5" t="s">
        <v>20</v>
      </c>
      <c r="C5" s="2">
        <v>7</v>
      </c>
      <c r="D5" s="2">
        <v>2</v>
      </c>
      <c r="E5" s="2">
        <v>4</v>
      </c>
      <c r="F5" s="2">
        <v>6</v>
      </c>
      <c r="G5" s="2">
        <v>19</v>
      </c>
    </row>
    <row r="6" spans="1:17" x14ac:dyDescent="0.2">
      <c r="B6" s="5" t="s">
        <v>25</v>
      </c>
      <c r="C6" s="2">
        <v>1</v>
      </c>
      <c r="D6" s="2">
        <v>6</v>
      </c>
      <c r="E6" s="2">
        <v>2</v>
      </c>
      <c r="F6" s="2"/>
      <c r="G6" s="2">
        <v>9</v>
      </c>
    </row>
    <row r="7" spans="1:17" x14ac:dyDescent="0.2">
      <c r="B7" s="5" t="s">
        <v>55</v>
      </c>
      <c r="C7" s="2">
        <v>8</v>
      </c>
      <c r="D7" s="2">
        <v>8</v>
      </c>
      <c r="E7" s="2">
        <v>6</v>
      </c>
      <c r="F7" s="2">
        <v>6</v>
      </c>
      <c r="G7" s="2">
        <v>28</v>
      </c>
    </row>
    <row r="11" spans="1:17" x14ac:dyDescent="0.2">
      <c r="A11" t="s">
        <v>83</v>
      </c>
    </row>
    <row r="13" spans="1:17" x14ac:dyDescent="0.2">
      <c r="A13" t="s">
        <v>84</v>
      </c>
    </row>
    <row r="14" spans="1:17" x14ac:dyDescent="0.2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  <c r="M14" s="1" t="s">
        <v>14</v>
      </c>
      <c r="N14" s="1" t="s">
        <v>15</v>
      </c>
      <c r="O14" s="1" t="s">
        <v>16</v>
      </c>
      <c r="P14" s="1" t="s">
        <v>17</v>
      </c>
      <c r="Q14" s="7" t="s">
        <v>18</v>
      </c>
    </row>
    <row r="15" spans="1:17" x14ac:dyDescent="0.2">
      <c r="A15" s="1" t="s">
        <v>1</v>
      </c>
      <c r="B15">
        <f>CORREL(INDEX(Table1[],0,MATCH(B$14,Table1[#Headers],0)),INDEX(Table1[],0,MATCH($A15,Table1[#Headers],0)))</f>
        <v>1.0000000000000002</v>
      </c>
      <c r="C15">
        <f>CORREL(INDEX(Table1[],0,MATCH(C$14,Table1[#Headers],0)),INDEX(Table1[],0,MATCH($A15,Table1[#Headers],0)))</f>
        <v>0.99564875951530052</v>
      </c>
      <c r="D15">
        <f>CORREL(INDEX(Table1[],0,MATCH(D$14,Table1[#Headers],0)),INDEX(Table1[],0,MATCH($A15,Table1[#Headers],0)))</f>
        <v>0.99004543500344944</v>
      </c>
      <c r="E15">
        <f>CORREL(INDEX(Table1[],0,MATCH(E$14,Table1[#Headers],0)),INDEX(Table1[],0,MATCH($A15,Table1[#Headers],0)))</f>
        <v>-0.31774005161992463</v>
      </c>
      <c r="F15">
        <f>CORREL(INDEX(Table1[],0,MATCH(F$14,Table1[#Headers],0)),INDEX(Table1[],0,MATCH($A15,Table1[#Headers],0)))</f>
        <v>0.61929954368258666</v>
      </c>
      <c r="G15">
        <f>CORREL(INDEX(Table1[],0,MATCH(G$14,Table1[#Headers],0)),INDEX(Table1[],0,MATCH($A15,Table1[#Headers],0)))</f>
        <v>0.55129831214393743</v>
      </c>
      <c r="H15">
        <f>CORREL(INDEX(Table1[],0,MATCH(H$14,Table1[#Headers],0)),INDEX(Table1[],0,MATCH($A15,Table1[#Headers],0)))</f>
        <v>-0.12969243851372789</v>
      </c>
      <c r="I15">
        <f>CORREL(INDEX(Table1[],0,MATCH(I$14,Table1[#Headers],0)),INDEX(Table1[],0,MATCH($A15,Table1[#Headers],0)))</f>
        <v>0.87541521373524223</v>
      </c>
      <c r="J15">
        <f>CORREL(INDEX(Table1[],0,MATCH(J$14,Table1[#Headers],0)),INDEX(Table1[],0,MATCH($A15,Table1[#Headers],0)))</f>
        <v>-0.83373602690009652</v>
      </c>
      <c r="K15">
        <f>CORREL(INDEX(Table1[],0,MATCH(K$14,Table1[#Headers],0)),INDEX(Table1[],0,MATCH($A15,Table1[#Headers],0)))</f>
        <v>-0.27628906096101369</v>
      </c>
      <c r="L15">
        <f>CORREL(INDEX(Table1[],0,MATCH(L$14,Table1[#Headers],0)),INDEX(Table1[],0,MATCH($A15,Table1[#Headers],0)))</f>
        <v>-6.9492431617661582E-2</v>
      </c>
      <c r="M15">
        <f>CORREL(INDEX(Table1[],0,MATCH(M$14,Table1[#Headers],0)),INDEX(Table1[],0,MATCH($A15,Table1[#Headers],0)))</f>
        <v>-0.26931259505137328</v>
      </c>
      <c r="N15">
        <f>CORREL(INDEX(Table1[],0,MATCH(N$14,Table1[#Headers],0)),INDEX(Table1[],0,MATCH($A15,Table1[#Headers],0)))</f>
        <v>0.57742907263900178</v>
      </c>
      <c r="O15">
        <f>CORREL(INDEX(Table1[],0,MATCH(O$14,Table1[#Headers],0)),INDEX(Table1[],0,MATCH($A15,Table1[#Headers],0)))</f>
        <v>0.34800076442457728</v>
      </c>
      <c r="P15">
        <f>CORREL(INDEX(Table1[],0,MATCH(P$14,Table1[#Headers],0)),INDEX(Table1[],0,MATCH($A15,Table1[#Headers],0)))</f>
        <v>-0.11845090775818488</v>
      </c>
      <c r="Q15">
        <f>CORREL(INDEX(Table1[],0,MATCH(Q$14,Table1[#Headers],0)),INDEX(Table1[],0,MATCH($A15,Table1[#Headers],0)))</f>
        <v>0.23032935088784948</v>
      </c>
    </row>
    <row r="16" spans="1:17" x14ac:dyDescent="0.2">
      <c r="A16" s="1" t="s">
        <v>2</v>
      </c>
      <c r="B16">
        <f>CORREL(INDEX(Table1[],0,MATCH(B$14,Table1[#Headers],0)),INDEX(Table1[],0,MATCH($A16,Table1[#Headers],0)))</f>
        <v>0.99564875951530052</v>
      </c>
      <c r="C16">
        <f>CORREL(INDEX(Table1[],0,MATCH(C$14,Table1[#Headers],0)),INDEX(Table1[],0,MATCH($A16,Table1[#Headers],0)))</f>
        <v>1.0000000000000002</v>
      </c>
      <c r="D16">
        <f>CORREL(INDEX(Table1[],0,MATCH(D$14,Table1[#Headers],0)),INDEX(Table1[],0,MATCH($A16,Table1[#Headers],0)))</f>
        <v>0.99325903459403164</v>
      </c>
      <c r="E16">
        <f>CORREL(INDEX(Table1[],0,MATCH(E$14,Table1[#Headers],0)),INDEX(Table1[],0,MATCH($A16,Table1[#Headers],0)))</f>
        <v>-0.29547076396401606</v>
      </c>
      <c r="F16">
        <f>CORREL(INDEX(Table1[],0,MATCH(F$14,Table1[#Headers],0)),INDEX(Table1[],0,MATCH($A16,Table1[#Headers],0)))</f>
        <v>0.65589206226180008</v>
      </c>
      <c r="G16">
        <f>CORREL(INDEX(Table1[],0,MATCH(G$14,Table1[#Headers],0)),INDEX(Table1[],0,MATCH($A16,Table1[#Headers],0)))</f>
        <v>0.53503168037672744</v>
      </c>
      <c r="H16">
        <f>CORREL(INDEX(Table1[],0,MATCH(H$14,Table1[#Headers],0)),INDEX(Table1[],0,MATCH($A16,Table1[#Headers],0)))</f>
        <v>-0.13846427252338575</v>
      </c>
      <c r="I16">
        <f>CORREL(INDEX(Table1[],0,MATCH(I$14,Table1[#Headers],0)),INDEX(Table1[],0,MATCH($A16,Table1[#Headers],0)))</f>
        <v>0.89211822559227349</v>
      </c>
      <c r="J16">
        <f>CORREL(INDEX(Table1[],0,MATCH(J$14,Table1[#Headers],0)),INDEX(Table1[],0,MATCH($A16,Table1[#Headers],0)))</f>
        <v>-0.83642430307472304</v>
      </c>
      <c r="K16">
        <f>CORREL(INDEX(Table1[],0,MATCH(K$14,Table1[#Headers],0)),INDEX(Table1[],0,MATCH($A16,Table1[#Headers],0)))</f>
        <v>-0.26470609260210765</v>
      </c>
      <c r="L16">
        <f>CORREL(INDEX(Table1[],0,MATCH(L$14,Table1[#Headers],0)),INDEX(Table1[],0,MATCH($A16,Table1[#Headers],0)))</f>
        <v>-6.1960840580112427E-2</v>
      </c>
      <c r="M16">
        <f>CORREL(INDEX(Table1[],0,MATCH(M$14,Table1[#Headers],0)),INDEX(Table1[],0,MATCH($A16,Table1[#Headers],0)))</f>
        <v>-0.26311799450329593</v>
      </c>
      <c r="N16">
        <f>CORREL(INDEX(Table1[],0,MATCH(N$14,Table1[#Headers],0)),INDEX(Table1[],0,MATCH($A16,Table1[#Headers],0)))</f>
        <v>0.54040889449652496</v>
      </c>
      <c r="O16">
        <f>CORREL(INDEX(Table1[],0,MATCH(O$14,Table1[#Headers],0)),INDEX(Table1[],0,MATCH($A16,Table1[#Headers],0)))</f>
        <v>0.37006687618270534</v>
      </c>
      <c r="P16">
        <f>CORREL(INDEX(Table1[],0,MATCH(P$14,Table1[#Headers],0)),INDEX(Table1[],0,MATCH($A16,Table1[#Headers],0)))</f>
        <v>-0.12282121960009161</v>
      </c>
      <c r="Q16">
        <f>CORREL(INDEX(Table1[],0,MATCH(Q$14,Table1[#Headers],0)),INDEX(Table1[],0,MATCH($A16,Table1[#Headers],0)))</f>
        <v>0.26012976296930157</v>
      </c>
    </row>
    <row r="17" spans="1:17" x14ac:dyDescent="0.2">
      <c r="A17" s="1" t="s">
        <v>3</v>
      </c>
      <c r="B17">
        <f>CORREL(INDEX(Table1[],0,MATCH(B$14,Table1[#Headers],0)),INDEX(Table1[],0,MATCH($A17,Table1[#Headers],0)))</f>
        <v>0.99004543500344944</v>
      </c>
      <c r="C17">
        <f>CORREL(INDEX(Table1[],0,MATCH(C$14,Table1[#Headers],0)),INDEX(Table1[],0,MATCH($A17,Table1[#Headers],0)))</f>
        <v>0.99325903459403164</v>
      </c>
      <c r="D17">
        <f>CORREL(INDEX(Table1[],0,MATCH(D$14,Table1[#Headers],0)),INDEX(Table1[],0,MATCH($A17,Table1[#Headers],0)))</f>
        <v>1</v>
      </c>
      <c r="E17">
        <f>CORREL(INDEX(Table1[],0,MATCH(E$14,Table1[#Headers],0)),INDEX(Table1[],0,MATCH($A17,Table1[#Headers],0)))</f>
        <v>-0.25568148838721805</v>
      </c>
      <c r="F17">
        <f>CORREL(INDEX(Table1[],0,MATCH(F$14,Table1[#Headers],0)),INDEX(Table1[],0,MATCH($A17,Table1[#Headers],0)))</f>
        <v>0.67044864028675843</v>
      </c>
      <c r="G17">
        <f>CORREL(INDEX(Table1[],0,MATCH(G$14,Table1[#Headers],0)),INDEX(Table1[],0,MATCH($A17,Table1[#Headers],0)))</f>
        <v>0.54107305954230878</v>
      </c>
      <c r="H17">
        <f>CORREL(INDEX(Table1[],0,MATCH(H$14,Table1[#Headers],0)),INDEX(Table1[],0,MATCH($A17,Table1[#Headers],0)))</f>
        <v>-0.12175814157171723</v>
      </c>
      <c r="I17">
        <f>CORREL(INDEX(Table1[],0,MATCH(I$14,Table1[#Headers],0)),INDEX(Table1[],0,MATCH($A17,Table1[#Headers],0)))</f>
        <v>0.88867381210228635</v>
      </c>
      <c r="J17">
        <f>CORREL(INDEX(Table1[],0,MATCH(J$14,Table1[#Headers],0)),INDEX(Table1[],0,MATCH($A17,Table1[#Headers],0)))</f>
        <v>-0.84515544288552991</v>
      </c>
      <c r="K17">
        <f>CORREL(INDEX(Table1[],0,MATCH(K$14,Table1[#Headers],0)),INDEX(Table1[],0,MATCH($A17,Table1[#Headers],0)))</f>
        <v>-0.2426100066515624</v>
      </c>
      <c r="L17">
        <f>CORREL(INDEX(Table1[],0,MATCH(L$14,Table1[#Headers],0)),INDEX(Table1[],0,MATCH($A17,Table1[#Headers],0)))</f>
        <v>-4.5659548421281837E-2</v>
      </c>
      <c r="M17">
        <f>CORREL(INDEX(Table1[],0,MATCH(M$14,Table1[#Headers],0)),INDEX(Table1[],0,MATCH($A17,Table1[#Headers],0)))</f>
        <v>-0.23610730427268417</v>
      </c>
      <c r="N17">
        <f>CORREL(INDEX(Table1[],0,MATCH(N$14,Table1[#Headers],0)),INDEX(Table1[],0,MATCH($A17,Table1[#Headers],0)))</f>
        <v>0.50490064000671375</v>
      </c>
      <c r="O17">
        <f>CORREL(INDEX(Table1[],0,MATCH(O$14,Table1[#Headers],0)),INDEX(Table1[],0,MATCH($A17,Table1[#Headers],0)))</f>
        <v>0.40512430805997035</v>
      </c>
      <c r="P17">
        <f>CORREL(INDEX(Table1[],0,MATCH(P$14,Table1[#Headers],0)),INDEX(Table1[],0,MATCH($A17,Table1[#Headers],0)))</f>
        <v>-0.1619062348466089</v>
      </c>
      <c r="Q17">
        <f>CORREL(INDEX(Table1[],0,MATCH(Q$14,Table1[#Headers],0)),INDEX(Table1[],0,MATCH($A17,Table1[#Headers],0)))</f>
        <v>0.27643852565693067</v>
      </c>
    </row>
    <row r="18" spans="1:17" x14ac:dyDescent="0.2">
      <c r="A18" s="1" t="s">
        <v>4</v>
      </c>
      <c r="B18">
        <f>CORREL(INDEX(Table1[],0,MATCH(B$14,Table1[#Headers],0)),INDEX(Table1[],0,MATCH($A18,Table1[#Headers],0)))</f>
        <v>-0.31774005161992463</v>
      </c>
      <c r="C18">
        <f>CORREL(INDEX(Table1[],0,MATCH(C$14,Table1[#Headers],0)),INDEX(Table1[],0,MATCH($A18,Table1[#Headers],0)))</f>
        <v>-0.29547076396401606</v>
      </c>
      <c r="D18">
        <f>CORREL(INDEX(Table1[],0,MATCH(D$14,Table1[#Headers],0)),INDEX(Table1[],0,MATCH($A18,Table1[#Headers],0)))</f>
        <v>-0.25568148838721805</v>
      </c>
      <c r="E18">
        <f>CORREL(INDEX(Table1[],0,MATCH(E$14,Table1[#Headers],0)),INDEX(Table1[],0,MATCH($A18,Table1[#Headers],0)))</f>
        <v>0.99999999999999978</v>
      </c>
      <c r="F18">
        <f>CORREL(INDEX(Table1[],0,MATCH(F$14,Table1[#Headers],0)),INDEX(Table1[],0,MATCH($A18,Table1[#Headers],0)))</f>
        <v>2.3977838116796397E-2</v>
      </c>
      <c r="G18">
        <f>CORREL(INDEX(Table1[],0,MATCH(G$14,Table1[#Headers],0)),INDEX(Table1[],0,MATCH($A18,Table1[#Headers],0)))</f>
        <v>6.9410916551324336E-2</v>
      </c>
      <c r="H18">
        <f>CORREL(INDEX(Table1[],0,MATCH(H$14,Table1[#Headers],0)),INDEX(Table1[],0,MATCH($A18,Table1[#Headers],0)))</f>
        <v>0.27052352539945795</v>
      </c>
      <c r="I18">
        <f>CORREL(INDEX(Table1[],0,MATCH(I$14,Table1[#Headers],0)),INDEX(Table1[],0,MATCH($A18,Table1[#Headers],0)))</f>
        <v>-0.12194034938981685</v>
      </c>
      <c r="J18">
        <f>CORREL(INDEX(Table1[],0,MATCH(J$14,Table1[#Headers],0)),INDEX(Table1[],0,MATCH($A18,Table1[#Headers],0)))</f>
        <v>0.24790749428107697</v>
      </c>
      <c r="K18">
        <f>CORREL(INDEX(Table1[],0,MATCH(K$14,Table1[#Headers],0)),INDEX(Table1[],0,MATCH($A18,Table1[#Headers],0)))</f>
        <v>0.29040099777963924</v>
      </c>
      <c r="L18">
        <f>CORREL(INDEX(Table1[],0,MATCH(L$14,Table1[#Headers],0)),INDEX(Table1[],0,MATCH($A18,Table1[#Headers],0)))</f>
        <v>0.48673193734773357</v>
      </c>
      <c r="M18">
        <f>CORREL(INDEX(Table1[],0,MATCH(M$14,Table1[#Headers],0)),INDEX(Table1[],0,MATCH($A18,Table1[#Headers],0)))</f>
        <v>0.21271579807809893</v>
      </c>
      <c r="N18">
        <f>CORREL(INDEX(Table1[],0,MATCH(N$14,Table1[#Headers],0)),INDEX(Table1[],0,MATCH($A18,Table1[#Headers],0)))</f>
        <v>-0.27594239463418846</v>
      </c>
      <c r="O18">
        <f>CORREL(INDEX(Table1[],0,MATCH(O$14,Table1[#Headers],0)),INDEX(Table1[],0,MATCH($A18,Table1[#Headers],0)))</f>
        <v>-0.1251137709207083</v>
      </c>
      <c r="P18">
        <f>CORREL(INDEX(Table1[],0,MATCH(P$14,Table1[#Headers],0)),INDEX(Table1[],0,MATCH($A18,Table1[#Headers],0)))</f>
        <v>-0.2991694662764387</v>
      </c>
      <c r="Q18">
        <f>CORREL(INDEX(Table1[],0,MATCH(Q$14,Table1[#Headers],0)),INDEX(Table1[],0,MATCH($A18,Table1[#Headers],0)))</f>
        <v>-0.12660190385374759</v>
      </c>
    </row>
    <row r="19" spans="1:17" x14ac:dyDescent="0.2">
      <c r="A19" s="1" t="s">
        <v>5</v>
      </c>
      <c r="B19">
        <f>CORREL(INDEX(Table1[],0,MATCH(B$14,Table1[#Headers],0)),INDEX(Table1[],0,MATCH($A19,Table1[#Headers],0)))</f>
        <v>0.61929954368258666</v>
      </c>
      <c r="C19">
        <f>CORREL(INDEX(Table1[],0,MATCH(C$14,Table1[#Headers],0)),INDEX(Table1[],0,MATCH($A19,Table1[#Headers],0)))</f>
        <v>0.65589206226180008</v>
      </c>
      <c r="D19">
        <f>CORREL(INDEX(Table1[],0,MATCH(D$14,Table1[#Headers],0)),INDEX(Table1[],0,MATCH($A19,Table1[#Headers],0)))</f>
        <v>0.67044864028675843</v>
      </c>
      <c r="E19">
        <f>CORREL(INDEX(Table1[],0,MATCH(E$14,Table1[#Headers],0)),INDEX(Table1[],0,MATCH($A19,Table1[#Headers],0)))</f>
        <v>2.3977838116796397E-2</v>
      </c>
      <c r="F19">
        <f>CORREL(INDEX(Table1[],0,MATCH(F$14,Table1[#Headers],0)),INDEX(Table1[],0,MATCH($A19,Table1[#Headers],0)))</f>
        <v>1.0000000000000002</v>
      </c>
      <c r="G19">
        <f>CORREL(INDEX(Table1[],0,MATCH(G$14,Table1[#Headers],0)),INDEX(Table1[],0,MATCH($A19,Table1[#Headers],0)))</f>
        <v>0.38374923173299363</v>
      </c>
      <c r="H19">
        <f>CORREL(INDEX(Table1[],0,MATCH(H$14,Table1[#Headers],0)),INDEX(Table1[],0,MATCH($A19,Table1[#Headers],0)))</f>
        <v>-4.2101660708696802E-2</v>
      </c>
      <c r="I19">
        <f>CORREL(INDEX(Table1[],0,MATCH(I$14,Table1[#Headers],0)),INDEX(Table1[],0,MATCH($A19,Table1[#Headers],0)))</f>
        <v>0.78176998393012986</v>
      </c>
      <c r="J19">
        <f>CORREL(INDEX(Table1[],0,MATCH(J$14,Table1[#Headers],0)),INDEX(Table1[],0,MATCH($A19,Table1[#Headers],0)))</f>
        <v>-0.48656674649062581</v>
      </c>
      <c r="K19">
        <f>CORREL(INDEX(Table1[],0,MATCH(K$14,Table1[#Headers],0)),INDEX(Table1[],0,MATCH($A19,Table1[#Headers],0)))</f>
        <v>-0.23138033615491133</v>
      </c>
      <c r="L19">
        <f>CORREL(INDEX(Table1[],0,MATCH(L$14,Table1[#Headers],0)),INDEX(Table1[],0,MATCH($A19,Table1[#Headers],0)))</f>
        <v>9.9635334624930988E-2</v>
      </c>
      <c r="M19">
        <f>CORREL(INDEX(Table1[],0,MATCH(M$14,Table1[#Headers],0)),INDEX(Table1[],0,MATCH($A19,Table1[#Headers],0)))</f>
        <v>5.1985583796942583E-2</v>
      </c>
      <c r="N19">
        <f>CORREL(INDEX(Table1[],0,MATCH(N$14,Table1[#Headers],0)),INDEX(Table1[],0,MATCH($A19,Table1[#Headers],0)))</f>
        <v>0.11367046702847128</v>
      </c>
      <c r="O19">
        <f>CORREL(INDEX(Table1[],0,MATCH(O$14,Table1[#Headers],0)),INDEX(Table1[],0,MATCH($A19,Table1[#Headers],0)))</f>
        <v>0.2976425918073432</v>
      </c>
      <c r="P19">
        <f>CORREL(INDEX(Table1[],0,MATCH(P$14,Table1[#Headers],0)),INDEX(Table1[],0,MATCH($A19,Table1[#Headers],0)))</f>
        <v>5.4598465451467841E-2</v>
      </c>
      <c r="Q19">
        <f>CORREL(INDEX(Table1[],0,MATCH(Q$14,Table1[#Headers],0)),INDEX(Table1[],0,MATCH($A19,Table1[#Headers],0)))</f>
        <v>0.11742590156661721</v>
      </c>
    </row>
    <row r="20" spans="1:17" x14ac:dyDescent="0.2">
      <c r="A20" s="1" t="s">
        <v>8</v>
      </c>
      <c r="B20">
        <f>CORREL(INDEX(Table1[],0,MATCH(B$14,Table1[#Headers],0)),INDEX(Table1[],0,MATCH($A20,Table1[#Headers],0)))</f>
        <v>0.55129831214393743</v>
      </c>
      <c r="C20">
        <f>CORREL(INDEX(Table1[],0,MATCH(C$14,Table1[#Headers],0)),INDEX(Table1[],0,MATCH($A20,Table1[#Headers],0)))</f>
        <v>0.53503168037672744</v>
      </c>
      <c r="D20">
        <f>CORREL(INDEX(Table1[],0,MATCH(D$14,Table1[#Headers],0)),INDEX(Table1[],0,MATCH($A20,Table1[#Headers],0)))</f>
        <v>0.54107305954230878</v>
      </c>
      <c r="E20">
        <f>CORREL(INDEX(Table1[],0,MATCH(E$14,Table1[#Headers],0)),INDEX(Table1[],0,MATCH($A20,Table1[#Headers],0)))</f>
        <v>6.9410916551324336E-2</v>
      </c>
      <c r="F20">
        <f>CORREL(INDEX(Table1[],0,MATCH(F$14,Table1[#Headers],0)),INDEX(Table1[],0,MATCH($A20,Table1[#Headers],0)))</f>
        <v>0.38374923173299363</v>
      </c>
      <c r="G20">
        <f>CORREL(INDEX(Table1[],0,MATCH(G$14,Table1[#Headers],0)),INDEX(Table1[],0,MATCH($A20,Table1[#Headers],0)))</f>
        <v>1.0000000000000002</v>
      </c>
      <c r="H20">
        <f>CORREL(INDEX(Table1[],0,MATCH(H$14,Table1[#Headers],0)),INDEX(Table1[],0,MATCH($A20,Table1[#Headers],0)))</f>
        <v>2.575711809103173E-2</v>
      </c>
      <c r="I20">
        <f>CORREL(INDEX(Table1[],0,MATCH(I$14,Table1[#Headers],0)),INDEX(Table1[],0,MATCH($A20,Table1[#Headers],0)))</f>
        <v>0.49376237589712529</v>
      </c>
      <c r="J20">
        <f>CORREL(INDEX(Table1[],0,MATCH(J$14,Table1[#Headers],0)),INDEX(Table1[],0,MATCH($A20,Table1[#Headers],0)))</f>
        <v>-0.52069814760622068</v>
      </c>
      <c r="K20">
        <f>CORREL(INDEX(Table1[],0,MATCH(K$14,Table1[#Headers],0)),INDEX(Table1[],0,MATCH($A20,Table1[#Headers],0)))</f>
        <v>-2.7398993449626655E-2</v>
      </c>
      <c r="L20">
        <f>CORREL(INDEX(Table1[],0,MATCH(L$14,Table1[#Headers],0)),INDEX(Table1[],0,MATCH($A20,Table1[#Headers],0)))</f>
        <v>0.16383584763203696</v>
      </c>
      <c r="M20">
        <f>CORREL(INDEX(Table1[],0,MATCH(M$14,Table1[#Headers],0)),INDEX(Table1[],0,MATCH($A20,Table1[#Headers],0)))</f>
        <v>-0.13396183587276345</v>
      </c>
      <c r="N20">
        <f>CORREL(INDEX(Table1[],0,MATCH(N$14,Table1[#Headers],0)),INDEX(Table1[],0,MATCH($A20,Table1[#Headers],0)))</f>
        <v>0.31992599856347798</v>
      </c>
      <c r="O20">
        <f>CORREL(INDEX(Table1[],0,MATCH(O$14,Table1[#Headers],0)),INDEX(Table1[],0,MATCH($A20,Table1[#Headers],0)))</f>
        <v>0.14477905911145914</v>
      </c>
      <c r="P20">
        <f>CORREL(INDEX(Table1[],0,MATCH(P$14,Table1[#Headers],0)),INDEX(Table1[],0,MATCH($A20,Table1[#Headers],0)))</f>
        <v>5.9641584378180422E-2</v>
      </c>
      <c r="Q20">
        <f>CORREL(INDEX(Table1[],0,MATCH(Q$14,Table1[#Headers],0)),INDEX(Table1[],0,MATCH($A20,Table1[#Headers],0)))</f>
        <v>-3.9765255205799578E-2</v>
      </c>
    </row>
    <row r="21" spans="1:17" x14ac:dyDescent="0.2">
      <c r="A21" s="1" t="s">
        <v>9</v>
      </c>
      <c r="B21">
        <f>CORREL(INDEX(Table1[],0,MATCH(B$14,Table1[#Headers],0)),INDEX(Table1[],0,MATCH($A21,Table1[#Headers],0)))</f>
        <v>-0.12969243851372789</v>
      </c>
      <c r="C21">
        <f>CORREL(INDEX(Table1[],0,MATCH(C$14,Table1[#Headers],0)),INDEX(Table1[],0,MATCH($A21,Table1[#Headers],0)))</f>
        <v>-0.13846427252338575</v>
      </c>
      <c r="D21">
        <f>CORREL(INDEX(Table1[],0,MATCH(D$14,Table1[#Headers],0)),INDEX(Table1[],0,MATCH($A21,Table1[#Headers],0)))</f>
        <v>-0.12175814157171723</v>
      </c>
      <c r="E21">
        <f>CORREL(INDEX(Table1[],0,MATCH(E$14,Table1[#Headers],0)),INDEX(Table1[],0,MATCH($A21,Table1[#Headers],0)))</f>
        <v>0.27052352539945795</v>
      </c>
      <c r="F21">
        <f>CORREL(INDEX(Table1[],0,MATCH(F$14,Table1[#Headers],0)),INDEX(Table1[],0,MATCH($A21,Table1[#Headers],0)))</f>
        <v>-4.2101660708696802E-2</v>
      </c>
      <c r="G21">
        <f>CORREL(INDEX(Table1[],0,MATCH(G$14,Table1[#Headers],0)),INDEX(Table1[],0,MATCH($A21,Table1[#Headers],0)))</f>
        <v>2.575711809103173E-2</v>
      </c>
      <c r="H21">
        <f>CORREL(INDEX(Table1[],0,MATCH(H$14,Table1[#Headers],0)),INDEX(Table1[],0,MATCH($A21,Table1[#Headers],0)))</f>
        <v>1</v>
      </c>
      <c r="I21">
        <f>CORREL(INDEX(Table1[],0,MATCH(I$14,Table1[#Headers],0)),INDEX(Table1[],0,MATCH($A21,Table1[#Headers],0)))</f>
        <v>-0.22435026971665178</v>
      </c>
      <c r="J21">
        <f>CORREL(INDEX(Table1[],0,MATCH(J$14,Table1[#Headers],0)),INDEX(Table1[],0,MATCH($A21,Table1[#Headers],0)))</f>
        <v>6.7830524268786122E-2</v>
      </c>
      <c r="K21">
        <f>CORREL(INDEX(Table1[],0,MATCH(K$14,Table1[#Headers],0)),INDEX(Table1[],0,MATCH($A21,Table1[#Headers],0)))</f>
        <v>6.0243927548455117E-2</v>
      </c>
      <c r="L21">
        <f>CORREL(INDEX(Table1[],0,MATCH(L$14,Table1[#Headers],0)),INDEX(Table1[],0,MATCH($A21,Table1[#Headers],0)))</f>
        <v>7.1318732091872838E-2</v>
      </c>
      <c r="M21">
        <f>CORREL(INDEX(Table1[],0,MATCH(M$14,Table1[#Headers],0)),INDEX(Table1[],0,MATCH($A21,Table1[#Headers],0)))</f>
        <v>0.21474083829168425</v>
      </c>
      <c r="N21">
        <f>CORREL(INDEX(Table1[],0,MATCH(N$14,Table1[#Headers],0)),INDEX(Table1[],0,MATCH($A21,Table1[#Headers],0)))</f>
        <v>-0.11626971363798871</v>
      </c>
      <c r="O21">
        <f>CORREL(INDEX(Table1[],0,MATCH(O$14,Table1[#Headers],0)),INDEX(Table1[],0,MATCH($A21,Table1[#Headers],0)))</f>
        <v>0.26854756748441877</v>
      </c>
      <c r="P21">
        <f>CORREL(INDEX(Table1[],0,MATCH(P$14,Table1[#Headers],0)),INDEX(Table1[],0,MATCH($A21,Table1[#Headers],0)))</f>
        <v>-0.44984257026382679</v>
      </c>
      <c r="Q21">
        <f>CORREL(INDEX(Table1[],0,MATCH(Q$14,Table1[#Headers],0)),INDEX(Table1[],0,MATCH($A21,Table1[#Headers],0)))</f>
        <v>-0.39031195586408041</v>
      </c>
    </row>
    <row r="22" spans="1:17" x14ac:dyDescent="0.2">
      <c r="A22" s="1" t="s">
        <v>10</v>
      </c>
      <c r="B22">
        <f>CORREL(INDEX(Table1[],0,MATCH(B$14,Table1[#Headers],0)),INDEX(Table1[],0,MATCH($A22,Table1[#Headers],0)))</f>
        <v>0.87541521373524223</v>
      </c>
      <c r="C22">
        <f>CORREL(INDEX(Table1[],0,MATCH(C$14,Table1[#Headers],0)),INDEX(Table1[],0,MATCH($A22,Table1[#Headers],0)))</f>
        <v>0.89211822559227349</v>
      </c>
      <c r="D22">
        <f>CORREL(INDEX(Table1[],0,MATCH(D$14,Table1[#Headers],0)),INDEX(Table1[],0,MATCH($A22,Table1[#Headers],0)))</f>
        <v>0.88867381210228635</v>
      </c>
      <c r="E22">
        <f>CORREL(INDEX(Table1[],0,MATCH(E$14,Table1[#Headers],0)),INDEX(Table1[],0,MATCH($A22,Table1[#Headers],0)))</f>
        <v>-0.12194034938981685</v>
      </c>
      <c r="F22">
        <f>CORREL(INDEX(Table1[],0,MATCH(F$14,Table1[#Headers],0)),INDEX(Table1[],0,MATCH($A22,Table1[#Headers],0)))</f>
        <v>0.78176998393012986</v>
      </c>
      <c r="G22">
        <f>CORREL(INDEX(Table1[],0,MATCH(G$14,Table1[#Headers],0)),INDEX(Table1[],0,MATCH($A22,Table1[#Headers],0)))</f>
        <v>0.49376237589712529</v>
      </c>
      <c r="H22">
        <f>CORREL(INDEX(Table1[],0,MATCH(H$14,Table1[#Headers],0)),INDEX(Table1[],0,MATCH($A22,Table1[#Headers],0)))</f>
        <v>-0.22435026971665178</v>
      </c>
      <c r="I22">
        <f>CORREL(INDEX(Table1[],0,MATCH(I$14,Table1[#Headers],0)),INDEX(Table1[],0,MATCH($A22,Table1[#Headers],0)))</f>
        <v>1</v>
      </c>
      <c r="J22">
        <f>CORREL(INDEX(Table1[],0,MATCH(J$14,Table1[#Headers],0)),INDEX(Table1[],0,MATCH($A22,Table1[#Headers],0)))</f>
        <v>-0.69592645797863728</v>
      </c>
      <c r="K22">
        <f>CORREL(INDEX(Table1[],0,MATCH(K$14,Table1[#Headers],0)),INDEX(Table1[],0,MATCH($A22,Table1[#Headers],0)))</f>
        <v>-0.21407477970365288</v>
      </c>
      <c r="L22">
        <f>CORREL(INDEX(Table1[],0,MATCH(L$14,Table1[#Headers],0)),INDEX(Table1[],0,MATCH($A22,Table1[#Headers],0)))</f>
        <v>3.0205301666011534E-2</v>
      </c>
      <c r="M22">
        <f>CORREL(INDEX(Table1[],0,MATCH(M$14,Table1[#Headers],0)),INDEX(Table1[],0,MATCH($A22,Table1[#Headers],0)))</f>
        <v>-3.4865784828244026E-2</v>
      </c>
      <c r="N22">
        <f>CORREL(INDEX(Table1[],0,MATCH(N$14,Table1[#Headers],0)),INDEX(Table1[],0,MATCH($A22,Table1[#Headers],0)))</f>
        <v>0.43676392224722227</v>
      </c>
      <c r="O22">
        <f>CORREL(INDEX(Table1[],0,MATCH(O$14,Table1[#Headers],0)),INDEX(Table1[],0,MATCH($A22,Table1[#Headers],0)))</f>
        <v>0.2748552880242367</v>
      </c>
      <c r="P22">
        <f>CORREL(INDEX(Table1[],0,MATCH(P$14,Table1[#Headers],0)),INDEX(Table1[],0,MATCH($A22,Table1[#Headers],0)))</f>
        <v>-5.7664190230945989E-2</v>
      </c>
      <c r="Q22">
        <f>CORREL(INDEX(Table1[],0,MATCH(Q$14,Table1[#Headers],0)),INDEX(Table1[],0,MATCH($A22,Table1[#Headers],0)))</f>
        <v>0.14471750255002527</v>
      </c>
    </row>
    <row r="23" spans="1:17" x14ac:dyDescent="0.2">
      <c r="A23" s="1" t="s">
        <v>11</v>
      </c>
      <c r="B23">
        <f>CORREL(INDEX(Table1[],0,MATCH(B$14,Table1[#Headers],0)),INDEX(Table1[],0,MATCH($A23,Table1[#Headers],0)))</f>
        <v>-0.83373602690009652</v>
      </c>
      <c r="C23">
        <f>CORREL(INDEX(Table1[],0,MATCH(C$14,Table1[#Headers],0)),INDEX(Table1[],0,MATCH($A23,Table1[#Headers],0)))</f>
        <v>-0.83642430307472304</v>
      </c>
      <c r="D23">
        <f>CORREL(INDEX(Table1[],0,MATCH(D$14,Table1[#Headers],0)),INDEX(Table1[],0,MATCH($A23,Table1[#Headers],0)))</f>
        <v>-0.84515544288552991</v>
      </c>
      <c r="E23">
        <f>CORREL(INDEX(Table1[],0,MATCH(E$14,Table1[#Headers],0)),INDEX(Table1[],0,MATCH($A23,Table1[#Headers],0)))</f>
        <v>0.24790749428107697</v>
      </c>
      <c r="F23">
        <f>CORREL(INDEX(Table1[],0,MATCH(F$14,Table1[#Headers],0)),INDEX(Table1[],0,MATCH($A23,Table1[#Headers],0)))</f>
        <v>-0.48656674649062581</v>
      </c>
      <c r="G23">
        <f>CORREL(INDEX(Table1[],0,MATCH(G$14,Table1[#Headers],0)),INDEX(Table1[],0,MATCH($A23,Table1[#Headers],0)))</f>
        <v>-0.52069814760622068</v>
      </c>
      <c r="H23">
        <f>CORREL(INDEX(Table1[],0,MATCH(H$14,Table1[#Headers],0)),INDEX(Table1[],0,MATCH($A23,Table1[#Headers],0)))</f>
        <v>6.7830524268786122E-2</v>
      </c>
      <c r="I23">
        <f>CORREL(INDEX(Table1[],0,MATCH(I$14,Table1[#Headers],0)),INDEX(Table1[],0,MATCH($A23,Table1[#Headers],0)))</f>
        <v>-0.69592645797863728</v>
      </c>
      <c r="J23">
        <f>CORREL(INDEX(Table1[],0,MATCH(J$14,Table1[#Headers],0)),INDEX(Table1[],0,MATCH($A23,Table1[#Headers],0)))</f>
        <v>1</v>
      </c>
      <c r="K23">
        <f>CORREL(INDEX(Table1[],0,MATCH(K$14,Table1[#Headers],0)),INDEX(Table1[],0,MATCH($A23,Table1[#Headers],0)))</f>
        <v>0.33383685866337404</v>
      </c>
      <c r="L23">
        <f>CORREL(INDEX(Table1[],0,MATCH(L$14,Table1[#Headers],0)),INDEX(Table1[],0,MATCH($A23,Table1[#Headers],0)))</f>
        <v>6.0616767546838375E-2</v>
      </c>
      <c r="M23">
        <f>CORREL(INDEX(Table1[],0,MATCH(M$14,Table1[#Headers],0)),INDEX(Table1[],0,MATCH($A23,Table1[#Headers],0)))</f>
        <v>-6.7941955221510239E-2</v>
      </c>
      <c r="N23">
        <f>CORREL(INDEX(Table1[],0,MATCH(N$14,Table1[#Headers],0)),INDEX(Table1[],0,MATCH($A23,Table1[#Headers],0)))</f>
        <v>-0.42663201519044064</v>
      </c>
      <c r="O23">
        <f>CORREL(INDEX(Table1[],0,MATCH(O$14,Table1[#Headers],0)),INDEX(Table1[],0,MATCH($A23,Table1[#Headers],0)))</f>
        <v>-0.64613828510002858</v>
      </c>
      <c r="P23">
        <f>CORREL(INDEX(Table1[],0,MATCH(P$14,Table1[#Headers],0)),INDEX(Table1[],0,MATCH($A23,Table1[#Headers],0)))</f>
        <v>0.13760713043068001</v>
      </c>
      <c r="Q23">
        <f>CORREL(INDEX(Table1[],0,MATCH(Q$14,Table1[#Headers],0)),INDEX(Table1[],0,MATCH($A23,Table1[#Headers],0)))</f>
        <v>-0.15517632307681917</v>
      </c>
    </row>
    <row r="24" spans="1:17" x14ac:dyDescent="0.2">
      <c r="A24" s="1" t="s">
        <v>12</v>
      </c>
      <c r="B24">
        <f>CORREL(INDEX(Table1[],0,MATCH(B$14,Table1[#Headers],0)),INDEX(Table1[],0,MATCH($A24,Table1[#Headers],0)))</f>
        <v>-0.27628906096101369</v>
      </c>
      <c r="C24">
        <f>CORREL(INDEX(Table1[],0,MATCH(C$14,Table1[#Headers],0)),INDEX(Table1[],0,MATCH($A24,Table1[#Headers],0)))</f>
        <v>-0.26470609260210765</v>
      </c>
      <c r="D24">
        <f>CORREL(INDEX(Table1[],0,MATCH(D$14,Table1[#Headers],0)),INDEX(Table1[],0,MATCH($A24,Table1[#Headers],0)))</f>
        <v>-0.2426100066515624</v>
      </c>
      <c r="E24">
        <f>CORREL(INDEX(Table1[],0,MATCH(E$14,Table1[#Headers],0)),INDEX(Table1[],0,MATCH($A24,Table1[#Headers],0)))</f>
        <v>0.29040099777963924</v>
      </c>
      <c r="F24">
        <f>CORREL(INDEX(Table1[],0,MATCH(F$14,Table1[#Headers],0)),INDEX(Table1[],0,MATCH($A24,Table1[#Headers],0)))</f>
        <v>-0.23138033615491133</v>
      </c>
      <c r="G24">
        <f>CORREL(INDEX(Table1[],0,MATCH(G$14,Table1[#Headers],0)),INDEX(Table1[],0,MATCH($A24,Table1[#Headers],0)))</f>
        <v>-2.7398993449626655E-2</v>
      </c>
      <c r="H24">
        <f>CORREL(INDEX(Table1[],0,MATCH(H$14,Table1[#Headers],0)),INDEX(Table1[],0,MATCH($A24,Table1[#Headers],0)))</f>
        <v>6.0243927548455117E-2</v>
      </c>
      <c r="I24">
        <f>CORREL(INDEX(Table1[],0,MATCH(I$14,Table1[#Headers],0)),INDEX(Table1[],0,MATCH($A24,Table1[#Headers],0)))</f>
        <v>-0.21407477970365288</v>
      </c>
      <c r="J24">
        <f>CORREL(INDEX(Table1[],0,MATCH(J$14,Table1[#Headers],0)),INDEX(Table1[],0,MATCH($A24,Table1[#Headers],0)))</f>
        <v>0.33383685866337404</v>
      </c>
      <c r="K24">
        <f>CORREL(INDEX(Table1[],0,MATCH(K$14,Table1[#Headers],0)),INDEX(Table1[],0,MATCH($A24,Table1[#Headers],0)))</f>
        <v>1</v>
      </c>
      <c r="L24">
        <f>CORREL(INDEX(Table1[],0,MATCH(L$14,Table1[#Headers],0)),INDEX(Table1[],0,MATCH($A24,Table1[#Headers],0)))</f>
        <v>0.19802950859533491</v>
      </c>
      <c r="M24">
        <f>CORREL(INDEX(Table1[],0,MATCH(M$14,Table1[#Headers],0)),INDEX(Table1[],0,MATCH($A24,Table1[#Headers],0)))</f>
        <v>-7.422696190252065E-2</v>
      </c>
      <c r="N24">
        <f>CORREL(INDEX(Table1[],0,MATCH(N$14,Table1[#Headers],0)),INDEX(Table1[],0,MATCH($A24,Table1[#Headers],0)))</f>
        <v>-0.21771484915213404</v>
      </c>
      <c r="O24">
        <f>CORREL(INDEX(Table1[],0,MATCH(O$14,Table1[#Headers],0)),INDEX(Table1[],0,MATCH($A24,Table1[#Headers],0)))</f>
        <v>-0.26455093981888306</v>
      </c>
      <c r="P24">
        <f>CORREL(INDEX(Table1[],0,MATCH(P$14,Table1[#Headers],0)),INDEX(Table1[],0,MATCH($A24,Table1[#Headers],0)))</f>
        <v>-0.34099943045171421</v>
      </c>
      <c r="Q24">
        <f>CORREL(INDEX(Table1[],0,MATCH(Q$14,Table1[#Headers],0)),INDEX(Table1[],0,MATCH($A24,Table1[#Headers],0)))</f>
        <v>-6.7560617829630382E-2</v>
      </c>
    </row>
    <row r="25" spans="1:17" x14ac:dyDescent="0.2">
      <c r="A25" s="1" t="s">
        <v>13</v>
      </c>
      <c r="B25">
        <f>CORREL(INDEX(Table1[],0,MATCH(B$14,Table1[#Headers],0)),INDEX(Table1[],0,MATCH($A25,Table1[#Headers],0)))</f>
        <v>-6.9492431617661582E-2</v>
      </c>
      <c r="C25">
        <f>CORREL(INDEX(Table1[],0,MATCH(C$14,Table1[#Headers],0)),INDEX(Table1[],0,MATCH($A25,Table1[#Headers],0)))</f>
        <v>-6.1960840580112427E-2</v>
      </c>
      <c r="D25">
        <f>CORREL(INDEX(Table1[],0,MATCH(D$14,Table1[#Headers],0)),INDEX(Table1[],0,MATCH($A25,Table1[#Headers],0)))</f>
        <v>-4.5659548421281837E-2</v>
      </c>
      <c r="E25">
        <f>CORREL(INDEX(Table1[],0,MATCH(E$14,Table1[#Headers],0)),INDEX(Table1[],0,MATCH($A25,Table1[#Headers],0)))</f>
        <v>0.48673193734773357</v>
      </c>
      <c r="F25">
        <f>CORREL(INDEX(Table1[],0,MATCH(F$14,Table1[#Headers],0)),INDEX(Table1[],0,MATCH($A25,Table1[#Headers],0)))</f>
        <v>9.9635334624930988E-2</v>
      </c>
      <c r="G25">
        <f>CORREL(INDEX(Table1[],0,MATCH(G$14,Table1[#Headers],0)),INDEX(Table1[],0,MATCH($A25,Table1[#Headers],0)))</f>
        <v>0.16383584763203696</v>
      </c>
      <c r="H25">
        <f>CORREL(INDEX(Table1[],0,MATCH(H$14,Table1[#Headers],0)),INDEX(Table1[],0,MATCH($A25,Table1[#Headers],0)))</f>
        <v>7.1318732091872838E-2</v>
      </c>
      <c r="I25">
        <f>CORREL(INDEX(Table1[],0,MATCH(I$14,Table1[#Headers],0)),INDEX(Table1[],0,MATCH($A25,Table1[#Headers],0)))</f>
        <v>3.0205301666011534E-2</v>
      </c>
      <c r="J25">
        <f>CORREL(INDEX(Table1[],0,MATCH(J$14,Table1[#Headers],0)),INDEX(Table1[],0,MATCH($A25,Table1[#Headers],0)))</f>
        <v>6.0616767546838375E-2</v>
      </c>
      <c r="K25">
        <f>CORREL(INDEX(Table1[],0,MATCH(K$14,Table1[#Headers],0)),INDEX(Table1[],0,MATCH($A25,Table1[#Headers],0)))</f>
        <v>0.19802950859533491</v>
      </c>
      <c r="L25">
        <f>CORREL(INDEX(Table1[],0,MATCH(L$14,Table1[#Headers],0)),INDEX(Table1[],0,MATCH($A25,Table1[#Headers],0)))</f>
        <v>1</v>
      </c>
      <c r="M25">
        <f>CORREL(INDEX(Table1[],0,MATCH(M$14,Table1[#Headers],0)),INDEX(Table1[],0,MATCH($A25,Table1[#Headers],0)))</f>
        <v>2.9374760204420777E-17</v>
      </c>
      <c r="N25">
        <f>CORREL(INDEX(Table1[],0,MATCH(N$14,Table1[#Headers],0)),INDEX(Table1[],0,MATCH($A25,Table1[#Headers],0)))</f>
        <v>-0.29297442915436356</v>
      </c>
      <c r="O25">
        <f>CORREL(INDEX(Table1[],0,MATCH(O$14,Table1[#Headers],0)),INDEX(Table1[],0,MATCH($A25,Table1[#Headers],0)))</f>
        <v>-0.12804138438785467</v>
      </c>
      <c r="P25">
        <f>CORREL(INDEX(Table1[],0,MATCH(P$14,Table1[#Headers],0)),INDEX(Table1[],0,MATCH($A25,Table1[#Headers],0)))</f>
        <v>-0.28039751275869906</v>
      </c>
      <c r="Q25">
        <f>CORREL(INDEX(Table1[],0,MATCH(Q$14,Table1[#Headers],0)),INDEX(Table1[],0,MATCH($A25,Table1[#Headers],0)))</f>
        <v>-1.7450864281563821E-2</v>
      </c>
    </row>
    <row r="26" spans="1:17" x14ac:dyDescent="0.2">
      <c r="A26" s="1" t="s">
        <v>14</v>
      </c>
      <c r="B26">
        <f>CORREL(INDEX(Table1[],0,MATCH(B$14,Table1[#Headers],0)),INDEX(Table1[],0,MATCH($A26,Table1[#Headers],0)))</f>
        <v>-0.26931259505137328</v>
      </c>
      <c r="C26">
        <f>CORREL(INDEX(Table1[],0,MATCH(C$14,Table1[#Headers],0)),INDEX(Table1[],0,MATCH($A26,Table1[#Headers],0)))</f>
        <v>-0.26311799450329593</v>
      </c>
      <c r="D26">
        <f>CORREL(INDEX(Table1[],0,MATCH(D$14,Table1[#Headers],0)),INDEX(Table1[],0,MATCH($A26,Table1[#Headers],0)))</f>
        <v>-0.23610730427268417</v>
      </c>
      <c r="E26">
        <f>CORREL(INDEX(Table1[],0,MATCH(E$14,Table1[#Headers],0)),INDEX(Table1[],0,MATCH($A26,Table1[#Headers],0)))</f>
        <v>0.21271579807809893</v>
      </c>
      <c r="F26">
        <f>CORREL(INDEX(Table1[],0,MATCH(F$14,Table1[#Headers],0)),INDEX(Table1[],0,MATCH($A26,Table1[#Headers],0)))</f>
        <v>5.1985583796942583E-2</v>
      </c>
      <c r="G26">
        <f>CORREL(INDEX(Table1[],0,MATCH(G$14,Table1[#Headers],0)),INDEX(Table1[],0,MATCH($A26,Table1[#Headers],0)))</f>
        <v>-0.13396183587276345</v>
      </c>
      <c r="H26">
        <f>CORREL(INDEX(Table1[],0,MATCH(H$14,Table1[#Headers],0)),INDEX(Table1[],0,MATCH($A26,Table1[#Headers],0)))</f>
        <v>0.21474083829168425</v>
      </c>
      <c r="I26">
        <f>CORREL(INDEX(Table1[],0,MATCH(I$14,Table1[#Headers],0)),INDEX(Table1[],0,MATCH($A26,Table1[#Headers],0)))</f>
        <v>-3.4865784828244026E-2</v>
      </c>
      <c r="J26">
        <f>CORREL(INDEX(Table1[],0,MATCH(J$14,Table1[#Headers],0)),INDEX(Table1[],0,MATCH($A26,Table1[#Headers],0)))</f>
        <v>-6.7941955221510239E-2</v>
      </c>
      <c r="K26">
        <f>CORREL(INDEX(Table1[],0,MATCH(K$14,Table1[#Headers],0)),INDEX(Table1[],0,MATCH($A26,Table1[#Headers],0)))</f>
        <v>-7.422696190252065E-2</v>
      </c>
      <c r="L26">
        <f>CORREL(INDEX(Table1[],0,MATCH(L$14,Table1[#Headers],0)),INDEX(Table1[],0,MATCH($A26,Table1[#Headers],0)))</f>
        <v>2.9374760204420777E-17</v>
      </c>
      <c r="M26">
        <f>CORREL(INDEX(Table1[],0,MATCH(M$14,Table1[#Headers],0)),INDEX(Table1[],0,MATCH($A26,Table1[#Headers],0)))</f>
        <v>1</v>
      </c>
      <c r="N26">
        <f>CORREL(INDEX(Table1[],0,MATCH(N$14,Table1[#Headers],0)),INDEX(Table1[],0,MATCH($A26,Table1[#Headers],0)))</f>
        <v>-0.20835527603431656</v>
      </c>
      <c r="O26">
        <f>CORREL(INDEX(Table1[],0,MATCH(O$14,Table1[#Headers],0)),INDEX(Table1[],0,MATCH($A26,Table1[#Headers],0)))</f>
        <v>0.31267847645853347</v>
      </c>
      <c r="P26">
        <f>CORREL(INDEX(Table1[],0,MATCH(P$14,Table1[#Headers],0)),INDEX(Table1[],0,MATCH($A26,Table1[#Headers],0)))</f>
        <v>-0.18254345719967249</v>
      </c>
      <c r="Q26">
        <f>CORREL(INDEX(Table1[],0,MATCH(Q$14,Table1[#Headers],0)),INDEX(Table1[],0,MATCH($A26,Table1[#Headers],0)))</f>
        <v>-0.44610089148547738</v>
      </c>
    </row>
    <row r="27" spans="1:17" x14ac:dyDescent="0.2">
      <c r="A27" s="1" t="s">
        <v>15</v>
      </c>
      <c r="B27">
        <f>CORREL(INDEX(Table1[],0,MATCH(B$14,Table1[#Headers],0)),INDEX(Table1[],0,MATCH($A27,Table1[#Headers],0)))</f>
        <v>0.57742907263900178</v>
      </c>
      <c r="C27">
        <f>CORREL(INDEX(Table1[],0,MATCH(C$14,Table1[#Headers],0)),INDEX(Table1[],0,MATCH($A27,Table1[#Headers],0)))</f>
        <v>0.54040889449652496</v>
      </c>
      <c r="D27">
        <f>CORREL(INDEX(Table1[],0,MATCH(D$14,Table1[#Headers],0)),INDEX(Table1[],0,MATCH($A27,Table1[#Headers],0)))</f>
        <v>0.50490064000671375</v>
      </c>
      <c r="E27">
        <f>CORREL(INDEX(Table1[],0,MATCH(E$14,Table1[#Headers],0)),INDEX(Table1[],0,MATCH($A27,Table1[#Headers],0)))</f>
        <v>-0.27594239463418846</v>
      </c>
      <c r="F27">
        <f>CORREL(INDEX(Table1[],0,MATCH(F$14,Table1[#Headers],0)),INDEX(Table1[],0,MATCH($A27,Table1[#Headers],0)))</f>
        <v>0.11367046702847128</v>
      </c>
      <c r="G27">
        <f>CORREL(INDEX(Table1[],0,MATCH(G$14,Table1[#Headers],0)),INDEX(Table1[],0,MATCH($A27,Table1[#Headers],0)))</f>
        <v>0.31992599856347798</v>
      </c>
      <c r="H27">
        <f>CORREL(INDEX(Table1[],0,MATCH(H$14,Table1[#Headers],0)),INDEX(Table1[],0,MATCH($A27,Table1[#Headers],0)))</f>
        <v>-0.11626971363798871</v>
      </c>
      <c r="I27">
        <f>CORREL(INDEX(Table1[],0,MATCH(I$14,Table1[#Headers],0)),INDEX(Table1[],0,MATCH($A27,Table1[#Headers],0)))</f>
        <v>0.43676392224722227</v>
      </c>
      <c r="J27">
        <f>CORREL(INDEX(Table1[],0,MATCH(J$14,Table1[#Headers],0)),INDEX(Table1[],0,MATCH($A27,Table1[#Headers],0)))</f>
        <v>-0.42663201519044064</v>
      </c>
      <c r="K27">
        <f>CORREL(INDEX(Table1[],0,MATCH(K$14,Table1[#Headers],0)),INDEX(Table1[],0,MATCH($A27,Table1[#Headers],0)))</f>
        <v>-0.21771484915213404</v>
      </c>
      <c r="L27">
        <f>CORREL(INDEX(Table1[],0,MATCH(L$14,Table1[#Headers],0)),INDEX(Table1[],0,MATCH($A27,Table1[#Headers],0)))</f>
        <v>-0.29297442915436356</v>
      </c>
      <c r="M27">
        <f>CORREL(INDEX(Table1[],0,MATCH(M$14,Table1[#Headers],0)),INDEX(Table1[],0,MATCH($A27,Table1[#Headers],0)))</f>
        <v>-0.20835527603431656</v>
      </c>
      <c r="N27">
        <f>CORREL(INDEX(Table1[],0,MATCH(N$14,Table1[#Headers],0)),INDEX(Table1[],0,MATCH($A27,Table1[#Headers],0)))</f>
        <v>1</v>
      </c>
      <c r="O27">
        <f>CORREL(INDEX(Table1[],0,MATCH(O$14,Table1[#Headers],0)),INDEX(Table1[],0,MATCH($A27,Table1[#Headers],0)))</f>
        <v>-0.249510002006404</v>
      </c>
      <c r="P27">
        <f>CORREL(INDEX(Table1[],0,MATCH(P$14,Table1[#Headers],0)),INDEX(Table1[],0,MATCH($A27,Table1[#Headers],0)))</f>
        <v>4.044874272503881E-2</v>
      </c>
      <c r="Q27">
        <f>CORREL(INDEX(Table1[],0,MATCH(Q$14,Table1[#Headers],0)),INDEX(Table1[],0,MATCH($A27,Table1[#Headers],0)))</f>
        <v>-0.22929899210704435</v>
      </c>
    </row>
    <row r="28" spans="1:17" x14ac:dyDescent="0.2">
      <c r="A28" s="1" t="s">
        <v>16</v>
      </c>
      <c r="B28">
        <f>CORREL(INDEX(Table1[],0,MATCH(B$14,Table1[#Headers],0)),INDEX(Table1[],0,MATCH($A28,Table1[#Headers],0)))</f>
        <v>0.34800076442457728</v>
      </c>
      <c r="C28">
        <f>CORREL(INDEX(Table1[],0,MATCH(C$14,Table1[#Headers],0)),INDEX(Table1[],0,MATCH($A28,Table1[#Headers],0)))</f>
        <v>0.37006687618270534</v>
      </c>
      <c r="D28">
        <f>CORREL(INDEX(Table1[],0,MATCH(D$14,Table1[#Headers],0)),INDEX(Table1[],0,MATCH($A28,Table1[#Headers],0)))</f>
        <v>0.40512430805997035</v>
      </c>
      <c r="E28">
        <f>CORREL(INDEX(Table1[],0,MATCH(E$14,Table1[#Headers],0)),INDEX(Table1[],0,MATCH($A28,Table1[#Headers],0)))</f>
        <v>-0.1251137709207083</v>
      </c>
      <c r="F28">
        <f>CORREL(INDEX(Table1[],0,MATCH(F$14,Table1[#Headers],0)),INDEX(Table1[],0,MATCH($A28,Table1[#Headers],0)))</f>
        <v>0.2976425918073432</v>
      </c>
      <c r="G28">
        <f>CORREL(INDEX(Table1[],0,MATCH(G$14,Table1[#Headers],0)),INDEX(Table1[],0,MATCH($A28,Table1[#Headers],0)))</f>
        <v>0.14477905911145914</v>
      </c>
      <c r="H28">
        <f>CORREL(INDEX(Table1[],0,MATCH(H$14,Table1[#Headers],0)),INDEX(Table1[],0,MATCH($A28,Table1[#Headers],0)))</f>
        <v>0.26854756748441877</v>
      </c>
      <c r="I28">
        <f>CORREL(INDEX(Table1[],0,MATCH(I$14,Table1[#Headers],0)),INDEX(Table1[],0,MATCH($A28,Table1[#Headers],0)))</f>
        <v>0.2748552880242367</v>
      </c>
      <c r="J28">
        <f>CORREL(INDEX(Table1[],0,MATCH(J$14,Table1[#Headers],0)),INDEX(Table1[],0,MATCH($A28,Table1[#Headers],0)))</f>
        <v>-0.64613828510002858</v>
      </c>
      <c r="K28">
        <f>CORREL(INDEX(Table1[],0,MATCH(K$14,Table1[#Headers],0)),INDEX(Table1[],0,MATCH($A28,Table1[#Headers],0)))</f>
        <v>-0.26455093981888306</v>
      </c>
      <c r="L28">
        <f>CORREL(INDEX(Table1[],0,MATCH(L$14,Table1[#Headers],0)),INDEX(Table1[],0,MATCH($A28,Table1[#Headers],0)))</f>
        <v>-0.12804138438785467</v>
      </c>
      <c r="M28">
        <f>CORREL(INDEX(Table1[],0,MATCH(M$14,Table1[#Headers],0)),INDEX(Table1[],0,MATCH($A28,Table1[#Headers],0)))</f>
        <v>0.31267847645853347</v>
      </c>
      <c r="N28">
        <f>CORREL(INDEX(Table1[],0,MATCH(N$14,Table1[#Headers],0)),INDEX(Table1[],0,MATCH($A28,Table1[#Headers],0)))</f>
        <v>-0.249510002006404</v>
      </c>
      <c r="O28">
        <f>CORREL(INDEX(Table1[],0,MATCH(O$14,Table1[#Headers],0)),INDEX(Table1[],0,MATCH($A28,Table1[#Headers],0)))</f>
        <v>1</v>
      </c>
      <c r="P28">
        <f>CORREL(INDEX(Table1[],0,MATCH(P$14,Table1[#Headers],0)),INDEX(Table1[],0,MATCH($A28,Table1[#Headers],0)))</f>
        <v>-0.35597553825751288</v>
      </c>
      <c r="Q28">
        <f>CORREL(INDEX(Table1[],0,MATCH(Q$14,Table1[#Headers],0)),INDEX(Table1[],0,MATCH($A28,Table1[#Headers],0)))</f>
        <v>0.12624833135987418</v>
      </c>
    </row>
    <row r="29" spans="1:17" x14ac:dyDescent="0.2">
      <c r="A29" s="1" t="s">
        <v>17</v>
      </c>
      <c r="B29">
        <f>CORREL(INDEX(Table1[],0,MATCH(B$14,Table1[#Headers],0)),INDEX(Table1[],0,MATCH($A29,Table1[#Headers],0)))</f>
        <v>-0.11845090775818488</v>
      </c>
      <c r="C29">
        <f>CORREL(INDEX(Table1[],0,MATCH(C$14,Table1[#Headers],0)),INDEX(Table1[],0,MATCH($A29,Table1[#Headers],0)))</f>
        <v>-0.12282121960009161</v>
      </c>
      <c r="D29">
        <f>CORREL(INDEX(Table1[],0,MATCH(D$14,Table1[#Headers],0)),INDEX(Table1[],0,MATCH($A29,Table1[#Headers],0)))</f>
        <v>-0.1619062348466089</v>
      </c>
      <c r="E29">
        <f>CORREL(INDEX(Table1[],0,MATCH(E$14,Table1[#Headers],0)),INDEX(Table1[],0,MATCH($A29,Table1[#Headers],0)))</f>
        <v>-0.2991694662764387</v>
      </c>
      <c r="F29">
        <f>CORREL(INDEX(Table1[],0,MATCH(F$14,Table1[#Headers],0)),INDEX(Table1[],0,MATCH($A29,Table1[#Headers],0)))</f>
        <v>5.4598465451467841E-2</v>
      </c>
      <c r="G29">
        <f>CORREL(INDEX(Table1[],0,MATCH(G$14,Table1[#Headers],0)),INDEX(Table1[],0,MATCH($A29,Table1[#Headers],0)))</f>
        <v>5.9641584378180422E-2</v>
      </c>
      <c r="H29">
        <f>CORREL(INDEX(Table1[],0,MATCH(H$14,Table1[#Headers],0)),INDEX(Table1[],0,MATCH($A29,Table1[#Headers],0)))</f>
        <v>-0.44984257026382679</v>
      </c>
      <c r="I29">
        <f>CORREL(INDEX(Table1[],0,MATCH(I$14,Table1[#Headers],0)),INDEX(Table1[],0,MATCH($A29,Table1[#Headers],0)))</f>
        <v>-5.7664190230945989E-2</v>
      </c>
      <c r="J29">
        <f>CORREL(INDEX(Table1[],0,MATCH(J$14,Table1[#Headers],0)),INDEX(Table1[],0,MATCH($A29,Table1[#Headers],0)))</f>
        <v>0.13760713043068001</v>
      </c>
      <c r="K29">
        <f>CORREL(INDEX(Table1[],0,MATCH(K$14,Table1[#Headers],0)),INDEX(Table1[],0,MATCH($A29,Table1[#Headers],0)))</f>
        <v>-0.34099943045171421</v>
      </c>
      <c r="L29">
        <f>CORREL(INDEX(Table1[],0,MATCH(L$14,Table1[#Headers],0)),INDEX(Table1[],0,MATCH($A29,Table1[#Headers],0)))</f>
        <v>-0.28039751275869906</v>
      </c>
      <c r="M29">
        <f>CORREL(INDEX(Table1[],0,MATCH(M$14,Table1[#Headers],0)),INDEX(Table1[],0,MATCH($A29,Table1[#Headers],0)))</f>
        <v>-0.18254345719967249</v>
      </c>
      <c r="N29">
        <f>CORREL(INDEX(Table1[],0,MATCH(N$14,Table1[#Headers],0)),INDEX(Table1[],0,MATCH($A29,Table1[#Headers],0)))</f>
        <v>4.044874272503881E-2</v>
      </c>
      <c r="O29">
        <f>CORREL(INDEX(Table1[],0,MATCH(O$14,Table1[#Headers],0)),INDEX(Table1[],0,MATCH($A29,Table1[#Headers],0)))</f>
        <v>-0.35597553825751288</v>
      </c>
      <c r="P29">
        <f>CORREL(INDEX(Table1[],0,MATCH(P$14,Table1[#Headers],0)),INDEX(Table1[],0,MATCH($A29,Table1[#Headers],0)))</f>
        <v>1.0000000000000002</v>
      </c>
      <c r="Q29">
        <f>CORREL(INDEX(Table1[],0,MATCH(Q$14,Table1[#Headers],0)),INDEX(Table1[],0,MATCH($A29,Table1[#Headers],0)))</f>
        <v>3.5900481275873204E-2</v>
      </c>
    </row>
    <row r="30" spans="1:17" x14ac:dyDescent="0.2">
      <c r="A30" s="7" t="s">
        <v>18</v>
      </c>
      <c r="B30">
        <f>CORREL(INDEX(Table1[],0,MATCH(B$14,Table1[#Headers],0)),INDEX(Table1[],0,MATCH($A30,Table1[#Headers],0)))</f>
        <v>0.23032935088784948</v>
      </c>
      <c r="C30">
        <f>CORREL(INDEX(Table1[],0,MATCH(C$14,Table1[#Headers],0)),INDEX(Table1[],0,MATCH($A30,Table1[#Headers],0)))</f>
        <v>0.26012976296930157</v>
      </c>
      <c r="D30">
        <f>CORREL(INDEX(Table1[],0,MATCH(D$14,Table1[#Headers],0)),INDEX(Table1[],0,MATCH($A30,Table1[#Headers],0)))</f>
        <v>0.27643852565693067</v>
      </c>
      <c r="E30">
        <f>CORREL(INDEX(Table1[],0,MATCH(E$14,Table1[#Headers],0)),INDEX(Table1[],0,MATCH($A30,Table1[#Headers],0)))</f>
        <v>-0.12660190385374759</v>
      </c>
      <c r="F30">
        <f>CORREL(INDEX(Table1[],0,MATCH(F$14,Table1[#Headers],0)),INDEX(Table1[],0,MATCH($A30,Table1[#Headers],0)))</f>
        <v>0.11742590156661721</v>
      </c>
      <c r="G30">
        <f>CORREL(INDEX(Table1[],0,MATCH(G$14,Table1[#Headers],0)),INDEX(Table1[],0,MATCH($A30,Table1[#Headers],0)))</f>
        <v>-3.9765255205799578E-2</v>
      </c>
      <c r="H30">
        <f>CORREL(INDEX(Table1[],0,MATCH(H$14,Table1[#Headers],0)),INDEX(Table1[],0,MATCH($A30,Table1[#Headers],0)))</f>
        <v>-0.39031195586408041</v>
      </c>
      <c r="I30">
        <f>CORREL(INDEX(Table1[],0,MATCH(I$14,Table1[#Headers],0)),INDEX(Table1[],0,MATCH($A30,Table1[#Headers],0)))</f>
        <v>0.14471750255002527</v>
      </c>
      <c r="J30">
        <f>CORREL(INDEX(Table1[],0,MATCH(J$14,Table1[#Headers],0)),INDEX(Table1[],0,MATCH($A30,Table1[#Headers],0)))</f>
        <v>-0.15517632307681917</v>
      </c>
      <c r="K30">
        <f>CORREL(INDEX(Table1[],0,MATCH(K$14,Table1[#Headers],0)),INDEX(Table1[],0,MATCH($A30,Table1[#Headers],0)))</f>
        <v>-6.7560617829630382E-2</v>
      </c>
      <c r="L30">
        <f>CORREL(INDEX(Table1[],0,MATCH(L$14,Table1[#Headers],0)),INDEX(Table1[],0,MATCH($A30,Table1[#Headers],0)))</f>
        <v>-1.7450864281563821E-2</v>
      </c>
      <c r="M30">
        <f>CORREL(INDEX(Table1[],0,MATCH(M$14,Table1[#Headers],0)),INDEX(Table1[],0,MATCH($A30,Table1[#Headers],0)))</f>
        <v>-0.44610089148547738</v>
      </c>
      <c r="N30">
        <f>CORREL(INDEX(Table1[],0,MATCH(N$14,Table1[#Headers],0)),INDEX(Table1[],0,MATCH($A30,Table1[#Headers],0)))</f>
        <v>-0.22929899210704435</v>
      </c>
      <c r="O30">
        <f>CORREL(INDEX(Table1[],0,MATCH(O$14,Table1[#Headers],0)),INDEX(Table1[],0,MATCH($A30,Table1[#Headers],0)))</f>
        <v>0.12624833135987418</v>
      </c>
      <c r="P30">
        <f>CORREL(INDEX(Table1[],0,MATCH(P$14,Table1[#Headers],0)),INDEX(Table1[],0,MATCH($A30,Table1[#Headers],0)))</f>
        <v>3.5900481275873204E-2</v>
      </c>
      <c r="Q30">
        <f>CORREL(INDEX(Table1[],0,MATCH(Q$14,Table1[#Headers],0)),INDEX(Table1[],0,MATCH($A30,Table1[#Headers],0)))</f>
        <v>1.0000000000000002</v>
      </c>
    </row>
    <row r="33" spans="1:17" x14ac:dyDescent="0.2">
      <c r="A33" t="s">
        <v>85</v>
      </c>
    </row>
    <row r="34" spans="1:17" x14ac:dyDescent="0.2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8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16</v>
      </c>
      <c r="P34" s="1" t="s">
        <v>17</v>
      </c>
      <c r="Q34" s="7" t="s">
        <v>18</v>
      </c>
    </row>
    <row r="35" spans="1:17" x14ac:dyDescent="0.2">
      <c r="A35" s="1" t="s">
        <v>1</v>
      </c>
      <c r="B35">
        <f>CORREL(INDEX(Table2[],0,MATCH(B$34,Table2[#Headers],0)),INDEX(Table2[],0,MATCH($A35,Table2[#Headers],0)))</f>
        <v>1</v>
      </c>
      <c r="C35">
        <f>CORREL(INDEX(Table2[],0,MATCH(C$34,Table2[#Headers],0)),INDEX(Table2[],0,MATCH($A35,Table2[#Headers],0)))</f>
        <v>0.99511599511599524</v>
      </c>
      <c r="D35">
        <f>CORREL(INDEX(Table2[],0,MATCH(D$34,Table2[#Headers],0)),INDEX(Table2[],0,MATCH($A35,Table2[#Headers],0)))</f>
        <v>0.98229548229548236</v>
      </c>
      <c r="E35">
        <f>CORREL(INDEX(Table2[],0,MATCH(E$34,Table2[#Headers],0)),INDEX(Table2[],0,MATCH($A35,Table2[#Headers],0)))</f>
        <v>-0.37421599885299944</v>
      </c>
      <c r="F35">
        <f>CORREL(INDEX(Table2[],0,MATCH(F$34,Table2[#Headers],0)),INDEX(Table2[],0,MATCH($A35,Table2[#Headers],0)))</f>
        <v>0.58865515808647062</v>
      </c>
      <c r="G35">
        <f>CORREL(INDEX(Table2[],0,MATCH(G$34,Table2[#Headers],0)),INDEX(Table2[],0,MATCH($A35,Table2[#Headers],0)))</f>
        <v>0.54717559802694993</v>
      </c>
      <c r="H35">
        <f>CORREL(INDEX(Table2[],0,MATCH(H$34,Table2[#Headers],0)),INDEX(Table2[],0,MATCH($A35,Table2[#Headers],0)))</f>
        <v>-2.6037968169343461E-2</v>
      </c>
      <c r="I35">
        <f>CORREL(INDEX(Table2[],0,MATCH(I$34,Table2[#Headers],0)),INDEX(Table2[],0,MATCH($A35,Table2[#Headers],0)))</f>
        <v>0.9185997936661553</v>
      </c>
      <c r="J35">
        <f>CORREL(INDEX(Table2[],0,MATCH(J$34,Table2[#Headers],0)),INDEX(Table2[],0,MATCH($A35,Table2[#Headers],0)))</f>
        <v>-0.88594297433521985</v>
      </c>
      <c r="K35">
        <f>CORREL(INDEX(Table2[],0,MATCH(K$34,Table2[#Headers],0)),INDEX(Table2[],0,MATCH($A35,Table2[#Headers],0)))</f>
        <v>-0.34588183576267811</v>
      </c>
      <c r="L35">
        <f>CORREL(INDEX(Table2[],0,MATCH(L$34,Table2[#Headers],0)),INDEX(Table2[],0,MATCH($A35,Table2[#Headers],0)))</f>
        <v>-0.10091325241614697</v>
      </c>
      <c r="M35">
        <f>CORREL(INDEX(Table2[],0,MATCH(M$34,Table2[#Headers],0)),INDEX(Table2[],0,MATCH($A35,Table2[#Headers],0)))</f>
        <v>-0.29140983651405133</v>
      </c>
      <c r="N35">
        <f>CORREL(INDEX(Table2[],0,MATCH(N$34,Table2[#Headers],0)),INDEX(Table2[],0,MATCH($A35,Table2[#Headers],0)))</f>
        <v>0.65533153725139925</v>
      </c>
      <c r="O35">
        <f>CORREL(INDEX(Table2[],0,MATCH(O$34,Table2[#Headers],0)),INDEX(Table2[],0,MATCH($A35,Table2[#Headers],0)))</f>
        <v>0.41774741765287987</v>
      </c>
      <c r="P35">
        <f>CORREL(INDEX(Table2[],0,MATCH(P$34,Table2[#Headers],0)),INDEX(Table2[],0,MATCH($A35,Table2[#Headers],0)))</f>
        <v>-0.13566703967740493</v>
      </c>
      <c r="Q35">
        <f>CORREL(INDEX(Table2[],0,MATCH(Q$34,Table2[#Headers],0)),INDEX(Table2[],0,MATCH($A35,Table2[#Headers],0)))</f>
        <v>0.30112889075602189</v>
      </c>
    </row>
    <row r="36" spans="1:17" x14ac:dyDescent="0.2">
      <c r="A36" s="1" t="s">
        <v>2</v>
      </c>
      <c r="B36">
        <f>CORREL(INDEX(Table2[],0,MATCH(B$34,Table2[#Headers],0)),INDEX(Table2[],0,MATCH($A36,Table2[#Headers],0)))</f>
        <v>0.99511599511599524</v>
      </c>
      <c r="C36">
        <f>CORREL(INDEX(Table2[],0,MATCH(C$34,Table2[#Headers],0)),INDEX(Table2[],0,MATCH($A36,Table2[#Headers],0)))</f>
        <v>1</v>
      </c>
      <c r="D36">
        <f>CORREL(INDEX(Table2[],0,MATCH(D$34,Table2[#Headers],0)),INDEX(Table2[],0,MATCH($A36,Table2[#Headers],0)))</f>
        <v>0.9853479853479854</v>
      </c>
      <c r="E36">
        <f>CORREL(INDEX(Table2[],0,MATCH(E$34,Table2[#Headers],0)),INDEX(Table2[],0,MATCH($A36,Table2[#Headers],0)))</f>
        <v>-0.38653957793169252</v>
      </c>
      <c r="F36">
        <f>CORREL(INDEX(Table2[],0,MATCH(F$34,Table2[#Headers],0)),INDEX(Table2[],0,MATCH($A36,Table2[#Headers],0)))</f>
        <v>0.60947953089371498</v>
      </c>
      <c r="G36">
        <f>CORREL(INDEX(Table2[],0,MATCH(G$34,Table2[#Headers],0)),INDEX(Table2[],0,MATCH($A36,Table2[#Headers],0)))</f>
        <v>0.53343513937113929</v>
      </c>
      <c r="H36">
        <f>CORREL(INDEX(Table2[],0,MATCH(H$34,Table2[#Headers],0)),INDEX(Table2[],0,MATCH($A36,Table2[#Headers],0)))</f>
        <v>-3.211349407552358E-2</v>
      </c>
      <c r="I36">
        <f>CORREL(INDEX(Table2[],0,MATCH(I$34,Table2[#Headers],0)),INDEX(Table2[],0,MATCH($A36,Table2[#Headers],0)))</f>
        <v>0.93192161005419438</v>
      </c>
      <c r="J36">
        <f>CORREL(INDEX(Table2[],0,MATCH(J$34,Table2[#Headers],0)),INDEX(Table2[],0,MATCH($A36,Table2[#Headers],0)))</f>
        <v>-0.87927947162227116</v>
      </c>
      <c r="K36">
        <f>CORREL(INDEX(Table2[],0,MATCH(K$34,Table2[#Headers],0)),INDEX(Table2[],0,MATCH($A36,Table2[#Headers],0)))</f>
        <v>-0.35320854719983996</v>
      </c>
      <c r="L36">
        <f>CORREL(INDEX(Table2[],0,MATCH(L$34,Table2[#Headers],0)),INDEX(Table2[],0,MATCH($A36,Table2[#Headers],0)))</f>
        <v>-0.11714199183979634</v>
      </c>
      <c r="M36">
        <f>CORREL(INDEX(Table2[],0,MATCH(M$34,Table2[#Headers],0)),INDEX(Table2[],0,MATCH($A36,Table2[#Headers],0)))</f>
        <v>-0.31109969033256824</v>
      </c>
      <c r="N36">
        <f>CORREL(INDEX(Table2[],0,MATCH(N$34,Table2[#Headers],0)),INDEX(Table2[],0,MATCH($A36,Table2[#Headers],0)))</f>
        <v>0.63780930363505162</v>
      </c>
      <c r="O36">
        <f>CORREL(INDEX(Table2[],0,MATCH(O$34,Table2[#Headers],0)),INDEX(Table2[],0,MATCH($A36,Table2[#Headers],0)))</f>
        <v>0.42698434343550434</v>
      </c>
      <c r="P36">
        <f>CORREL(INDEX(Table2[],0,MATCH(P$34,Table2[#Headers],0)),INDEX(Table2[],0,MATCH($A36,Table2[#Headers],0)))</f>
        <v>-0.12102456182675995</v>
      </c>
      <c r="Q36">
        <f>CORREL(INDEX(Table2[],0,MATCH(Q$34,Table2[#Headers],0)),INDEX(Table2[],0,MATCH($A36,Table2[#Headers],0)))</f>
        <v>0.32797726196831162</v>
      </c>
    </row>
    <row r="37" spans="1:17" x14ac:dyDescent="0.2">
      <c r="A37" s="1" t="s">
        <v>3</v>
      </c>
      <c r="B37">
        <f>CORREL(INDEX(Table2[],0,MATCH(B$34,Table2[#Headers],0)),INDEX(Table2[],0,MATCH($A37,Table2[#Headers],0)))</f>
        <v>0.98229548229548236</v>
      </c>
      <c r="C37">
        <f>CORREL(INDEX(Table2[],0,MATCH(C$34,Table2[#Headers],0)),INDEX(Table2[],0,MATCH($A37,Table2[#Headers],0)))</f>
        <v>0.9853479853479854</v>
      </c>
      <c r="D37">
        <f>CORREL(INDEX(Table2[],0,MATCH(D$34,Table2[#Headers],0)),INDEX(Table2[],0,MATCH($A37,Table2[#Headers],0)))</f>
        <v>1</v>
      </c>
      <c r="E37">
        <f>CORREL(INDEX(Table2[],0,MATCH(E$34,Table2[#Headers],0)),INDEX(Table2[],0,MATCH($A37,Table2[#Headers],0)))</f>
        <v>-0.31049407776317139</v>
      </c>
      <c r="F37">
        <f>CORREL(INDEX(Table2[],0,MATCH(F$34,Table2[#Headers],0)),INDEX(Table2[],0,MATCH($A37,Table2[#Headers],0)))</f>
        <v>0.60009389807918234</v>
      </c>
      <c r="G37">
        <f>CORREL(INDEX(Table2[],0,MATCH(G$34,Table2[#Headers],0)),INDEX(Table2[],0,MATCH($A37,Table2[#Headers],0)))</f>
        <v>0.57770995059541819</v>
      </c>
      <c r="H37">
        <f>CORREL(INDEX(Table2[],0,MATCH(H$34,Table2[#Headers],0)),INDEX(Table2[],0,MATCH($A37,Table2[#Headers],0)))</f>
        <v>-2.8352454228840633E-2</v>
      </c>
      <c r="I37">
        <f>CORREL(INDEX(Table2[],0,MATCH(I$34,Table2[#Headers],0)),INDEX(Table2[],0,MATCH($A37,Table2[#Headers],0)))</f>
        <v>0.92526070186017473</v>
      </c>
      <c r="J37">
        <f>CORREL(INDEX(Table2[],0,MATCH(J$34,Table2[#Headers],0)),INDEX(Table2[],0,MATCH($A37,Table2[#Headers],0)))</f>
        <v>-0.87746215270055816</v>
      </c>
      <c r="K37">
        <f>CORREL(INDEX(Table2[],0,MATCH(K$34,Table2[#Headers],0)),INDEX(Table2[],0,MATCH($A37,Table2[#Headers],0)))</f>
        <v>-0.29764765213469652</v>
      </c>
      <c r="L37">
        <f>CORREL(INDEX(Table2[],0,MATCH(L$34,Table2[#Headers],0)),INDEX(Table2[],0,MATCH($A37,Table2[#Headers],0)))</f>
        <v>-7.140645346405726E-2</v>
      </c>
      <c r="M37">
        <f>CORREL(INDEX(Table2[],0,MATCH(M$34,Table2[#Headers],0)),INDEX(Table2[],0,MATCH($A37,Table2[#Headers],0)))</f>
        <v>-0.32750790184799911</v>
      </c>
      <c r="N37">
        <f>CORREL(INDEX(Table2[],0,MATCH(N$34,Table2[#Headers],0)),INDEX(Table2[],0,MATCH($A37,Table2[#Headers],0)))</f>
        <v>0.59049927287091319</v>
      </c>
      <c r="O37">
        <f>CORREL(INDEX(Table2[],0,MATCH(O$34,Table2[#Headers],0)),INDEX(Table2[],0,MATCH($A37,Table2[#Headers],0)))</f>
        <v>0.4380090613050881</v>
      </c>
      <c r="P37">
        <f>CORREL(INDEX(Table2[],0,MATCH(P$34,Table2[#Headers],0)),INDEX(Table2[],0,MATCH($A37,Table2[#Headers],0)))</f>
        <v>-0.15778016949266485</v>
      </c>
      <c r="Q37">
        <f>CORREL(INDEX(Table2[],0,MATCH(Q$34,Table2[#Headers],0)),INDEX(Table2[],0,MATCH($A37,Table2[#Headers],0)))</f>
        <v>0.34597787448564232</v>
      </c>
    </row>
    <row r="38" spans="1:17" x14ac:dyDescent="0.2">
      <c r="A38" s="1" t="s">
        <v>4</v>
      </c>
      <c r="B38">
        <f>CORREL(INDEX(Table2[],0,MATCH(B$34,Table2[#Headers],0)),INDEX(Table2[],0,MATCH($A38,Table2[#Headers],0)))</f>
        <v>-0.37421599885299944</v>
      </c>
      <c r="C38">
        <f>CORREL(INDEX(Table2[],0,MATCH(C$34,Table2[#Headers],0)),INDEX(Table2[],0,MATCH($A38,Table2[#Headers],0)))</f>
        <v>-0.38653957793169252</v>
      </c>
      <c r="D38">
        <f>CORREL(INDEX(Table2[],0,MATCH(D$34,Table2[#Headers],0)),INDEX(Table2[],0,MATCH($A38,Table2[#Headers],0)))</f>
        <v>-0.31049407776317139</v>
      </c>
      <c r="E38">
        <f>CORREL(INDEX(Table2[],0,MATCH(E$34,Table2[#Headers],0)),INDEX(Table2[],0,MATCH($A38,Table2[#Headers],0)))</f>
        <v>1.0000000000000002</v>
      </c>
      <c r="F38">
        <f>CORREL(INDEX(Table2[],0,MATCH(F$34,Table2[#Headers],0)),INDEX(Table2[],0,MATCH($A38,Table2[#Headers],0)))</f>
        <v>1.8759415522288561E-2</v>
      </c>
      <c r="G38">
        <f>CORREL(INDEX(Table2[],0,MATCH(G$34,Table2[#Headers],0)),INDEX(Table2[],0,MATCH($A38,Table2[#Headers],0)))</f>
        <v>7.3100616701364085E-2</v>
      </c>
      <c r="H38">
        <f>CORREL(INDEX(Table2[],0,MATCH(H$34,Table2[#Headers],0)),INDEX(Table2[],0,MATCH($A38,Table2[#Headers],0)))</f>
        <v>0.32580119925289563</v>
      </c>
      <c r="I38">
        <f>CORREL(INDEX(Table2[],0,MATCH(I$34,Table2[#Headers],0)),INDEX(Table2[],0,MATCH($A38,Table2[#Headers],0)))</f>
        <v>-0.32462023021937358</v>
      </c>
      <c r="J38">
        <f>CORREL(INDEX(Table2[],0,MATCH(J$34,Table2[#Headers],0)),INDEX(Table2[],0,MATCH($A38,Table2[#Headers],0)))</f>
        <v>0.22448292913133877</v>
      </c>
      <c r="K38">
        <f>CORREL(INDEX(Table2[],0,MATCH(K$34,Table2[#Headers],0)),INDEX(Table2[],0,MATCH($A38,Table2[#Headers],0)))</f>
        <v>0.31597699542016905</v>
      </c>
      <c r="L38">
        <f>CORREL(INDEX(Table2[],0,MATCH(L$34,Table2[#Headers],0)),INDEX(Table2[],0,MATCH($A38,Table2[#Headers],0)))</f>
        <v>0.45359634147069783</v>
      </c>
      <c r="M38">
        <f>CORREL(INDEX(Table2[],0,MATCH(M$34,Table2[#Headers],0)),INDEX(Table2[],0,MATCH($A38,Table2[#Headers],0)))</f>
        <v>0.27909843029869352</v>
      </c>
      <c r="N38">
        <f>CORREL(INDEX(Table2[],0,MATCH(N$34,Table2[#Headers],0)),INDEX(Table2[],0,MATCH($A38,Table2[#Headers],0)))</f>
        <v>-0.36587206968420311</v>
      </c>
      <c r="O38">
        <f>CORREL(INDEX(Table2[],0,MATCH(O$34,Table2[#Headers],0)),INDEX(Table2[],0,MATCH($A38,Table2[#Headers],0)))</f>
        <v>6.0767536081700303E-2</v>
      </c>
      <c r="P38">
        <f>CORREL(INDEX(Table2[],0,MATCH(P$34,Table2[#Headers],0)),INDEX(Table2[],0,MATCH($A38,Table2[#Headers],0)))</f>
        <v>-0.37117770965326535</v>
      </c>
      <c r="Q38">
        <f>CORREL(INDEX(Table2[],0,MATCH(Q$34,Table2[#Headers],0)),INDEX(Table2[],0,MATCH($A38,Table2[#Headers],0)))</f>
        <v>-0.21146634114007448</v>
      </c>
    </row>
    <row r="39" spans="1:17" x14ac:dyDescent="0.2">
      <c r="A39" s="1" t="s">
        <v>5</v>
      </c>
      <c r="B39">
        <f>CORREL(INDEX(Table2[],0,MATCH(B$34,Table2[#Headers],0)),INDEX(Table2[],0,MATCH($A39,Table2[#Headers],0)))</f>
        <v>0.58865515808647062</v>
      </c>
      <c r="C39">
        <f>CORREL(INDEX(Table2[],0,MATCH(C$34,Table2[#Headers],0)),INDEX(Table2[],0,MATCH($A39,Table2[#Headers],0)))</f>
        <v>0.60947953089371498</v>
      </c>
      <c r="D39">
        <f>CORREL(INDEX(Table2[],0,MATCH(D$34,Table2[#Headers],0)),INDEX(Table2[],0,MATCH($A39,Table2[#Headers],0)))</f>
        <v>0.60009389807918234</v>
      </c>
      <c r="E39">
        <f>CORREL(INDEX(Table2[],0,MATCH(E$34,Table2[#Headers],0)),INDEX(Table2[],0,MATCH($A39,Table2[#Headers],0)))</f>
        <v>1.8759415522288561E-2</v>
      </c>
      <c r="F39">
        <f>CORREL(INDEX(Table2[],0,MATCH(F$34,Table2[#Headers],0)),INDEX(Table2[],0,MATCH($A39,Table2[#Headers],0)))</f>
        <v>0.99999999999999978</v>
      </c>
      <c r="G39">
        <f>CORREL(INDEX(Table2[],0,MATCH(G$34,Table2[#Headers],0)),INDEX(Table2[],0,MATCH($A39,Table2[#Headers],0)))</f>
        <v>0.46904959305279964</v>
      </c>
      <c r="H39">
        <f>CORREL(INDEX(Table2[],0,MATCH(H$34,Table2[#Headers],0)),INDEX(Table2[],0,MATCH($A39,Table2[#Headers],0)))</f>
        <v>1.2193451272130744E-2</v>
      </c>
      <c r="I39">
        <f>CORREL(INDEX(Table2[],0,MATCH(I$34,Table2[#Headers],0)),INDEX(Table2[],0,MATCH($A39,Table2[#Headers],0)))</f>
        <v>0.55585988620317095</v>
      </c>
      <c r="J39">
        <f>CORREL(INDEX(Table2[],0,MATCH(J$34,Table2[#Headers],0)),INDEX(Table2[],0,MATCH($A39,Table2[#Headers],0)))</f>
        <v>-0.57573155425736855</v>
      </c>
      <c r="K39">
        <f>CORREL(INDEX(Table2[],0,MATCH(K$34,Table2[#Headers],0)),INDEX(Table2[],0,MATCH($A39,Table2[#Headers],0)))</f>
        <v>-0.22248782662717317</v>
      </c>
      <c r="L39">
        <f>CORREL(INDEX(Table2[],0,MATCH(L$34,Table2[#Headers],0)),INDEX(Table2[],0,MATCH($A39,Table2[#Headers],0)))</f>
        <v>2.6954637554155624E-2</v>
      </c>
      <c r="M39">
        <f>CORREL(INDEX(Table2[],0,MATCH(M$34,Table2[#Headers],0)),INDEX(Table2[],0,MATCH($A39,Table2[#Headers],0)))</f>
        <v>0.12538193515765417</v>
      </c>
      <c r="N39">
        <f>CORREL(INDEX(Table2[],0,MATCH(N$34,Table2[#Headers],0)),INDEX(Table2[],0,MATCH($A39,Table2[#Headers],0)))</f>
        <v>0.12058824192473841</v>
      </c>
      <c r="O39">
        <f>CORREL(INDEX(Table2[],0,MATCH(O$34,Table2[#Headers],0)),INDEX(Table2[],0,MATCH($A39,Table2[#Headers],0)))</f>
        <v>0.47224722357414173</v>
      </c>
      <c r="P39">
        <f>CORREL(INDEX(Table2[],0,MATCH(P$34,Table2[#Headers],0)),INDEX(Table2[],0,MATCH($A39,Table2[#Headers],0)))</f>
        <v>-7.3094302691302626E-2</v>
      </c>
      <c r="Q39">
        <f>CORREL(INDEX(Table2[],0,MATCH(Q$34,Table2[#Headers],0)),INDEX(Table2[],0,MATCH($A39,Table2[#Headers],0)))</f>
        <v>0.17983421630888335</v>
      </c>
    </row>
    <row r="40" spans="1:17" x14ac:dyDescent="0.2">
      <c r="A40" s="1" t="s">
        <v>8</v>
      </c>
      <c r="B40">
        <f>CORREL(INDEX(Table2[],0,MATCH(B$34,Table2[#Headers],0)),INDEX(Table2[],0,MATCH($A40,Table2[#Headers],0)))</f>
        <v>0.54717559802694993</v>
      </c>
      <c r="C40">
        <f>CORREL(INDEX(Table2[],0,MATCH(C$34,Table2[#Headers],0)),INDEX(Table2[],0,MATCH($A40,Table2[#Headers],0)))</f>
        <v>0.53343513937113929</v>
      </c>
      <c r="D40">
        <f>CORREL(INDEX(Table2[],0,MATCH(D$34,Table2[#Headers],0)),INDEX(Table2[],0,MATCH($A40,Table2[#Headers],0)))</f>
        <v>0.57770995059541819</v>
      </c>
      <c r="E40">
        <f>CORREL(INDEX(Table2[],0,MATCH(E$34,Table2[#Headers],0)),INDEX(Table2[],0,MATCH($A40,Table2[#Headers],0)))</f>
        <v>7.3100616701364085E-2</v>
      </c>
      <c r="F40">
        <f>CORREL(INDEX(Table2[],0,MATCH(F$34,Table2[#Headers],0)),INDEX(Table2[],0,MATCH($A40,Table2[#Headers],0)))</f>
        <v>0.46904959305279964</v>
      </c>
      <c r="G40">
        <f>CORREL(INDEX(Table2[],0,MATCH(G$34,Table2[#Headers],0)),INDEX(Table2[],0,MATCH($A40,Table2[#Headers],0)))</f>
        <v>1</v>
      </c>
      <c r="H40">
        <f>CORREL(INDEX(Table2[],0,MATCH(H$34,Table2[#Headers],0)),INDEX(Table2[],0,MATCH($A40,Table2[#Headers],0)))</f>
        <v>9.6151220279849944E-2</v>
      </c>
      <c r="I40">
        <f>CORREL(INDEX(Table2[],0,MATCH(I$34,Table2[#Headers],0)),INDEX(Table2[],0,MATCH($A40,Table2[#Headers],0)))</f>
        <v>0.54421025855136307</v>
      </c>
      <c r="J40">
        <f>CORREL(INDEX(Table2[],0,MATCH(J$34,Table2[#Headers],0)),INDEX(Table2[],0,MATCH($A40,Table2[#Headers],0)))</f>
        <v>-0.48791187954780457</v>
      </c>
      <c r="K40">
        <f>CORREL(INDEX(Table2[],0,MATCH(K$34,Table2[#Headers],0)),INDEX(Table2[],0,MATCH($A40,Table2[#Headers],0)))</f>
        <v>2.6394468106447397E-2</v>
      </c>
      <c r="L40">
        <f>CORREL(INDEX(Table2[],0,MATCH(L$34,Table2[#Headers],0)),INDEX(Table2[],0,MATCH($A40,Table2[#Headers],0)))</f>
        <v>0.20474358238916796</v>
      </c>
      <c r="M40">
        <f>CORREL(INDEX(Table2[],0,MATCH(M$34,Table2[#Headers],0)),INDEX(Table2[],0,MATCH($A40,Table2[#Headers],0)))</f>
        <v>-0.18692185674575726</v>
      </c>
      <c r="N40">
        <f>CORREL(INDEX(Table2[],0,MATCH(N$34,Table2[#Headers],0)),INDEX(Table2[],0,MATCH($A40,Table2[#Headers],0)))</f>
        <v>0.34038312583494312</v>
      </c>
      <c r="O40">
        <f>CORREL(INDEX(Table2[],0,MATCH(O$34,Table2[#Headers],0)),INDEX(Table2[],0,MATCH($A40,Table2[#Headers],0)))</f>
        <v>0.13716005519674371</v>
      </c>
      <c r="P40">
        <f>CORREL(INDEX(Table2[],0,MATCH(P$34,Table2[#Headers],0)),INDEX(Table2[],0,MATCH($A40,Table2[#Headers],0)))</f>
        <v>-1.2690381569408313E-2</v>
      </c>
      <c r="Q40">
        <f>CORREL(INDEX(Table2[],0,MATCH(Q$34,Table2[#Headers],0)),INDEX(Table2[],0,MATCH($A40,Table2[#Headers],0)))</f>
        <v>-2.5005057556290521E-2</v>
      </c>
    </row>
    <row r="41" spans="1:17" x14ac:dyDescent="0.2">
      <c r="A41" s="1" t="s">
        <v>9</v>
      </c>
      <c r="B41">
        <f>CORREL(INDEX(Table2[],0,MATCH(B$34,Table2[#Headers],0)),INDEX(Table2[],0,MATCH($A41,Table2[#Headers],0)))</f>
        <v>-2.6037968169343461E-2</v>
      </c>
      <c r="C41">
        <f>CORREL(INDEX(Table2[],0,MATCH(C$34,Table2[#Headers],0)),INDEX(Table2[],0,MATCH($A41,Table2[#Headers],0)))</f>
        <v>-3.211349407552358E-2</v>
      </c>
      <c r="D41">
        <f>CORREL(INDEX(Table2[],0,MATCH(D$34,Table2[#Headers],0)),INDEX(Table2[],0,MATCH($A41,Table2[#Headers],0)))</f>
        <v>-2.8352454228840633E-2</v>
      </c>
      <c r="E41">
        <f>CORREL(INDEX(Table2[],0,MATCH(E$34,Table2[#Headers],0)),INDEX(Table2[],0,MATCH($A41,Table2[#Headers],0)))</f>
        <v>0.32580119925289563</v>
      </c>
      <c r="F41">
        <f>CORREL(INDEX(Table2[],0,MATCH(F$34,Table2[#Headers],0)),INDEX(Table2[],0,MATCH($A41,Table2[#Headers],0)))</f>
        <v>1.2193451272130744E-2</v>
      </c>
      <c r="G41">
        <f>CORREL(INDEX(Table2[],0,MATCH(G$34,Table2[#Headers],0)),INDEX(Table2[],0,MATCH($A41,Table2[#Headers],0)))</f>
        <v>9.6151220279849944E-2</v>
      </c>
      <c r="H41">
        <f>CORREL(INDEX(Table2[],0,MATCH(H$34,Table2[#Headers],0)),INDEX(Table2[],0,MATCH($A41,Table2[#Headers],0)))</f>
        <v>1</v>
      </c>
      <c r="I41">
        <f>CORREL(INDEX(Table2[],0,MATCH(I$34,Table2[#Headers],0)),INDEX(Table2[],0,MATCH($A41,Table2[#Headers],0)))</f>
        <v>-0.25277289232542016</v>
      </c>
      <c r="J41">
        <f>CORREL(INDEX(Table2[],0,MATCH(J$34,Table2[#Headers],0)),INDEX(Table2[],0,MATCH($A41,Table2[#Headers],0)))</f>
        <v>0.22433101802203628</v>
      </c>
      <c r="K41">
        <f>CORREL(INDEX(Table2[],0,MATCH(K$34,Table2[#Headers],0)),INDEX(Table2[],0,MATCH($A41,Table2[#Headers],0)))</f>
        <v>0.17456054775901031</v>
      </c>
      <c r="L41">
        <f>CORREL(INDEX(Table2[],0,MATCH(L$34,Table2[#Headers],0)),INDEX(Table2[],0,MATCH($A41,Table2[#Headers],0)))</f>
        <v>-1.2089560687813724E-2</v>
      </c>
      <c r="M41">
        <f>CORREL(INDEX(Table2[],0,MATCH(M$34,Table2[#Headers],0)),INDEX(Table2[],0,MATCH($A41,Table2[#Headers],0)))</f>
        <v>3.3439763812066772E-2</v>
      </c>
      <c r="N41">
        <f>CORREL(INDEX(Table2[],0,MATCH(N$34,Table2[#Headers],0)),INDEX(Table2[],0,MATCH($A41,Table2[#Headers],0)))</f>
        <v>-0.158379604998174</v>
      </c>
      <c r="O41">
        <f>CORREL(INDEX(Table2[],0,MATCH(O$34,Table2[#Headers],0)),INDEX(Table2[],0,MATCH($A41,Table2[#Headers],0)))</f>
        <v>0.21238836563827862</v>
      </c>
      <c r="P41">
        <f>CORREL(INDEX(Table2[],0,MATCH(P$34,Table2[#Headers],0)),INDEX(Table2[],0,MATCH($A41,Table2[#Headers],0)))</f>
        <v>-0.33078308623931563</v>
      </c>
      <c r="Q41">
        <f>CORREL(INDEX(Table2[],0,MATCH(Q$34,Table2[#Headers],0)),INDEX(Table2[],0,MATCH($A41,Table2[#Headers],0)))</f>
        <v>-0.25155084782677123</v>
      </c>
    </row>
    <row r="42" spans="1:17" x14ac:dyDescent="0.2">
      <c r="A42" s="1" t="s">
        <v>10</v>
      </c>
      <c r="B42">
        <f>CORREL(INDEX(Table2[],0,MATCH(B$34,Table2[#Headers],0)),INDEX(Table2[],0,MATCH($A42,Table2[#Headers],0)))</f>
        <v>0.9185997936661553</v>
      </c>
      <c r="C42">
        <f>CORREL(INDEX(Table2[],0,MATCH(C$34,Table2[#Headers],0)),INDEX(Table2[],0,MATCH($A42,Table2[#Headers],0)))</f>
        <v>0.93192161005419438</v>
      </c>
      <c r="D42">
        <f>CORREL(INDEX(Table2[],0,MATCH(D$34,Table2[#Headers],0)),INDEX(Table2[],0,MATCH($A42,Table2[#Headers],0)))</f>
        <v>0.92526070186017473</v>
      </c>
      <c r="E42">
        <f>CORREL(INDEX(Table2[],0,MATCH(E$34,Table2[#Headers],0)),INDEX(Table2[],0,MATCH($A42,Table2[#Headers],0)))</f>
        <v>-0.32462023021937358</v>
      </c>
      <c r="F42">
        <f>CORREL(INDEX(Table2[],0,MATCH(F$34,Table2[#Headers],0)),INDEX(Table2[],0,MATCH($A42,Table2[#Headers],0)))</f>
        <v>0.55585988620317095</v>
      </c>
      <c r="G42">
        <f>CORREL(INDEX(Table2[],0,MATCH(G$34,Table2[#Headers],0)),INDEX(Table2[],0,MATCH($A42,Table2[#Headers],0)))</f>
        <v>0.54421025855136307</v>
      </c>
      <c r="H42">
        <f>CORREL(INDEX(Table2[],0,MATCH(H$34,Table2[#Headers],0)),INDEX(Table2[],0,MATCH($A42,Table2[#Headers],0)))</f>
        <v>-0.25277289232542016</v>
      </c>
      <c r="I42">
        <f>CORREL(INDEX(Table2[],0,MATCH(I$34,Table2[#Headers],0)),INDEX(Table2[],0,MATCH($A42,Table2[#Headers],0)))</f>
        <v>1.0000000000000002</v>
      </c>
      <c r="J42">
        <f>CORREL(INDEX(Table2[],0,MATCH(J$34,Table2[#Headers],0)),INDEX(Table2[],0,MATCH($A42,Table2[#Headers],0)))</f>
        <v>-0.89423738343706038</v>
      </c>
      <c r="K42">
        <f>CORREL(INDEX(Table2[],0,MATCH(K$34,Table2[#Headers],0)),INDEX(Table2[],0,MATCH($A42,Table2[#Headers],0)))</f>
        <v>-0.25246173676067646</v>
      </c>
      <c r="L42">
        <f>CORREL(INDEX(Table2[],0,MATCH(L$34,Table2[#Headers],0)),INDEX(Table2[],0,MATCH($A42,Table2[#Headers],0)))</f>
        <v>-6.1100758803976613E-2</v>
      </c>
      <c r="M42">
        <f>CORREL(INDEX(Table2[],0,MATCH(M$34,Table2[#Headers],0)),INDEX(Table2[],0,MATCH($A42,Table2[#Headers],0)))</f>
        <v>-0.21603717917866472</v>
      </c>
      <c r="N42">
        <f>CORREL(INDEX(Table2[],0,MATCH(N$34,Table2[#Headers],0)),INDEX(Table2[],0,MATCH($A42,Table2[#Headers],0)))</f>
        <v>0.6237505349165694</v>
      </c>
      <c r="O42">
        <f>CORREL(INDEX(Table2[],0,MATCH(O$34,Table2[#Headers],0)),INDEX(Table2[],0,MATCH($A42,Table2[#Headers],0)))</f>
        <v>0.36455532183153655</v>
      </c>
      <c r="P42">
        <f>CORREL(INDEX(Table2[],0,MATCH(P$34,Table2[#Headers],0)),INDEX(Table2[],0,MATCH($A42,Table2[#Headers],0)))</f>
        <v>-0.13774357347490612</v>
      </c>
      <c r="Q42">
        <f>CORREL(INDEX(Table2[],0,MATCH(Q$34,Table2[#Headers],0)),INDEX(Table2[],0,MATCH($A42,Table2[#Headers],0)))</f>
        <v>0.35500256150505394</v>
      </c>
    </row>
    <row r="43" spans="1:17" x14ac:dyDescent="0.2">
      <c r="A43" s="1" t="s">
        <v>11</v>
      </c>
      <c r="B43">
        <f>CORREL(INDEX(Table2[],0,MATCH(B$34,Table2[#Headers],0)),INDEX(Table2[],0,MATCH($A43,Table2[#Headers],0)))</f>
        <v>-0.88594297433521985</v>
      </c>
      <c r="C43">
        <f>CORREL(INDEX(Table2[],0,MATCH(C$34,Table2[#Headers],0)),INDEX(Table2[],0,MATCH($A43,Table2[#Headers],0)))</f>
        <v>-0.87927947162227116</v>
      </c>
      <c r="D43">
        <f>CORREL(INDEX(Table2[],0,MATCH(D$34,Table2[#Headers],0)),INDEX(Table2[],0,MATCH($A43,Table2[#Headers],0)))</f>
        <v>-0.87746215270055816</v>
      </c>
      <c r="E43">
        <f>CORREL(INDEX(Table2[],0,MATCH(E$34,Table2[#Headers],0)),INDEX(Table2[],0,MATCH($A43,Table2[#Headers],0)))</f>
        <v>0.22448292913133877</v>
      </c>
      <c r="F43">
        <f>CORREL(INDEX(Table2[],0,MATCH(F$34,Table2[#Headers],0)),INDEX(Table2[],0,MATCH($A43,Table2[#Headers],0)))</f>
        <v>-0.57573155425736855</v>
      </c>
      <c r="G43">
        <f>CORREL(INDEX(Table2[],0,MATCH(G$34,Table2[#Headers],0)),INDEX(Table2[],0,MATCH($A43,Table2[#Headers],0)))</f>
        <v>-0.48791187954780457</v>
      </c>
      <c r="H43">
        <f>CORREL(INDEX(Table2[],0,MATCH(H$34,Table2[#Headers],0)),INDEX(Table2[],0,MATCH($A43,Table2[#Headers],0)))</f>
        <v>0.22433101802203628</v>
      </c>
      <c r="I43">
        <f>CORREL(INDEX(Table2[],0,MATCH(I$34,Table2[#Headers],0)),INDEX(Table2[],0,MATCH($A43,Table2[#Headers],0)))</f>
        <v>-0.89423738343706038</v>
      </c>
      <c r="J43">
        <f>CORREL(INDEX(Table2[],0,MATCH(J$34,Table2[#Headers],0)),INDEX(Table2[],0,MATCH($A43,Table2[#Headers],0)))</f>
        <v>1</v>
      </c>
      <c r="K43">
        <f>CORREL(INDEX(Table2[],0,MATCH(K$34,Table2[#Headers],0)),INDEX(Table2[],0,MATCH($A43,Table2[#Headers],0)))</f>
        <v>0.28479178255939147</v>
      </c>
      <c r="L43">
        <f>CORREL(INDEX(Table2[],0,MATCH(L$34,Table2[#Headers],0)),INDEX(Table2[],0,MATCH($A43,Table2[#Headers],0)))</f>
        <v>3.5825925809889553E-2</v>
      </c>
      <c r="M43">
        <f>CORREL(INDEX(Table2[],0,MATCH(M$34,Table2[#Headers],0)),INDEX(Table2[],0,MATCH($A43,Table2[#Headers],0)))</f>
        <v>-8.0480138009814906E-2</v>
      </c>
      <c r="N43">
        <f>CORREL(INDEX(Table2[],0,MATCH(N$34,Table2[#Headers],0)),INDEX(Table2[],0,MATCH($A43,Table2[#Headers],0)))</f>
        <v>-0.5974922184326088</v>
      </c>
      <c r="O43">
        <f>CORREL(INDEX(Table2[],0,MATCH(O$34,Table2[#Headers],0)),INDEX(Table2[],0,MATCH($A43,Table2[#Headers],0)))</f>
        <v>-0.56515893585959698</v>
      </c>
      <c r="P43">
        <f>CORREL(INDEX(Table2[],0,MATCH(P$34,Table2[#Headers],0)),INDEX(Table2[],0,MATCH($A43,Table2[#Headers],0)))</f>
        <v>0.22854459637885077</v>
      </c>
      <c r="Q43">
        <f>CORREL(INDEX(Table2[],0,MATCH(Q$34,Table2[#Headers],0)),INDEX(Table2[],0,MATCH($A43,Table2[#Headers],0)))</f>
        <v>-0.17482066406315186</v>
      </c>
    </row>
    <row r="44" spans="1:17" x14ac:dyDescent="0.2">
      <c r="A44" s="1" t="s">
        <v>12</v>
      </c>
      <c r="B44">
        <f>CORREL(INDEX(Table2[],0,MATCH(B$34,Table2[#Headers],0)),INDEX(Table2[],0,MATCH($A44,Table2[#Headers],0)))</f>
        <v>-0.34588183576267811</v>
      </c>
      <c r="C44">
        <f>CORREL(INDEX(Table2[],0,MATCH(C$34,Table2[#Headers],0)),INDEX(Table2[],0,MATCH($A44,Table2[#Headers],0)))</f>
        <v>-0.35320854719983996</v>
      </c>
      <c r="D44">
        <f>CORREL(INDEX(Table2[],0,MATCH(D$34,Table2[#Headers],0)),INDEX(Table2[],0,MATCH($A44,Table2[#Headers],0)))</f>
        <v>-0.29764765213469652</v>
      </c>
      <c r="E44">
        <f>CORREL(INDEX(Table2[],0,MATCH(E$34,Table2[#Headers],0)),INDEX(Table2[],0,MATCH($A44,Table2[#Headers],0)))</f>
        <v>0.31597699542016905</v>
      </c>
      <c r="F44">
        <f>CORREL(INDEX(Table2[],0,MATCH(F$34,Table2[#Headers],0)),INDEX(Table2[],0,MATCH($A44,Table2[#Headers],0)))</f>
        <v>-0.22248782662717317</v>
      </c>
      <c r="G44">
        <f>CORREL(INDEX(Table2[],0,MATCH(G$34,Table2[#Headers],0)),INDEX(Table2[],0,MATCH($A44,Table2[#Headers],0)))</f>
        <v>2.6394468106447397E-2</v>
      </c>
      <c r="H44">
        <f>CORREL(INDEX(Table2[],0,MATCH(H$34,Table2[#Headers],0)),INDEX(Table2[],0,MATCH($A44,Table2[#Headers],0)))</f>
        <v>0.17456054775901031</v>
      </c>
      <c r="I44">
        <f>CORREL(INDEX(Table2[],0,MATCH(I$34,Table2[#Headers],0)),INDEX(Table2[],0,MATCH($A44,Table2[#Headers],0)))</f>
        <v>-0.25246173676067646</v>
      </c>
      <c r="J44">
        <f>CORREL(INDEX(Table2[],0,MATCH(J$34,Table2[#Headers],0)),INDEX(Table2[],0,MATCH($A44,Table2[#Headers],0)))</f>
        <v>0.28479178255939147</v>
      </c>
      <c r="K44">
        <f>CORREL(INDEX(Table2[],0,MATCH(K$34,Table2[#Headers],0)),INDEX(Table2[],0,MATCH($A44,Table2[#Headers],0)))</f>
        <v>1</v>
      </c>
      <c r="L44">
        <f>CORREL(INDEX(Table2[],0,MATCH(L$34,Table2[#Headers],0)),INDEX(Table2[],0,MATCH($A44,Table2[#Headers],0)))</f>
        <v>0.20452995695293835</v>
      </c>
      <c r="M44">
        <f>CORREL(INDEX(Table2[],0,MATCH(M$34,Table2[#Headers],0)),INDEX(Table2[],0,MATCH($A44,Table2[#Headers],0)))</f>
        <v>-5.0110149225869718E-2</v>
      </c>
      <c r="N44">
        <f>CORREL(INDEX(Table2[],0,MATCH(N$34,Table2[#Headers],0)),INDEX(Table2[],0,MATCH($A44,Table2[#Headers],0)))</f>
        <v>-0.30147963571404002</v>
      </c>
      <c r="O44">
        <f>CORREL(INDEX(Table2[],0,MATCH(O$34,Table2[#Headers],0)),INDEX(Table2[],0,MATCH($A44,Table2[#Headers],0)))</f>
        <v>-0.21159124221622619</v>
      </c>
      <c r="P44">
        <f>CORREL(INDEX(Table2[],0,MATCH(P$34,Table2[#Headers],0)),INDEX(Table2[],0,MATCH($A44,Table2[#Headers],0)))</f>
        <v>-0.3883038465867662</v>
      </c>
      <c r="Q44">
        <f>CORREL(INDEX(Table2[],0,MATCH(Q$34,Table2[#Headers],0)),INDEX(Table2[],0,MATCH($A44,Table2[#Headers],0)))</f>
        <v>-0.1083053010499969</v>
      </c>
    </row>
    <row r="45" spans="1:17" x14ac:dyDescent="0.2">
      <c r="A45" s="1" t="s">
        <v>13</v>
      </c>
      <c r="B45">
        <f>CORREL(INDEX(Table2[],0,MATCH(B$34,Table2[#Headers],0)),INDEX(Table2[],0,MATCH($A45,Table2[#Headers],0)))</f>
        <v>-0.10091325241614697</v>
      </c>
      <c r="C45">
        <f>CORREL(INDEX(Table2[],0,MATCH(C$34,Table2[#Headers],0)),INDEX(Table2[],0,MATCH($A45,Table2[#Headers],0)))</f>
        <v>-0.11714199183979634</v>
      </c>
      <c r="D45">
        <f>CORREL(INDEX(Table2[],0,MATCH(D$34,Table2[#Headers],0)),INDEX(Table2[],0,MATCH($A45,Table2[#Headers],0)))</f>
        <v>-7.140645346405726E-2</v>
      </c>
      <c r="E45">
        <f>CORREL(INDEX(Table2[],0,MATCH(E$34,Table2[#Headers],0)),INDEX(Table2[],0,MATCH($A45,Table2[#Headers],0)))</f>
        <v>0.45359634147069783</v>
      </c>
      <c r="F45">
        <f>CORREL(INDEX(Table2[],0,MATCH(F$34,Table2[#Headers],0)),INDEX(Table2[],0,MATCH($A45,Table2[#Headers],0)))</f>
        <v>2.6954637554155624E-2</v>
      </c>
      <c r="G45">
        <f>CORREL(INDEX(Table2[],0,MATCH(G$34,Table2[#Headers],0)),INDEX(Table2[],0,MATCH($A45,Table2[#Headers],0)))</f>
        <v>0.20474358238916796</v>
      </c>
      <c r="H45">
        <f>CORREL(INDEX(Table2[],0,MATCH(H$34,Table2[#Headers],0)),INDEX(Table2[],0,MATCH($A45,Table2[#Headers],0)))</f>
        <v>-1.2089560687813724E-2</v>
      </c>
      <c r="I45">
        <f>CORREL(INDEX(Table2[],0,MATCH(I$34,Table2[#Headers],0)),INDEX(Table2[],0,MATCH($A45,Table2[#Headers],0)))</f>
        <v>-6.1100758803976613E-2</v>
      </c>
      <c r="J45">
        <f>CORREL(INDEX(Table2[],0,MATCH(J$34,Table2[#Headers],0)),INDEX(Table2[],0,MATCH($A45,Table2[#Headers],0)))</f>
        <v>3.5825925809889553E-2</v>
      </c>
      <c r="K45">
        <f>CORREL(INDEX(Table2[],0,MATCH(K$34,Table2[#Headers],0)),INDEX(Table2[],0,MATCH($A45,Table2[#Headers],0)))</f>
        <v>0.20452995695293835</v>
      </c>
      <c r="L45">
        <f>CORREL(INDEX(Table2[],0,MATCH(L$34,Table2[#Headers],0)),INDEX(Table2[],0,MATCH($A45,Table2[#Headers],0)))</f>
        <v>1</v>
      </c>
      <c r="M45">
        <f>CORREL(INDEX(Table2[],0,MATCH(M$34,Table2[#Headers],0)),INDEX(Table2[],0,MATCH($A45,Table2[#Headers],0)))</f>
        <v>8.2996098866672779E-2</v>
      </c>
      <c r="N45">
        <f>CORREL(INDEX(Table2[],0,MATCH(N$34,Table2[#Headers],0)),INDEX(Table2[],0,MATCH($A45,Table2[#Headers],0)))</f>
        <v>-0.32527595393986281</v>
      </c>
      <c r="O45">
        <f>CORREL(INDEX(Table2[],0,MATCH(O$34,Table2[#Headers],0)),INDEX(Table2[],0,MATCH($A45,Table2[#Headers],0)))</f>
        <v>-2.5785158455092265E-2</v>
      </c>
      <c r="P45">
        <f>CORREL(INDEX(Table2[],0,MATCH(P$34,Table2[#Headers],0)),INDEX(Table2[],0,MATCH($A45,Table2[#Headers],0)))</f>
        <v>-0.30461472755728441</v>
      </c>
      <c r="Q45">
        <f>CORREL(INDEX(Table2[],0,MATCH(Q$34,Table2[#Headers],0)),INDEX(Table2[],0,MATCH($A45,Table2[#Headers],0)))</f>
        <v>-8.0925336632929654E-2</v>
      </c>
    </row>
    <row r="46" spans="1:17" x14ac:dyDescent="0.2">
      <c r="A46" s="1" t="s">
        <v>14</v>
      </c>
      <c r="B46">
        <f>CORREL(INDEX(Table2[],0,MATCH(B$34,Table2[#Headers],0)),INDEX(Table2[],0,MATCH($A46,Table2[#Headers],0)))</f>
        <v>-0.29140983651405133</v>
      </c>
      <c r="C46">
        <f>CORREL(INDEX(Table2[],0,MATCH(C$34,Table2[#Headers],0)),INDEX(Table2[],0,MATCH($A46,Table2[#Headers],0)))</f>
        <v>-0.31109969033256824</v>
      </c>
      <c r="D46">
        <f>CORREL(INDEX(Table2[],0,MATCH(D$34,Table2[#Headers],0)),INDEX(Table2[],0,MATCH($A46,Table2[#Headers],0)))</f>
        <v>-0.32750790184799911</v>
      </c>
      <c r="E46">
        <f>CORREL(INDEX(Table2[],0,MATCH(E$34,Table2[#Headers],0)),INDEX(Table2[],0,MATCH($A46,Table2[#Headers],0)))</f>
        <v>0.27909843029869352</v>
      </c>
      <c r="F46">
        <f>CORREL(INDEX(Table2[],0,MATCH(F$34,Table2[#Headers],0)),INDEX(Table2[],0,MATCH($A46,Table2[#Headers],0)))</f>
        <v>0.12538193515765417</v>
      </c>
      <c r="G46">
        <f>CORREL(INDEX(Table2[],0,MATCH(G$34,Table2[#Headers],0)),INDEX(Table2[],0,MATCH($A46,Table2[#Headers],0)))</f>
        <v>-0.18692185674575726</v>
      </c>
      <c r="H46">
        <f>CORREL(INDEX(Table2[],0,MATCH(H$34,Table2[#Headers],0)),INDEX(Table2[],0,MATCH($A46,Table2[#Headers],0)))</f>
        <v>3.3439763812066772E-2</v>
      </c>
      <c r="I46">
        <f>CORREL(INDEX(Table2[],0,MATCH(I$34,Table2[#Headers],0)),INDEX(Table2[],0,MATCH($A46,Table2[#Headers],0)))</f>
        <v>-0.21603717917866472</v>
      </c>
      <c r="J46">
        <f>CORREL(INDEX(Table2[],0,MATCH(J$34,Table2[#Headers],0)),INDEX(Table2[],0,MATCH($A46,Table2[#Headers],0)))</f>
        <v>-8.0480138009814906E-2</v>
      </c>
      <c r="K46">
        <f>CORREL(INDEX(Table2[],0,MATCH(K$34,Table2[#Headers],0)),INDEX(Table2[],0,MATCH($A46,Table2[#Headers],0)))</f>
        <v>-5.0110149225869718E-2</v>
      </c>
      <c r="L46">
        <f>CORREL(INDEX(Table2[],0,MATCH(L$34,Table2[#Headers],0)),INDEX(Table2[],0,MATCH($A46,Table2[#Headers],0)))</f>
        <v>8.2996098866672779E-2</v>
      </c>
      <c r="M46">
        <f>CORREL(INDEX(Table2[],0,MATCH(M$34,Table2[#Headers],0)),INDEX(Table2[],0,MATCH($A46,Table2[#Headers],0)))</f>
        <v>1</v>
      </c>
      <c r="N46">
        <f>CORREL(INDEX(Table2[],0,MATCH(N$34,Table2[#Headers],0)),INDEX(Table2[],0,MATCH($A46,Table2[#Headers],0)))</f>
        <v>-0.18731458288295896</v>
      </c>
      <c r="O46">
        <f>CORREL(INDEX(Table2[],0,MATCH(O$34,Table2[#Headers],0)),INDEX(Table2[],0,MATCH($A46,Table2[#Headers],0)))</f>
        <v>0.36192871272976124</v>
      </c>
      <c r="P46">
        <f>CORREL(INDEX(Table2[],0,MATCH(P$34,Table2[#Headers],0)),INDEX(Table2[],0,MATCH($A46,Table2[#Headers],0)))</f>
        <v>-0.22772661879657383</v>
      </c>
      <c r="Q46">
        <f>CORREL(INDEX(Table2[],0,MATCH(Q$34,Table2[#Headers],0)),INDEX(Table2[],0,MATCH($A46,Table2[#Headers],0)))</f>
        <v>-0.46535620033629232</v>
      </c>
    </row>
    <row r="47" spans="1:17" x14ac:dyDescent="0.2">
      <c r="A47" s="1" t="s">
        <v>15</v>
      </c>
      <c r="B47">
        <f>CORREL(INDEX(Table2[],0,MATCH(B$34,Table2[#Headers],0)),INDEX(Table2[],0,MATCH($A47,Table2[#Headers],0)))</f>
        <v>0.65533153725139925</v>
      </c>
      <c r="C47">
        <f>CORREL(INDEX(Table2[],0,MATCH(C$34,Table2[#Headers],0)),INDEX(Table2[],0,MATCH($A47,Table2[#Headers],0)))</f>
        <v>0.63780930363505162</v>
      </c>
      <c r="D47">
        <f>CORREL(INDEX(Table2[],0,MATCH(D$34,Table2[#Headers],0)),INDEX(Table2[],0,MATCH($A47,Table2[#Headers],0)))</f>
        <v>0.59049927287091319</v>
      </c>
      <c r="E47">
        <f>CORREL(INDEX(Table2[],0,MATCH(E$34,Table2[#Headers],0)),INDEX(Table2[],0,MATCH($A47,Table2[#Headers],0)))</f>
        <v>-0.36587206968420311</v>
      </c>
      <c r="F47">
        <f>CORREL(INDEX(Table2[],0,MATCH(F$34,Table2[#Headers],0)),INDEX(Table2[],0,MATCH($A47,Table2[#Headers],0)))</f>
        <v>0.12058824192473841</v>
      </c>
      <c r="G47">
        <f>CORREL(INDEX(Table2[],0,MATCH(G$34,Table2[#Headers],0)),INDEX(Table2[],0,MATCH($A47,Table2[#Headers],0)))</f>
        <v>0.34038312583494312</v>
      </c>
      <c r="H47">
        <f>CORREL(INDEX(Table2[],0,MATCH(H$34,Table2[#Headers],0)),INDEX(Table2[],0,MATCH($A47,Table2[#Headers],0)))</f>
        <v>-0.158379604998174</v>
      </c>
      <c r="I47">
        <f>CORREL(INDEX(Table2[],0,MATCH(I$34,Table2[#Headers],0)),INDEX(Table2[],0,MATCH($A47,Table2[#Headers],0)))</f>
        <v>0.6237505349165694</v>
      </c>
      <c r="J47">
        <f>CORREL(INDEX(Table2[],0,MATCH(J$34,Table2[#Headers],0)),INDEX(Table2[],0,MATCH($A47,Table2[#Headers],0)))</f>
        <v>-0.5974922184326088</v>
      </c>
      <c r="K47">
        <f>CORREL(INDEX(Table2[],0,MATCH(K$34,Table2[#Headers],0)),INDEX(Table2[],0,MATCH($A47,Table2[#Headers],0)))</f>
        <v>-0.30147963571404002</v>
      </c>
      <c r="L47">
        <f>CORREL(INDEX(Table2[],0,MATCH(L$34,Table2[#Headers],0)),INDEX(Table2[],0,MATCH($A47,Table2[#Headers],0)))</f>
        <v>-0.32527595393986281</v>
      </c>
      <c r="M47">
        <f>CORREL(INDEX(Table2[],0,MATCH(M$34,Table2[#Headers],0)),INDEX(Table2[],0,MATCH($A47,Table2[#Headers],0)))</f>
        <v>-0.18731458288295896</v>
      </c>
      <c r="N47">
        <f>CORREL(INDEX(Table2[],0,MATCH(N$34,Table2[#Headers],0)),INDEX(Table2[],0,MATCH($A47,Table2[#Headers],0)))</f>
        <v>0.99999999999999978</v>
      </c>
      <c r="O47">
        <f>CORREL(INDEX(Table2[],0,MATCH(O$34,Table2[#Headers],0)),INDEX(Table2[],0,MATCH($A47,Table2[#Headers],0)))</f>
        <v>-0.1110976905157129</v>
      </c>
      <c r="P47">
        <f>CORREL(INDEX(Table2[],0,MATCH(P$34,Table2[#Headers],0)),INDEX(Table2[],0,MATCH($A47,Table2[#Headers],0)))</f>
        <v>4.1537657159129077E-2</v>
      </c>
      <c r="Q47">
        <f>CORREL(INDEX(Table2[],0,MATCH(Q$34,Table2[#Headers],0)),INDEX(Table2[],0,MATCH($A47,Table2[#Headers],0)))</f>
        <v>-0.1154394633683459</v>
      </c>
    </row>
    <row r="48" spans="1:17" x14ac:dyDescent="0.2">
      <c r="A48" s="1" t="s">
        <v>16</v>
      </c>
      <c r="B48">
        <f>CORREL(INDEX(Table2[],0,MATCH(B$34,Table2[#Headers],0)),INDEX(Table2[],0,MATCH($A48,Table2[#Headers],0)))</f>
        <v>0.41774741765287987</v>
      </c>
      <c r="C48">
        <f>CORREL(INDEX(Table2[],0,MATCH(C$34,Table2[#Headers],0)),INDEX(Table2[],0,MATCH($A48,Table2[#Headers],0)))</f>
        <v>0.42698434343550434</v>
      </c>
      <c r="D48">
        <f>CORREL(INDEX(Table2[],0,MATCH(D$34,Table2[#Headers],0)),INDEX(Table2[],0,MATCH($A48,Table2[#Headers],0)))</f>
        <v>0.4380090613050881</v>
      </c>
      <c r="E48">
        <f>CORREL(INDEX(Table2[],0,MATCH(E$34,Table2[#Headers],0)),INDEX(Table2[],0,MATCH($A48,Table2[#Headers],0)))</f>
        <v>6.0767536081700303E-2</v>
      </c>
      <c r="F48">
        <f>CORREL(INDEX(Table2[],0,MATCH(F$34,Table2[#Headers],0)),INDEX(Table2[],0,MATCH($A48,Table2[#Headers],0)))</f>
        <v>0.47224722357414173</v>
      </c>
      <c r="G48">
        <f>CORREL(INDEX(Table2[],0,MATCH(G$34,Table2[#Headers],0)),INDEX(Table2[],0,MATCH($A48,Table2[#Headers],0)))</f>
        <v>0.13716005519674371</v>
      </c>
      <c r="H48">
        <f>CORREL(INDEX(Table2[],0,MATCH(H$34,Table2[#Headers],0)),INDEX(Table2[],0,MATCH($A48,Table2[#Headers],0)))</f>
        <v>0.21238836563827862</v>
      </c>
      <c r="I48">
        <f>CORREL(INDEX(Table2[],0,MATCH(I$34,Table2[#Headers],0)),INDEX(Table2[],0,MATCH($A48,Table2[#Headers],0)))</f>
        <v>0.36455532183153655</v>
      </c>
      <c r="J48">
        <f>CORREL(INDEX(Table2[],0,MATCH(J$34,Table2[#Headers],0)),INDEX(Table2[],0,MATCH($A48,Table2[#Headers],0)))</f>
        <v>-0.56515893585959698</v>
      </c>
      <c r="K48">
        <f>CORREL(INDEX(Table2[],0,MATCH(K$34,Table2[#Headers],0)),INDEX(Table2[],0,MATCH($A48,Table2[#Headers],0)))</f>
        <v>-0.21159124221622619</v>
      </c>
      <c r="L48">
        <f>CORREL(INDEX(Table2[],0,MATCH(L$34,Table2[#Headers],0)),INDEX(Table2[],0,MATCH($A48,Table2[#Headers],0)))</f>
        <v>-2.5785158455092265E-2</v>
      </c>
      <c r="M48">
        <f>CORREL(INDEX(Table2[],0,MATCH(M$34,Table2[#Headers],0)),INDEX(Table2[],0,MATCH($A48,Table2[#Headers],0)))</f>
        <v>0.36192871272976124</v>
      </c>
      <c r="N48">
        <f>CORREL(INDEX(Table2[],0,MATCH(N$34,Table2[#Headers],0)),INDEX(Table2[],0,MATCH($A48,Table2[#Headers],0)))</f>
        <v>-0.1110976905157129</v>
      </c>
      <c r="O48">
        <f>CORREL(INDEX(Table2[],0,MATCH(O$34,Table2[#Headers],0)),INDEX(Table2[],0,MATCH($A48,Table2[#Headers],0)))</f>
        <v>0.99999999999999978</v>
      </c>
      <c r="P48">
        <f>CORREL(INDEX(Table2[],0,MATCH(P$34,Table2[#Headers],0)),INDEX(Table2[],0,MATCH($A48,Table2[#Headers],0)))</f>
        <v>-0.47596438086572551</v>
      </c>
      <c r="Q48">
        <f>CORREL(INDEX(Table2[],0,MATCH(Q$34,Table2[#Headers],0)),INDEX(Table2[],0,MATCH($A48,Table2[#Headers],0)))</f>
        <v>7.6385914311676531E-2</v>
      </c>
    </row>
    <row r="49" spans="1:17" x14ac:dyDescent="0.2">
      <c r="A49" s="1" t="s">
        <v>17</v>
      </c>
      <c r="B49">
        <f>CORREL(INDEX(Table2[],0,MATCH(B$34,Table2[#Headers],0)),INDEX(Table2[],0,MATCH($A49,Table2[#Headers],0)))</f>
        <v>-0.13566703967740493</v>
      </c>
      <c r="C49">
        <f>CORREL(INDEX(Table2[],0,MATCH(C$34,Table2[#Headers],0)),INDEX(Table2[],0,MATCH($A49,Table2[#Headers],0)))</f>
        <v>-0.12102456182675995</v>
      </c>
      <c r="D49">
        <f>CORREL(INDEX(Table2[],0,MATCH(D$34,Table2[#Headers],0)),INDEX(Table2[],0,MATCH($A49,Table2[#Headers],0)))</f>
        <v>-0.15778016949266485</v>
      </c>
      <c r="E49">
        <f>CORREL(INDEX(Table2[],0,MATCH(E$34,Table2[#Headers],0)),INDEX(Table2[],0,MATCH($A49,Table2[#Headers],0)))</f>
        <v>-0.37117770965326535</v>
      </c>
      <c r="F49">
        <f>CORREL(INDEX(Table2[],0,MATCH(F$34,Table2[#Headers],0)),INDEX(Table2[],0,MATCH($A49,Table2[#Headers],0)))</f>
        <v>-7.3094302691302626E-2</v>
      </c>
      <c r="G49">
        <f>CORREL(INDEX(Table2[],0,MATCH(G$34,Table2[#Headers],0)),INDEX(Table2[],0,MATCH($A49,Table2[#Headers],0)))</f>
        <v>-1.2690381569408313E-2</v>
      </c>
      <c r="H49">
        <f>CORREL(INDEX(Table2[],0,MATCH(H$34,Table2[#Headers],0)),INDEX(Table2[],0,MATCH($A49,Table2[#Headers],0)))</f>
        <v>-0.33078308623931563</v>
      </c>
      <c r="I49">
        <f>CORREL(INDEX(Table2[],0,MATCH(I$34,Table2[#Headers],0)),INDEX(Table2[],0,MATCH($A49,Table2[#Headers],0)))</f>
        <v>-0.13774357347490612</v>
      </c>
      <c r="J49">
        <f>CORREL(INDEX(Table2[],0,MATCH(J$34,Table2[#Headers],0)),INDEX(Table2[],0,MATCH($A49,Table2[#Headers],0)))</f>
        <v>0.22854459637885077</v>
      </c>
      <c r="K49">
        <f>CORREL(INDEX(Table2[],0,MATCH(K$34,Table2[#Headers],0)),INDEX(Table2[],0,MATCH($A49,Table2[#Headers],0)))</f>
        <v>-0.3883038465867662</v>
      </c>
      <c r="L49">
        <f>CORREL(INDEX(Table2[],0,MATCH(L$34,Table2[#Headers],0)),INDEX(Table2[],0,MATCH($A49,Table2[#Headers],0)))</f>
        <v>-0.30461472755728441</v>
      </c>
      <c r="M49">
        <f>CORREL(INDEX(Table2[],0,MATCH(M$34,Table2[#Headers],0)),INDEX(Table2[],0,MATCH($A49,Table2[#Headers],0)))</f>
        <v>-0.22772661879657383</v>
      </c>
      <c r="N49">
        <f>CORREL(INDEX(Table2[],0,MATCH(N$34,Table2[#Headers],0)),INDEX(Table2[],0,MATCH($A49,Table2[#Headers],0)))</f>
        <v>4.1537657159129077E-2</v>
      </c>
      <c r="O49">
        <f>CORREL(INDEX(Table2[],0,MATCH(O$34,Table2[#Headers],0)),INDEX(Table2[],0,MATCH($A49,Table2[#Headers],0)))</f>
        <v>-0.47596438086572551</v>
      </c>
      <c r="P49">
        <f>CORREL(INDEX(Table2[],0,MATCH(P$34,Table2[#Headers],0)),INDEX(Table2[],0,MATCH($A49,Table2[#Headers],0)))</f>
        <v>0.99999999999999989</v>
      </c>
      <c r="Q49">
        <f>CORREL(INDEX(Table2[],0,MATCH(Q$34,Table2[#Headers],0)),INDEX(Table2[],0,MATCH($A49,Table2[#Headers],0)))</f>
        <v>8.0819696638731647E-2</v>
      </c>
    </row>
    <row r="50" spans="1:17" x14ac:dyDescent="0.2">
      <c r="A50" s="7" t="s">
        <v>18</v>
      </c>
      <c r="B50">
        <f>CORREL(INDEX(Table2[],0,MATCH(B$34,Table2[#Headers],0)),INDEX(Table2[],0,MATCH($A50,Table2[#Headers],0)))</f>
        <v>0.30112889075602189</v>
      </c>
      <c r="C50">
        <f>CORREL(INDEX(Table2[],0,MATCH(C$34,Table2[#Headers],0)),INDEX(Table2[],0,MATCH($A50,Table2[#Headers],0)))</f>
        <v>0.32797726196831162</v>
      </c>
      <c r="D50">
        <f>CORREL(INDEX(Table2[],0,MATCH(D$34,Table2[#Headers],0)),INDEX(Table2[],0,MATCH($A50,Table2[#Headers],0)))</f>
        <v>0.34597787448564232</v>
      </c>
      <c r="E50">
        <f>CORREL(INDEX(Table2[],0,MATCH(E$34,Table2[#Headers],0)),INDEX(Table2[],0,MATCH($A50,Table2[#Headers],0)))</f>
        <v>-0.21146634114007448</v>
      </c>
      <c r="F50">
        <f>CORREL(INDEX(Table2[],0,MATCH(F$34,Table2[#Headers],0)),INDEX(Table2[],0,MATCH($A50,Table2[#Headers],0)))</f>
        <v>0.17983421630888335</v>
      </c>
      <c r="G50">
        <f>CORREL(INDEX(Table2[],0,MATCH(G$34,Table2[#Headers],0)),INDEX(Table2[],0,MATCH($A50,Table2[#Headers],0)))</f>
        <v>-2.5005057556290521E-2</v>
      </c>
      <c r="H50">
        <f>CORREL(INDEX(Table2[],0,MATCH(H$34,Table2[#Headers],0)),INDEX(Table2[],0,MATCH($A50,Table2[#Headers],0)))</f>
        <v>-0.25155084782677123</v>
      </c>
      <c r="I50">
        <f>CORREL(INDEX(Table2[],0,MATCH(I$34,Table2[#Headers],0)),INDEX(Table2[],0,MATCH($A50,Table2[#Headers],0)))</f>
        <v>0.35500256150505394</v>
      </c>
      <c r="J50">
        <f>CORREL(INDEX(Table2[],0,MATCH(J$34,Table2[#Headers],0)),INDEX(Table2[],0,MATCH($A50,Table2[#Headers],0)))</f>
        <v>-0.17482066406315186</v>
      </c>
      <c r="K50">
        <f>CORREL(INDEX(Table2[],0,MATCH(K$34,Table2[#Headers],0)),INDEX(Table2[],0,MATCH($A50,Table2[#Headers],0)))</f>
        <v>-0.1083053010499969</v>
      </c>
      <c r="L50">
        <f>CORREL(INDEX(Table2[],0,MATCH(L$34,Table2[#Headers],0)),INDEX(Table2[],0,MATCH($A50,Table2[#Headers],0)))</f>
        <v>-8.0925336632929654E-2</v>
      </c>
      <c r="M50">
        <f>CORREL(INDEX(Table2[],0,MATCH(M$34,Table2[#Headers],0)),INDEX(Table2[],0,MATCH($A50,Table2[#Headers],0)))</f>
        <v>-0.46535620033629232</v>
      </c>
      <c r="N50">
        <f>CORREL(INDEX(Table2[],0,MATCH(N$34,Table2[#Headers],0)),INDEX(Table2[],0,MATCH($A50,Table2[#Headers],0)))</f>
        <v>-0.1154394633683459</v>
      </c>
      <c r="O50">
        <f>CORREL(INDEX(Table2[],0,MATCH(O$34,Table2[#Headers],0)),INDEX(Table2[],0,MATCH($A50,Table2[#Headers],0)))</f>
        <v>7.6385914311676531E-2</v>
      </c>
      <c r="P50">
        <f>CORREL(INDEX(Table2[],0,MATCH(P$34,Table2[#Headers],0)),INDEX(Table2[],0,MATCH($A50,Table2[#Headers],0)))</f>
        <v>8.0819696638731647E-2</v>
      </c>
      <c r="Q50">
        <f>CORREL(INDEX(Table2[],0,MATCH(Q$34,Table2[#Headers],0)),INDEX(Table2[],0,MATCH($A50,Table2[#Headers],0)))</f>
        <v>1</v>
      </c>
    </row>
  </sheetData>
  <conditionalFormatting sqref="B15:Q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data_set_EU</vt:lpstr>
      <vt:lpstr>Análise univariada</vt:lpstr>
      <vt:lpstr>Analise bivariada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 Ferreira</dc:creator>
  <cp:lastModifiedBy>Jorge Costa Ferreira</cp:lastModifiedBy>
  <dcterms:created xsi:type="dcterms:W3CDTF">2019-04-08T09:52:50Z</dcterms:created>
  <dcterms:modified xsi:type="dcterms:W3CDTF">2019-04-08T15:52:30Z</dcterms:modified>
</cp:coreProperties>
</file>