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firstSheet="4" activeTab="4"/>
  </bookViews>
  <sheets>
    <sheet name="Ejercicio1" sheetId="6" state="hidden" r:id="rId1"/>
    <sheet name="Ejercicio2" sheetId="3" state="hidden" r:id="rId2"/>
    <sheet name="Ejercicio3" sheetId="9" state="hidden" r:id="rId3"/>
    <sheet name="Ejercicio4" sheetId="8" state="hidden" r:id="rId4"/>
    <sheet name="Mockup_Proyecto" sheetId="4" r:id="rId5"/>
    <sheet name="Hoja1" sheetId="11" r:id="rId6"/>
    <sheet name="listas" sheetId="5" state="hidden" r:id="rId7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1" l="1"/>
  <c r="N4" i="11"/>
  <c r="M4" i="11"/>
  <c r="C12" i="11" l="1"/>
  <c r="G10" i="11"/>
  <c r="C16" i="11" s="1"/>
  <c r="J21" i="4" l="1"/>
  <c r="U50" i="4"/>
  <c r="R50" i="4"/>
  <c r="R52" i="4" l="1"/>
  <c r="R54" i="4" s="1"/>
  <c r="C46" i="4"/>
  <c r="Q49" i="4"/>
  <c r="AL35" i="6" l="1"/>
  <c r="AL32" i="6"/>
  <c r="AM14" i="6"/>
  <c r="AM9" i="6"/>
  <c r="P32" i="6"/>
  <c r="Q36" i="6"/>
  <c r="Z14" i="3"/>
  <c r="AG28" i="6" l="1"/>
  <c r="AG40" i="6" l="1"/>
  <c r="J37" i="9"/>
  <c r="J36" i="9"/>
  <c r="J25" i="9"/>
  <c r="J24" i="9"/>
  <c r="J8" i="9"/>
  <c r="J9" i="9" s="1"/>
  <c r="J7" i="9"/>
  <c r="G7" i="9"/>
  <c r="T4" i="9"/>
  <c r="R4" i="9"/>
  <c r="P4" i="9"/>
  <c r="M51" i="3"/>
  <c r="J21" i="3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I21" i="3"/>
  <c r="J7" i="3"/>
  <c r="P4" i="3"/>
  <c r="R4" i="3" s="1"/>
  <c r="AG65" i="6"/>
  <c r="AG66" i="6"/>
  <c r="AG67" i="6"/>
  <c r="AG68" i="6"/>
  <c r="AG69" i="6"/>
  <c r="AG70" i="6"/>
  <c r="AG71" i="6"/>
  <c r="AG72" i="6"/>
  <c r="AG73" i="6"/>
  <c r="AG74" i="6"/>
  <c r="AG75" i="6"/>
  <c r="AG76" i="6"/>
  <c r="AE17" i="6"/>
  <c r="AD17" i="6"/>
  <c r="AG18" i="6"/>
  <c r="AG19" i="6"/>
  <c r="AG20" i="6"/>
  <c r="AG21" i="6"/>
  <c r="AG22" i="6"/>
  <c r="AG23" i="6"/>
  <c r="AG24" i="6"/>
  <c r="AG25" i="6"/>
  <c r="AG26" i="6"/>
  <c r="AG27" i="6"/>
  <c r="AG29" i="6"/>
  <c r="AG30" i="6"/>
  <c r="AG31" i="6"/>
  <c r="AG32" i="6"/>
  <c r="AG33" i="6"/>
  <c r="AG34" i="6"/>
  <c r="AG35" i="6"/>
  <c r="AG36" i="6"/>
  <c r="AG37" i="6"/>
  <c r="AG38" i="6"/>
  <c r="AG39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17" i="6"/>
  <c r="AF17" i="6" s="1"/>
  <c r="AH17" i="6" s="1"/>
  <c r="AD18" i="6" s="1"/>
  <c r="AL39" i="6"/>
  <c r="AL37" i="6"/>
  <c r="AL30" i="6"/>
  <c r="AL29" i="6"/>
  <c r="AL26" i="6"/>
  <c r="AL25" i="6"/>
  <c r="AM19" i="6"/>
  <c r="AM17" i="6"/>
  <c r="AL15" i="6"/>
  <c r="AL10" i="6"/>
  <c r="P74" i="6"/>
  <c r="P73" i="6"/>
  <c r="P69" i="6"/>
  <c r="P68" i="6"/>
  <c r="Q31" i="6"/>
  <c r="J10" i="9" l="1"/>
  <c r="H7" i="9"/>
  <c r="I7" i="9" s="1"/>
  <c r="K7" i="9" s="1"/>
  <c r="G8" i="9" s="1"/>
  <c r="AE18" i="6"/>
  <c r="AF18" i="6" s="1"/>
  <c r="AH18" i="6" s="1"/>
  <c r="J65" i="6"/>
  <c r="J66" i="6"/>
  <c r="J67" i="6"/>
  <c r="J68" i="6"/>
  <c r="J69" i="6"/>
  <c r="J70" i="6"/>
  <c r="J71" i="6"/>
  <c r="J72" i="6"/>
  <c r="J73" i="6"/>
  <c r="J74" i="6"/>
  <c r="J75" i="6"/>
  <c r="J76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17" i="6"/>
  <c r="G17" i="6"/>
  <c r="C30" i="6"/>
  <c r="C28" i="6"/>
  <c r="H17" i="6" s="1"/>
  <c r="I17" i="6" s="1"/>
  <c r="K17" i="6" s="1"/>
  <c r="Q14" i="6"/>
  <c r="S14" i="6"/>
  <c r="U14" i="6"/>
  <c r="P37" i="6"/>
  <c r="Q41" i="6" s="1"/>
  <c r="Q39" i="6"/>
  <c r="H8" i="9" l="1"/>
  <c r="I8" i="9" s="1"/>
  <c r="K8" i="9"/>
  <c r="G9" i="9" s="1"/>
  <c r="J11" i="9"/>
  <c r="P52" i="6"/>
  <c r="P47" i="6"/>
  <c r="P48" i="6"/>
  <c r="P51" i="6"/>
  <c r="G18" i="6"/>
  <c r="H18" i="6" s="1"/>
  <c r="I18" i="6" s="1"/>
  <c r="K18" i="6" s="1"/>
  <c r="G19" i="6" s="1"/>
  <c r="J12" i="9" l="1"/>
  <c r="H9" i="9"/>
  <c r="I9" i="9" s="1"/>
  <c r="K9" i="9" s="1"/>
  <c r="G10" i="9" s="1"/>
  <c r="P54" i="6"/>
  <c r="P57" i="6" s="1"/>
  <c r="P59" i="6" s="1"/>
  <c r="P61" i="6" s="1"/>
  <c r="Q5" i="6" s="1"/>
  <c r="P20" i="6"/>
  <c r="Q20" i="6"/>
  <c r="Q24" i="6" s="1"/>
  <c r="J21" i="8"/>
  <c r="P10" i="8"/>
  <c r="P14" i="8" s="1"/>
  <c r="G7" i="8"/>
  <c r="R4" i="8"/>
  <c r="T4" i="8" s="1"/>
  <c r="C18" i="8" s="1"/>
  <c r="P4" i="8"/>
  <c r="G7" i="3"/>
  <c r="T4" i="3"/>
  <c r="H10" i="9" l="1"/>
  <c r="I10" i="9" s="1"/>
  <c r="K10" i="9" s="1"/>
  <c r="G11" i="9" s="1"/>
  <c r="J13" i="9"/>
  <c r="P21" i="6"/>
  <c r="P11" i="8"/>
  <c r="P15" i="8" s="1"/>
  <c r="P17" i="8" s="1"/>
  <c r="J7" i="8" s="1"/>
  <c r="P12" i="8"/>
  <c r="H7" i="8"/>
  <c r="H7" i="3"/>
  <c r="P10" i="4"/>
  <c r="P14" i="4" s="1"/>
  <c r="P4" i="4"/>
  <c r="R4" i="4" s="1"/>
  <c r="T4" i="4" s="1"/>
  <c r="C18" i="4" s="1"/>
  <c r="Y30" i="4" s="1"/>
  <c r="N40" i="4" l="1"/>
  <c r="N42" i="4" s="1"/>
  <c r="P12" i="4"/>
  <c r="P11" i="4"/>
  <c r="P15" i="4" s="1"/>
  <c r="P17" i="4" s="1"/>
  <c r="T25" i="4" s="1"/>
  <c r="H11" i="9"/>
  <c r="I11" i="9" s="1"/>
  <c r="K11" i="9" s="1"/>
  <c r="G12" i="9" s="1"/>
  <c r="J14" i="9"/>
  <c r="I7" i="3"/>
  <c r="K7" i="3" s="1"/>
  <c r="G8" i="3" s="1"/>
  <c r="Q21" i="6"/>
  <c r="Q25" i="6" s="1"/>
  <c r="Q22" i="6"/>
  <c r="P22" i="6"/>
  <c r="P25" i="6" s="1"/>
  <c r="J8" i="8"/>
  <c r="C20" i="8"/>
  <c r="I7" i="8"/>
  <c r="K7" i="8" s="1"/>
  <c r="G8" i="8" s="1"/>
  <c r="P25" i="4" l="1"/>
  <c r="H12" i="9"/>
  <c r="I12" i="9" s="1"/>
  <c r="K12" i="9" s="1"/>
  <c r="G13" i="9" s="1"/>
  <c r="J15" i="9"/>
  <c r="J8" i="3"/>
  <c r="J9" i="3" s="1"/>
  <c r="P27" i="6"/>
  <c r="Q27" i="6"/>
  <c r="H8" i="8"/>
  <c r="I8" i="8"/>
  <c r="K8" i="8" s="1"/>
  <c r="G9" i="8" s="1"/>
  <c r="J9" i="8"/>
  <c r="H8" i="3"/>
  <c r="I8" i="3" s="1"/>
  <c r="K8" i="3" s="1"/>
  <c r="G9" i="3" s="1"/>
  <c r="K7" i="4" l="1"/>
  <c r="C20" i="4"/>
  <c r="P29" i="4"/>
  <c r="P31" i="4" s="1"/>
  <c r="C42" i="4"/>
  <c r="H13" i="9"/>
  <c r="I13" i="9" s="1"/>
  <c r="K13" i="9" s="1"/>
  <c r="G14" i="9" s="1"/>
  <c r="J16" i="9"/>
  <c r="H9" i="8"/>
  <c r="I9" i="8"/>
  <c r="K9" i="8" s="1"/>
  <c r="G10" i="8" s="1"/>
  <c r="J10" i="8"/>
  <c r="H9" i="3"/>
  <c r="I9" i="3" s="1"/>
  <c r="K9" i="3" s="1"/>
  <c r="G10" i="3" s="1"/>
  <c r="J10" i="3"/>
  <c r="R38" i="4" l="1"/>
  <c r="N38" i="4"/>
  <c r="N54" i="4"/>
  <c r="N43" i="4"/>
  <c r="N45" i="4" s="1"/>
  <c r="K8" i="4"/>
  <c r="H14" i="9"/>
  <c r="I14" i="9" s="1"/>
  <c r="K14" i="9" s="1"/>
  <c r="G15" i="9" s="1"/>
  <c r="J17" i="9"/>
  <c r="AD19" i="6"/>
  <c r="K10" i="8"/>
  <c r="G11" i="8" s="1"/>
  <c r="H10" i="8"/>
  <c r="I10" i="8"/>
  <c r="J11" i="8"/>
  <c r="H10" i="3"/>
  <c r="I10" i="3" s="1"/>
  <c r="K10" i="3" s="1"/>
  <c r="G11" i="3" s="1"/>
  <c r="J11" i="3"/>
  <c r="K9" i="4" l="1"/>
  <c r="H15" i="9"/>
  <c r="I15" i="9" s="1"/>
  <c r="K15" i="9" s="1"/>
  <c r="G16" i="9" s="1"/>
  <c r="J18" i="9"/>
  <c r="AE19" i="6"/>
  <c r="AF19" i="6" s="1"/>
  <c r="AH19" i="6" s="1"/>
  <c r="AD20" i="6" s="1"/>
  <c r="H11" i="8"/>
  <c r="I11" i="8" s="1"/>
  <c r="K11" i="8" s="1"/>
  <c r="G12" i="8" s="1"/>
  <c r="J12" i="8"/>
  <c r="H11" i="3"/>
  <c r="I11" i="3" s="1"/>
  <c r="K11" i="3" s="1"/>
  <c r="G12" i="3" s="1"/>
  <c r="J12" i="3"/>
  <c r="K10" i="4" l="1"/>
  <c r="H16" i="9"/>
  <c r="I16" i="9" s="1"/>
  <c r="K16" i="9" s="1"/>
  <c r="G17" i="9" s="1"/>
  <c r="J19" i="9"/>
  <c r="AE20" i="6"/>
  <c r="AF20" i="6" s="1"/>
  <c r="AH20" i="6"/>
  <c r="AD21" i="6" s="1"/>
  <c r="K12" i="8"/>
  <c r="G13" i="8" s="1"/>
  <c r="H12" i="8"/>
  <c r="I12" i="8"/>
  <c r="J13" i="8"/>
  <c r="H12" i="3"/>
  <c r="I12" i="3" s="1"/>
  <c r="K12" i="3" s="1"/>
  <c r="G13" i="3" s="1"/>
  <c r="J13" i="3"/>
  <c r="K11" i="4" l="1"/>
  <c r="H17" i="9"/>
  <c r="I17" i="9" s="1"/>
  <c r="K17" i="9" s="1"/>
  <c r="G18" i="9" s="1"/>
  <c r="J20" i="9"/>
  <c r="AE21" i="6"/>
  <c r="AF21" i="6" s="1"/>
  <c r="AH21" i="6" s="1"/>
  <c r="AD22" i="6" s="1"/>
  <c r="K13" i="8"/>
  <c r="G14" i="8" s="1"/>
  <c r="H13" i="8"/>
  <c r="I13" i="8"/>
  <c r="J14" i="8"/>
  <c r="H13" i="3"/>
  <c r="I13" i="3" s="1"/>
  <c r="K13" i="3" s="1"/>
  <c r="G14" i="3" s="1"/>
  <c r="J14" i="3"/>
  <c r="K12" i="4" l="1"/>
  <c r="H18" i="9"/>
  <c r="I18" i="9" s="1"/>
  <c r="K18" i="9" s="1"/>
  <c r="G19" i="9" s="1"/>
  <c r="J21" i="9"/>
  <c r="AE22" i="6"/>
  <c r="AF22" i="6" s="1"/>
  <c r="AH22" i="6" s="1"/>
  <c r="AD23" i="6" s="1"/>
  <c r="J15" i="8"/>
  <c r="H14" i="8"/>
  <c r="I14" i="8" s="1"/>
  <c r="K14" i="8" s="1"/>
  <c r="G15" i="8" s="1"/>
  <c r="H14" i="3"/>
  <c r="I14" i="3" s="1"/>
  <c r="K14" i="3" s="1"/>
  <c r="G15" i="3" s="1"/>
  <c r="J15" i="3"/>
  <c r="K13" i="4" l="1"/>
  <c r="K14" i="4" s="1"/>
  <c r="H19" i="9"/>
  <c r="I19" i="9" s="1"/>
  <c r="K19" i="9" s="1"/>
  <c r="G20" i="9" s="1"/>
  <c r="J22" i="9"/>
  <c r="AE23" i="6"/>
  <c r="AF23" i="6" s="1"/>
  <c r="AH23" i="6"/>
  <c r="AD24" i="6" s="1"/>
  <c r="H15" i="8"/>
  <c r="I15" i="8" s="1"/>
  <c r="K15" i="8" s="1"/>
  <c r="G16" i="8" s="1"/>
  <c r="J16" i="8"/>
  <c r="H15" i="3"/>
  <c r="I15" i="3" s="1"/>
  <c r="K15" i="3" s="1"/>
  <c r="G16" i="3" s="1"/>
  <c r="J16" i="3"/>
  <c r="J26" i="4" l="1"/>
  <c r="R40" i="4"/>
  <c r="R42" i="4" s="1"/>
  <c r="R44" i="4" s="1"/>
  <c r="R46" i="4" s="1"/>
  <c r="K20" i="9"/>
  <c r="G21" i="9" s="1"/>
  <c r="H20" i="9"/>
  <c r="I20" i="9" s="1"/>
  <c r="J23" i="9"/>
  <c r="AE24" i="6"/>
  <c r="AF24" i="6" s="1"/>
  <c r="AH24" i="6"/>
  <c r="AD25" i="6" s="1"/>
  <c r="H16" i="8"/>
  <c r="I16" i="8" s="1"/>
  <c r="K16" i="8" s="1"/>
  <c r="G17" i="8" s="1"/>
  <c r="J17" i="8"/>
  <c r="H16" i="3"/>
  <c r="I16" i="3" s="1"/>
  <c r="K16" i="3" s="1"/>
  <c r="G17" i="3" s="1"/>
  <c r="J17" i="3"/>
  <c r="T27" i="4" l="1"/>
  <c r="H21" i="9"/>
  <c r="I21" i="9" s="1"/>
  <c r="K21" i="9" s="1"/>
  <c r="G22" i="9" s="1"/>
  <c r="AE25" i="6"/>
  <c r="AF25" i="6" s="1"/>
  <c r="AH25" i="6" s="1"/>
  <c r="AD26" i="6" s="1"/>
  <c r="H17" i="8"/>
  <c r="I17" i="8" s="1"/>
  <c r="K17" i="8" s="1"/>
  <c r="G18" i="8" s="1"/>
  <c r="J18" i="8"/>
  <c r="H17" i="3"/>
  <c r="I17" i="3" s="1"/>
  <c r="K17" i="3" s="1"/>
  <c r="G18" i="3" s="1"/>
  <c r="J18" i="3"/>
  <c r="K15" i="4"/>
  <c r="H22" i="9" l="1"/>
  <c r="I22" i="9" s="1"/>
  <c r="K22" i="9" s="1"/>
  <c r="G23" i="9" s="1"/>
  <c r="AE26" i="6"/>
  <c r="AF26" i="6" s="1"/>
  <c r="AH26" i="6" s="1"/>
  <c r="AD27" i="6" s="1"/>
  <c r="H18" i="8"/>
  <c r="I18" i="8" s="1"/>
  <c r="K18" i="8" s="1"/>
  <c r="G19" i="8" s="1"/>
  <c r="J19" i="8"/>
  <c r="H18" i="3"/>
  <c r="I18" i="3" s="1"/>
  <c r="K18" i="3" s="1"/>
  <c r="G19" i="3" s="1"/>
  <c r="J19" i="3"/>
  <c r="K16" i="4"/>
  <c r="K17" i="4" l="1"/>
  <c r="H23" i="9"/>
  <c r="I23" i="9" s="1"/>
  <c r="K23" i="9" s="1"/>
  <c r="G24" i="9" s="1"/>
  <c r="J26" i="9"/>
  <c r="AE27" i="6"/>
  <c r="AF27" i="6" s="1"/>
  <c r="AH27" i="6" s="1"/>
  <c r="AD28" i="6" s="1"/>
  <c r="H19" i="8"/>
  <c r="I19" i="8"/>
  <c r="K19" i="8" s="1"/>
  <c r="G20" i="8" s="1"/>
  <c r="J20" i="8"/>
  <c r="H19" i="3"/>
  <c r="I19" i="3" s="1"/>
  <c r="K19" i="3" s="1"/>
  <c r="G20" i="3" s="1"/>
  <c r="J20" i="3"/>
  <c r="K18" i="4" l="1"/>
  <c r="K19" i="4" s="1"/>
  <c r="K20" i="4" s="1"/>
  <c r="H24" i="9"/>
  <c r="I24" i="9" s="1"/>
  <c r="K24" i="9" s="1"/>
  <c r="G25" i="9" s="1"/>
  <c r="J27" i="9"/>
  <c r="AE28" i="6"/>
  <c r="AF28" i="6" s="1"/>
  <c r="K20" i="8"/>
  <c r="G21" i="8" s="1"/>
  <c r="H20" i="8"/>
  <c r="J22" i="8"/>
  <c r="I20" i="8"/>
  <c r="H20" i="3"/>
  <c r="I20" i="3" s="1"/>
  <c r="K20" i="3" s="1"/>
  <c r="G21" i="3" s="1"/>
  <c r="H25" i="9" l="1"/>
  <c r="I25" i="9" s="1"/>
  <c r="K25" i="9" s="1"/>
  <c r="G26" i="9" s="1"/>
  <c r="J28" i="9"/>
  <c r="AH28" i="6"/>
  <c r="AD29" i="6" s="1"/>
  <c r="AE29" i="6" s="1"/>
  <c r="AF29" i="6" s="1"/>
  <c r="AH29" i="6" s="1"/>
  <c r="AD30" i="6" s="1"/>
  <c r="H21" i="8"/>
  <c r="I21" i="8" s="1"/>
  <c r="K21" i="8" s="1"/>
  <c r="G22" i="8" s="1"/>
  <c r="J23" i="8"/>
  <c r="H21" i="3"/>
  <c r="K21" i="3" s="1"/>
  <c r="G22" i="3" s="1"/>
  <c r="K21" i="4" l="1"/>
  <c r="L21" i="4"/>
  <c r="H26" i="9"/>
  <c r="I26" i="9" s="1"/>
  <c r="K26" i="9" s="1"/>
  <c r="G27" i="9" s="1"/>
  <c r="J29" i="9"/>
  <c r="AE30" i="6"/>
  <c r="AF30" i="6" s="1"/>
  <c r="AH30" i="6" s="1"/>
  <c r="AD31" i="6" s="1"/>
  <c r="H22" i="8"/>
  <c r="I22" i="8" s="1"/>
  <c r="K22" i="8" s="1"/>
  <c r="G23" i="8" s="1"/>
  <c r="J24" i="8"/>
  <c r="H22" i="3"/>
  <c r="I22" i="3" s="1"/>
  <c r="K22" i="3" s="1"/>
  <c r="G23" i="3" s="1"/>
  <c r="K22" i="4"/>
  <c r="J30" i="9" l="1"/>
  <c r="H27" i="9"/>
  <c r="I27" i="9" s="1"/>
  <c r="K27" i="9" s="1"/>
  <c r="G28" i="9" s="1"/>
  <c r="AE31" i="6"/>
  <c r="AF31" i="6" s="1"/>
  <c r="AH31" i="6" s="1"/>
  <c r="AD32" i="6" s="1"/>
  <c r="H23" i="8"/>
  <c r="I23" i="8" s="1"/>
  <c r="K23" i="8" s="1"/>
  <c r="G24" i="8" s="1"/>
  <c r="J25" i="8"/>
  <c r="H23" i="3"/>
  <c r="I23" i="3" s="1"/>
  <c r="K23" i="3" s="1"/>
  <c r="G24" i="3" s="1"/>
  <c r="K23" i="4"/>
  <c r="H28" i="9" l="1"/>
  <c r="I28" i="9" s="1"/>
  <c r="K28" i="9" s="1"/>
  <c r="G29" i="9" s="1"/>
  <c r="J31" i="9"/>
  <c r="AE32" i="6"/>
  <c r="AF32" i="6" s="1"/>
  <c r="AH32" i="6" s="1"/>
  <c r="AD33" i="6" s="1"/>
  <c r="H24" i="8"/>
  <c r="I24" i="8" s="1"/>
  <c r="K24" i="8" s="1"/>
  <c r="G25" i="8" s="1"/>
  <c r="J26" i="8"/>
  <c r="H24" i="3"/>
  <c r="I24" i="3" s="1"/>
  <c r="K24" i="3" s="1"/>
  <c r="G25" i="3" s="1"/>
  <c r="K24" i="4"/>
  <c r="J32" i="9" l="1"/>
  <c r="H29" i="9"/>
  <c r="I29" i="9" s="1"/>
  <c r="K29" i="9" s="1"/>
  <c r="G30" i="9" s="1"/>
  <c r="AE33" i="6"/>
  <c r="AF33" i="6" s="1"/>
  <c r="AH33" i="6" s="1"/>
  <c r="AD34" i="6" s="1"/>
  <c r="K25" i="8"/>
  <c r="G26" i="8" s="1"/>
  <c r="H25" i="8"/>
  <c r="I25" i="8" s="1"/>
  <c r="J27" i="8"/>
  <c r="H25" i="3"/>
  <c r="I25" i="3" s="1"/>
  <c r="K25" i="3" s="1"/>
  <c r="G26" i="3" s="1"/>
  <c r="K25" i="4"/>
  <c r="L25" i="4" l="1"/>
  <c r="T29" i="4" s="1"/>
  <c r="T31" i="4" s="1"/>
  <c r="Y29" i="4" s="1"/>
  <c r="Y33" i="4" s="1"/>
  <c r="H30" i="9"/>
  <c r="I30" i="9" s="1"/>
  <c r="K30" i="9" s="1"/>
  <c r="G31" i="9" s="1"/>
  <c r="J33" i="9"/>
  <c r="AE34" i="6"/>
  <c r="AF34" i="6" s="1"/>
  <c r="AH34" i="6" s="1"/>
  <c r="AD35" i="6" s="1"/>
  <c r="J28" i="8"/>
  <c r="H26" i="8"/>
  <c r="I26" i="8" s="1"/>
  <c r="K26" i="8" s="1"/>
  <c r="G27" i="8" s="1"/>
  <c r="H26" i="3"/>
  <c r="I26" i="3" s="1"/>
  <c r="K26" i="3" s="1"/>
  <c r="G27" i="3" s="1"/>
  <c r="K26" i="4"/>
  <c r="M25" i="4" l="1"/>
  <c r="H31" i="9"/>
  <c r="I31" i="9" s="1"/>
  <c r="K31" i="9" s="1"/>
  <c r="G32" i="9" s="1"/>
  <c r="J34" i="9"/>
  <c r="AE35" i="6"/>
  <c r="AF35" i="6" s="1"/>
  <c r="AH35" i="6" s="1"/>
  <c r="AD36" i="6" s="1"/>
  <c r="H27" i="8"/>
  <c r="I27" i="8" s="1"/>
  <c r="K27" i="8" s="1"/>
  <c r="G28" i="8" s="1"/>
  <c r="J29" i="8"/>
  <c r="H27" i="3"/>
  <c r="I27" i="3" s="1"/>
  <c r="K27" i="3" s="1"/>
  <c r="G28" i="3" s="1"/>
  <c r="R57" i="4" l="1"/>
  <c r="K27" i="4"/>
  <c r="H32" i="9"/>
  <c r="I32" i="9" s="1"/>
  <c r="K32" i="9" s="1"/>
  <c r="G33" i="9" s="1"/>
  <c r="J35" i="9"/>
  <c r="AE36" i="6"/>
  <c r="AF36" i="6" s="1"/>
  <c r="AH36" i="6" s="1"/>
  <c r="AD37" i="6" s="1"/>
  <c r="H28" i="8"/>
  <c r="I28" i="8" s="1"/>
  <c r="K28" i="8" s="1"/>
  <c r="G29" i="8" s="1"/>
  <c r="J30" i="8"/>
  <c r="H28" i="3"/>
  <c r="I28" i="3" s="1"/>
  <c r="K28" i="3" s="1"/>
  <c r="G29" i="3" s="1"/>
  <c r="K28" i="4" l="1"/>
  <c r="H33" i="9"/>
  <c r="I33" i="9" s="1"/>
  <c r="K33" i="9" s="1"/>
  <c r="G34" i="9" s="1"/>
  <c r="AE37" i="6"/>
  <c r="AF37" i="6" s="1"/>
  <c r="AH37" i="6" s="1"/>
  <c r="AD38" i="6" s="1"/>
  <c r="H29" i="8"/>
  <c r="I29" i="8" s="1"/>
  <c r="K29" i="8" s="1"/>
  <c r="G30" i="8" s="1"/>
  <c r="J31" i="8"/>
  <c r="H29" i="3"/>
  <c r="I29" i="3" s="1"/>
  <c r="K29" i="3" s="1"/>
  <c r="G30" i="3" s="1"/>
  <c r="K29" i="4" l="1"/>
  <c r="K30" i="4" s="1"/>
  <c r="H34" i="9"/>
  <c r="I34" i="9" s="1"/>
  <c r="K34" i="9" s="1"/>
  <c r="G35" i="9" s="1"/>
  <c r="AE38" i="6"/>
  <c r="AF38" i="6" s="1"/>
  <c r="AH38" i="6" s="1"/>
  <c r="AD39" i="6" s="1"/>
  <c r="K30" i="8"/>
  <c r="G31" i="8" s="1"/>
  <c r="H30" i="8"/>
  <c r="I30" i="8" s="1"/>
  <c r="J32" i="8"/>
  <c r="H30" i="3"/>
  <c r="I30" i="3" s="1"/>
  <c r="K30" i="3" s="1"/>
  <c r="G31" i="3" s="1"/>
  <c r="J38" i="9" l="1"/>
  <c r="H35" i="9"/>
  <c r="I35" i="9" s="1"/>
  <c r="K35" i="9" s="1"/>
  <c r="G36" i="9" s="1"/>
  <c r="AE39" i="6"/>
  <c r="AF39" i="6" s="1"/>
  <c r="AH39" i="6" s="1"/>
  <c r="AD40" i="6" s="1"/>
  <c r="H31" i="8"/>
  <c r="I31" i="8" s="1"/>
  <c r="K31" i="8" s="1"/>
  <c r="G32" i="8" s="1"/>
  <c r="J33" i="8"/>
  <c r="H31" i="3"/>
  <c r="I31" i="3" s="1"/>
  <c r="K31" i="3" s="1"/>
  <c r="G32" i="3" s="1"/>
  <c r="K31" i="4"/>
  <c r="H36" i="9" l="1"/>
  <c r="I36" i="9" s="1"/>
  <c r="K36" i="9" s="1"/>
  <c r="G37" i="9" s="1"/>
  <c r="J39" i="9"/>
  <c r="AE40" i="6"/>
  <c r="AF40" i="6" s="1"/>
  <c r="AH40" i="6" s="1"/>
  <c r="AD41" i="6" s="1"/>
  <c r="H32" i="8"/>
  <c r="I32" i="8" s="1"/>
  <c r="K32" i="8" s="1"/>
  <c r="G33" i="8" s="1"/>
  <c r="J34" i="8"/>
  <c r="H32" i="3"/>
  <c r="I32" i="3" s="1"/>
  <c r="K32" i="3" s="1"/>
  <c r="G33" i="3" s="1"/>
  <c r="K32" i="4"/>
  <c r="H37" i="9" l="1"/>
  <c r="I37" i="9" s="1"/>
  <c r="K37" i="9" s="1"/>
  <c r="G38" i="9" s="1"/>
  <c r="J40" i="9"/>
  <c r="AE41" i="6"/>
  <c r="AF41" i="6" s="1"/>
  <c r="AH41" i="6" s="1"/>
  <c r="AD42" i="6" s="1"/>
  <c r="H33" i="8"/>
  <c r="I33" i="8" s="1"/>
  <c r="K33" i="8" s="1"/>
  <c r="G34" i="8" s="1"/>
  <c r="J35" i="8"/>
  <c r="H33" i="3"/>
  <c r="I33" i="3" s="1"/>
  <c r="K33" i="3" s="1"/>
  <c r="G34" i="3" s="1"/>
  <c r="K33" i="4"/>
  <c r="J41" i="9" l="1"/>
  <c r="H38" i="9"/>
  <c r="I38" i="9" s="1"/>
  <c r="K38" i="9" s="1"/>
  <c r="G39" i="9" s="1"/>
  <c r="AE42" i="6"/>
  <c r="AF42" i="6" s="1"/>
  <c r="AH42" i="6" s="1"/>
  <c r="AD43" i="6" s="1"/>
  <c r="H34" i="8"/>
  <c r="I34" i="8" s="1"/>
  <c r="K34" i="8" s="1"/>
  <c r="G35" i="8" s="1"/>
  <c r="J36" i="8"/>
  <c r="H34" i="3"/>
  <c r="I34" i="3" s="1"/>
  <c r="K34" i="3" s="1"/>
  <c r="G35" i="3" s="1"/>
  <c r="K34" i="4"/>
  <c r="H39" i="9" l="1"/>
  <c r="I39" i="9" s="1"/>
  <c r="K39" i="9" s="1"/>
  <c r="G40" i="9" s="1"/>
  <c r="AE43" i="6"/>
  <c r="AF43" i="6" s="1"/>
  <c r="AH43" i="6" s="1"/>
  <c r="AD44" i="6" s="1"/>
  <c r="H35" i="8"/>
  <c r="I35" i="8" s="1"/>
  <c r="K35" i="8" s="1"/>
  <c r="G36" i="8" s="1"/>
  <c r="J37" i="8"/>
  <c r="H35" i="3"/>
  <c r="I35" i="3" s="1"/>
  <c r="K35" i="3" s="1"/>
  <c r="G36" i="3" s="1"/>
  <c r="K35" i="4"/>
  <c r="H40" i="9" l="1"/>
  <c r="I40" i="9" s="1"/>
  <c r="K40" i="9" s="1"/>
  <c r="G41" i="9" s="1"/>
  <c r="AE44" i="6"/>
  <c r="AF44" i="6" s="1"/>
  <c r="AH44" i="6" s="1"/>
  <c r="AD45" i="6" s="1"/>
  <c r="K36" i="8"/>
  <c r="G37" i="8" s="1"/>
  <c r="H36" i="8"/>
  <c r="I36" i="8" s="1"/>
  <c r="J38" i="8"/>
  <c r="H36" i="3"/>
  <c r="I36" i="3" s="1"/>
  <c r="K36" i="3" s="1"/>
  <c r="G37" i="3" s="1"/>
  <c r="K36" i="4"/>
  <c r="H41" i="9" l="1"/>
  <c r="I41" i="9" s="1"/>
  <c r="K41" i="9" s="1"/>
  <c r="AE45" i="6"/>
  <c r="AF45" i="6" s="1"/>
  <c r="AH45" i="6" s="1"/>
  <c r="AD46" i="6" s="1"/>
  <c r="H37" i="8"/>
  <c r="I37" i="8" s="1"/>
  <c r="K37" i="8" s="1"/>
  <c r="G38" i="8" s="1"/>
  <c r="J39" i="8"/>
  <c r="H37" i="3"/>
  <c r="I37" i="3" s="1"/>
  <c r="K37" i="3" s="1"/>
  <c r="G38" i="3" s="1"/>
  <c r="K37" i="4"/>
  <c r="AE46" i="6" l="1"/>
  <c r="AF46" i="6" s="1"/>
  <c r="AH46" i="6" s="1"/>
  <c r="AD47" i="6" s="1"/>
  <c r="H38" i="8"/>
  <c r="I38" i="8" s="1"/>
  <c r="K38" i="8" s="1"/>
  <c r="G39" i="8" s="1"/>
  <c r="J40" i="8"/>
  <c r="H38" i="3"/>
  <c r="I38" i="3" s="1"/>
  <c r="K38" i="3" s="1"/>
  <c r="G39" i="3" s="1"/>
  <c r="K38" i="4"/>
  <c r="AE47" i="6" l="1"/>
  <c r="AF47" i="6" s="1"/>
  <c r="AH47" i="6" s="1"/>
  <c r="AD48" i="6" s="1"/>
  <c r="K39" i="8"/>
  <c r="G40" i="8" s="1"/>
  <c r="H39" i="8"/>
  <c r="I39" i="8" s="1"/>
  <c r="J41" i="8"/>
  <c r="H39" i="3"/>
  <c r="I39" i="3" s="1"/>
  <c r="K39" i="3" s="1"/>
  <c r="G40" i="3" s="1"/>
  <c r="K39" i="4"/>
  <c r="AE48" i="6" l="1"/>
  <c r="AF48" i="6" s="1"/>
  <c r="AH48" i="6" s="1"/>
  <c r="AD49" i="6" s="1"/>
  <c r="J42" i="8"/>
  <c r="H40" i="8"/>
  <c r="I40" i="8" s="1"/>
  <c r="K40" i="8"/>
  <c r="G41" i="8" s="1"/>
  <c r="H40" i="3"/>
  <c r="I40" i="3" s="1"/>
  <c r="K40" i="3" s="1"/>
  <c r="G41" i="3" s="1"/>
  <c r="K40" i="4"/>
  <c r="AE49" i="6" l="1"/>
  <c r="AF49" i="6" s="1"/>
  <c r="AH49" i="6" s="1"/>
  <c r="AD50" i="6" s="1"/>
  <c r="H41" i="8"/>
  <c r="I41" i="8" s="1"/>
  <c r="K41" i="8" s="1"/>
  <c r="G42" i="8" s="1"/>
  <c r="J43" i="8"/>
  <c r="H41" i="3"/>
  <c r="I41" i="3" s="1"/>
  <c r="K41" i="3" s="1"/>
  <c r="G42" i="3" s="1"/>
  <c r="K41" i="4"/>
  <c r="AE50" i="6" l="1"/>
  <c r="AF50" i="6" s="1"/>
  <c r="AH50" i="6" s="1"/>
  <c r="AD51" i="6" s="1"/>
  <c r="H42" i="8"/>
  <c r="I42" i="8" s="1"/>
  <c r="K42" i="8" s="1"/>
  <c r="G43" i="8" s="1"/>
  <c r="J44" i="8"/>
  <c r="H42" i="3"/>
  <c r="I42" i="3" s="1"/>
  <c r="K42" i="3" s="1"/>
  <c r="G43" i="3" s="1"/>
  <c r="K42" i="4"/>
  <c r="AE51" i="6" l="1"/>
  <c r="AF51" i="6" s="1"/>
  <c r="AH51" i="6" s="1"/>
  <c r="AD52" i="6" s="1"/>
  <c r="H43" i="8"/>
  <c r="I43" i="8" s="1"/>
  <c r="K43" i="8" s="1"/>
  <c r="G44" i="8" s="1"/>
  <c r="J45" i="8"/>
  <c r="H43" i="3"/>
  <c r="I43" i="3" s="1"/>
  <c r="K43" i="3" s="1"/>
  <c r="G44" i="3" s="1"/>
  <c r="K43" i="4"/>
  <c r="AE52" i="6" l="1"/>
  <c r="AF52" i="6" s="1"/>
  <c r="AH52" i="6" s="1"/>
  <c r="AD53" i="6" s="1"/>
  <c r="K44" i="8"/>
  <c r="G45" i="8" s="1"/>
  <c r="H44" i="8"/>
  <c r="I44" i="8" s="1"/>
  <c r="J46" i="8"/>
  <c r="H44" i="3"/>
  <c r="I44" i="3" s="1"/>
  <c r="K44" i="3" s="1"/>
  <c r="G45" i="3" s="1"/>
  <c r="K44" i="4"/>
  <c r="AE53" i="6" l="1"/>
  <c r="AF53" i="6" s="1"/>
  <c r="AH53" i="6" s="1"/>
  <c r="AD54" i="6" s="1"/>
  <c r="H45" i="8"/>
  <c r="I45" i="8" s="1"/>
  <c r="K45" i="8" s="1"/>
  <c r="G46" i="8" s="1"/>
  <c r="J47" i="8"/>
  <c r="H45" i="3"/>
  <c r="I45" i="3" s="1"/>
  <c r="K45" i="3" s="1"/>
  <c r="G46" i="3" s="1"/>
  <c r="K45" i="4"/>
  <c r="AE54" i="6" l="1"/>
  <c r="AF54" i="6" s="1"/>
  <c r="AH54" i="6" s="1"/>
  <c r="AD55" i="6" s="1"/>
  <c r="K46" i="8"/>
  <c r="G47" i="8" s="1"/>
  <c r="H46" i="8"/>
  <c r="I46" i="8" s="1"/>
  <c r="H46" i="3"/>
  <c r="I46" i="3" s="1"/>
  <c r="K46" i="3" s="1"/>
  <c r="G47" i="3" s="1"/>
  <c r="K46" i="4"/>
  <c r="AE55" i="6" l="1"/>
  <c r="AF55" i="6" s="1"/>
  <c r="AH55" i="6" s="1"/>
  <c r="AD56" i="6" s="1"/>
  <c r="K47" i="8"/>
  <c r="H47" i="8"/>
  <c r="I47" i="8" s="1"/>
  <c r="H47" i="3"/>
  <c r="I47" i="3" s="1"/>
  <c r="K47" i="3" s="1"/>
  <c r="K47" i="4"/>
  <c r="AE56" i="6" l="1"/>
  <c r="AF56" i="6" s="1"/>
  <c r="AH56" i="6" s="1"/>
  <c r="AD57" i="6" s="1"/>
  <c r="G48" i="8"/>
  <c r="G48" i="3"/>
  <c r="M51" i="9" l="1"/>
  <c r="AE57" i="6"/>
  <c r="AF57" i="6" s="1"/>
  <c r="AH57" i="6" s="1"/>
  <c r="AD58" i="6" s="1"/>
  <c r="H48" i="8"/>
  <c r="J48" i="8" s="1"/>
  <c r="H48" i="3"/>
  <c r="C44" i="4" l="1"/>
  <c r="K48" i="4"/>
  <c r="K49" i="4" s="1"/>
  <c r="AE58" i="6"/>
  <c r="I48" i="8"/>
  <c r="K48" i="8" s="1"/>
  <c r="G49" i="8" s="1"/>
  <c r="J49" i="8"/>
  <c r="I48" i="3"/>
  <c r="K48" i="3" s="1"/>
  <c r="G49" i="3" s="1"/>
  <c r="K50" i="4" l="1"/>
  <c r="K51" i="4" s="1"/>
  <c r="AF58" i="6"/>
  <c r="AH58" i="6" s="1"/>
  <c r="K49" i="8"/>
  <c r="G50" i="8" s="1"/>
  <c r="H49" i="8"/>
  <c r="J50" i="8"/>
  <c r="I49" i="8"/>
  <c r="H49" i="3"/>
  <c r="I49" i="3" s="1"/>
  <c r="K49" i="3" s="1"/>
  <c r="G50" i="3" s="1"/>
  <c r="AD59" i="6" l="1"/>
  <c r="J51" i="8"/>
  <c r="H50" i="8"/>
  <c r="I50" i="8" s="1"/>
  <c r="K50" i="8" s="1"/>
  <c r="G51" i="8" s="1"/>
  <c r="H50" i="3"/>
  <c r="I50" i="3" s="1"/>
  <c r="K50" i="3" s="1"/>
  <c r="G51" i="3" s="1"/>
  <c r="K52" i="4"/>
  <c r="AE59" i="6" l="1"/>
  <c r="AF59" i="6" s="1"/>
  <c r="H51" i="8"/>
  <c r="I51" i="8"/>
  <c r="K51" i="8" s="1"/>
  <c r="G52" i="8" s="1"/>
  <c r="J52" i="8"/>
  <c r="H51" i="3"/>
  <c r="I51" i="3" s="1"/>
  <c r="K51" i="3" s="1"/>
  <c r="G52" i="3" s="1"/>
  <c r="K53" i="4"/>
  <c r="AH59" i="6" l="1"/>
  <c r="AD60" i="6" s="1"/>
  <c r="H52" i="8"/>
  <c r="I52" i="8"/>
  <c r="K52" i="8" s="1"/>
  <c r="G53" i="8" s="1"/>
  <c r="J53" i="8"/>
  <c r="H52" i="3"/>
  <c r="I52" i="3" s="1"/>
  <c r="K52" i="3" s="1"/>
  <c r="G53" i="3" s="1"/>
  <c r="K54" i="4"/>
  <c r="AE60" i="6" l="1"/>
  <c r="AF60" i="6" s="1"/>
  <c r="AH60" i="6" s="1"/>
  <c r="AD61" i="6" s="1"/>
  <c r="H53" i="8"/>
  <c r="I53" i="8" s="1"/>
  <c r="K53" i="8" s="1"/>
  <c r="G54" i="8" s="1"/>
  <c r="J54" i="8"/>
  <c r="H53" i="3"/>
  <c r="I53" i="3" s="1"/>
  <c r="K53" i="3" s="1"/>
  <c r="G54" i="3" s="1"/>
  <c r="AE61" i="6" l="1"/>
  <c r="AF61" i="6" s="1"/>
  <c r="AH61" i="6" s="1"/>
  <c r="AD62" i="6" s="1"/>
  <c r="H54" i="8"/>
  <c r="I54" i="8" s="1"/>
  <c r="K54" i="8" s="1"/>
  <c r="H54" i="3"/>
  <c r="I54" i="3" s="1"/>
  <c r="K54" i="3" s="1"/>
  <c r="AE62" i="6" l="1"/>
  <c r="AF62" i="6" s="1"/>
  <c r="AH62" i="6" s="1"/>
  <c r="AD63" i="6" s="1"/>
  <c r="AE63" i="6" l="1"/>
  <c r="AF63" i="6" s="1"/>
  <c r="AH63" i="6" s="1"/>
  <c r="AD64" i="6" s="1"/>
  <c r="H19" i="6"/>
  <c r="AE64" i="6" l="1"/>
  <c r="AF64" i="6" s="1"/>
  <c r="AH64" i="6" s="1"/>
  <c r="AD65" i="6" s="1"/>
  <c r="I19" i="6"/>
  <c r="AE65" i="6" l="1"/>
  <c r="AF65" i="6" s="1"/>
  <c r="AH65" i="6" s="1"/>
  <c r="AD66" i="6" s="1"/>
  <c r="AE66" i="6" s="1"/>
  <c r="AF66" i="6" s="1"/>
  <c r="AH66" i="6" s="1"/>
  <c r="AD67" i="6" s="1"/>
  <c r="AE67" i="6" s="1"/>
  <c r="AF67" i="6" s="1"/>
  <c r="AH67" i="6" s="1"/>
  <c r="AD68" i="6" s="1"/>
  <c r="K19" i="6"/>
  <c r="G20" i="6" s="1"/>
  <c r="AE68" i="6" l="1"/>
  <c r="AF68" i="6" s="1"/>
  <c r="AH68" i="6" s="1"/>
  <c r="AD69" i="6" s="1"/>
  <c r="H20" i="6"/>
  <c r="I20" i="6" s="1"/>
  <c r="AE69" i="6" l="1"/>
  <c r="AF69" i="6" s="1"/>
  <c r="AH69" i="6" s="1"/>
  <c r="AD70" i="6" s="1"/>
  <c r="AE70" i="6" s="1"/>
  <c r="AF70" i="6" s="1"/>
  <c r="AH70" i="6" s="1"/>
  <c r="AD71" i="6" s="1"/>
  <c r="AE71" i="6" s="1"/>
  <c r="AF71" i="6" s="1"/>
  <c r="AH71" i="6" s="1"/>
  <c r="AD72" i="6" s="1"/>
  <c r="AE72" i="6" s="1"/>
  <c r="AF72" i="6" s="1"/>
  <c r="AH72" i="6" s="1"/>
  <c r="AD73" i="6" s="1"/>
  <c r="AE73" i="6" s="1"/>
  <c r="AF73" i="6" s="1"/>
  <c r="AH73" i="6" s="1"/>
  <c r="AD74" i="6" s="1"/>
  <c r="AE74" i="6" s="1"/>
  <c r="AF74" i="6" s="1"/>
  <c r="AH74" i="6" s="1"/>
  <c r="AD75" i="6" s="1"/>
  <c r="K20" i="6"/>
  <c r="G21" i="6" s="1"/>
  <c r="AE75" i="6" l="1"/>
  <c r="AF75" i="6" s="1"/>
  <c r="AH75" i="6" s="1"/>
  <c r="AD76" i="6" s="1"/>
  <c r="AE76" i="6" s="1"/>
  <c r="AF76" i="6" s="1"/>
  <c r="AH76" i="6" s="1"/>
  <c r="H21" i="6"/>
  <c r="I21" i="6" s="1"/>
  <c r="K21" i="6" l="1"/>
  <c r="G22" i="6" s="1"/>
  <c r="H22" i="6" l="1"/>
  <c r="I22" i="6" s="1"/>
  <c r="K22" i="6" s="1"/>
  <c r="G23" i="6" s="1"/>
  <c r="H23" i="6" l="1"/>
  <c r="I23" i="6" s="1"/>
  <c r="K23" i="6" l="1"/>
  <c r="G24" i="6" s="1"/>
  <c r="H24" i="6" l="1"/>
  <c r="I24" i="6" s="1"/>
  <c r="K24" i="6" s="1"/>
  <c r="G25" i="6" s="1"/>
  <c r="H25" i="6" l="1"/>
  <c r="I25" i="6" s="1"/>
  <c r="K25" i="6" s="1"/>
  <c r="G26" i="6" s="1"/>
  <c r="H26" i="6" l="1"/>
  <c r="I26" i="6" s="1"/>
  <c r="K26" i="6" s="1"/>
  <c r="G27" i="6" s="1"/>
  <c r="H27" i="6" l="1"/>
  <c r="I27" i="6" s="1"/>
  <c r="K27" i="6" l="1"/>
  <c r="G28" i="6" s="1"/>
  <c r="H28" i="6" l="1"/>
  <c r="I28" i="6" s="1"/>
  <c r="K28" i="6" s="1"/>
  <c r="G29" i="6" s="1"/>
  <c r="H29" i="6" l="1"/>
  <c r="I29" i="6" s="1"/>
  <c r="K29" i="6" l="1"/>
  <c r="G30" i="6" s="1"/>
  <c r="H30" i="6" l="1"/>
  <c r="I30" i="6" s="1"/>
  <c r="K30" i="6" l="1"/>
  <c r="G31" i="6" s="1"/>
  <c r="H31" i="6" l="1"/>
  <c r="I31" i="6" s="1"/>
  <c r="K31" i="6" s="1"/>
  <c r="G32" i="6" s="1"/>
  <c r="H32" i="6" l="1"/>
  <c r="I32" i="6" s="1"/>
  <c r="K32" i="6" s="1"/>
  <c r="G33" i="6" s="1"/>
  <c r="H33" i="6" l="1"/>
  <c r="I33" i="6" s="1"/>
  <c r="K33" i="6" s="1"/>
  <c r="G34" i="6" s="1"/>
  <c r="H34" i="6" l="1"/>
  <c r="I34" i="6" s="1"/>
  <c r="K34" i="6" s="1"/>
  <c r="G35" i="6" s="1"/>
  <c r="H35" i="6" l="1"/>
  <c r="I35" i="6" s="1"/>
  <c r="K35" i="6" s="1"/>
  <c r="G36" i="6" s="1"/>
  <c r="H36" i="6" l="1"/>
  <c r="I36" i="6" s="1"/>
  <c r="K36" i="6"/>
  <c r="G37" i="6" s="1"/>
  <c r="H37" i="6" l="1"/>
  <c r="I37" i="6" s="1"/>
  <c r="K37" i="6"/>
  <c r="G38" i="6" s="1"/>
  <c r="H38" i="6" l="1"/>
  <c r="I38" i="6" s="1"/>
  <c r="K38" i="6"/>
  <c r="G39" i="6" s="1"/>
  <c r="H39" i="6" l="1"/>
  <c r="I39" i="6" s="1"/>
  <c r="K39" i="6" s="1"/>
  <c r="G40" i="6" s="1"/>
  <c r="H40" i="6" l="1"/>
  <c r="I40" i="6" s="1"/>
  <c r="K40" i="6" l="1"/>
  <c r="G41" i="6" s="1"/>
  <c r="H41" i="6" l="1"/>
  <c r="I41" i="6" s="1"/>
  <c r="K41" i="6" l="1"/>
  <c r="G42" i="6" s="1"/>
  <c r="H42" i="6" l="1"/>
  <c r="I42" i="6" s="1"/>
  <c r="K42" i="6" l="1"/>
  <c r="G43" i="6" s="1"/>
  <c r="H43" i="6" l="1"/>
  <c r="I43" i="6" s="1"/>
  <c r="K43" i="6" l="1"/>
  <c r="G44" i="6" s="1"/>
  <c r="H44" i="6" l="1"/>
  <c r="I44" i="6" s="1"/>
  <c r="K44" i="6" s="1"/>
  <c r="G45" i="6" s="1"/>
  <c r="H45" i="6" l="1"/>
  <c r="I45" i="6" s="1"/>
  <c r="K45" i="6" l="1"/>
  <c r="G46" i="6" s="1"/>
  <c r="H46" i="6" l="1"/>
  <c r="I46" i="6" s="1"/>
  <c r="K46" i="6" l="1"/>
  <c r="G47" i="6" s="1"/>
  <c r="H47" i="6" l="1"/>
  <c r="I47" i="6" s="1"/>
  <c r="K47" i="6" l="1"/>
  <c r="G48" i="6" s="1"/>
  <c r="H48" i="6" l="1"/>
  <c r="I48" i="6" s="1"/>
  <c r="K48" i="6" s="1"/>
  <c r="G49" i="6" s="1"/>
  <c r="H49" i="6" l="1"/>
  <c r="I49" i="6" s="1"/>
  <c r="K49" i="6" s="1"/>
  <c r="G50" i="6" s="1"/>
  <c r="H50" i="6" l="1"/>
  <c r="I50" i="6" s="1"/>
  <c r="K50" i="6" l="1"/>
  <c r="G51" i="6" s="1"/>
  <c r="H51" i="6" l="1"/>
  <c r="I51" i="6" s="1"/>
  <c r="K51" i="6" l="1"/>
  <c r="G52" i="6" s="1"/>
  <c r="H52" i="6" l="1"/>
  <c r="I52" i="6" s="1"/>
  <c r="K52" i="6" l="1"/>
  <c r="G53" i="6" s="1"/>
  <c r="H53" i="6" l="1"/>
  <c r="I53" i="6" s="1"/>
  <c r="K53" i="6" s="1"/>
  <c r="G54" i="6" s="1"/>
  <c r="H54" i="6" l="1"/>
  <c r="I54" i="6" s="1"/>
  <c r="K54" i="6" l="1"/>
  <c r="G55" i="6" s="1"/>
  <c r="H55" i="6" l="1"/>
  <c r="I55" i="6" s="1"/>
  <c r="K55" i="6" l="1"/>
  <c r="G56" i="6" s="1"/>
  <c r="H56" i="6" l="1"/>
  <c r="I56" i="6" s="1"/>
  <c r="K56" i="6" l="1"/>
  <c r="G57" i="6" s="1"/>
  <c r="H57" i="6" l="1"/>
  <c r="I57" i="6" s="1"/>
  <c r="K57" i="6" l="1"/>
  <c r="G58" i="6" s="1"/>
  <c r="H58" i="6" l="1"/>
  <c r="I58" i="6" s="1"/>
  <c r="K58" i="6" l="1"/>
  <c r="G59" i="6" s="1"/>
  <c r="H59" i="6" l="1"/>
  <c r="I59" i="6" s="1"/>
  <c r="K59" i="6" s="1"/>
  <c r="G60" i="6" s="1"/>
  <c r="H60" i="6" l="1"/>
  <c r="I60" i="6" s="1"/>
  <c r="K60" i="6" l="1"/>
  <c r="G61" i="6" s="1"/>
  <c r="H61" i="6" l="1"/>
  <c r="I61" i="6" s="1"/>
  <c r="K61" i="6" l="1"/>
  <c r="G62" i="6" s="1"/>
  <c r="H62" i="6" l="1"/>
  <c r="I62" i="6" s="1"/>
  <c r="K62" i="6" s="1"/>
  <c r="G63" i="6" s="1"/>
  <c r="H63" i="6" l="1"/>
  <c r="I63" i="6" s="1"/>
  <c r="K63" i="6" l="1"/>
  <c r="G64" i="6" s="1"/>
  <c r="H64" i="6" l="1"/>
  <c r="I64" i="6" s="1"/>
  <c r="K64" i="6" s="1"/>
  <c r="G65" i="6" s="1"/>
  <c r="H65" i="6" s="1"/>
  <c r="I65" i="6" s="1"/>
  <c r="K65" i="6" s="1"/>
  <c r="G66" i="6" s="1"/>
  <c r="H66" i="6" s="1"/>
  <c r="I66" i="6" s="1"/>
  <c r="K66" i="6" s="1"/>
  <c r="G67" i="6" s="1"/>
  <c r="H67" i="6" l="1"/>
  <c r="I67" i="6" s="1"/>
  <c r="K67" i="6" s="1"/>
  <c r="G68" i="6" s="1"/>
  <c r="H68" i="6" s="1"/>
  <c r="I68" i="6" s="1"/>
  <c r="K68" i="6" s="1"/>
  <c r="G69" i="6" s="1"/>
  <c r="H69" i="6" s="1"/>
  <c r="I69" i="6" s="1"/>
  <c r="K69" i="6" s="1"/>
  <c r="G70" i="6" s="1"/>
  <c r="H70" i="6" s="1"/>
  <c r="I70" i="6" s="1"/>
  <c r="K70" i="6" s="1"/>
  <c r="G71" i="6" s="1"/>
  <c r="H71" i="6" s="1"/>
  <c r="I71" i="6" s="1"/>
  <c r="K71" i="6" s="1"/>
  <c r="G72" i="6" s="1"/>
  <c r="H72" i="6" l="1"/>
  <c r="I72" i="6" s="1"/>
  <c r="K72" i="6" s="1"/>
  <c r="G73" i="6" s="1"/>
  <c r="H73" i="6" l="1"/>
  <c r="I73" i="6" s="1"/>
  <c r="K73" i="6"/>
  <c r="G74" i="6" s="1"/>
  <c r="H74" i="6" s="1"/>
  <c r="I74" i="6" s="1"/>
  <c r="K74" i="6" s="1"/>
  <c r="G75" i="6" s="1"/>
  <c r="H75" i="6" s="1"/>
  <c r="I75" i="6" s="1"/>
  <c r="K75" i="6" s="1"/>
  <c r="G76" i="6" s="1"/>
  <c r="H76" i="6" s="1"/>
  <c r="I76" i="6" s="1"/>
  <c r="K76" i="6" s="1"/>
</calcChain>
</file>

<file path=xl/comments1.xml><?xml version="1.0" encoding="utf-8"?>
<comments xmlns="http://schemas.openxmlformats.org/spreadsheetml/2006/main">
  <authors>
    <author>tc={6571BA97-C928-4EEE-BA10-C974468CAFB8}</author>
    <author>tc={48CE6FD9-EE8E-4424-B2A2-25AC93FC1E39}</author>
  </authors>
  <commentList>
    <comment ref="G17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 es igual a la cuota</t>
        </r>
      </text>
    </comment>
    <comment ref="AD17" authorId="1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 es igual a la cuota</t>
        </r>
      </text>
    </comment>
  </commentList>
</comments>
</file>

<file path=xl/comments2.xml><?xml version="1.0" encoding="utf-8"?>
<comments xmlns="http://schemas.openxmlformats.org/spreadsheetml/2006/main">
  <authors>
    <author>tc={C8A84B91-051F-408C-B572-64336542D9B4}</author>
  </authors>
  <commentList>
    <comment ref="G7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 es igual a la cuota</t>
        </r>
      </text>
    </comment>
  </commentList>
</comments>
</file>

<file path=xl/comments3.xml><?xml version="1.0" encoding="utf-8"?>
<comments xmlns="http://schemas.openxmlformats.org/spreadsheetml/2006/main">
  <authors>
    <author>tc={AEAE62A2-57E0-4B29-8B92-9A52477EEB57}</author>
  </authors>
  <commentList>
    <comment ref="G7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 es igual a la cuota</t>
        </r>
      </text>
    </comment>
  </commentList>
</comments>
</file>

<file path=xl/comments4.xml><?xml version="1.0" encoding="utf-8"?>
<comments xmlns="http://schemas.openxmlformats.org/spreadsheetml/2006/main">
  <authors>
    <author>tc={1E2712D8-A560-40EC-AC8B-243E0F629219}</author>
  </authors>
  <commentList>
    <comment ref="G7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 es igual a la cuota</t>
        </r>
      </text>
    </comment>
  </commentList>
</comments>
</file>

<file path=xl/comments5.xml><?xml version="1.0" encoding="utf-8"?>
<comments xmlns="http://schemas.openxmlformats.org/spreadsheetml/2006/main">
  <authors>
    <author>tc={7CFCCE84-C3B7-4097-A83C-A01EC7427A62}</author>
  </authors>
  <commentList>
    <comment ref="G7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 es igual a la cuota</t>
        </r>
      </text>
    </comment>
  </commentList>
</comments>
</file>

<file path=xl/sharedStrings.xml><?xml version="1.0" encoding="utf-8"?>
<sst xmlns="http://schemas.openxmlformats.org/spreadsheetml/2006/main" count="489" uniqueCount="146">
  <si>
    <t>VP</t>
  </si>
  <si>
    <t>=</t>
  </si>
  <si>
    <t>R</t>
  </si>
  <si>
    <r>
      <t>1-(1+</t>
    </r>
    <r>
      <rPr>
        <sz val="14"/>
        <color theme="1"/>
        <rFont val="Calibri"/>
        <family val="2"/>
        <scheme val="minor"/>
      </rPr>
      <t>i)^-n</t>
    </r>
  </si>
  <si>
    <t>i</t>
  </si>
  <si>
    <t>X</t>
  </si>
  <si>
    <t>-1</t>
  </si>
  <si>
    <t>-X</t>
  </si>
  <si>
    <t>Variables de entrada</t>
  </si>
  <si>
    <t>Capital</t>
  </si>
  <si>
    <t>Plazo</t>
  </si>
  <si>
    <t>Persona</t>
  </si>
  <si>
    <t>Personas natural</t>
  </si>
  <si>
    <t>Persona Juridica</t>
  </si>
  <si>
    <t>Personas</t>
  </si>
  <si>
    <t>Nominal Mensual</t>
  </si>
  <si>
    <t>Nominal Bimestral</t>
  </si>
  <si>
    <t>Nominal trimestral</t>
  </si>
  <si>
    <t>Nominal semestral</t>
  </si>
  <si>
    <t>Nominal Anual</t>
  </si>
  <si>
    <t>Tasa Vencida</t>
  </si>
  <si>
    <t>Tasa Anticipada</t>
  </si>
  <si>
    <t>Efectiva Mensual</t>
  </si>
  <si>
    <t>Efectiva Bimestral</t>
  </si>
  <si>
    <t>Efectiva trimestral</t>
  </si>
  <si>
    <t>Efectiva semestral</t>
  </si>
  <si>
    <t>Efectiva Anual</t>
  </si>
  <si>
    <t>Sub Tasa de interes</t>
  </si>
  <si>
    <t>Tasa de interes</t>
  </si>
  <si>
    <t>Periodicidad cuota</t>
  </si>
  <si>
    <t>Bimestral</t>
  </si>
  <si>
    <t>Mensual</t>
  </si>
  <si>
    <t>Trimestral</t>
  </si>
  <si>
    <t>Semestral</t>
  </si>
  <si>
    <t>Anual</t>
  </si>
  <si>
    <t>=2*i</t>
  </si>
  <si>
    <t>=5-3</t>
  </si>
  <si>
    <t>=2-4</t>
  </si>
  <si>
    <t>N per</t>
  </si>
  <si>
    <t xml:space="preserve">Intereses </t>
  </si>
  <si>
    <t>Amortización</t>
  </si>
  <si>
    <t>Cuota</t>
  </si>
  <si>
    <t>Saldo</t>
  </si>
  <si>
    <t>Variables de Salida</t>
  </si>
  <si>
    <t>Pregunta</t>
  </si>
  <si>
    <t>tiempo</t>
  </si>
  <si>
    <t>pregunta</t>
  </si>
  <si>
    <t>tasa</t>
  </si>
  <si>
    <t>tasa nominal</t>
  </si>
  <si>
    <t>tasa E S A</t>
  </si>
  <si>
    <t>tasa semestral vencida</t>
  </si>
  <si>
    <t>tasa efectiva mesual vencida</t>
  </si>
  <si>
    <t>% Tasa interes Ent</t>
  </si>
  <si>
    <t>% Tasa interes Sal</t>
  </si>
  <si>
    <t>cuota</t>
  </si>
  <si>
    <t>mes Amortizacion</t>
  </si>
  <si>
    <t>valor Amortizacion</t>
  </si>
  <si>
    <t>Variable afectar</t>
  </si>
  <si>
    <t>variable</t>
  </si>
  <si>
    <t>Disminucion Plazo</t>
  </si>
  <si>
    <t>Disminucion cuota</t>
  </si>
  <si>
    <t>Formula</t>
  </si>
  <si>
    <t>BANCO ABC</t>
  </si>
  <si>
    <t>BANCO XYZ</t>
  </si>
  <si>
    <t>I</t>
  </si>
  <si>
    <t>n</t>
  </si>
  <si>
    <r>
      <t>1-(1+</t>
    </r>
    <r>
      <rPr>
        <sz val="14"/>
        <color theme="0"/>
        <rFont val="Calibri"/>
        <family val="2"/>
        <scheme val="minor"/>
      </rPr>
      <t>i)^-n</t>
    </r>
  </si>
  <si>
    <t>20000000=575359,1*(1-(1+i)^-n)/i</t>
  </si>
  <si>
    <t>?</t>
  </si>
  <si>
    <t>-0</t>
  </si>
  <si>
    <t>-(-11,00238121)</t>
  </si>
  <si>
    <t>1-X</t>
  </si>
  <si>
    <t>1-2</t>
  </si>
  <si>
    <t>i1:1%</t>
  </si>
  <si>
    <t>i2:2%</t>
  </si>
  <si>
    <t>M</t>
  </si>
  <si>
    <t>h</t>
  </si>
  <si>
    <t>-(-4357600,995)</t>
  </si>
  <si>
    <t>debe realizar 45 pagos completos de $850,000</t>
  </si>
  <si>
    <t>a</t>
  </si>
  <si>
    <t>b</t>
  </si>
  <si>
    <t>si se va a realizar el pago total en la ultima cuota de 850 se le agregaria 201083 pendientes ´para un total de $1,051,083</t>
  </si>
  <si>
    <t>c</t>
  </si>
  <si>
    <t>si desúes del  periodo 2 quisiera cancelar la totalidad de la deuda seria de $24,911,579</t>
  </si>
  <si>
    <t>suponiendo los dos pahos en los periodos18 y 30  el crediot se termina de pagar en la cuota 35</t>
  </si>
  <si>
    <t>20000000=450.000*(1-(1+i)^-n)/i</t>
  </si>
  <si>
    <t>20000000=450000*(1-(1+i)^-n)/i</t>
  </si>
  <si>
    <t>NO</t>
  </si>
  <si>
    <t>valor Amortizacion 1</t>
  </si>
  <si>
    <t>Periodicidad cuota 1</t>
  </si>
  <si>
    <t>Variable afectar 1</t>
  </si>
  <si>
    <t>Incluye 1</t>
  </si>
  <si>
    <t>mes Amortizacion 1</t>
  </si>
  <si>
    <t>mes Amortizacion 2</t>
  </si>
  <si>
    <t>valor Amortizacion 2</t>
  </si>
  <si>
    <t>Periodicidad cuota 2</t>
  </si>
  <si>
    <t>Variable afectar 2</t>
  </si>
  <si>
    <t>Incluye 2</t>
  </si>
  <si>
    <t>SI</t>
  </si>
  <si>
    <t>R*(1-(1+I)^-n)/i</t>
  </si>
  <si>
    <t>reduccion de plazo</t>
  </si>
  <si>
    <t>segunda amortizacion</t>
  </si>
  <si>
    <t>calculamos -n el tiempo</t>
  </si>
  <si>
    <t>R*(1-(1+I)^-n)</t>
  </si>
  <si>
    <t>1-(1+I)^-n</t>
  </si>
  <si>
    <t>log 0,658964=-n*log 1,01584</t>
  </si>
  <si>
    <t>0,34-1</t>
  </si>
  <si>
    <t>(1+I)^-n</t>
  </si>
  <si>
    <t>-n*</t>
  </si>
  <si>
    <t>valor de la ultima cuota</t>
  </si>
  <si>
    <t>cantidad de cuotas que quedan</t>
  </si>
  <si>
    <t>cuota ex mas cuota mensual</t>
  </si>
  <si>
    <t>-n log 1,01584</t>
  </si>
  <si>
    <t>(1-(1+I)^-n)/i</t>
  </si>
  <si>
    <t>(1-(1+I)^-n)</t>
  </si>
  <si>
    <t>(1+I)^-n)</t>
  </si>
  <si>
    <t>-(1+I)^-n)</t>
  </si>
  <si>
    <t>=log 0,658908216</t>
  </si>
  <si>
    <t>-n*log(1,01584)</t>
  </si>
  <si>
    <t>-n</t>
  </si>
  <si>
    <t xml:space="preserve">Observaciones </t>
  </si>
  <si>
    <t>es el valor del credito otorgado por el banco y es una variable de entrada</t>
  </si>
  <si>
    <t>dato de entrada necesario para toda operación financiera</t>
  </si>
  <si>
    <t>me define el tipo de credito y la periodicidad del pago de las cuotas teniendo en cuenta que si es persona natural se aplica a tasa mensual vencida y las judidicas todas las tasas</t>
  </si>
  <si>
    <t>campo de salida me indica el resultado de la cuota a cancelar dependiendo de las demas variables (tasa de interes, cuota,plazo, capital)</t>
  </si>
  <si>
    <t>dato de entrada la impone el banco y es con la se negocia el credito (campo en blanco para ingresar el tipo de tasa)</t>
  </si>
  <si>
    <t>dato de entrada la impone el banco y es con la se negocia el credito (campo en blanco para ingresar el % "numero" de tasa)</t>
  </si>
  <si>
    <t>% de la tasa</t>
  </si>
  <si>
    <t>cuando la tasa no dice si es vencida o anticipada siempre se toma como vencida por defecto</t>
  </si>
  <si>
    <t>tasa nominal semestral anticipada</t>
  </si>
  <si>
    <t>cuotas trimestrales</t>
  </si>
  <si>
    <t>como la tasa es semestral se pasa a trimestral</t>
  </si>
  <si>
    <t>se pasa de anticipada a vencida ( efectiva semestral vencida)</t>
  </si>
  <si>
    <t>tasa de interes de salida</t>
  </si>
  <si>
    <t>solo aplica para persona juridica y es un campo de salida con conversion de tasa de interes que puede ser cualquier tipo de tasa(mensual…...anual)</t>
  </si>
  <si>
    <t>tasa de salida que se debe convertir de acuerdo a los ejercicios de la araña (deben ser siempre efectivas vencidas) y debe cumplir con la periodicidad que se pida en la cuota</t>
  </si>
  <si>
    <t>corresponde al valor de la cuota extraordinaria que es un campo de entrada</t>
  </si>
  <si>
    <t xml:space="preserve">si el cliente quiere hacer abonos extraordinarios a la deuda y debe efectuar la formula de acuerdo al mes o periodo en que se abona el pago </t>
  </si>
  <si>
    <t>es un selector que en caso de persona juridica es cualquier tipo de tasa y si es natural es mensual vencido</t>
  </si>
  <si>
    <t>las cuotas extraordinarias afectan el capital por lo tanto o se disminuye el valor de la cuota o el tiempo de pago de acuerdo a la seleccion</t>
  </si>
  <si>
    <t>es si el pago extraordinario incluye la cuota o no en esta caso la incluye</t>
  </si>
  <si>
    <t>es una formula para encontrar el nuevo saldo antes y despues de los pagos extraordinarios</t>
  </si>
  <si>
    <t>es el saldo de lo que queda en la ultima cuota despues de realizar un abono</t>
  </si>
  <si>
    <t>es un calculo que se hace con la funcion loraritmica</t>
  </si>
  <si>
    <t>=vp/(1-(1+i)^-n)/i</t>
  </si>
  <si>
    <t>EMV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</si>
</sst>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0.0%"/>
    <numFmt numFmtId="166" formatCode="0.000%"/>
    <numFmt numFmtId="167" formatCode="_-&quot;$&quot;\ * #,##0.00_-;\-&quot;$&quot;\ * #,##0.00_-;_-&quot;$&quot;\ * &quot;-&quot;_-;_-@_-"/>
    <numFmt numFmtId="168" formatCode="0.000"/>
    <numFmt numFmtId="169" formatCode="0.0"/>
    <numFmt numFmtId="170" formatCode="0.00000"/>
    <numFmt numFmtId="171" formatCode="0.00000000"/>
    <numFmt numFmtId="172" formatCode="0.000000000"/>
    <numFmt numFmtId="173" formatCode="0.000000"/>
    <numFmt numFmtId="174" formatCode="_-&quot;$&quot;\ * #,##0_-;\-&quot;$&quot;\ * #,##0_-;_-&quot;$&quot;\ * &quot;-&quot;??_-;_-@_-"/>
    <numFmt numFmtId="175" formatCode="0.0000000"/>
    <numFmt numFmtId="176" formatCode="_-&quot;$&quot;* #,##0.00_-;\-&quot;$&quot;* #,##0.00_-;_-&quot;$&quot;* &quot;-&quot;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72"/>
      <color rgb="FFFF0000"/>
      <name val="Calibri"/>
      <family val="2"/>
      <scheme val="minor"/>
    </font>
    <font>
      <b/>
      <i/>
      <u/>
      <sz val="72"/>
      <color rgb="FF0070C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9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66" fontId="3" fillId="3" borderId="0" xfId="0" applyNumberFormat="1" applyFont="1" applyFill="1" applyAlignment="1">
      <alignment horizontal="center" vertical="center"/>
    </xf>
    <xf numFmtId="164" fontId="0" fillId="3" borderId="0" xfId="1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0" borderId="2" xfId="0" applyBorder="1" applyAlignment="1">
      <alignment horizontal="right"/>
    </xf>
    <xf numFmtId="164" fontId="0" fillId="0" borderId="2" xfId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2" fillId="4" borderId="0" xfId="0" applyFont="1" applyFill="1"/>
    <xf numFmtId="49" fontId="4" fillId="0" borderId="0" xfId="0" applyNumberFormat="1" applyFont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/>
    <xf numFmtId="0" fontId="0" fillId="0" borderId="0" xfId="0" applyAlignment="1"/>
    <xf numFmtId="0" fontId="0" fillId="4" borderId="0" xfId="0" applyFill="1" applyAlignment="1"/>
    <xf numFmtId="0" fontId="0" fillId="5" borderId="0" xfId="0" applyFill="1"/>
    <xf numFmtId="0" fontId="2" fillId="5" borderId="0" xfId="0" applyFont="1" applyFill="1"/>
    <xf numFmtId="0" fontId="0" fillId="3" borderId="0" xfId="0" applyFill="1" applyAlignment="1"/>
    <xf numFmtId="0" fontId="0" fillId="0" borderId="2" xfId="0" applyBorder="1" applyAlignment="1"/>
    <xf numFmtId="0" fontId="0" fillId="6" borderId="2" xfId="0" applyFill="1" applyBorder="1"/>
    <xf numFmtId="1" fontId="0" fillId="0" borderId="2" xfId="2" applyNumberFormat="1" applyFont="1" applyBorder="1" applyAlignment="1">
      <alignment horizontal="right"/>
    </xf>
    <xf numFmtId="167" fontId="0" fillId="0" borderId="2" xfId="0" applyNumberFormat="1" applyBorder="1" applyAlignment="1">
      <alignment horizontal="right"/>
    </xf>
    <xf numFmtId="164" fontId="0" fillId="0" borderId="0" xfId="0" applyNumberFormat="1"/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8" fontId="0" fillId="0" borderId="0" xfId="1" applyNumberFormat="1" applyFont="1"/>
    <xf numFmtId="0" fontId="7" fillId="0" borderId="2" xfId="0" applyFont="1" applyBorder="1" applyAlignment="1">
      <alignment horizontal="center" vertical="center"/>
    </xf>
    <xf numFmtId="164" fontId="7" fillId="0" borderId="2" xfId="1" applyFont="1" applyBorder="1"/>
    <xf numFmtId="0" fontId="7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3" borderId="0" xfId="0" applyFill="1" applyBorder="1" applyAlignment="1">
      <alignment horizontal="center" vertical="center"/>
    </xf>
    <xf numFmtId="43" fontId="0" fillId="3" borderId="0" xfId="3" applyFont="1" applyFill="1"/>
    <xf numFmtId="0" fontId="0" fillId="3" borderId="0" xfId="0" applyFill="1" applyAlignment="1">
      <alignment wrapText="1"/>
    </xf>
    <xf numFmtId="0" fontId="0" fillId="3" borderId="0" xfId="0" applyFill="1" applyBorder="1"/>
    <xf numFmtId="164" fontId="8" fillId="3" borderId="0" xfId="0" applyNumberFormat="1" applyFont="1" applyFill="1" applyBorder="1"/>
    <xf numFmtId="0" fontId="8" fillId="3" borderId="0" xfId="0" applyFont="1" applyFill="1" applyBorder="1"/>
    <xf numFmtId="168" fontId="8" fillId="3" borderId="0" xfId="1" applyNumberFormat="1" applyFont="1" applyFill="1" applyBorder="1"/>
    <xf numFmtId="164" fontId="8" fillId="3" borderId="1" xfId="0" applyNumberFormat="1" applyFont="1" applyFill="1" applyBorder="1"/>
    <xf numFmtId="0" fontId="0" fillId="3" borderId="2" xfId="0" applyFill="1" applyBorder="1" applyAlignment="1"/>
    <xf numFmtId="49" fontId="4" fillId="3" borderId="0" xfId="0" applyNumberFormat="1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8" fillId="3" borderId="7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4" xfId="0" applyFont="1" applyFill="1" applyBorder="1"/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164" fontId="8" fillId="3" borderId="11" xfId="0" applyNumberFormat="1" applyFont="1" applyFill="1" applyBorder="1"/>
    <xf numFmtId="0" fontId="8" fillId="3" borderId="11" xfId="0" applyFont="1" applyFill="1" applyBorder="1"/>
    <xf numFmtId="0" fontId="8" fillId="3" borderId="9" xfId="0" applyFont="1" applyFill="1" applyBorder="1" applyAlignment="1">
      <alignment horizontal="right" vertical="center"/>
    </xf>
    <xf numFmtId="0" fontId="8" fillId="3" borderId="12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center" vertical="center"/>
    </xf>
    <xf numFmtId="43" fontId="8" fillId="3" borderId="13" xfId="3" applyFont="1" applyFill="1" applyBorder="1"/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right" vertical="center"/>
    </xf>
    <xf numFmtId="43" fontId="0" fillId="3" borderId="0" xfId="3" applyFont="1" applyFill="1" applyBorder="1"/>
    <xf numFmtId="0" fontId="2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vertical="center"/>
    </xf>
    <xf numFmtId="4" fontId="0" fillId="3" borderId="0" xfId="0" applyNumberFormat="1" applyFill="1"/>
    <xf numFmtId="0" fontId="0" fillId="3" borderId="1" xfId="0" applyFill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49" fontId="0" fillId="3" borderId="4" xfId="0" applyNumberFormat="1" applyFill="1" applyBorder="1" applyAlignment="1">
      <alignment vertical="center"/>
    </xf>
    <xf numFmtId="2" fontId="0" fillId="3" borderId="4" xfId="0" applyNumberFormat="1" applyFill="1" applyBorder="1" applyAlignment="1">
      <alignment vertical="center"/>
    </xf>
    <xf numFmtId="49" fontId="0" fillId="3" borderId="0" xfId="0" applyNumberForma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1" fontId="0" fillId="3" borderId="0" xfId="0" applyNumberFormat="1" applyFill="1" applyAlignment="1">
      <alignment horizontal="right"/>
    </xf>
    <xf numFmtId="169" fontId="0" fillId="3" borderId="0" xfId="0" applyNumberFormat="1" applyFill="1" applyAlignment="1">
      <alignment horizontal="right"/>
    </xf>
    <xf numFmtId="170" fontId="0" fillId="0" borderId="2" xfId="0" applyNumberFormat="1" applyBorder="1" applyAlignment="1">
      <alignment horizontal="right"/>
    </xf>
    <xf numFmtId="172" fontId="0" fillId="3" borderId="0" xfId="0" applyNumberFormat="1" applyFill="1" applyAlignment="1">
      <alignment horizontal="center"/>
    </xf>
    <xf numFmtId="49" fontId="0" fillId="3" borderId="0" xfId="0" applyNumberFormat="1" applyFill="1" applyBorder="1" applyAlignment="1">
      <alignment horizontal="right" vertical="center"/>
    </xf>
    <xf numFmtId="167" fontId="0" fillId="3" borderId="0" xfId="0" applyNumberFormat="1" applyFill="1"/>
    <xf numFmtId="164" fontId="0" fillId="3" borderId="0" xfId="0" applyNumberFormat="1" applyFill="1"/>
    <xf numFmtId="0" fontId="0" fillId="3" borderId="0" xfId="0" applyFill="1" applyBorder="1" applyAlignment="1">
      <alignment wrapText="1"/>
    </xf>
    <xf numFmtId="44" fontId="3" fillId="0" borderId="0" xfId="0" applyNumberFormat="1" applyFont="1" applyAlignment="1">
      <alignment vertical="center"/>
    </xf>
    <xf numFmtId="44" fontId="0" fillId="0" borderId="0" xfId="0" applyNumberFormat="1"/>
    <xf numFmtId="44" fontId="0" fillId="3" borderId="0" xfId="0" applyNumberFormat="1" applyFill="1" applyAlignment="1">
      <alignment horizontal="left"/>
    </xf>
    <xf numFmtId="44" fontId="0" fillId="3" borderId="1" xfId="0" applyNumberFormat="1" applyFill="1" applyBorder="1" applyAlignment="1">
      <alignment vertical="center"/>
    </xf>
    <xf numFmtId="44" fontId="0" fillId="3" borderId="0" xfId="0" applyNumberFormat="1" applyFill="1" applyAlignment="1">
      <alignment horizontal="center"/>
    </xf>
    <xf numFmtId="164" fontId="7" fillId="9" borderId="2" xfId="1" applyFont="1" applyFill="1" applyBorder="1"/>
    <xf numFmtId="0" fontId="7" fillId="9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164" fontId="7" fillId="3" borderId="2" xfId="1" applyFont="1" applyFill="1" applyBorder="1"/>
    <xf numFmtId="44" fontId="0" fillId="0" borderId="0" xfId="4" applyFont="1"/>
    <xf numFmtId="2" fontId="0" fillId="0" borderId="0" xfId="0" applyNumberFormat="1"/>
    <xf numFmtId="164" fontId="7" fillId="10" borderId="2" xfId="1" applyFont="1" applyFill="1" applyBorder="1"/>
    <xf numFmtId="0" fontId="0" fillId="0" borderId="2" xfId="0" applyBorder="1"/>
    <xf numFmtId="164" fontId="12" fillId="0" borderId="2" xfId="1" applyFont="1" applyBorder="1"/>
    <xf numFmtId="164" fontId="13" fillId="11" borderId="2" xfId="1" applyFont="1" applyFill="1" applyBorder="1"/>
    <xf numFmtId="44" fontId="2" fillId="5" borderId="0" xfId="4" applyFont="1" applyFill="1"/>
    <xf numFmtId="44" fontId="2" fillId="0" borderId="0" xfId="0" applyNumberFormat="1" applyFont="1"/>
    <xf numFmtId="0" fontId="0" fillId="5" borderId="0" xfId="0" applyFill="1" applyAlignment="1">
      <alignment horizontal="left"/>
    </xf>
    <xf numFmtId="44" fontId="0" fillId="12" borderId="0" xfId="0" applyNumberFormat="1" applyFill="1"/>
    <xf numFmtId="164" fontId="7" fillId="12" borderId="2" xfId="1" applyFont="1" applyFill="1" applyBorder="1"/>
    <xf numFmtId="174" fontId="0" fillId="12" borderId="0" xfId="0" applyNumberFormat="1" applyFill="1"/>
    <xf numFmtId="174" fontId="0" fillId="0" borderId="0" xfId="0" applyNumberFormat="1" applyAlignment="1">
      <alignment horizontal="right"/>
    </xf>
    <xf numFmtId="2" fontId="0" fillId="0" borderId="1" xfId="0" applyNumberFormat="1" applyBorder="1"/>
    <xf numFmtId="167" fontId="0" fillId="0" borderId="0" xfId="0" applyNumberFormat="1" applyAlignment="1">
      <alignment horizontal="center"/>
    </xf>
    <xf numFmtId="49" fontId="0" fillId="0" borderId="0" xfId="0" applyNumberFormat="1" applyBorder="1"/>
    <xf numFmtId="175" fontId="0" fillId="0" borderId="0" xfId="0" applyNumberFormat="1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164" fontId="7" fillId="11" borderId="2" xfId="1" applyFont="1" applyFill="1" applyBorder="1"/>
    <xf numFmtId="176" fontId="7" fillId="0" borderId="2" xfId="1" applyNumberFormat="1" applyFont="1" applyBorder="1"/>
    <xf numFmtId="173" fontId="0" fillId="0" borderId="0" xfId="0" applyNumberFormat="1" applyBorder="1"/>
    <xf numFmtId="49" fontId="0" fillId="0" borderId="0" xfId="0" applyNumberFormat="1"/>
    <xf numFmtId="164" fontId="7" fillId="0" borderId="2" xfId="1" applyNumberFormat="1" applyFont="1" applyBorder="1"/>
    <xf numFmtId="0" fontId="7" fillId="10" borderId="2" xfId="0" applyFont="1" applyFill="1" applyBorder="1" applyAlignment="1">
      <alignment horizontal="center" vertical="center"/>
    </xf>
    <xf numFmtId="2" fontId="0" fillId="0" borderId="5" xfId="4" applyNumberFormat="1" applyFont="1" applyBorder="1" applyAlignment="1">
      <alignment horizontal="center" vertical="center"/>
    </xf>
    <xf numFmtId="2" fontId="0" fillId="0" borderId="5" xfId="0" applyNumberFormat="1" applyBorder="1"/>
    <xf numFmtId="0" fontId="0" fillId="3" borderId="0" xfId="0" applyFill="1" applyBorder="1" applyAlignment="1"/>
    <xf numFmtId="0" fontId="2" fillId="3" borderId="0" xfId="0" applyFont="1" applyFill="1"/>
    <xf numFmtId="168" fontId="0" fillId="0" borderId="0" xfId="0" applyNumberFormat="1"/>
    <xf numFmtId="168" fontId="0" fillId="5" borderId="0" xfId="0" applyNumberFormat="1" applyFill="1"/>
    <xf numFmtId="0" fontId="14" fillId="0" borderId="0" xfId="0" applyFont="1" applyAlignment="1">
      <alignment horizontal="center"/>
    </xf>
    <xf numFmtId="0" fontId="15" fillId="0" borderId="2" xfId="0" applyFont="1" applyBorder="1" applyAlignment="1">
      <alignment horizontal="right"/>
    </xf>
    <xf numFmtId="0" fontId="2" fillId="9" borderId="0" xfId="0" applyFont="1" applyFill="1"/>
    <xf numFmtId="0" fontId="0" fillId="9" borderId="2" xfId="0" applyFill="1" applyBorder="1" applyAlignment="1">
      <alignment horizontal="right"/>
    </xf>
    <xf numFmtId="0" fontId="8" fillId="3" borderId="9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5" fontId="14" fillId="0" borderId="2" xfId="0" applyNumberFormat="1" applyFont="1" applyBorder="1" applyAlignment="1">
      <alignment horizontal="center"/>
    </xf>
    <xf numFmtId="167" fontId="0" fillId="13" borderId="2" xfId="0" quotePrefix="1" applyNumberFormat="1" applyFill="1" applyBorder="1" applyAlignment="1">
      <alignment horizontal="right"/>
    </xf>
    <xf numFmtId="0" fontId="0" fillId="13" borderId="2" xfId="0" applyFill="1" applyBorder="1" applyAlignment="1">
      <alignment horizontal="right"/>
    </xf>
    <xf numFmtId="0" fontId="0" fillId="5" borderId="2" xfId="0" applyFill="1" applyBorder="1" applyAlignment="1">
      <alignment horizontal="left"/>
    </xf>
    <xf numFmtId="164" fontId="7" fillId="13" borderId="2" xfId="1" applyFont="1" applyFill="1" applyBorder="1"/>
    <xf numFmtId="164" fontId="16" fillId="10" borderId="2" xfId="1" applyFont="1" applyFill="1" applyBorder="1"/>
    <xf numFmtId="0" fontId="0" fillId="13" borderId="0" xfId="0" applyFill="1"/>
    <xf numFmtId="0" fontId="0" fillId="13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13" borderId="0" xfId="0" applyFont="1" applyFill="1"/>
    <xf numFmtId="175" fontId="2" fillId="13" borderId="0" xfId="0" applyNumberFormat="1" applyFont="1" applyFill="1"/>
  </cellXfs>
  <cellStyles count="5">
    <cellStyle name="Millares" xfId="3" builtinId="3"/>
    <cellStyle name="Moneda" xfId="4" builtinId="4"/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114298</xdr:colOff>
      <xdr:row>39</xdr:row>
      <xdr:rowOff>189442</xdr:rowOff>
    </xdr:from>
    <xdr:to>
      <xdr:col>1</xdr:col>
      <xdr:colOff>1242482</xdr:colOff>
      <xdr:row>42</xdr:row>
      <xdr:rowOff>151341</xdr:rowOff>
    </xdr:to>
    <xdr:sp macro="" textlink="">
      <xdr:nvSpPr>
        <xdr:cNvPr id="2" name="Rectángulo: esquinas redondeadas 1">
          <a:extLst>
            <a:ext uri="{FF2B5EF4-FFF2-40B4-BE49-F238E27FC236}">
              <a16:creationId xmlns="" xmlns:a16="http://schemas.microsoft.com/office/drawing/2014/main" id="{12B1514F-9EF3-4333-92AC-2821C5939D67}"/>
            </a:ext>
          </a:extLst>
        </xdr:cNvPr>
        <xdr:cNvSpPr/>
      </xdr:nvSpPr>
      <xdr:spPr>
        <a:xfrm>
          <a:off x="114298" y="5917142"/>
          <a:ext cx="1299634" cy="533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/>
            <a:t>Calcular</a:t>
          </a:r>
        </a:p>
      </xdr:txBody>
    </xdr:sp>
    <xdr:clientData/>
  </xdr:twoCellAnchor>
  <xdr:twoCellAnchor>
    <xdr:from>
      <xdr:col>2</xdr:col>
      <xdr:colOff>74083</xdr:colOff>
      <xdr:row>39</xdr:row>
      <xdr:rowOff>190499</xdr:rowOff>
    </xdr:from>
    <xdr:to>
      <xdr:col>4</xdr:col>
      <xdr:colOff>59267</xdr:colOff>
      <xdr:row>42</xdr:row>
      <xdr:rowOff>152398</xdr:rowOff>
    </xdr:to>
    <xdr:sp macro="" textlink="">
      <xdr:nvSpPr>
        <xdr:cNvPr id="3" name="Rectángulo: esquinas redondeadas 2">
          <a:extLst>
            <a:ext uri="{FF2B5EF4-FFF2-40B4-BE49-F238E27FC236}">
              <a16:creationId xmlns="" xmlns:a16="http://schemas.microsoft.com/office/drawing/2014/main" id="{0711C680-92D7-47F6-AE0A-86FA9AEDFBFF}"/>
            </a:ext>
          </a:extLst>
        </xdr:cNvPr>
        <xdr:cNvSpPr/>
      </xdr:nvSpPr>
      <xdr:spPr>
        <a:xfrm>
          <a:off x="1502833" y="5918199"/>
          <a:ext cx="1305984" cy="533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/>
            <a:t>Abono</a:t>
          </a:r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8</xdr:col>
      <xdr:colOff>898072</xdr:colOff>
      <xdr:row>8</xdr:row>
      <xdr:rowOff>23294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72D6CCA5-43D4-4FE7-A857-6135B4DC2A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025" b="48715"/>
        <a:stretch/>
      </xdr:blipFill>
      <xdr:spPr>
        <a:xfrm>
          <a:off x="1" y="0"/>
          <a:ext cx="7237488" cy="1601723"/>
        </a:xfrm>
        <a:prstGeom prst="rect">
          <a:avLst/>
        </a:prstGeom>
      </xdr:spPr>
    </xdr:pic>
    <xdr:clientData/>
  </xdr:twoCellAnchor>
  <xdr:twoCellAnchor>
    <xdr:from>
      <xdr:col>24</xdr:col>
      <xdr:colOff>29632</xdr:colOff>
      <xdr:row>40</xdr:row>
      <xdr:rowOff>9526</xdr:rowOff>
    </xdr:from>
    <xdr:to>
      <xdr:col>24</xdr:col>
      <xdr:colOff>1274232</xdr:colOff>
      <xdr:row>42</xdr:row>
      <xdr:rowOff>161925</xdr:rowOff>
    </xdr:to>
    <xdr:sp macro="" textlink="">
      <xdr:nvSpPr>
        <xdr:cNvPr id="5" name="Rectángulo: esquinas redondeadas 4">
          <a:extLst>
            <a:ext uri="{FF2B5EF4-FFF2-40B4-BE49-F238E27FC236}">
              <a16:creationId xmlns="" xmlns:a16="http://schemas.microsoft.com/office/drawing/2014/main" id="{A90852E4-1E62-4D1D-BAFC-7ED04F78FA04}"/>
            </a:ext>
          </a:extLst>
        </xdr:cNvPr>
        <xdr:cNvSpPr/>
      </xdr:nvSpPr>
      <xdr:spPr>
        <a:xfrm>
          <a:off x="14676965" y="7862359"/>
          <a:ext cx="1244600" cy="5439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/>
            <a:t>Calcular</a:t>
          </a:r>
        </a:p>
      </xdr:txBody>
    </xdr:sp>
    <xdr:clientData/>
  </xdr:twoCellAnchor>
  <xdr:twoCellAnchor>
    <xdr:from>
      <xdr:col>25</xdr:col>
      <xdr:colOff>74083</xdr:colOff>
      <xdr:row>39</xdr:row>
      <xdr:rowOff>190499</xdr:rowOff>
    </xdr:from>
    <xdr:to>
      <xdr:col>27</xdr:col>
      <xdr:colOff>59267</xdr:colOff>
      <xdr:row>42</xdr:row>
      <xdr:rowOff>152398</xdr:rowOff>
    </xdr:to>
    <xdr:sp macro="" textlink="">
      <xdr:nvSpPr>
        <xdr:cNvPr id="6" name="Rectángulo: esquinas redondeadas 5">
          <a:extLst>
            <a:ext uri="{FF2B5EF4-FFF2-40B4-BE49-F238E27FC236}">
              <a16:creationId xmlns="" xmlns:a16="http://schemas.microsoft.com/office/drawing/2014/main" id="{4F5F50D7-2BBD-41FC-A6F5-63521423DC85}"/>
            </a:ext>
          </a:extLst>
        </xdr:cNvPr>
        <xdr:cNvSpPr/>
      </xdr:nvSpPr>
      <xdr:spPr>
        <a:xfrm>
          <a:off x="1507369" y="7801428"/>
          <a:ext cx="1300541" cy="533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/>
            <a:t>Abono</a:t>
          </a:r>
        </a:p>
      </xdr:txBody>
    </xdr:sp>
    <xdr:clientData/>
  </xdr:twoCellAnchor>
  <xdr:twoCellAnchor editAs="oneCell">
    <xdr:from>
      <xdr:col>24</xdr:col>
      <xdr:colOff>45358</xdr:colOff>
      <xdr:row>0</xdr:row>
      <xdr:rowOff>0</xdr:rowOff>
    </xdr:from>
    <xdr:to>
      <xdr:col>34</xdr:col>
      <xdr:colOff>457885</xdr:colOff>
      <xdr:row>8</xdr:row>
      <xdr:rowOff>229053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7989514B-FFE0-4147-9A3D-F881D588AD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025" b="48715"/>
        <a:stretch/>
      </xdr:blipFill>
      <xdr:spPr>
        <a:xfrm>
          <a:off x="14695715" y="0"/>
          <a:ext cx="8165424" cy="1807482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38</xdr:row>
      <xdr:rowOff>95250</xdr:rowOff>
    </xdr:from>
    <xdr:to>
      <xdr:col>16</xdr:col>
      <xdr:colOff>28575</xdr:colOff>
      <xdr:row>38</xdr:row>
      <xdr:rowOff>95250</xdr:rowOff>
    </xdr:to>
    <xdr:cxnSp macro="">
      <xdr:nvCxnSpPr>
        <xdr:cNvPr id="8" name="Conector recto de flecha 7">
          <a:extLst>
            <a:ext uri="{FF2B5EF4-FFF2-40B4-BE49-F238E27FC236}">
              <a16:creationId xmlns="" xmlns:a16="http://schemas.microsoft.com/office/drawing/2014/main" id="{64134975-669E-4A14-AD96-3E4B685B48C3}"/>
            </a:ext>
          </a:extLst>
        </xdr:cNvPr>
        <xdr:cNvCxnSpPr/>
      </xdr:nvCxnSpPr>
      <xdr:spPr>
        <a:xfrm>
          <a:off x="14868525" y="1209675"/>
          <a:ext cx="1114425" cy="0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84667</xdr:colOff>
      <xdr:row>40</xdr:row>
      <xdr:rowOff>101600</xdr:rowOff>
    </xdr:from>
    <xdr:to>
      <xdr:col>16</xdr:col>
      <xdr:colOff>46567</xdr:colOff>
      <xdr:row>40</xdr:row>
      <xdr:rowOff>101600</xdr:rowOff>
    </xdr:to>
    <xdr:cxnSp macro="">
      <xdr:nvCxnSpPr>
        <xdr:cNvPr id="9" name="Conector recto de flecha 8">
          <a:extLst>
            <a:ext uri="{FF2B5EF4-FFF2-40B4-BE49-F238E27FC236}">
              <a16:creationId xmlns="" xmlns:a16="http://schemas.microsoft.com/office/drawing/2014/main" id="{A008F435-7F07-43A9-B6D0-A9DC286A5B75}"/>
            </a:ext>
          </a:extLst>
        </xdr:cNvPr>
        <xdr:cNvCxnSpPr/>
      </xdr:nvCxnSpPr>
      <xdr:spPr>
        <a:xfrm>
          <a:off x="12022667" y="8144933"/>
          <a:ext cx="2078567" cy="0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76200</xdr:colOff>
      <xdr:row>39</xdr:row>
      <xdr:rowOff>114300</xdr:rowOff>
    </xdr:from>
    <xdr:to>
      <xdr:col>16</xdr:col>
      <xdr:colOff>38100</xdr:colOff>
      <xdr:row>39</xdr:row>
      <xdr:rowOff>114300</xdr:rowOff>
    </xdr:to>
    <xdr:cxnSp macro="">
      <xdr:nvCxnSpPr>
        <xdr:cNvPr id="10" name="Conector recto de flecha 9">
          <a:extLst>
            <a:ext uri="{FF2B5EF4-FFF2-40B4-BE49-F238E27FC236}">
              <a16:creationId xmlns="" xmlns:a16="http://schemas.microsoft.com/office/drawing/2014/main" id="{FFAA58DF-A87F-4686-A885-279B53B79EFB}"/>
            </a:ext>
          </a:extLst>
        </xdr:cNvPr>
        <xdr:cNvCxnSpPr/>
      </xdr:nvCxnSpPr>
      <xdr:spPr>
        <a:xfrm>
          <a:off x="14878050" y="1466850"/>
          <a:ext cx="1114425" cy="0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66675</xdr:colOff>
      <xdr:row>16</xdr:row>
      <xdr:rowOff>95250</xdr:rowOff>
    </xdr:from>
    <xdr:to>
      <xdr:col>38</xdr:col>
      <xdr:colOff>28575</xdr:colOff>
      <xdr:row>16</xdr:row>
      <xdr:rowOff>95250</xdr:rowOff>
    </xdr:to>
    <xdr:cxnSp macro="">
      <xdr:nvCxnSpPr>
        <xdr:cNvPr id="11" name="Conector recto de flecha 10">
          <a:extLst>
            <a:ext uri="{FF2B5EF4-FFF2-40B4-BE49-F238E27FC236}">
              <a16:creationId xmlns="" xmlns:a16="http://schemas.microsoft.com/office/drawing/2014/main" id="{ADC055B4-A11E-45FF-8E62-AF63BDC4167C}"/>
            </a:ext>
          </a:extLst>
        </xdr:cNvPr>
        <xdr:cNvCxnSpPr/>
      </xdr:nvCxnSpPr>
      <xdr:spPr>
        <a:xfrm>
          <a:off x="11989707" y="7769679"/>
          <a:ext cx="1885043" cy="0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84667</xdr:colOff>
      <xdr:row>18</xdr:row>
      <xdr:rowOff>101600</xdr:rowOff>
    </xdr:from>
    <xdr:to>
      <xdr:col>38</xdr:col>
      <xdr:colOff>46567</xdr:colOff>
      <xdr:row>18</xdr:row>
      <xdr:rowOff>101600</xdr:rowOff>
    </xdr:to>
    <xdr:cxnSp macro="">
      <xdr:nvCxnSpPr>
        <xdr:cNvPr id="12" name="Conector recto de flecha 11">
          <a:extLst>
            <a:ext uri="{FF2B5EF4-FFF2-40B4-BE49-F238E27FC236}">
              <a16:creationId xmlns="" xmlns:a16="http://schemas.microsoft.com/office/drawing/2014/main" id="{D70700C7-7983-4E36-8635-608FD284EDF3}"/>
            </a:ext>
          </a:extLst>
        </xdr:cNvPr>
        <xdr:cNvCxnSpPr/>
      </xdr:nvCxnSpPr>
      <xdr:spPr>
        <a:xfrm>
          <a:off x="12007699" y="8160204"/>
          <a:ext cx="1885043" cy="0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76200</xdr:colOff>
      <xdr:row>17</xdr:row>
      <xdr:rowOff>114300</xdr:rowOff>
    </xdr:from>
    <xdr:to>
      <xdr:col>38</xdr:col>
      <xdr:colOff>38100</xdr:colOff>
      <xdr:row>17</xdr:row>
      <xdr:rowOff>114300</xdr:rowOff>
    </xdr:to>
    <xdr:cxnSp macro="">
      <xdr:nvCxnSpPr>
        <xdr:cNvPr id="13" name="Conector recto de flecha 12">
          <a:extLst>
            <a:ext uri="{FF2B5EF4-FFF2-40B4-BE49-F238E27FC236}">
              <a16:creationId xmlns="" xmlns:a16="http://schemas.microsoft.com/office/drawing/2014/main" id="{9D612D41-E05D-433D-8DB0-F872E068882A}"/>
            </a:ext>
          </a:extLst>
        </xdr:cNvPr>
        <xdr:cNvCxnSpPr/>
      </xdr:nvCxnSpPr>
      <xdr:spPr>
        <a:xfrm>
          <a:off x="11996057" y="7979229"/>
          <a:ext cx="1885043" cy="0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114298</xdr:colOff>
      <xdr:row>29</xdr:row>
      <xdr:rowOff>189442</xdr:rowOff>
    </xdr:from>
    <xdr:to>
      <xdr:col>1</xdr:col>
      <xdr:colOff>1242482</xdr:colOff>
      <xdr:row>32</xdr:row>
      <xdr:rowOff>151341</xdr:rowOff>
    </xdr:to>
    <xdr:sp macro="" textlink="">
      <xdr:nvSpPr>
        <xdr:cNvPr id="2" name="Rectángulo: esquinas redondeadas 1">
          <a:extLst>
            <a:ext uri="{FF2B5EF4-FFF2-40B4-BE49-F238E27FC236}">
              <a16:creationId xmlns="" xmlns:a16="http://schemas.microsoft.com/office/drawing/2014/main" id="{A33DBD2D-0120-4753-85D2-2DEF0EC57DEA}"/>
            </a:ext>
          </a:extLst>
        </xdr:cNvPr>
        <xdr:cNvSpPr/>
      </xdr:nvSpPr>
      <xdr:spPr>
        <a:xfrm>
          <a:off x="114298" y="5917142"/>
          <a:ext cx="1299634" cy="533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/>
            <a:t>Calcular</a:t>
          </a:r>
        </a:p>
      </xdr:txBody>
    </xdr:sp>
    <xdr:clientData/>
  </xdr:twoCellAnchor>
  <xdr:twoCellAnchor>
    <xdr:from>
      <xdr:col>2</xdr:col>
      <xdr:colOff>74083</xdr:colOff>
      <xdr:row>29</xdr:row>
      <xdr:rowOff>190499</xdr:rowOff>
    </xdr:from>
    <xdr:to>
      <xdr:col>4</xdr:col>
      <xdr:colOff>59267</xdr:colOff>
      <xdr:row>32</xdr:row>
      <xdr:rowOff>152398</xdr:rowOff>
    </xdr:to>
    <xdr:sp macro="" textlink="">
      <xdr:nvSpPr>
        <xdr:cNvPr id="3" name="Rectángulo: esquinas redondeadas 2">
          <a:extLst>
            <a:ext uri="{FF2B5EF4-FFF2-40B4-BE49-F238E27FC236}">
              <a16:creationId xmlns="" xmlns:a16="http://schemas.microsoft.com/office/drawing/2014/main" id="{BF184E6C-700A-4FD1-876F-F14C0C38F5C1}"/>
            </a:ext>
          </a:extLst>
        </xdr:cNvPr>
        <xdr:cNvSpPr/>
      </xdr:nvSpPr>
      <xdr:spPr>
        <a:xfrm>
          <a:off x="1502833" y="5918199"/>
          <a:ext cx="1305984" cy="533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/>
            <a:t>Abono</a:t>
          </a:r>
        </a:p>
      </xdr:txBody>
    </xdr:sp>
    <xdr:clientData/>
  </xdr:twoCellAnchor>
  <xdr:twoCellAnchor editAs="oneCell">
    <xdr:from>
      <xdr:col>20</xdr:col>
      <xdr:colOff>203200</xdr:colOff>
      <xdr:row>0</xdr:row>
      <xdr:rowOff>0</xdr:rowOff>
    </xdr:from>
    <xdr:to>
      <xdr:col>34</xdr:col>
      <xdr:colOff>677635</xdr:colOff>
      <xdr:row>11</xdr:row>
      <xdr:rowOff>232833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4D4E4DDB-8A7A-4752-8B50-CD0114DE31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78" t="50229" r="78" b="18556"/>
        <a:stretch/>
      </xdr:blipFill>
      <xdr:spPr>
        <a:xfrm>
          <a:off x="15760700" y="0"/>
          <a:ext cx="10687352" cy="2434166"/>
        </a:xfrm>
        <a:prstGeom prst="rect">
          <a:avLst/>
        </a:prstGeom>
      </xdr:spPr>
    </xdr:pic>
    <xdr:clientData/>
  </xdr:twoCellAnchor>
  <xdr:twoCellAnchor editAs="oneCell">
    <xdr:from>
      <xdr:col>12</xdr:col>
      <xdr:colOff>526585</xdr:colOff>
      <xdr:row>4</xdr:row>
      <xdr:rowOff>232318</xdr:rowOff>
    </xdr:from>
    <xdr:to>
      <xdr:col>20</xdr:col>
      <xdr:colOff>71476</xdr:colOff>
      <xdr:row>39</xdr:row>
      <xdr:rowOff>16347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5425D161-AD39-4324-B2D5-20F9BE5C4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8780" y="975733"/>
          <a:ext cx="5176102" cy="64715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114298</xdr:colOff>
      <xdr:row>29</xdr:row>
      <xdr:rowOff>189442</xdr:rowOff>
    </xdr:from>
    <xdr:to>
      <xdr:col>1</xdr:col>
      <xdr:colOff>1242482</xdr:colOff>
      <xdr:row>32</xdr:row>
      <xdr:rowOff>151341</xdr:rowOff>
    </xdr:to>
    <xdr:sp macro="" textlink="">
      <xdr:nvSpPr>
        <xdr:cNvPr id="2" name="Rectángulo: esquinas redondeadas 1">
          <a:extLst>
            <a:ext uri="{FF2B5EF4-FFF2-40B4-BE49-F238E27FC236}">
              <a16:creationId xmlns="" xmlns:a16="http://schemas.microsoft.com/office/drawing/2014/main" id="{9570C592-930C-4C3E-90CF-B25569345AF8}"/>
            </a:ext>
          </a:extLst>
        </xdr:cNvPr>
        <xdr:cNvSpPr/>
      </xdr:nvSpPr>
      <xdr:spPr>
        <a:xfrm>
          <a:off x="114298" y="5866342"/>
          <a:ext cx="1299634" cy="533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/>
            <a:t>Calcular</a:t>
          </a:r>
        </a:p>
      </xdr:txBody>
    </xdr:sp>
    <xdr:clientData/>
  </xdr:twoCellAnchor>
  <xdr:twoCellAnchor>
    <xdr:from>
      <xdr:col>2</xdr:col>
      <xdr:colOff>74083</xdr:colOff>
      <xdr:row>29</xdr:row>
      <xdr:rowOff>190499</xdr:rowOff>
    </xdr:from>
    <xdr:to>
      <xdr:col>4</xdr:col>
      <xdr:colOff>59267</xdr:colOff>
      <xdr:row>32</xdr:row>
      <xdr:rowOff>152398</xdr:rowOff>
    </xdr:to>
    <xdr:sp macro="" textlink="">
      <xdr:nvSpPr>
        <xdr:cNvPr id="3" name="Rectángulo: esquinas redondeadas 2">
          <a:extLst>
            <a:ext uri="{FF2B5EF4-FFF2-40B4-BE49-F238E27FC236}">
              <a16:creationId xmlns="" xmlns:a16="http://schemas.microsoft.com/office/drawing/2014/main" id="{9E9443C0-2592-466F-B88E-34C229C33DD7}"/>
            </a:ext>
          </a:extLst>
        </xdr:cNvPr>
        <xdr:cNvSpPr/>
      </xdr:nvSpPr>
      <xdr:spPr>
        <a:xfrm>
          <a:off x="1502833" y="5867399"/>
          <a:ext cx="1305984" cy="533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/>
            <a:t>Abono</a:t>
          </a:r>
        </a:p>
      </xdr:txBody>
    </xdr:sp>
    <xdr:clientData/>
  </xdr:twoCellAnchor>
  <xdr:twoCellAnchor editAs="oneCell">
    <xdr:from>
      <xdr:col>12</xdr:col>
      <xdr:colOff>510710</xdr:colOff>
      <xdr:row>5</xdr:row>
      <xdr:rowOff>22768</xdr:rowOff>
    </xdr:from>
    <xdr:to>
      <xdr:col>20</xdr:col>
      <xdr:colOff>52426</xdr:colOff>
      <xdr:row>39</xdr:row>
      <xdr:rowOff>165572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848F3900-7C3F-4488-966D-44109ECBB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6710" y="1026068"/>
          <a:ext cx="5180516" cy="67182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10</xdr:col>
      <xdr:colOff>1160013</xdr:colOff>
      <xdr:row>3</xdr:row>
      <xdr:rowOff>168275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6A6E492D-6FB7-4F09-873A-2C9103E71B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7526" b="227"/>
        <a:stretch/>
      </xdr:blipFill>
      <xdr:spPr>
        <a:xfrm>
          <a:off x="1428750" y="0"/>
          <a:ext cx="8167238" cy="7397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114298</xdr:colOff>
      <xdr:row>29</xdr:row>
      <xdr:rowOff>189442</xdr:rowOff>
    </xdr:from>
    <xdr:to>
      <xdr:col>1</xdr:col>
      <xdr:colOff>1242482</xdr:colOff>
      <xdr:row>32</xdr:row>
      <xdr:rowOff>151341</xdr:rowOff>
    </xdr:to>
    <xdr:sp macro="" textlink="">
      <xdr:nvSpPr>
        <xdr:cNvPr id="2" name="Rectángulo: esquinas redondeadas 1">
          <a:extLst>
            <a:ext uri="{FF2B5EF4-FFF2-40B4-BE49-F238E27FC236}">
              <a16:creationId xmlns="" xmlns:a16="http://schemas.microsoft.com/office/drawing/2014/main" id="{6972DA0A-1838-493A-8AB7-C34481915155}"/>
            </a:ext>
          </a:extLst>
        </xdr:cNvPr>
        <xdr:cNvSpPr/>
      </xdr:nvSpPr>
      <xdr:spPr>
        <a:xfrm>
          <a:off x="114298" y="5917142"/>
          <a:ext cx="1299634" cy="533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/>
            <a:t>Calcular</a:t>
          </a:r>
        </a:p>
      </xdr:txBody>
    </xdr:sp>
    <xdr:clientData/>
  </xdr:twoCellAnchor>
  <xdr:twoCellAnchor>
    <xdr:from>
      <xdr:col>2</xdr:col>
      <xdr:colOff>74083</xdr:colOff>
      <xdr:row>29</xdr:row>
      <xdr:rowOff>190499</xdr:rowOff>
    </xdr:from>
    <xdr:to>
      <xdr:col>4</xdr:col>
      <xdr:colOff>59267</xdr:colOff>
      <xdr:row>32</xdr:row>
      <xdr:rowOff>152398</xdr:rowOff>
    </xdr:to>
    <xdr:sp macro="" textlink="">
      <xdr:nvSpPr>
        <xdr:cNvPr id="3" name="Rectángulo: esquinas redondeadas 2">
          <a:extLst>
            <a:ext uri="{FF2B5EF4-FFF2-40B4-BE49-F238E27FC236}">
              <a16:creationId xmlns="" xmlns:a16="http://schemas.microsoft.com/office/drawing/2014/main" id="{B5BF34E4-1274-47F1-BE05-2E12C7523D1A}"/>
            </a:ext>
          </a:extLst>
        </xdr:cNvPr>
        <xdr:cNvSpPr/>
      </xdr:nvSpPr>
      <xdr:spPr>
        <a:xfrm>
          <a:off x="1502833" y="5918199"/>
          <a:ext cx="1305984" cy="533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/>
            <a:t>Abono</a:t>
          </a:r>
        </a:p>
      </xdr:txBody>
    </xdr:sp>
    <xdr:clientData/>
  </xdr:twoCellAnchor>
  <xdr:twoCellAnchor editAs="oneCell">
    <xdr:from>
      <xdr:col>20</xdr:col>
      <xdr:colOff>203200</xdr:colOff>
      <xdr:row>0</xdr:row>
      <xdr:rowOff>0</xdr:rowOff>
    </xdr:from>
    <xdr:to>
      <xdr:col>32</xdr:col>
      <xdr:colOff>96436</xdr:colOff>
      <xdr:row>5</xdr:row>
      <xdr:rowOff>19192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E79BA6E8-5A2B-4AA6-AB15-062BC0005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4800" y="0"/>
          <a:ext cx="8497486" cy="1022492"/>
        </a:xfrm>
        <a:prstGeom prst="rect">
          <a:avLst/>
        </a:prstGeom>
      </xdr:spPr>
    </xdr:pic>
    <xdr:clientData/>
  </xdr:twoCellAnchor>
  <xdr:twoCellAnchor editAs="oneCell">
    <xdr:from>
      <xdr:col>17</xdr:col>
      <xdr:colOff>127000</xdr:colOff>
      <xdr:row>9</xdr:row>
      <xdr:rowOff>171450</xdr:rowOff>
    </xdr:from>
    <xdr:to>
      <xdr:col>30</xdr:col>
      <xdr:colOff>246509</xdr:colOff>
      <xdr:row>71</xdr:row>
      <xdr:rowOff>128697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DC4A8383-CBB1-4331-98AC-4E461CF73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4550" y="2038350"/>
          <a:ext cx="9123809" cy="118190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85370</xdr:colOff>
      <xdr:row>47</xdr:row>
      <xdr:rowOff>153458</xdr:rowOff>
    </xdr:from>
    <xdr:to>
      <xdr:col>1</xdr:col>
      <xdr:colOff>1210379</xdr:colOff>
      <xdr:row>50</xdr:row>
      <xdr:rowOff>115357</xdr:rowOff>
    </xdr:to>
    <xdr:sp macro="" textlink="">
      <xdr:nvSpPr>
        <xdr:cNvPr id="2" name="Rectángulo: esquinas redondeadas 1">
          <a:extLst>
            <a:ext uri="{FF2B5EF4-FFF2-40B4-BE49-F238E27FC236}">
              <a16:creationId xmlns="" xmlns:a16="http://schemas.microsoft.com/office/drawing/2014/main" id="{DCBBFA04-D4C1-4631-9B75-DAF8E9FD2485}"/>
            </a:ext>
          </a:extLst>
        </xdr:cNvPr>
        <xdr:cNvSpPr/>
      </xdr:nvSpPr>
      <xdr:spPr>
        <a:xfrm>
          <a:off x="85370" y="9332736"/>
          <a:ext cx="1294342" cy="533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/>
            <a:t>Calcular</a:t>
          </a:r>
        </a:p>
      </xdr:txBody>
    </xdr:sp>
    <xdr:clientData/>
  </xdr:twoCellAnchor>
  <xdr:twoCellAnchor>
    <xdr:from>
      <xdr:col>1</xdr:col>
      <xdr:colOff>1508832</xdr:colOff>
      <xdr:row>48</xdr:row>
      <xdr:rowOff>34571</xdr:rowOff>
    </xdr:from>
    <xdr:to>
      <xdr:col>3</xdr:col>
      <xdr:colOff>125944</xdr:colOff>
      <xdr:row>50</xdr:row>
      <xdr:rowOff>186970</xdr:rowOff>
    </xdr:to>
    <xdr:sp macro="" textlink="">
      <xdr:nvSpPr>
        <xdr:cNvPr id="3" name="Rectángulo: esquinas redondeadas 2">
          <a:extLst>
            <a:ext uri="{FF2B5EF4-FFF2-40B4-BE49-F238E27FC236}">
              <a16:creationId xmlns="" xmlns:a16="http://schemas.microsoft.com/office/drawing/2014/main" id="{F3A25E64-D8CF-4113-9684-1305D1B8C4A1}"/>
            </a:ext>
          </a:extLst>
        </xdr:cNvPr>
        <xdr:cNvSpPr/>
      </xdr:nvSpPr>
      <xdr:spPr>
        <a:xfrm>
          <a:off x="1678165" y="9404349"/>
          <a:ext cx="1298223" cy="533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/>
            <a:t>Abono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85370</xdr:colOff>
      <xdr:row>45</xdr:row>
      <xdr:rowOff>153458</xdr:rowOff>
    </xdr:from>
    <xdr:to>
      <xdr:col>1</xdr:col>
      <xdr:colOff>1210379</xdr:colOff>
      <xdr:row>48</xdr:row>
      <xdr:rowOff>115357</xdr:rowOff>
    </xdr:to>
    <xdr:sp macro="" textlink="">
      <xdr:nvSpPr>
        <xdr:cNvPr id="2" name="Rectángulo: esquinas redondeadas 1">
          <a:extLst>
            <a:ext uri="{FF2B5EF4-FFF2-40B4-BE49-F238E27FC236}">
              <a16:creationId xmlns="" xmlns:a16="http://schemas.microsoft.com/office/drawing/2014/main" id="{3214E62B-7DAB-4F0B-B98D-51AD542A2621}"/>
            </a:ext>
          </a:extLst>
        </xdr:cNvPr>
        <xdr:cNvSpPr/>
      </xdr:nvSpPr>
      <xdr:spPr>
        <a:xfrm>
          <a:off x="88545" y="9487958"/>
          <a:ext cx="1296459" cy="533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/>
            <a:t>Calcular</a:t>
          </a:r>
        </a:p>
      </xdr:txBody>
    </xdr:sp>
    <xdr:clientData/>
  </xdr:twoCellAnchor>
  <xdr:twoCellAnchor>
    <xdr:from>
      <xdr:col>1</xdr:col>
      <xdr:colOff>1508832</xdr:colOff>
      <xdr:row>46</xdr:row>
      <xdr:rowOff>34571</xdr:rowOff>
    </xdr:from>
    <xdr:to>
      <xdr:col>3</xdr:col>
      <xdr:colOff>125944</xdr:colOff>
      <xdr:row>48</xdr:row>
      <xdr:rowOff>186970</xdr:rowOff>
    </xdr:to>
    <xdr:sp macro="" textlink="">
      <xdr:nvSpPr>
        <xdr:cNvPr id="3" name="Rectángulo: esquinas redondeadas 2">
          <a:extLst>
            <a:ext uri="{FF2B5EF4-FFF2-40B4-BE49-F238E27FC236}">
              <a16:creationId xmlns="" xmlns:a16="http://schemas.microsoft.com/office/drawing/2014/main" id="{A4F81DCC-25F5-455D-A677-D5085A3BC606}"/>
            </a:ext>
          </a:extLst>
        </xdr:cNvPr>
        <xdr:cNvSpPr/>
      </xdr:nvSpPr>
      <xdr:spPr>
        <a:xfrm>
          <a:off x="1680282" y="9559571"/>
          <a:ext cx="1827037" cy="53339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O" sz="2400"/>
            <a:t>Abono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S88"/>
  <sheetViews>
    <sheetView topLeftCell="AF1" zoomScaleNormal="100" workbookViewId="0">
      <selection activeCell="AL5" sqref="AL5"/>
    </sheetView>
  </sheetViews>
  <sheetFormatPr baseColWidth="10" defaultRowHeight="15" x14ac:dyDescent="0.25"/>
  <cols>
    <col min="1" max="1" width="2.5703125" style="66" customWidth="1"/>
    <col min="2" max="2" width="18.85546875" style="66" customWidth="1"/>
    <col min="3" max="3" width="17.28515625" style="66" customWidth="1"/>
    <col min="4" max="4" width="2.42578125" style="66" customWidth="1"/>
    <col min="5" max="5" width="4.140625" style="66" customWidth="1"/>
    <col min="6" max="6" width="11.42578125" style="66"/>
    <col min="7" max="7" width="18.85546875" style="66" customWidth="1"/>
    <col min="8" max="8" width="19.28515625" style="66" customWidth="1"/>
    <col min="9" max="9" width="17.7109375" style="66" customWidth="1"/>
    <col min="10" max="10" width="13.85546875" style="66" bestFit="1" customWidth="1"/>
    <col min="11" max="11" width="18.28515625" style="66" customWidth="1"/>
    <col min="12" max="12" width="3.5703125" style="66" customWidth="1"/>
    <col min="13" max="13" width="11.42578125" style="66"/>
    <col min="14" max="14" width="8.140625" style="66" customWidth="1"/>
    <col min="15" max="15" width="10.5703125" style="66" customWidth="1"/>
    <col min="16" max="16" width="28.85546875" style="66" customWidth="1"/>
    <col min="17" max="17" width="21.28515625" style="66" customWidth="1"/>
    <col min="18" max="18" width="2.28515625" style="66" customWidth="1"/>
    <col min="19" max="19" width="11.140625" style="66" customWidth="1"/>
    <col min="20" max="20" width="1.140625" style="66" customWidth="1"/>
    <col min="21" max="21" width="10.140625" style="66" customWidth="1"/>
    <col min="22" max="24" width="1.7109375" style="66" customWidth="1"/>
    <col min="25" max="25" width="19.42578125" style="66" customWidth="1"/>
    <col min="26" max="26" width="16.42578125" style="66" customWidth="1"/>
    <col min="27" max="27" width="2" style="66" customWidth="1"/>
    <col min="28" max="28" width="2.7109375" style="66" customWidth="1"/>
    <col min="29" max="29" width="13" style="66" customWidth="1"/>
    <col min="30" max="33" width="11.42578125" style="66"/>
    <col min="34" max="34" width="16.85546875" style="66" customWidth="1"/>
    <col min="35" max="36" width="11.42578125" style="66"/>
    <col min="37" max="37" width="9.42578125" style="66" customWidth="1"/>
    <col min="38" max="38" width="30.42578125" style="66" bestFit="1" customWidth="1"/>
    <col min="39" max="39" width="21.7109375" style="66" bestFit="1" customWidth="1"/>
    <col min="40" max="44" width="11.42578125" style="66"/>
    <col min="45" max="45" width="1.85546875" style="66" customWidth="1"/>
    <col min="46" max="16384" width="11.42578125" style="66"/>
  </cols>
  <sheetData>
    <row r="1" spans="1:45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0</v>
      </c>
      <c r="P1" s="4" t="s">
        <v>1</v>
      </c>
      <c r="Q1" s="4">
        <v>20000000</v>
      </c>
      <c r="R1" s="4"/>
      <c r="S1" s="4"/>
      <c r="T1" s="4"/>
      <c r="U1" s="4"/>
      <c r="V1" s="65"/>
      <c r="W1" s="4"/>
      <c r="X1" s="65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 t="s">
        <v>2</v>
      </c>
      <c r="AL1" s="4" t="s">
        <v>1</v>
      </c>
      <c r="AM1" s="4">
        <v>10000000</v>
      </c>
      <c r="AN1" s="4"/>
      <c r="AO1" s="4"/>
      <c r="AP1" s="4"/>
      <c r="AQ1" s="4"/>
      <c r="AR1" s="4"/>
      <c r="AS1" s="4"/>
    </row>
    <row r="2" spans="1:4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 t="s">
        <v>64</v>
      </c>
      <c r="P2" s="4" t="s">
        <v>1</v>
      </c>
      <c r="Q2" s="97">
        <v>1.9900000000000001E-2</v>
      </c>
      <c r="R2" s="4" t="s">
        <v>68</v>
      </c>
      <c r="S2" s="4"/>
      <c r="T2" s="4"/>
      <c r="U2" s="4"/>
      <c r="V2" s="65"/>
      <c r="W2" s="4"/>
      <c r="X2" s="65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65</v>
      </c>
      <c r="P3" s="4" t="s">
        <v>1</v>
      </c>
      <c r="Q3" s="4">
        <v>60</v>
      </c>
      <c r="R3" s="4"/>
      <c r="S3" s="4"/>
      <c r="T3" s="4"/>
      <c r="U3" s="4"/>
      <c r="V3" s="65"/>
      <c r="W3" s="4"/>
      <c r="X3" s="65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 t="s">
        <v>54</v>
      </c>
      <c r="P4" s="4" t="s">
        <v>1</v>
      </c>
      <c r="Q4" s="4">
        <v>575359</v>
      </c>
      <c r="R4" s="4"/>
      <c r="S4" s="4"/>
      <c r="T4" s="4"/>
      <c r="U4" s="4"/>
      <c r="V4" s="65"/>
      <c r="W4" s="4"/>
      <c r="X4" s="65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 t="s">
        <v>64</v>
      </c>
      <c r="P5" s="4" t="s">
        <v>1</v>
      </c>
      <c r="Q5" s="96">
        <f>P61</f>
        <v>1.9999981241561486</v>
      </c>
      <c r="R5" s="4"/>
      <c r="S5" s="4"/>
      <c r="T5" s="4"/>
      <c r="U5" s="4"/>
      <c r="V5" s="65"/>
      <c r="W5" s="4"/>
      <c r="X5" s="65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65"/>
      <c r="W6" s="4"/>
      <c r="X6" s="65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87"/>
      <c r="Q7" s="4"/>
      <c r="R7" s="4"/>
      <c r="S7" s="4"/>
      <c r="T7" s="4"/>
      <c r="U7" s="4"/>
      <c r="V7" s="65"/>
      <c r="W7" s="4"/>
      <c r="X7" s="65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ht="18.7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65"/>
      <c r="W8" s="4"/>
      <c r="X8" s="6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18" t="s">
        <v>73</v>
      </c>
      <c r="AK8"/>
      <c r="AL8" t="s">
        <v>85</v>
      </c>
      <c r="AM8" s="11"/>
      <c r="AN8" s="4"/>
      <c r="AO8" s="4"/>
      <c r="AP8" s="4"/>
      <c r="AQ8" s="4"/>
      <c r="AR8" s="4"/>
      <c r="AS8" s="4"/>
    </row>
    <row r="9" spans="1:45" ht="18.7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65"/>
      <c r="W9" s="4"/>
      <c r="X9" s="65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18" t="s">
        <v>73</v>
      </c>
      <c r="AK9"/>
      <c r="AL9">
        <v>20000000</v>
      </c>
      <c r="AM9" s="104">
        <f>(Z30)*(1-(1+0.01)^-60)/0.01</f>
        <v>20229767.282800816</v>
      </c>
      <c r="AN9" s="4"/>
      <c r="AO9" s="4"/>
      <c r="AP9" s="4"/>
      <c r="AQ9" s="4"/>
      <c r="AR9" s="4"/>
      <c r="AS9" s="4"/>
    </row>
    <row r="10" spans="1:45" ht="18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65"/>
      <c r="W10" s="4"/>
      <c r="X10" s="65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18" t="s">
        <v>73</v>
      </c>
      <c r="AK10"/>
      <c r="AL10" s="105">
        <f>AM9-AL9</f>
        <v>229767.282800816</v>
      </c>
      <c r="AM10" s="11"/>
      <c r="AN10" s="4"/>
      <c r="AO10" s="4"/>
      <c r="AP10" s="4"/>
      <c r="AQ10" s="4"/>
      <c r="AR10" s="4"/>
      <c r="AS10" s="4"/>
    </row>
    <row r="11" spans="1:45" ht="15" customHeight="1" x14ac:dyDescent="0.25">
      <c r="A11" s="4"/>
      <c r="B11" s="35" t="s">
        <v>43</v>
      </c>
      <c r="C11" s="4"/>
      <c r="D11" s="4"/>
      <c r="E11" s="4"/>
      <c r="F11" s="151" t="s">
        <v>62</v>
      </c>
      <c r="G11" s="152"/>
      <c r="H11" s="152"/>
      <c r="I11" s="152"/>
      <c r="J11" s="152"/>
      <c r="K11" s="153"/>
      <c r="L11" s="4"/>
      <c r="M11" s="4"/>
      <c r="N11" s="160" t="s">
        <v>48</v>
      </c>
      <c r="O11" s="4"/>
      <c r="P11" s="162"/>
      <c r="Q11" s="166" t="s">
        <v>49</v>
      </c>
      <c r="R11" s="4"/>
      <c r="S11" s="177" t="s">
        <v>50</v>
      </c>
      <c r="T11" s="4"/>
      <c r="U11" s="177" t="s">
        <v>51</v>
      </c>
      <c r="V11" s="65"/>
      <c r="W11" s="4"/>
      <c r="X11" s="65"/>
      <c r="Y11" s="35" t="s">
        <v>43</v>
      </c>
      <c r="Z11" s="4"/>
      <c r="AA11" s="4"/>
      <c r="AB11" s="4"/>
      <c r="AC11" s="168" t="s">
        <v>63</v>
      </c>
      <c r="AD11" s="169"/>
      <c r="AE11" s="169"/>
      <c r="AF11" s="169"/>
      <c r="AG11" s="169"/>
      <c r="AH11" s="170"/>
      <c r="AI11" s="4"/>
      <c r="AJ11" s="19"/>
      <c r="AK11"/>
      <c r="AL11"/>
      <c r="AM11"/>
      <c r="AN11" s="4"/>
      <c r="AO11" s="58"/>
      <c r="AP11" s="184"/>
      <c r="AQ11" s="58"/>
      <c r="AR11" s="184"/>
      <c r="AS11" s="4"/>
    </row>
    <row r="12" spans="1:45" ht="15" customHeight="1" x14ac:dyDescent="0.25">
      <c r="A12" s="4"/>
      <c r="B12" s="34" t="s">
        <v>8</v>
      </c>
      <c r="C12" s="37"/>
      <c r="D12" s="4"/>
      <c r="E12" s="4"/>
      <c r="F12" s="154"/>
      <c r="G12" s="155"/>
      <c r="H12" s="155"/>
      <c r="I12" s="155"/>
      <c r="J12" s="155"/>
      <c r="K12" s="156"/>
      <c r="L12" s="4"/>
      <c r="M12" s="4"/>
      <c r="N12" s="160"/>
      <c r="O12" s="4"/>
      <c r="P12" s="162"/>
      <c r="Q12" s="166"/>
      <c r="R12" s="4"/>
      <c r="S12" s="177"/>
      <c r="T12" s="4"/>
      <c r="U12" s="177"/>
      <c r="V12" s="65"/>
      <c r="W12" s="4"/>
      <c r="X12" s="65"/>
      <c r="Y12" s="34" t="s">
        <v>8</v>
      </c>
      <c r="Z12" s="37"/>
      <c r="AA12" s="4"/>
      <c r="AB12" s="4"/>
      <c r="AC12" s="171"/>
      <c r="AD12" s="172"/>
      <c r="AE12" s="172"/>
      <c r="AF12" s="172"/>
      <c r="AG12" s="172"/>
      <c r="AH12" s="173"/>
      <c r="AI12" s="4"/>
      <c r="AJ12"/>
      <c r="AK12"/>
      <c r="AL12"/>
      <c r="AM12"/>
      <c r="AN12" s="4"/>
      <c r="AO12" s="58"/>
      <c r="AP12" s="184"/>
      <c r="AQ12" s="58"/>
      <c r="AR12" s="184"/>
      <c r="AS12" s="4"/>
    </row>
    <row r="13" spans="1:45" ht="18.75" x14ac:dyDescent="0.25">
      <c r="A13" s="4"/>
      <c r="B13" s="37"/>
      <c r="C13" s="37"/>
      <c r="D13" s="4"/>
      <c r="E13" s="4"/>
      <c r="F13" s="154"/>
      <c r="G13" s="155"/>
      <c r="H13" s="155"/>
      <c r="I13" s="155"/>
      <c r="J13" s="155"/>
      <c r="K13" s="156"/>
      <c r="L13" s="4"/>
      <c r="M13" s="4"/>
      <c r="N13" s="161"/>
      <c r="O13" s="4"/>
      <c r="P13" s="162"/>
      <c r="Q13" s="167"/>
      <c r="R13" s="4"/>
      <c r="S13" s="178"/>
      <c r="T13" s="4"/>
      <c r="U13" s="178"/>
      <c r="V13" s="65"/>
      <c r="W13" s="4"/>
      <c r="X13" s="65"/>
      <c r="Y13" s="37"/>
      <c r="Z13" s="37"/>
      <c r="AA13" s="4"/>
      <c r="AB13" s="4"/>
      <c r="AC13" s="171"/>
      <c r="AD13" s="172"/>
      <c r="AE13" s="172"/>
      <c r="AF13" s="172"/>
      <c r="AG13" s="172"/>
      <c r="AH13" s="173"/>
      <c r="AI13" s="4"/>
      <c r="AJ13" s="20" t="s">
        <v>74</v>
      </c>
      <c r="AK13"/>
      <c r="AL13" t="s">
        <v>86</v>
      </c>
      <c r="AM13" s="11"/>
      <c r="AN13" s="4"/>
      <c r="AO13" s="58"/>
      <c r="AP13" s="184"/>
      <c r="AQ13" s="58"/>
      <c r="AR13" s="184"/>
      <c r="AS13" s="4"/>
    </row>
    <row r="14" spans="1:45" ht="19.5" thickBot="1" x14ac:dyDescent="0.3">
      <c r="A14" s="4"/>
      <c r="B14" s="34" t="s">
        <v>44</v>
      </c>
      <c r="C14" s="63"/>
      <c r="D14" s="4"/>
      <c r="E14" s="4"/>
      <c r="F14" s="157"/>
      <c r="G14" s="158"/>
      <c r="H14" s="158"/>
      <c r="I14" s="158"/>
      <c r="J14" s="158"/>
      <c r="K14" s="159"/>
      <c r="L14" s="4"/>
      <c r="M14" s="4"/>
      <c r="N14" s="4">
        <v>0.18</v>
      </c>
      <c r="O14" s="4"/>
      <c r="P14" s="58"/>
      <c r="Q14" s="56">
        <f>N14/2</f>
        <v>0.09</v>
      </c>
      <c r="R14" s="4"/>
      <c r="S14" s="4">
        <f>Q14/ (1-Q14)</f>
        <v>9.8901098901098897E-2</v>
      </c>
      <c r="T14" s="4"/>
      <c r="U14" s="57">
        <f>((1+S14)^(2/12))-1</f>
        <v>1.5842631169739496E-2</v>
      </c>
      <c r="V14" s="65"/>
      <c r="W14" s="4"/>
      <c r="X14" s="65"/>
      <c r="Y14" s="34" t="s">
        <v>44</v>
      </c>
      <c r="Z14" s="63"/>
      <c r="AA14" s="4"/>
      <c r="AB14" s="4"/>
      <c r="AC14" s="174"/>
      <c r="AD14" s="175"/>
      <c r="AE14" s="175"/>
      <c r="AF14" s="175"/>
      <c r="AG14" s="175"/>
      <c r="AH14" s="176"/>
      <c r="AI14" s="4"/>
      <c r="AJ14" s="20" t="s">
        <v>74</v>
      </c>
      <c r="AK14"/>
      <c r="AL14">
        <v>20000000</v>
      </c>
      <c r="AM14" s="104">
        <f>(Z30)*(1-(1+0.02)^-60)/0.02</f>
        <v>15642399.00467092</v>
      </c>
      <c r="AN14" s="4"/>
      <c r="AO14" s="58"/>
      <c r="AP14" s="58"/>
      <c r="AQ14" s="58"/>
      <c r="AR14" s="103"/>
      <c r="AS14" s="4"/>
    </row>
    <row r="15" spans="1:45" ht="19.5" thickBot="1" x14ac:dyDescent="0.3">
      <c r="A15" s="4"/>
      <c r="B15"/>
      <c r="C15" s="4"/>
      <c r="D15" s="4"/>
      <c r="E15" s="4"/>
      <c r="F15" s="64">
        <v>1</v>
      </c>
      <c r="G15" s="64">
        <v>2</v>
      </c>
      <c r="H15" s="64" t="s">
        <v>35</v>
      </c>
      <c r="I15" s="64" t="s">
        <v>36</v>
      </c>
      <c r="J15" s="64">
        <v>5</v>
      </c>
      <c r="K15" s="64" t="s">
        <v>37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65"/>
      <c r="W15" s="4"/>
      <c r="X15" s="65"/>
      <c r="Y15"/>
      <c r="Z15" s="4"/>
      <c r="AA15" s="4"/>
      <c r="AB15" s="4"/>
      <c r="AC15" s="64">
        <v>1</v>
      </c>
      <c r="AD15" s="64">
        <v>2</v>
      </c>
      <c r="AE15" s="64" t="s">
        <v>35</v>
      </c>
      <c r="AF15" s="64" t="s">
        <v>36</v>
      </c>
      <c r="AG15" s="64">
        <v>5</v>
      </c>
      <c r="AH15" s="64" t="s">
        <v>37</v>
      </c>
      <c r="AI15" s="4"/>
      <c r="AJ15" s="20" t="s">
        <v>74</v>
      </c>
      <c r="AK15"/>
      <c r="AL15">
        <f>AM14-AL14</f>
        <v>-4357600.9953290801</v>
      </c>
      <c r="AM15" s="11"/>
      <c r="AN15" s="4"/>
      <c r="AO15" s="58"/>
      <c r="AP15" s="58"/>
      <c r="AQ15" s="58"/>
      <c r="AR15" s="58"/>
      <c r="AS15" s="4"/>
    </row>
    <row r="16" spans="1:45" ht="15.75" thickBot="1" x14ac:dyDescent="0.3">
      <c r="A16" s="4"/>
      <c r="B16" s="29" t="s">
        <v>11</v>
      </c>
      <c r="C16" s="26" t="s">
        <v>13</v>
      </c>
      <c r="D16" s="4"/>
      <c r="E16" s="4"/>
      <c r="F16" s="31" t="s">
        <v>38</v>
      </c>
      <c r="G16" s="32" t="s">
        <v>9</v>
      </c>
      <c r="H16" s="32" t="s">
        <v>39</v>
      </c>
      <c r="I16" s="32" t="s">
        <v>40</v>
      </c>
      <c r="J16" s="32" t="s">
        <v>41</v>
      </c>
      <c r="K16" s="32" t="s">
        <v>42</v>
      </c>
      <c r="L16"/>
      <c r="M16" s="4"/>
      <c r="N16" s="163" t="s">
        <v>61</v>
      </c>
      <c r="O16" s="164"/>
      <c r="P16" s="164"/>
      <c r="Q16" s="165"/>
      <c r="R16" s="4"/>
      <c r="S16" s="4"/>
      <c r="T16" s="4"/>
      <c r="U16" s="4"/>
      <c r="V16" s="65"/>
      <c r="W16" s="4"/>
      <c r="X16" s="65"/>
      <c r="Y16" s="29" t="s">
        <v>11</v>
      </c>
      <c r="Z16" s="26" t="s">
        <v>13</v>
      </c>
      <c r="AA16" s="4"/>
      <c r="AB16" s="4"/>
      <c r="AC16" s="31" t="s">
        <v>38</v>
      </c>
      <c r="AD16" s="32" t="s">
        <v>9</v>
      </c>
      <c r="AE16" s="32" t="s">
        <v>39</v>
      </c>
      <c r="AF16" s="32" t="s">
        <v>40</v>
      </c>
      <c r="AG16" s="32" t="s">
        <v>41</v>
      </c>
      <c r="AH16" s="32" t="s">
        <v>42</v>
      </c>
      <c r="AI16"/>
      <c r="AJ16" s="82"/>
      <c r="AK16" s="55"/>
      <c r="AL16" s="60"/>
      <c r="AM16" s="58"/>
      <c r="AN16" s="4"/>
      <c r="AO16" s="58"/>
      <c r="AP16" s="58"/>
      <c r="AQ16" s="58"/>
      <c r="AR16" s="58"/>
      <c r="AS16" s="4"/>
    </row>
    <row r="17" spans="1:45" x14ac:dyDescent="0.25">
      <c r="A17" s="4"/>
      <c r="B17"/>
      <c r="C17" s="2"/>
      <c r="D17" s="4"/>
      <c r="E17" s="4"/>
      <c r="F17" s="47">
        <v>1</v>
      </c>
      <c r="G17" s="48">
        <f>$C$18</f>
        <v>20000000</v>
      </c>
      <c r="H17" s="48">
        <f>G17*$C$28</f>
        <v>398000</v>
      </c>
      <c r="I17" s="48">
        <f>J17-H17</f>
        <v>177359</v>
      </c>
      <c r="J17" s="48">
        <f>$C$30</f>
        <v>575359</v>
      </c>
      <c r="K17" s="48">
        <f>G17-I17</f>
        <v>19822641</v>
      </c>
      <c r="L17"/>
      <c r="M17" s="4"/>
      <c r="N17" s="67" t="s">
        <v>2</v>
      </c>
      <c r="O17" s="68" t="s">
        <v>1</v>
      </c>
      <c r="P17" s="69"/>
      <c r="Q17" s="70" t="s">
        <v>0</v>
      </c>
      <c r="R17" s="4"/>
      <c r="S17" s="4"/>
      <c r="T17" s="4"/>
      <c r="U17" s="4"/>
      <c r="V17" s="65"/>
      <c r="W17" s="4"/>
      <c r="X17" s="65"/>
      <c r="Y17"/>
      <c r="Z17" s="2"/>
      <c r="AA17" s="4"/>
      <c r="AB17" s="4"/>
      <c r="AC17" s="47">
        <v>1</v>
      </c>
      <c r="AD17" s="48">
        <f>Z18</f>
        <v>20000000</v>
      </c>
      <c r="AE17" s="48">
        <f>AD17*$Z$28</f>
        <v>210000</v>
      </c>
      <c r="AF17" s="48">
        <f>AG17-AE17</f>
        <v>240000</v>
      </c>
      <c r="AG17" s="48">
        <f>$Z$30</f>
        <v>450000</v>
      </c>
      <c r="AH17" s="48">
        <f>AD17-AF17</f>
        <v>19760000</v>
      </c>
      <c r="AI17"/>
      <c r="AJ17" s="83"/>
      <c r="AK17" s="3">
        <v>0.01</v>
      </c>
      <c r="AL17" s="4"/>
      <c r="AM17" s="106">
        <f>AL10</f>
        <v>229767.282800816</v>
      </c>
      <c r="AN17" s="4"/>
      <c r="AO17" s="58"/>
      <c r="AP17" s="58"/>
      <c r="AQ17" s="58"/>
      <c r="AR17" s="58"/>
      <c r="AS17" s="4"/>
    </row>
    <row r="18" spans="1:45" ht="18.75" x14ac:dyDescent="0.25">
      <c r="A18" s="4"/>
      <c r="B18" s="29" t="s">
        <v>9</v>
      </c>
      <c r="C18" s="27">
        <v>20000000</v>
      </c>
      <c r="D18" s="4"/>
      <c r="E18" s="4"/>
      <c r="F18" s="47">
        <v>2</v>
      </c>
      <c r="G18" s="48">
        <f>K17</f>
        <v>19822641</v>
      </c>
      <c r="H18" s="48">
        <f>G18*$C$28</f>
        <v>394470.55590000004</v>
      </c>
      <c r="I18" s="48">
        <f t="shared" ref="I18:I76" si="0">J18-H18</f>
        <v>180888.44409999996</v>
      </c>
      <c r="J18" s="48">
        <f t="shared" ref="J18:J76" si="1">$C$30</f>
        <v>575359</v>
      </c>
      <c r="K18" s="48">
        <f t="shared" ref="K18:K64" si="2">G18-I18</f>
        <v>19641752.5559</v>
      </c>
      <c r="L18"/>
      <c r="M18" s="4"/>
      <c r="N18" s="71"/>
      <c r="O18" s="72"/>
      <c r="P18" s="60"/>
      <c r="Q18" s="73" t="s">
        <v>66</v>
      </c>
      <c r="R18" s="4"/>
      <c r="S18" s="4"/>
      <c r="T18" s="4"/>
      <c r="U18" s="4"/>
      <c r="V18" s="65"/>
      <c r="W18" s="4"/>
      <c r="X18" s="65"/>
      <c r="Y18" s="29" t="s">
        <v>9</v>
      </c>
      <c r="Z18" s="27">
        <v>20000000</v>
      </c>
      <c r="AA18" s="4"/>
      <c r="AB18" s="4"/>
      <c r="AC18" s="47">
        <v>2</v>
      </c>
      <c r="AD18" s="48">
        <f>AH17</f>
        <v>19760000</v>
      </c>
      <c r="AE18" s="48">
        <f>AD18*$Z$28</f>
        <v>207480</v>
      </c>
      <c r="AF18" s="48">
        <f>AG18-AE18</f>
        <v>242520</v>
      </c>
      <c r="AG18" s="48">
        <f>$Z$30</f>
        <v>450000</v>
      </c>
      <c r="AH18" s="48">
        <f>AD18-AF18</f>
        <v>19517480</v>
      </c>
      <c r="AI18"/>
      <c r="AJ18" s="83"/>
      <c r="AK18" s="5" t="s">
        <v>5</v>
      </c>
      <c r="AL18" s="4"/>
      <c r="AM18" s="16">
        <v>0</v>
      </c>
      <c r="AN18" s="4"/>
      <c r="AO18" s="58"/>
      <c r="AP18" s="58"/>
      <c r="AQ18" s="58"/>
      <c r="AR18" s="58"/>
      <c r="AS18" s="4"/>
    </row>
    <row r="19" spans="1:45" ht="18.75" x14ac:dyDescent="0.25">
      <c r="A19" s="4"/>
      <c r="B19"/>
      <c r="C19" s="2"/>
      <c r="D19" s="4"/>
      <c r="E19" s="4"/>
      <c r="F19" s="47">
        <v>3</v>
      </c>
      <c r="G19" s="48">
        <f t="shared" ref="G19:G64" si="3">K18</f>
        <v>19641752.5559</v>
      </c>
      <c r="H19" s="48">
        <f t="shared" ref="H19:H76" si="4">G19*$C$28</f>
        <v>390870.87586241</v>
      </c>
      <c r="I19" s="48">
        <f t="shared" si="0"/>
        <v>184488.12413759</v>
      </c>
      <c r="J19" s="48">
        <f t="shared" si="1"/>
        <v>575359</v>
      </c>
      <c r="K19" s="48">
        <f t="shared" si="2"/>
        <v>19457264.431762408</v>
      </c>
      <c r="L19"/>
      <c r="M19" s="4"/>
      <c r="N19" s="71"/>
      <c r="O19" s="72"/>
      <c r="P19" s="60"/>
      <c r="Q19" s="74" t="s">
        <v>4</v>
      </c>
      <c r="R19" s="4"/>
      <c r="S19" s="4"/>
      <c r="T19" s="4"/>
      <c r="U19" s="4"/>
      <c r="V19" s="65"/>
      <c r="W19" s="4"/>
      <c r="X19" s="65"/>
      <c r="Y19"/>
      <c r="Z19" s="2"/>
      <c r="AA19" s="4"/>
      <c r="AB19" s="4"/>
      <c r="AC19" s="47">
        <v>3</v>
      </c>
      <c r="AD19" s="48">
        <f t="shared" ref="AD19:AD64" si="5">AH18</f>
        <v>19517480</v>
      </c>
      <c r="AE19" s="48">
        <f t="shared" ref="AE19:AE76" si="6">AD19*$Z$28</f>
        <v>204933.54</v>
      </c>
      <c r="AF19" s="48">
        <f t="shared" ref="AF19:AF76" si="7">AG19-AE19</f>
        <v>245066.46</v>
      </c>
      <c r="AG19" s="48">
        <f t="shared" ref="AG19:AG76" si="8">$Z$30</f>
        <v>450000</v>
      </c>
      <c r="AH19" s="48">
        <f t="shared" ref="AH19:AH64" si="9">AD19-AF19</f>
        <v>19272413.539999999</v>
      </c>
      <c r="AI19"/>
      <c r="AJ19" s="83"/>
      <c r="AK19" s="3">
        <v>0.02</v>
      </c>
      <c r="AL19" s="4"/>
      <c r="AM19" s="16">
        <f>AL15</f>
        <v>-4357600.9953290801</v>
      </c>
      <c r="AN19" s="4"/>
      <c r="AO19" s="58"/>
      <c r="AP19" s="58"/>
      <c r="AQ19" s="58"/>
      <c r="AR19" s="58"/>
      <c r="AS19" s="4"/>
    </row>
    <row r="20" spans="1:45" x14ac:dyDescent="0.25">
      <c r="A20" s="4"/>
      <c r="B20" s="29" t="s">
        <v>10</v>
      </c>
      <c r="C20" s="26">
        <v>60</v>
      </c>
      <c r="D20" s="4"/>
      <c r="E20" s="4"/>
      <c r="F20" s="47">
        <v>4</v>
      </c>
      <c r="G20" s="48">
        <f t="shared" si="3"/>
        <v>19457264.431762408</v>
      </c>
      <c r="H20" s="48">
        <f t="shared" si="4"/>
        <v>387199.56219207193</v>
      </c>
      <c r="I20" s="48">
        <f t="shared" si="0"/>
        <v>188159.43780792807</v>
      </c>
      <c r="J20" s="48">
        <f t="shared" si="1"/>
        <v>575359</v>
      </c>
      <c r="K20" s="48">
        <f t="shared" si="2"/>
        <v>19269104.99395448</v>
      </c>
      <c r="L20"/>
      <c r="M20" s="4"/>
      <c r="N20" s="148" t="s">
        <v>2</v>
      </c>
      <c r="O20" s="149" t="s">
        <v>1</v>
      </c>
      <c r="P20" s="59">
        <f>C18</f>
        <v>20000000</v>
      </c>
      <c r="Q20" s="75">
        <f>C18</f>
        <v>20000000</v>
      </c>
      <c r="R20" s="4"/>
      <c r="S20" s="4"/>
      <c r="T20" s="4"/>
      <c r="U20" s="4"/>
      <c r="V20" s="65"/>
      <c r="W20" s="4"/>
      <c r="X20" s="65"/>
      <c r="Y20" s="29" t="s">
        <v>10</v>
      </c>
      <c r="Z20" s="26">
        <v>60</v>
      </c>
      <c r="AA20" s="4"/>
      <c r="AB20" s="4"/>
      <c r="AC20" s="47">
        <v>4</v>
      </c>
      <c r="AD20" s="48">
        <f t="shared" si="5"/>
        <v>19272413.539999999</v>
      </c>
      <c r="AE20" s="48">
        <f t="shared" si="6"/>
        <v>202360.34216999999</v>
      </c>
      <c r="AF20" s="48">
        <f t="shared" si="7"/>
        <v>247639.65783000001</v>
      </c>
      <c r="AG20" s="48">
        <f t="shared" si="8"/>
        <v>450000</v>
      </c>
      <c r="AH20" s="48">
        <f t="shared" si="9"/>
        <v>19024773.882169999</v>
      </c>
      <c r="AI20"/>
      <c r="AJ20" s="82"/>
      <c r="AK20" s="55"/>
      <c r="AL20" s="59"/>
      <c r="AM20" s="84"/>
      <c r="AN20" s="4"/>
      <c r="AO20" s="58"/>
      <c r="AP20" s="58"/>
      <c r="AQ20" s="58"/>
      <c r="AR20" s="58"/>
      <c r="AS20" s="4"/>
    </row>
    <row r="21" spans="1:45" x14ac:dyDescent="0.25">
      <c r="A21" s="4"/>
      <c r="B21" s="4"/>
      <c r="C21" s="28"/>
      <c r="D21" s="4"/>
      <c r="E21" s="4"/>
      <c r="F21" s="47">
        <v>5</v>
      </c>
      <c r="G21" s="48">
        <f t="shared" si="3"/>
        <v>19269104.99395448</v>
      </c>
      <c r="H21" s="48">
        <f t="shared" si="4"/>
        <v>383455.18937969417</v>
      </c>
      <c r="I21" s="48">
        <f t="shared" si="0"/>
        <v>191903.81062030583</v>
      </c>
      <c r="J21" s="48">
        <f t="shared" si="1"/>
        <v>575359</v>
      </c>
      <c r="K21" s="48">
        <f t="shared" si="2"/>
        <v>19077201.183334175</v>
      </c>
      <c r="L21"/>
      <c r="M21" s="4"/>
      <c r="N21" s="148"/>
      <c r="O21" s="149"/>
      <c r="P21" s="60">
        <f>1-(1+C28)^-C20</f>
        <v>0.69341952486683822</v>
      </c>
      <c r="Q21" s="76">
        <f>1-(1+C28)^-C20</f>
        <v>0.69341952486683822</v>
      </c>
      <c r="R21" s="4"/>
      <c r="S21" s="4"/>
      <c r="T21" s="4"/>
      <c r="U21" s="4"/>
      <c r="V21" s="65"/>
      <c r="W21" s="4"/>
      <c r="X21" s="65"/>
      <c r="Y21" s="4"/>
      <c r="Z21" s="28"/>
      <c r="AA21" s="4"/>
      <c r="AB21" s="4"/>
      <c r="AC21" s="47">
        <v>5</v>
      </c>
      <c r="AD21" s="48">
        <f t="shared" si="5"/>
        <v>19024773.882169999</v>
      </c>
      <c r="AE21" s="48">
        <f t="shared" si="6"/>
        <v>199760.125762785</v>
      </c>
      <c r="AF21" s="48">
        <f t="shared" si="7"/>
        <v>250239.874237215</v>
      </c>
      <c r="AG21" s="48">
        <f t="shared" si="8"/>
        <v>450000</v>
      </c>
      <c r="AH21" s="48">
        <f t="shared" si="9"/>
        <v>18774534.007932786</v>
      </c>
      <c r="AI21"/>
      <c r="AJ21" s="4"/>
      <c r="AK21" s="4"/>
      <c r="AL21" s="4"/>
      <c r="AM21" s="4"/>
      <c r="AN21" s="4"/>
      <c r="AO21" s="58"/>
      <c r="AP21" s="58"/>
      <c r="AQ21" s="58"/>
      <c r="AR21" s="58"/>
      <c r="AS21" s="4"/>
    </row>
    <row r="22" spans="1:45" x14ac:dyDescent="0.25">
      <c r="A22" s="4"/>
      <c r="B22" s="29" t="s">
        <v>28</v>
      </c>
      <c r="C22" s="26" t="s">
        <v>20</v>
      </c>
      <c r="D22" s="4"/>
      <c r="E22" s="4"/>
      <c r="F22" s="47">
        <v>6</v>
      </c>
      <c r="G22" s="48">
        <f t="shared" si="3"/>
        <v>19077201.183334175</v>
      </c>
      <c r="H22" s="48">
        <f t="shared" si="4"/>
        <v>379636.30354835012</v>
      </c>
      <c r="I22" s="48">
        <f t="shared" si="0"/>
        <v>195722.69645164988</v>
      </c>
      <c r="J22" s="48">
        <f t="shared" si="1"/>
        <v>575359</v>
      </c>
      <c r="K22" s="48">
        <f t="shared" si="2"/>
        <v>18881478.486882526</v>
      </c>
      <c r="L22"/>
      <c r="M22" s="4"/>
      <c r="N22" s="148"/>
      <c r="O22" s="149"/>
      <c r="P22" s="60">
        <f>C28</f>
        <v>1.9900000000000001E-2</v>
      </c>
      <c r="Q22" s="76">
        <f>C28</f>
        <v>1.9900000000000001E-2</v>
      </c>
      <c r="R22" s="4"/>
      <c r="S22" s="4"/>
      <c r="T22" s="4"/>
      <c r="U22" s="4"/>
      <c r="V22" s="65"/>
      <c r="W22" s="4"/>
      <c r="X22" s="65"/>
      <c r="Y22" s="29" t="s">
        <v>28</v>
      </c>
      <c r="Z22" s="26" t="s">
        <v>20</v>
      </c>
      <c r="AA22" s="4"/>
      <c r="AB22" s="4"/>
      <c r="AC22" s="47">
        <v>6</v>
      </c>
      <c r="AD22" s="48">
        <f t="shared" si="5"/>
        <v>18774534.007932786</v>
      </c>
      <c r="AE22" s="48">
        <f t="shared" si="6"/>
        <v>197132.60708329428</v>
      </c>
      <c r="AF22" s="48">
        <f t="shared" si="7"/>
        <v>252867.39291670572</v>
      </c>
      <c r="AG22" s="48">
        <f t="shared" si="8"/>
        <v>450000</v>
      </c>
      <c r="AH22" s="48">
        <f t="shared" si="9"/>
        <v>18521666.61501608</v>
      </c>
      <c r="AI22"/>
      <c r="AJ22" s="4"/>
      <c r="AK22" s="4"/>
      <c r="AL22" s="4"/>
      <c r="AM22" s="4"/>
      <c r="AN22" s="4"/>
      <c r="AO22" s="58"/>
      <c r="AP22" s="58"/>
      <c r="AQ22" s="58"/>
      <c r="AR22" s="58"/>
      <c r="AS22" s="4"/>
    </row>
    <row r="23" spans="1:45" x14ac:dyDescent="0.25">
      <c r="A23" s="4"/>
      <c r="B23"/>
      <c r="C23" s="2"/>
      <c r="D23" s="4"/>
      <c r="E23" s="4"/>
      <c r="F23" s="47">
        <v>7</v>
      </c>
      <c r="G23" s="48">
        <f t="shared" si="3"/>
        <v>18881478.486882526</v>
      </c>
      <c r="H23" s="48">
        <f t="shared" si="4"/>
        <v>375741.42188896227</v>
      </c>
      <c r="I23" s="48">
        <f t="shared" si="0"/>
        <v>199617.57811103773</v>
      </c>
      <c r="J23" s="48">
        <f t="shared" si="1"/>
        <v>575359</v>
      </c>
      <c r="K23" s="48">
        <f t="shared" si="2"/>
        <v>18681860.908771489</v>
      </c>
      <c r="L23"/>
      <c r="M23" s="4"/>
      <c r="N23" s="71"/>
      <c r="O23" s="72"/>
      <c r="P23" s="60"/>
      <c r="Q23" s="76"/>
      <c r="R23" s="4"/>
      <c r="S23" s="4"/>
      <c r="T23" s="4"/>
      <c r="U23" s="4"/>
      <c r="V23" s="65"/>
      <c r="W23" s="4"/>
      <c r="X23" s="65"/>
      <c r="Y23"/>
      <c r="Z23" s="2"/>
      <c r="AA23" s="4"/>
      <c r="AB23" s="4"/>
      <c r="AC23" s="47">
        <v>7</v>
      </c>
      <c r="AD23" s="48">
        <f t="shared" si="5"/>
        <v>18521666.61501608</v>
      </c>
      <c r="AE23" s="48">
        <f t="shared" si="6"/>
        <v>194477.49945766886</v>
      </c>
      <c r="AF23" s="48">
        <f t="shared" si="7"/>
        <v>255522.50054233114</v>
      </c>
      <c r="AG23" s="48">
        <f t="shared" si="8"/>
        <v>450000</v>
      </c>
      <c r="AH23" s="48">
        <f t="shared" si="9"/>
        <v>18266144.114473749</v>
      </c>
      <c r="AI23"/>
      <c r="AJ23" s="4"/>
      <c r="AK23" s="4"/>
      <c r="AL23" s="4"/>
      <c r="AM23" s="4"/>
      <c r="AN23" s="4"/>
      <c r="AO23" s="58"/>
      <c r="AP23" s="58"/>
      <c r="AQ23" s="58"/>
      <c r="AR23" s="58"/>
      <c r="AS23" s="4"/>
    </row>
    <row r="24" spans="1:45" x14ac:dyDescent="0.25">
      <c r="A24" s="4"/>
      <c r="B24" s="29" t="s">
        <v>27</v>
      </c>
      <c r="C24" s="26" t="s">
        <v>22</v>
      </c>
      <c r="D24" s="4"/>
      <c r="E24" s="4"/>
      <c r="F24" s="47">
        <v>8</v>
      </c>
      <c r="G24" s="48">
        <f t="shared" si="3"/>
        <v>18681860.908771489</v>
      </c>
      <c r="H24" s="48">
        <f t="shared" si="4"/>
        <v>371769.03208455263</v>
      </c>
      <c r="I24" s="48">
        <f t="shared" si="0"/>
        <v>203589.96791544737</v>
      </c>
      <c r="J24" s="48">
        <f t="shared" si="1"/>
        <v>575359</v>
      </c>
      <c r="K24" s="48">
        <f t="shared" si="2"/>
        <v>18478270.940856043</v>
      </c>
      <c r="L24"/>
      <c r="M24" s="4"/>
      <c r="N24" s="148" t="s">
        <v>2</v>
      </c>
      <c r="O24" s="149" t="s">
        <v>1</v>
      </c>
      <c r="P24" s="59"/>
      <c r="Q24" s="75">
        <f>Q20</f>
        <v>20000000</v>
      </c>
      <c r="R24" s="4"/>
      <c r="S24" s="4"/>
      <c r="T24" s="4"/>
      <c r="U24" s="4"/>
      <c r="V24" s="65"/>
      <c r="W24" s="4"/>
      <c r="X24" s="65"/>
      <c r="Y24" s="29" t="s">
        <v>27</v>
      </c>
      <c r="Z24" s="26" t="s">
        <v>22</v>
      </c>
      <c r="AA24" s="4"/>
      <c r="AB24" s="4"/>
      <c r="AC24" s="47">
        <v>8</v>
      </c>
      <c r="AD24" s="48">
        <f t="shared" si="5"/>
        <v>18266144.114473749</v>
      </c>
      <c r="AE24" s="48">
        <f t="shared" si="6"/>
        <v>191794.51320197436</v>
      </c>
      <c r="AF24" s="48">
        <f t="shared" si="7"/>
        <v>258205.48679802564</v>
      </c>
      <c r="AG24" s="48">
        <f t="shared" si="8"/>
        <v>450000</v>
      </c>
      <c r="AH24" s="48">
        <f t="shared" si="9"/>
        <v>18007938.627675723</v>
      </c>
      <c r="AI24"/>
      <c r="AJ24" s="4"/>
      <c r="AK24" s="4"/>
      <c r="AL24" s="4"/>
      <c r="AM24" s="4"/>
      <c r="AN24" s="4"/>
      <c r="AO24" s="58"/>
      <c r="AP24" s="58"/>
      <c r="AQ24" s="58"/>
      <c r="AR24" s="58"/>
      <c r="AS24" s="4"/>
    </row>
    <row r="25" spans="1:45" ht="15.75" thickBot="1" x14ac:dyDescent="0.3">
      <c r="A25" s="4"/>
      <c r="B25"/>
      <c r="C25" s="2"/>
      <c r="D25" s="4"/>
      <c r="E25" s="4"/>
      <c r="F25" s="47">
        <v>9</v>
      </c>
      <c r="G25" s="48">
        <f t="shared" si="3"/>
        <v>18478270.940856043</v>
      </c>
      <c r="H25" s="48">
        <f t="shared" si="4"/>
        <v>367717.59172303526</v>
      </c>
      <c r="I25" s="48">
        <f t="shared" si="0"/>
        <v>207641.40827696474</v>
      </c>
      <c r="J25" s="48">
        <f t="shared" si="1"/>
        <v>575359</v>
      </c>
      <c r="K25" s="48">
        <f t="shared" si="2"/>
        <v>18270629.532579079</v>
      </c>
      <c r="L25"/>
      <c r="M25" s="4"/>
      <c r="N25" s="148"/>
      <c r="O25" s="149"/>
      <c r="P25" s="61">
        <f>P21/P22</f>
        <v>34.845202254614982</v>
      </c>
      <c r="Q25" s="76">
        <f>Q21/Q22</f>
        <v>34.845202254614982</v>
      </c>
      <c r="R25" s="4"/>
      <c r="S25" s="4"/>
      <c r="T25" s="4"/>
      <c r="U25" s="4"/>
      <c r="V25" s="65"/>
      <c r="W25" s="4"/>
      <c r="X25" s="65"/>
      <c r="Y25"/>
      <c r="Z25" s="2"/>
      <c r="AA25" s="4"/>
      <c r="AB25" s="4"/>
      <c r="AC25" s="47">
        <v>9</v>
      </c>
      <c r="AD25" s="48">
        <f t="shared" si="5"/>
        <v>18007938.627675723</v>
      </c>
      <c r="AE25" s="48">
        <f t="shared" si="6"/>
        <v>189083.35559059511</v>
      </c>
      <c r="AF25" s="48">
        <f t="shared" si="7"/>
        <v>260916.64440940489</v>
      </c>
      <c r="AG25" s="48">
        <f t="shared" si="8"/>
        <v>450000</v>
      </c>
      <c r="AH25" s="48">
        <f t="shared" si="9"/>
        <v>17747021.98326632</v>
      </c>
      <c r="AI25"/>
      <c r="AJ25" s="94" t="s">
        <v>71</v>
      </c>
      <c r="AK25" s="179" t="s">
        <v>1</v>
      </c>
      <c r="AL25" s="107">
        <f>AM17</f>
        <v>229767.282800816</v>
      </c>
      <c r="AM25" s="89" t="s">
        <v>69</v>
      </c>
      <c r="AN25" s="4"/>
      <c r="AO25" s="58"/>
      <c r="AP25" s="58"/>
      <c r="AQ25" s="58"/>
      <c r="AR25" s="58"/>
      <c r="AS25" s="4"/>
    </row>
    <row r="26" spans="1:45" x14ac:dyDescent="0.25">
      <c r="A26" s="4"/>
      <c r="B26" s="29" t="s">
        <v>52</v>
      </c>
      <c r="C26" s="40">
        <v>18</v>
      </c>
      <c r="D26" s="4"/>
      <c r="E26" s="4"/>
      <c r="F26" s="47">
        <v>10</v>
      </c>
      <c r="G26" s="48">
        <f t="shared" si="3"/>
        <v>18270629.532579079</v>
      </c>
      <c r="H26" s="48">
        <f t="shared" si="4"/>
        <v>363585.52769832371</v>
      </c>
      <c r="I26" s="48">
        <f t="shared" si="0"/>
        <v>211773.47230167629</v>
      </c>
      <c r="J26" s="48">
        <f t="shared" si="1"/>
        <v>575359</v>
      </c>
      <c r="K26" s="48">
        <f t="shared" si="2"/>
        <v>18058856.060277402</v>
      </c>
      <c r="L26"/>
      <c r="M26" s="4"/>
      <c r="N26" s="77"/>
      <c r="O26" s="72"/>
      <c r="P26" s="60"/>
      <c r="Q26" s="76"/>
      <c r="R26" s="4"/>
      <c r="S26" s="4"/>
      <c r="T26" s="4"/>
      <c r="U26" s="4"/>
      <c r="V26" s="65"/>
      <c r="W26" s="4"/>
      <c r="X26" s="65"/>
      <c r="Y26" s="29" t="s">
        <v>52</v>
      </c>
      <c r="Z26" s="40">
        <v>18</v>
      </c>
      <c r="AA26" s="4"/>
      <c r="AB26" s="4"/>
      <c r="AC26" s="47">
        <v>10</v>
      </c>
      <c r="AD26" s="48">
        <f t="shared" si="5"/>
        <v>17747021.98326632</v>
      </c>
      <c r="AE26" s="48">
        <f t="shared" si="6"/>
        <v>186343.73082429636</v>
      </c>
      <c r="AF26" s="48">
        <f t="shared" si="7"/>
        <v>263656.26917570364</v>
      </c>
      <c r="AG26" s="48">
        <f t="shared" si="8"/>
        <v>450000</v>
      </c>
      <c r="AH26" s="48">
        <f t="shared" si="9"/>
        <v>17483365.714090616</v>
      </c>
      <c r="AI26"/>
      <c r="AJ26" s="95" t="s">
        <v>72</v>
      </c>
      <c r="AK26" s="179"/>
      <c r="AL26" s="91">
        <f>AM17</f>
        <v>229767.282800816</v>
      </c>
      <c r="AM26" s="90" t="s">
        <v>77</v>
      </c>
      <c r="AN26" s="4"/>
      <c r="AO26" s="58"/>
      <c r="AP26" s="58"/>
      <c r="AQ26" s="58"/>
      <c r="AR26" s="58"/>
      <c r="AS26" s="4"/>
    </row>
    <row r="27" spans="1:45" ht="19.5" thickBot="1" x14ac:dyDescent="0.3">
      <c r="A27" s="4"/>
      <c r="B27"/>
      <c r="C27" s="2"/>
      <c r="D27" s="4"/>
      <c r="E27" s="4"/>
      <c r="F27" s="47">
        <v>11</v>
      </c>
      <c r="G27" s="48">
        <f t="shared" si="3"/>
        <v>18058856.060277402</v>
      </c>
      <c r="H27" s="48">
        <f t="shared" si="4"/>
        <v>359371.23559952033</v>
      </c>
      <c r="I27" s="48">
        <f t="shared" si="0"/>
        <v>215987.76440047967</v>
      </c>
      <c r="J27" s="48">
        <f t="shared" si="1"/>
        <v>575359</v>
      </c>
      <c r="K27" s="48">
        <f t="shared" si="2"/>
        <v>17842868.295876924</v>
      </c>
      <c r="L27"/>
      <c r="M27" s="4"/>
      <c r="N27" s="78" t="s">
        <v>2</v>
      </c>
      <c r="O27" s="79" t="s">
        <v>1</v>
      </c>
      <c r="P27" s="62">
        <f>Q24/Q25</f>
        <v>573967.1089827338</v>
      </c>
      <c r="Q27" s="80">
        <f>Q24/Q25</f>
        <v>573967.1089827338</v>
      </c>
      <c r="R27" s="4"/>
      <c r="S27" s="4"/>
      <c r="T27" s="4"/>
      <c r="U27" s="4"/>
      <c r="V27" s="65"/>
      <c r="W27" s="4"/>
      <c r="X27" s="65"/>
      <c r="Y27"/>
      <c r="Z27" s="2"/>
      <c r="AA27" s="4"/>
      <c r="AB27" s="4"/>
      <c r="AC27" s="47">
        <v>11</v>
      </c>
      <c r="AD27" s="48">
        <f t="shared" si="5"/>
        <v>17483365.714090616</v>
      </c>
      <c r="AE27" s="48">
        <f t="shared" si="6"/>
        <v>183575.33999795147</v>
      </c>
      <c r="AF27" s="48">
        <f t="shared" si="7"/>
        <v>266424.66000204853</v>
      </c>
      <c r="AG27" s="48">
        <f t="shared" si="8"/>
        <v>450000</v>
      </c>
      <c r="AH27" s="48">
        <f t="shared" si="9"/>
        <v>17216941.054088566</v>
      </c>
      <c r="AI27"/>
      <c r="AJ27" s="52"/>
      <c r="AK27" s="19"/>
      <c r="AL27" s="4"/>
      <c r="AM27" s="12"/>
      <c r="AN27" s="4"/>
      <c r="AO27" s="58"/>
      <c r="AP27" s="58"/>
      <c r="AQ27" s="58"/>
      <c r="AR27" s="58"/>
      <c r="AS27" s="4"/>
    </row>
    <row r="28" spans="1:45" x14ac:dyDescent="0.25">
      <c r="A28" s="4"/>
      <c r="B28" s="36" t="s">
        <v>53</v>
      </c>
      <c r="C28" s="98">
        <f>Q2</f>
        <v>1.9900000000000001E-2</v>
      </c>
      <c r="D28" s="4"/>
      <c r="E28" s="4"/>
      <c r="F28" s="47">
        <v>12</v>
      </c>
      <c r="G28" s="48">
        <f t="shared" si="3"/>
        <v>17842868.295876924</v>
      </c>
      <c r="H28" s="48">
        <f t="shared" si="4"/>
        <v>355073.07908795081</v>
      </c>
      <c r="I28" s="48">
        <f t="shared" si="0"/>
        <v>220285.92091204919</v>
      </c>
      <c r="J28" s="48">
        <f t="shared" si="1"/>
        <v>575359</v>
      </c>
      <c r="K28" s="48">
        <f t="shared" si="2"/>
        <v>17622582.374964874</v>
      </c>
      <c r="L28"/>
      <c r="M28" s="4"/>
      <c r="N28" s="4"/>
      <c r="O28" s="4"/>
      <c r="P28" s="4"/>
      <c r="Q28" s="4"/>
      <c r="R28" s="4"/>
      <c r="S28" s="4"/>
      <c r="T28" s="4"/>
      <c r="U28" s="4"/>
      <c r="V28" s="65"/>
      <c r="W28" s="4"/>
      <c r="X28" s="65"/>
      <c r="Y28" s="36" t="s">
        <v>53</v>
      </c>
      <c r="Z28" s="26">
        <v>1.0500000000000001E-2</v>
      </c>
      <c r="AA28" s="4"/>
      <c r="AB28" s="4"/>
      <c r="AC28" s="47">
        <v>12</v>
      </c>
      <c r="AD28" s="48">
        <f t="shared" si="5"/>
        <v>17216941.054088566</v>
      </c>
      <c r="AE28" s="48">
        <f t="shared" si="6"/>
        <v>180777.88106792996</v>
      </c>
      <c r="AF28" s="48">
        <f t="shared" si="7"/>
        <v>1769222.11893207</v>
      </c>
      <c r="AG28" s="109">
        <f>$Z$30+1500000</f>
        <v>1950000</v>
      </c>
      <c r="AH28" s="48">
        <f>AD28-AF28</f>
        <v>15447718.935156496</v>
      </c>
      <c r="AI28"/>
      <c r="AJ28" s="52"/>
      <c r="AK28" s="19"/>
      <c r="AL28" s="4"/>
      <c r="AM28" s="4"/>
      <c r="AN28" s="4"/>
      <c r="AO28" s="58"/>
      <c r="AP28" s="58"/>
      <c r="AQ28" s="58"/>
      <c r="AR28" s="58"/>
      <c r="AS28" s="4"/>
    </row>
    <row r="29" spans="1:45" ht="15.75" thickBot="1" x14ac:dyDescent="0.3">
      <c r="A29" s="4"/>
      <c r="B29"/>
      <c r="C29"/>
      <c r="D29" s="4"/>
      <c r="E29" s="4"/>
      <c r="F29" s="47">
        <v>13</v>
      </c>
      <c r="G29" s="48">
        <f t="shared" si="3"/>
        <v>17622582.374964874</v>
      </c>
      <c r="H29" s="48">
        <f t="shared" si="4"/>
        <v>350689.38926180103</v>
      </c>
      <c r="I29" s="48">
        <f t="shared" si="0"/>
        <v>224669.61073819897</v>
      </c>
      <c r="J29" s="48">
        <f t="shared" si="1"/>
        <v>575359</v>
      </c>
      <c r="K29" s="48">
        <f t="shared" si="2"/>
        <v>17397912.764226675</v>
      </c>
      <c r="L29"/>
      <c r="M29" s="4"/>
      <c r="N29"/>
      <c r="O29"/>
      <c r="P29"/>
      <c r="Q29"/>
      <c r="R29" s="58"/>
      <c r="S29" s="4"/>
      <c r="T29" s="4"/>
      <c r="U29" s="4"/>
      <c r="V29" s="65"/>
      <c r="W29" s="4"/>
      <c r="X29" s="65"/>
      <c r="Y29"/>
      <c r="Z29"/>
      <c r="AA29" s="4"/>
      <c r="AB29" s="4"/>
      <c r="AC29" s="47">
        <v>13</v>
      </c>
      <c r="AD29" s="48">
        <f t="shared" si="5"/>
        <v>15447718.935156496</v>
      </c>
      <c r="AE29" s="48">
        <f t="shared" si="6"/>
        <v>162201.04881914321</v>
      </c>
      <c r="AF29" s="48">
        <f t="shared" si="7"/>
        <v>287798.95118085679</v>
      </c>
      <c r="AG29" s="48">
        <f t="shared" si="8"/>
        <v>450000</v>
      </c>
      <c r="AH29" s="48">
        <f t="shared" si="9"/>
        <v>15159919.98397564</v>
      </c>
      <c r="AI29"/>
      <c r="AJ29" s="94" t="s">
        <v>71</v>
      </c>
      <c r="AK29" s="19" t="s">
        <v>1</v>
      </c>
      <c r="AL29" s="183">
        <f>(AM17-AM18)</f>
        <v>229767.282800816</v>
      </c>
      <c r="AM29" s="180"/>
      <c r="AN29" s="4"/>
      <c r="AO29" s="4"/>
      <c r="AP29" s="4"/>
      <c r="AQ29" s="4"/>
      <c r="AR29" s="4"/>
      <c r="AS29" s="4"/>
    </row>
    <row r="30" spans="1:45" ht="18.75" x14ac:dyDescent="0.25">
      <c r="A30" s="4"/>
      <c r="B30" s="36" t="s">
        <v>54</v>
      </c>
      <c r="C30" s="41">
        <f>$Q$4</f>
        <v>575359</v>
      </c>
      <c r="D30" s="4"/>
      <c r="E30" s="4"/>
      <c r="F30" s="47">
        <v>14</v>
      </c>
      <c r="G30" s="48">
        <f t="shared" si="3"/>
        <v>17397912.764226675</v>
      </c>
      <c r="H30" s="48">
        <f t="shared" si="4"/>
        <v>346218.46400811087</v>
      </c>
      <c r="I30" s="48">
        <f t="shared" si="0"/>
        <v>229140.53599188913</v>
      </c>
      <c r="J30" s="48">
        <f t="shared" si="1"/>
        <v>575359</v>
      </c>
      <c r="K30" s="48">
        <f t="shared" si="2"/>
        <v>17168772.228234787</v>
      </c>
      <c r="L30"/>
      <c r="M30" s="4"/>
      <c r="N30" s="18" t="s">
        <v>73</v>
      </c>
      <c r="O30"/>
      <c r="P30" t="s">
        <v>67</v>
      </c>
      <c r="Q30" s="11"/>
      <c r="R30" s="58"/>
      <c r="S30" s="4"/>
      <c r="T30" s="4"/>
      <c r="U30" s="4"/>
      <c r="V30" s="65"/>
      <c r="W30" s="4"/>
      <c r="X30" s="65"/>
      <c r="Y30" s="36" t="s">
        <v>54</v>
      </c>
      <c r="Z30" s="41">
        <v>450000</v>
      </c>
      <c r="AA30" s="4"/>
      <c r="AB30" s="4"/>
      <c r="AC30" s="47">
        <v>14</v>
      </c>
      <c r="AD30" s="48">
        <f t="shared" si="5"/>
        <v>15159919.98397564</v>
      </c>
      <c r="AE30" s="48">
        <f t="shared" si="6"/>
        <v>159179.15983174421</v>
      </c>
      <c r="AF30" s="48">
        <f t="shared" si="7"/>
        <v>290820.84016825579</v>
      </c>
      <c r="AG30" s="48">
        <f t="shared" si="8"/>
        <v>450000</v>
      </c>
      <c r="AH30" s="48">
        <f t="shared" si="9"/>
        <v>14869099.143807383</v>
      </c>
      <c r="AI30"/>
      <c r="AJ30" s="95" t="s">
        <v>6</v>
      </c>
      <c r="AK30" s="19"/>
      <c r="AL30" s="181">
        <f>AM17-(AM19)</f>
        <v>4587368.2781298961</v>
      </c>
      <c r="AM30" s="181"/>
      <c r="AN30" s="4"/>
      <c r="AO30" s="4"/>
      <c r="AP30" s="4"/>
      <c r="AQ30" s="4"/>
      <c r="AR30" s="4"/>
      <c r="AS30" s="4"/>
    </row>
    <row r="31" spans="1:45" ht="18.75" x14ac:dyDescent="0.25">
      <c r="A31" s="4"/>
      <c r="B31"/>
      <c r="C31"/>
      <c r="D31" s="4"/>
      <c r="E31" s="4"/>
      <c r="F31" s="47">
        <v>15</v>
      </c>
      <c r="G31" s="48">
        <f t="shared" si="3"/>
        <v>17168772.228234787</v>
      </c>
      <c r="H31" s="48">
        <f t="shared" si="4"/>
        <v>341658.56734187226</v>
      </c>
      <c r="I31" s="48">
        <f t="shared" si="0"/>
        <v>233700.43265812774</v>
      </c>
      <c r="J31" s="48">
        <f t="shared" si="1"/>
        <v>575359</v>
      </c>
      <c r="K31" s="48">
        <f t="shared" si="2"/>
        <v>16935071.795576658</v>
      </c>
      <c r="L31"/>
      <c r="M31" s="4"/>
      <c r="N31" s="18" t="s">
        <v>73</v>
      </c>
      <c r="O31"/>
      <c r="P31">
        <v>20000000</v>
      </c>
      <c r="Q31" s="11">
        <f>(575359)*(1-(1+0.01)^-60)/0.01</f>
        <v>25865285.942366656</v>
      </c>
      <c r="R31" s="58"/>
      <c r="S31" s="4"/>
      <c r="T31" s="4"/>
      <c r="U31" s="4"/>
      <c r="V31" s="65"/>
      <c r="W31" s="4"/>
      <c r="X31" s="65"/>
      <c r="Y31"/>
      <c r="Z31"/>
      <c r="AA31" s="4"/>
      <c r="AB31" s="4"/>
      <c r="AC31" s="47">
        <v>15</v>
      </c>
      <c r="AD31" s="48">
        <f t="shared" si="5"/>
        <v>14869099.143807383</v>
      </c>
      <c r="AE31" s="48">
        <f t="shared" si="6"/>
        <v>156125.54100997755</v>
      </c>
      <c r="AF31" s="48">
        <f t="shared" si="7"/>
        <v>293874.45899002242</v>
      </c>
      <c r="AG31" s="48">
        <f t="shared" si="8"/>
        <v>450000</v>
      </c>
      <c r="AH31" s="48">
        <f t="shared" si="9"/>
        <v>14575224.684817361</v>
      </c>
      <c r="AI31"/>
      <c r="AJ31" s="5"/>
      <c r="AK31" s="19"/>
      <c r="AL31" s="4"/>
      <c r="AM31" s="13"/>
      <c r="AN31" s="4"/>
      <c r="AO31" s="4"/>
      <c r="AP31" s="4"/>
      <c r="AQ31" s="4"/>
      <c r="AR31" s="4"/>
      <c r="AS31" s="4"/>
    </row>
    <row r="32" spans="1:45" ht="19.5" thickBot="1" x14ac:dyDescent="0.3">
      <c r="A32" s="4"/>
      <c r="B32" s="29" t="s">
        <v>55</v>
      </c>
      <c r="C32" s="26">
        <v>15</v>
      </c>
      <c r="D32" s="4"/>
      <c r="E32" s="4"/>
      <c r="F32" s="47">
        <v>16</v>
      </c>
      <c r="G32" s="48">
        <f t="shared" si="3"/>
        <v>16935071.795576658</v>
      </c>
      <c r="H32" s="48">
        <f t="shared" si="4"/>
        <v>337007.92873197549</v>
      </c>
      <c r="I32" s="48">
        <f t="shared" si="0"/>
        <v>238351.07126802451</v>
      </c>
      <c r="J32" s="48">
        <f t="shared" si="1"/>
        <v>575359</v>
      </c>
      <c r="K32" s="48">
        <f t="shared" si="2"/>
        <v>16696720.724308634</v>
      </c>
      <c r="L32"/>
      <c r="M32" s="4"/>
      <c r="N32" s="18" t="s">
        <v>73</v>
      </c>
      <c r="O32"/>
      <c r="P32">
        <f>Q31-P31</f>
        <v>5865285.9423666559</v>
      </c>
      <c r="Q32" s="11"/>
      <c r="R32" s="58"/>
      <c r="S32" s="4"/>
      <c r="T32" s="4"/>
      <c r="U32" s="4"/>
      <c r="V32" s="65"/>
      <c r="W32" s="4"/>
      <c r="X32" s="65"/>
      <c r="Y32" s="29" t="s">
        <v>55</v>
      </c>
      <c r="Z32" s="26">
        <v>15</v>
      </c>
      <c r="AA32" s="4"/>
      <c r="AB32" s="4"/>
      <c r="AC32" s="47">
        <v>16</v>
      </c>
      <c r="AD32" s="48">
        <f t="shared" si="5"/>
        <v>14575224.684817361</v>
      </c>
      <c r="AE32" s="48">
        <f t="shared" si="6"/>
        <v>153039.8591905823</v>
      </c>
      <c r="AF32" s="48">
        <f t="shared" si="7"/>
        <v>296960.1408094177</v>
      </c>
      <c r="AG32" s="48">
        <f t="shared" si="8"/>
        <v>450000</v>
      </c>
      <c r="AH32" s="48">
        <f t="shared" si="9"/>
        <v>14278264.544007942</v>
      </c>
      <c r="AI32"/>
      <c r="AJ32" s="94" t="s">
        <v>71</v>
      </c>
      <c r="AK32" s="19" t="s">
        <v>1</v>
      </c>
      <c r="AL32" s="108">
        <f>AL29/AL30</f>
        <v>5.0086949394541266E-2</v>
      </c>
      <c r="AM32" s="4"/>
      <c r="AN32" s="4"/>
      <c r="AO32" s="4"/>
      <c r="AP32" s="4"/>
      <c r="AQ32" s="4"/>
      <c r="AR32" s="4"/>
      <c r="AS32" s="4"/>
    </row>
    <row r="33" spans="1:45" x14ac:dyDescent="0.25">
      <c r="A33" s="4"/>
      <c r="B33"/>
      <c r="C33"/>
      <c r="D33" s="4"/>
      <c r="E33" s="4"/>
      <c r="F33" s="47">
        <v>17</v>
      </c>
      <c r="G33" s="48">
        <f t="shared" si="3"/>
        <v>16696720.724308634</v>
      </c>
      <c r="H33" s="48">
        <f t="shared" si="4"/>
        <v>332264.74241374183</v>
      </c>
      <c r="I33" s="48">
        <f t="shared" si="0"/>
        <v>243094.25758625817</v>
      </c>
      <c r="J33" s="48">
        <f t="shared" si="1"/>
        <v>575359</v>
      </c>
      <c r="K33" s="48">
        <f t="shared" si="2"/>
        <v>16453626.466722377</v>
      </c>
      <c r="L33"/>
      <c r="M33" s="4"/>
      <c r="N33" s="19"/>
      <c r="O33"/>
      <c r="P33"/>
      <c r="Q33"/>
      <c r="R33" s="58"/>
      <c r="S33" s="4"/>
      <c r="T33" s="4"/>
      <c r="U33" s="4"/>
      <c r="V33" s="65"/>
      <c r="W33" s="4"/>
      <c r="X33" s="65"/>
      <c r="Y33"/>
      <c r="Z33"/>
      <c r="AA33" s="4"/>
      <c r="AB33" s="4"/>
      <c r="AC33" s="47">
        <v>17</v>
      </c>
      <c r="AD33" s="48">
        <f t="shared" si="5"/>
        <v>14278264.544007942</v>
      </c>
      <c r="AE33" s="48">
        <f t="shared" si="6"/>
        <v>149921.77771208339</v>
      </c>
      <c r="AF33" s="48">
        <f t="shared" si="7"/>
        <v>300078.22228791658</v>
      </c>
      <c r="AG33" s="48">
        <f t="shared" si="8"/>
        <v>450000</v>
      </c>
      <c r="AH33" s="48">
        <f t="shared" si="9"/>
        <v>13978186.321720026</v>
      </c>
      <c r="AI33"/>
      <c r="AJ33" s="52">
        <v>-1</v>
      </c>
      <c r="AK33" s="19"/>
      <c r="AL33" s="19"/>
      <c r="AM33" s="52"/>
      <c r="AN33" s="4"/>
      <c r="AO33" s="4"/>
      <c r="AP33" s="4"/>
      <c r="AQ33" s="4"/>
      <c r="AR33" s="4"/>
      <c r="AS33" s="4"/>
    </row>
    <row r="34" spans="1:45" x14ac:dyDescent="0.25">
      <c r="A34" s="4"/>
      <c r="B34" s="29" t="s">
        <v>56</v>
      </c>
      <c r="C34" s="27">
        <v>1500000</v>
      </c>
      <c r="D34" s="4"/>
      <c r="E34" s="4"/>
      <c r="F34" s="47">
        <v>18</v>
      </c>
      <c r="G34" s="48">
        <f t="shared" si="3"/>
        <v>16453626.466722377</v>
      </c>
      <c r="H34" s="48">
        <f t="shared" si="4"/>
        <v>327427.16668777529</v>
      </c>
      <c r="I34" s="48">
        <f t="shared" si="0"/>
        <v>247931.83331222471</v>
      </c>
      <c r="J34" s="48">
        <f t="shared" si="1"/>
        <v>575359</v>
      </c>
      <c r="K34" s="48">
        <f t="shared" si="2"/>
        <v>16205694.633410152</v>
      </c>
      <c r="L34"/>
      <c r="M34" s="4"/>
      <c r="N34"/>
      <c r="O34"/>
      <c r="P34"/>
      <c r="Q34"/>
      <c r="R34" s="58"/>
      <c r="S34" s="4"/>
      <c r="T34" s="4"/>
      <c r="U34" s="4"/>
      <c r="V34" s="65"/>
      <c r="W34" s="4"/>
      <c r="X34" s="65"/>
      <c r="Y34" s="29" t="s">
        <v>56</v>
      </c>
      <c r="Z34" s="27">
        <v>1500000</v>
      </c>
      <c r="AA34" s="4"/>
      <c r="AB34" s="4"/>
      <c r="AC34" s="47">
        <v>18</v>
      </c>
      <c r="AD34" s="48">
        <f t="shared" si="5"/>
        <v>13978186.321720026</v>
      </c>
      <c r="AE34" s="48">
        <f t="shared" si="6"/>
        <v>146770.95637806028</v>
      </c>
      <c r="AF34" s="48">
        <f t="shared" si="7"/>
        <v>303229.04362193972</v>
      </c>
      <c r="AG34" s="48">
        <f t="shared" si="8"/>
        <v>450000</v>
      </c>
      <c r="AH34" s="48">
        <f t="shared" si="9"/>
        <v>13674957.278098086</v>
      </c>
      <c r="AI34"/>
      <c r="AJ34"/>
      <c r="AK34" s="8"/>
      <c r="AL34" s="8"/>
      <c r="AM34" s="52"/>
      <c r="AN34" s="4"/>
      <c r="AO34" s="4"/>
      <c r="AP34" s="4"/>
      <c r="AQ34" s="4"/>
      <c r="AR34" s="4"/>
      <c r="AS34" s="4"/>
    </row>
    <row r="35" spans="1:45" ht="18.75" x14ac:dyDescent="0.25">
      <c r="A35" s="4"/>
      <c r="B35" s="4"/>
      <c r="C35" s="28"/>
      <c r="D35" s="4"/>
      <c r="E35" s="4"/>
      <c r="F35" s="47">
        <v>19</v>
      </c>
      <c r="G35" s="48">
        <f t="shared" si="3"/>
        <v>16205694.633410152</v>
      </c>
      <c r="H35" s="48">
        <f t="shared" si="4"/>
        <v>322493.32320486207</v>
      </c>
      <c r="I35" s="48">
        <f t="shared" si="0"/>
        <v>252865.67679513793</v>
      </c>
      <c r="J35" s="48">
        <f t="shared" si="1"/>
        <v>575359</v>
      </c>
      <c r="K35" s="48">
        <f t="shared" si="2"/>
        <v>15952828.956615014</v>
      </c>
      <c r="L35"/>
      <c r="M35" s="4"/>
      <c r="N35" s="20" t="s">
        <v>74</v>
      </c>
      <c r="O35"/>
      <c r="P35" t="s">
        <v>67</v>
      </c>
      <c r="Q35" s="11"/>
      <c r="R35" s="58"/>
      <c r="S35" s="4"/>
      <c r="T35" s="4"/>
      <c r="U35" s="4"/>
      <c r="V35" s="65"/>
      <c r="W35" s="4"/>
      <c r="X35" s="65"/>
      <c r="Y35" s="4"/>
      <c r="Z35" s="28"/>
      <c r="AA35" s="4"/>
      <c r="AB35" s="4"/>
      <c r="AC35" s="47">
        <v>19</v>
      </c>
      <c r="AD35" s="48">
        <f t="shared" si="5"/>
        <v>13674957.278098086</v>
      </c>
      <c r="AE35" s="48">
        <f t="shared" si="6"/>
        <v>143587.05142002992</v>
      </c>
      <c r="AF35" s="48">
        <f t="shared" si="7"/>
        <v>306412.94857997005</v>
      </c>
      <c r="AG35" s="48">
        <f t="shared" si="8"/>
        <v>450000</v>
      </c>
      <c r="AH35" s="48">
        <f t="shared" si="9"/>
        <v>13368544.329518115</v>
      </c>
      <c r="AI35"/>
      <c r="AJ35" s="92" t="s">
        <v>71</v>
      </c>
      <c r="AK35" s="19" t="s">
        <v>1</v>
      </c>
      <c r="AL35" s="108">
        <f>AL32*AJ33</f>
        <v>-5.0086949394541266E-2</v>
      </c>
      <c r="AM35" s="14"/>
      <c r="AN35" s="4"/>
      <c r="AO35" s="4"/>
      <c r="AP35" s="4"/>
      <c r="AQ35" s="4"/>
      <c r="AR35" s="4"/>
      <c r="AS35" s="4"/>
    </row>
    <row r="36" spans="1:45" ht="18.75" x14ac:dyDescent="0.25">
      <c r="A36" s="4"/>
      <c r="B36" s="29" t="s">
        <v>29</v>
      </c>
      <c r="C36" s="26"/>
      <c r="D36" s="4"/>
      <c r="E36" s="4"/>
      <c r="F36" s="47">
        <v>20</v>
      </c>
      <c r="G36" s="48">
        <f t="shared" si="3"/>
        <v>15952828.956615014</v>
      </c>
      <c r="H36" s="48">
        <f t="shared" si="4"/>
        <v>317461.29623663879</v>
      </c>
      <c r="I36" s="48">
        <f t="shared" si="0"/>
        <v>257897.70376336121</v>
      </c>
      <c r="J36" s="48">
        <f t="shared" si="1"/>
        <v>575359</v>
      </c>
      <c r="K36" s="48">
        <f t="shared" si="2"/>
        <v>15694931.252851652</v>
      </c>
      <c r="L36"/>
      <c r="M36" s="4"/>
      <c r="N36" s="20" t="s">
        <v>74</v>
      </c>
      <c r="O36"/>
      <c r="P36">
        <v>20000000</v>
      </c>
      <c r="Q36" s="11">
        <f>(575359)*(1-(1+0.02)^-60)/0.02</f>
        <v>19999988.997618791</v>
      </c>
      <c r="R36" s="58"/>
      <c r="S36" s="4"/>
      <c r="T36" s="4"/>
      <c r="U36" s="4"/>
      <c r="V36" s="65"/>
      <c r="W36" s="4"/>
      <c r="X36" s="65"/>
      <c r="Y36" s="29" t="s">
        <v>29</v>
      </c>
      <c r="Z36" s="26"/>
      <c r="AA36" s="4"/>
      <c r="AB36" s="4"/>
      <c r="AC36" s="47">
        <v>20</v>
      </c>
      <c r="AD36" s="48">
        <f t="shared" si="5"/>
        <v>13368544.329518115</v>
      </c>
      <c r="AE36" s="48">
        <f t="shared" si="6"/>
        <v>140369.71545994023</v>
      </c>
      <c r="AF36" s="48">
        <f t="shared" si="7"/>
        <v>309630.28454005974</v>
      </c>
      <c r="AG36" s="48">
        <f t="shared" si="8"/>
        <v>450000</v>
      </c>
      <c r="AH36" s="48">
        <f t="shared" si="9"/>
        <v>13058914.044978056</v>
      </c>
      <c r="AI36"/>
      <c r="AJ36" s="5"/>
      <c r="AK36" s="19"/>
      <c r="AL36" s="19"/>
      <c r="AM36" s="15"/>
      <c r="AN36" s="4"/>
      <c r="AO36" s="4"/>
      <c r="AP36" s="4"/>
      <c r="AQ36" s="4"/>
      <c r="AR36" s="4"/>
      <c r="AS36" s="4"/>
    </row>
    <row r="37" spans="1:45" ht="18.75" x14ac:dyDescent="0.25">
      <c r="A37" s="4"/>
      <c r="B37"/>
      <c r="C37"/>
      <c r="D37" s="4"/>
      <c r="E37" s="4"/>
      <c r="F37" s="47">
        <v>21</v>
      </c>
      <c r="G37" s="48">
        <f t="shared" si="3"/>
        <v>15694931.252851652</v>
      </c>
      <c r="H37" s="48">
        <f t="shared" si="4"/>
        <v>312329.13193174789</v>
      </c>
      <c r="I37" s="48">
        <f t="shared" si="0"/>
        <v>263029.86806825211</v>
      </c>
      <c r="J37" s="48">
        <f t="shared" si="1"/>
        <v>575359</v>
      </c>
      <c r="K37" s="48">
        <f t="shared" si="2"/>
        <v>15431901.3847834</v>
      </c>
      <c r="L37"/>
      <c r="M37" s="4"/>
      <c r="N37" s="20" t="s">
        <v>74</v>
      </c>
      <c r="O37"/>
      <c r="P37">
        <f>Q36-P36</f>
        <v>-11.002381209284067</v>
      </c>
      <c r="Q37" s="11"/>
      <c r="R37" s="58"/>
      <c r="S37" s="4"/>
      <c r="T37" s="4"/>
      <c r="U37" s="4"/>
      <c r="V37" s="65"/>
      <c r="W37" s="4"/>
      <c r="X37" s="65"/>
      <c r="Y37"/>
      <c r="Z37"/>
      <c r="AA37" s="4"/>
      <c r="AB37" s="4"/>
      <c r="AC37" s="47">
        <v>21</v>
      </c>
      <c r="AD37" s="48">
        <f t="shared" si="5"/>
        <v>13058914.044978056</v>
      </c>
      <c r="AE37" s="48">
        <f t="shared" si="6"/>
        <v>137118.59747226961</v>
      </c>
      <c r="AF37" s="48">
        <f t="shared" si="7"/>
        <v>312881.40252773039</v>
      </c>
      <c r="AG37" s="48">
        <f t="shared" si="8"/>
        <v>450000</v>
      </c>
      <c r="AH37" s="48">
        <f t="shared" si="9"/>
        <v>12746032.642450325</v>
      </c>
      <c r="AI37"/>
      <c r="AJ37" s="92" t="s">
        <v>7</v>
      </c>
      <c r="AK37" s="19" t="s">
        <v>1</v>
      </c>
      <c r="AL37" s="99">
        <f>AL35-1</f>
        <v>-1.0500869493945413</v>
      </c>
      <c r="AM37" s="4"/>
      <c r="AN37" s="4"/>
      <c r="AO37" s="4"/>
      <c r="AP37" s="4"/>
      <c r="AQ37" s="4"/>
      <c r="AR37" s="4"/>
      <c r="AS37" s="4"/>
    </row>
    <row r="38" spans="1:45" x14ac:dyDescent="0.25">
      <c r="A38" s="4"/>
      <c r="B38" s="29" t="s">
        <v>57</v>
      </c>
      <c r="C38" s="26" t="s">
        <v>59</v>
      </c>
      <c r="D38" s="4"/>
      <c r="E38" s="4"/>
      <c r="F38" s="47">
        <v>22</v>
      </c>
      <c r="G38" s="48">
        <f t="shared" si="3"/>
        <v>15431901.3847834</v>
      </c>
      <c r="H38" s="48">
        <f t="shared" si="4"/>
        <v>307094.83755718969</v>
      </c>
      <c r="I38" s="48">
        <f t="shared" si="0"/>
        <v>268264.16244281031</v>
      </c>
      <c r="J38" s="48">
        <f t="shared" si="1"/>
        <v>575359</v>
      </c>
      <c r="K38" s="48">
        <f t="shared" si="2"/>
        <v>15163637.222340589</v>
      </c>
      <c r="L38"/>
      <c r="M38" s="4"/>
      <c r="N38" s="82"/>
      <c r="O38" s="44"/>
      <c r="P38" s="60"/>
      <c r="Q38" s="58"/>
      <c r="R38" s="58"/>
      <c r="S38" s="4"/>
      <c r="T38" s="4"/>
      <c r="U38" s="4"/>
      <c r="V38" s="65"/>
      <c r="W38" s="4"/>
      <c r="X38" s="65"/>
      <c r="Y38" s="29" t="s">
        <v>57</v>
      </c>
      <c r="Z38" s="26" t="s">
        <v>59</v>
      </c>
      <c r="AA38" s="4"/>
      <c r="AB38" s="4"/>
      <c r="AC38" s="47">
        <v>22</v>
      </c>
      <c r="AD38" s="48">
        <f t="shared" si="5"/>
        <v>12746032.642450325</v>
      </c>
      <c r="AE38" s="48">
        <f t="shared" si="6"/>
        <v>133833.34274572841</v>
      </c>
      <c r="AF38" s="48">
        <f t="shared" si="7"/>
        <v>316166.65725427156</v>
      </c>
      <c r="AG38" s="48">
        <f t="shared" si="8"/>
        <v>450000</v>
      </c>
      <c r="AH38" s="48">
        <f t="shared" si="9"/>
        <v>12429865.985196054</v>
      </c>
      <c r="AI38"/>
      <c r="AJ38" s="5"/>
      <c r="AK38" s="4"/>
      <c r="AL38" s="19"/>
      <c r="AM38" s="4"/>
      <c r="AN38" s="4"/>
      <c r="AO38" s="4"/>
      <c r="AP38" s="4"/>
      <c r="AQ38" s="4"/>
      <c r="AR38" s="4"/>
      <c r="AS38" s="4"/>
    </row>
    <row r="39" spans="1:45" x14ac:dyDescent="0.25">
      <c r="A39" s="4"/>
      <c r="B39" s="4"/>
      <c r="C39" s="4"/>
      <c r="D39" s="4"/>
      <c r="E39" s="4"/>
      <c r="F39" s="47">
        <v>23</v>
      </c>
      <c r="G39" s="48">
        <f t="shared" si="3"/>
        <v>15163637.222340589</v>
      </c>
      <c r="H39" s="48">
        <f t="shared" si="4"/>
        <v>301756.38072457776</v>
      </c>
      <c r="I39" s="48">
        <f t="shared" si="0"/>
        <v>273602.61927542224</v>
      </c>
      <c r="J39" s="48">
        <f t="shared" si="1"/>
        <v>575359</v>
      </c>
      <c r="K39" s="48">
        <f t="shared" si="2"/>
        <v>14890034.603065167</v>
      </c>
      <c r="L39"/>
      <c r="M39" s="4"/>
      <c r="N39" s="150"/>
      <c r="O39" s="3">
        <v>0.01</v>
      </c>
      <c r="P39" s="4"/>
      <c r="Q39" s="16">
        <f>P32</f>
        <v>5865285.9423666559</v>
      </c>
      <c r="R39" s="54"/>
      <c r="S39" s="4"/>
      <c r="T39" s="4"/>
      <c r="U39" s="4"/>
      <c r="V39" s="65"/>
      <c r="W39" s="4"/>
      <c r="X39" s="65"/>
      <c r="Y39" s="4"/>
      <c r="Z39" s="4"/>
      <c r="AA39" s="4"/>
      <c r="AB39" s="4"/>
      <c r="AC39" s="47">
        <v>23</v>
      </c>
      <c r="AD39" s="48">
        <f t="shared" si="5"/>
        <v>12429865.985196054</v>
      </c>
      <c r="AE39" s="48">
        <f t="shared" si="6"/>
        <v>130513.59284455857</v>
      </c>
      <c r="AF39" s="48">
        <f t="shared" si="7"/>
        <v>319486.40715544141</v>
      </c>
      <c r="AG39" s="48">
        <f t="shared" si="8"/>
        <v>450000</v>
      </c>
      <c r="AH39" s="48">
        <f t="shared" si="9"/>
        <v>12110379.578040613</v>
      </c>
      <c r="AI39"/>
      <c r="AJ39" s="100" t="s">
        <v>5</v>
      </c>
      <c r="AK39" s="55" t="s">
        <v>1</v>
      </c>
      <c r="AL39" s="85">
        <f>AL37*-1</f>
        <v>1.0500869493945413</v>
      </c>
      <c r="AM39" s="4"/>
      <c r="AN39" s="4"/>
      <c r="AO39" s="4"/>
      <c r="AP39" s="4"/>
      <c r="AQ39" s="4"/>
      <c r="AR39" s="4"/>
      <c r="AS39" s="4"/>
    </row>
    <row r="40" spans="1:45" x14ac:dyDescent="0.25">
      <c r="A40" s="4"/>
      <c r="B40" s="4"/>
      <c r="C40" s="4"/>
      <c r="D40" s="4"/>
      <c r="E40" s="4"/>
      <c r="F40" s="47">
        <v>24</v>
      </c>
      <c r="G40" s="48">
        <f t="shared" si="3"/>
        <v>14890034.603065167</v>
      </c>
      <c r="H40" s="48">
        <f t="shared" si="4"/>
        <v>296311.68860099686</v>
      </c>
      <c r="I40" s="48">
        <f t="shared" si="0"/>
        <v>279047.31139900314</v>
      </c>
      <c r="J40" s="48">
        <f t="shared" si="1"/>
        <v>575359</v>
      </c>
      <c r="K40" s="48">
        <f t="shared" si="2"/>
        <v>14610987.291666163</v>
      </c>
      <c r="L40"/>
      <c r="M40" s="4"/>
      <c r="N40" s="150"/>
      <c r="O40" s="5" t="s">
        <v>5</v>
      </c>
      <c r="P40" s="4"/>
      <c r="Q40" s="16">
        <v>0</v>
      </c>
      <c r="R40" s="182"/>
      <c r="S40" s="4"/>
      <c r="T40" s="4"/>
      <c r="U40" s="4"/>
      <c r="V40" s="65"/>
      <c r="W40" s="4"/>
      <c r="X40" s="65"/>
      <c r="Y40" s="4"/>
      <c r="Z40" s="4"/>
      <c r="AA40" s="4"/>
      <c r="AB40" s="4"/>
      <c r="AC40" s="47">
        <v>24</v>
      </c>
      <c r="AD40" s="48">
        <f t="shared" si="5"/>
        <v>12110379.578040613</v>
      </c>
      <c r="AE40" s="48">
        <f t="shared" si="6"/>
        <v>127158.98556942644</v>
      </c>
      <c r="AF40" s="48">
        <f t="shared" si="7"/>
        <v>2322841.0144305737</v>
      </c>
      <c r="AG40" s="109">
        <f>$Z$30+2000000</f>
        <v>2450000</v>
      </c>
      <c r="AH40" s="48">
        <f t="shared" si="9"/>
        <v>9787538.5636100397</v>
      </c>
      <c r="AI40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x14ac:dyDescent="0.25">
      <c r="A41" s="4"/>
      <c r="B41" s="4"/>
      <c r="C41" s="4"/>
      <c r="D41" s="4"/>
      <c r="E41" s="4"/>
      <c r="F41" s="47">
        <v>25</v>
      </c>
      <c r="G41" s="48">
        <f t="shared" si="3"/>
        <v>14610987.291666163</v>
      </c>
      <c r="H41" s="48">
        <f t="shared" si="4"/>
        <v>290758.64710415667</v>
      </c>
      <c r="I41" s="48">
        <f t="shared" si="0"/>
        <v>284600.35289584333</v>
      </c>
      <c r="J41" s="48">
        <f t="shared" si="1"/>
        <v>575359</v>
      </c>
      <c r="K41" s="48">
        <f t="shared" si="2"/>
        <v>14326386.93877032</v>
      </c>
      <c r="L41"/>
      <c r="M41" s="4"/>
      <c r="N41" s="81"/>
      <c r="O41" s="3">
        <v>0.02</v>
      </c>
      <c r="P41" s="4"/>
      <c r="Q41" s="16">
        <f>P37</f>
        <v>-11.002381209284067</v>
      </c>
      <c r="R41" s="182"/>
      <c r="S41" s="4"/>
      <c r="T41" s="4"/>
      <c r="U41" s="4"/>
      <c r="V41" s="65"/>
      <c r="W41" s="4"/>
      <c r="X41" s="65"/>
      <c r="Y41" s="4"/>
      <c r="Z41" s="4"/>
      <c r="AA41" s="4"/>
      <c r="AB41" s="4"/>
      <c r="AC41" s="47">
        <v>25</v>
      </c>
      <c r="AD41" s="48">
        <f t="shared" si="5"/>
        <v>9787538.5636100397</v>
      </c>
      <c r="AE41" s="48">
        <f t="shared" si="6"/>
        <v>102769.15491790543</v>
      </c>
      <c r="AF41" s="48">
        <f t="shared" si="7"/>
        <v>347230.84508209454</v>
      </c>
      <c r="AG41" s="48">
        <f t="shared" si="8"/>
        <v>450000</v>
      </c>
      <c r="AH41" s="48">
        <f t="shared" si="9"/>
        <v>9440307.7185279448</v>
      </c>
      <c r="AI41"/>
      <c r="AO41" s="4"/>
      <c r="AP41" s="4"/>
      <c r="AQ41" s="4"/>
      <c r="AR41" s="4"/>
      <c r="AS41" s="4"/>
    </row>
    <row r="42" spans="1:45" x14ac:dyDescent="0.25">
      <c r="A42" s="4"/>
      <c r="B42" s="4"/>
      <c r="C42" s="4"/>
      <c r="D42" s="4"/>
      <c r="E42" s="4"/>
      <c r="F42" s="47">
        <v>26</v>
      </c>
      <c r="G42" s="48">
        <f t="shared" si="3"/>
        <v>14326386.93877032</v>
      </c>
      <c r="H42" s="48">
        <f t="shared" si="4"/>
        <v>285095.10008152941</v>
      </c>
      <c r="I42" s="48">
        <f t="shared" si="0"/>
        <v>290263.89991847059</v>
      </c>
      <c r="J42" s="48">
        <f t="shared" si="1"/>
        <v>575359</v>
      </c>
      <c r="K42" s="48">
        <f t="shared" si="2"/>
        <v>14036123.03885185</v>
      </c>
      <c r="L42"/>
      <c r="M42" s="4"/>
      <c r="N42" s="82"/>
      <c r="O42" s="44"/>
      <c r="P42" s="59"/>
      <c r="Q42" s="84"/>
      <c r="R42" s="58"/>
      <c r="S42" s="4"/>
      <c r="T42" s="4"/>
      <c r="U42" s="4"/>
      <c r="V42" s="65"/>
      <c r="W42" s="4"/>
      <c r="X42" s="65"/>
      <c r="Y42" s="4"/>
      <c r="Z42" s="4"/>
      <c r="AA42" s="4"/>
      <c r="AB42" s="4"/>
      <c r="AC42" s="47">
        <v>26</v>
      </c>
      <c r="AD42" s="48">
        <f t="shared" si="5"/>
        <v>9440307.7185279448</v>
      </c>
      <c r="AE42" s="48">
        <f t="shared" si="6"/>
        <v>99123.231044543427</v>
      </c>
      <c r="AF42" s="48">
        <f t="shared" si="7"/>
        <v>350876.76895545656</v>
      </c>
      <c r="AG42" s="48">
        <f t="shared" si="8"/>
        <v>450000</v>
      </c>
      <c r="AH42" s="48">
        <f t="shared" si="9"/>
        <v>9089430.9495724887</v>
      </c>
      <c r="AI42"/>
      <c r="AO42" s="4"/>
      <c r="AP42" s="4"/>
      <c r="AQ42" s="4"/>
      <c r="AR42" s="4"/>
      <c r="AS42" s="4"/>
    </row>
    <row r="43" spans="1:45" x14ac:dyDescent="0.25">
      <c r="A43" s="4"/>
      <c r="B43" s="4"/>
      <c r="C43" s="4"/>
      <c r="D43" s="4"/>
      <c r="E43" s="4"/>
      <c r="F43" s="47">
        <v>27</v>
      </c>
      <c r="G43" s="48">
        <f t="shared" si="3"/>
        <v>14036123.03885185</v>
      </c>
      <c r="H43" s="48">
        <f t="shared" si="4"/>
        <v>279318.8484731518</v>
      </c>
      <c r="I43" s="48">
        <f t="shared" si="0"/>
        <v>296040.1515268482</v>
      </c>
      <c r="J43" s="48">
        <f t="shared" si="1"/>
        <v>575359</v>
      </c>
      <c r="K43" s="48">
        <f t="shared" si="2"/>
        <v>13740082.887325002</v>
      </c>
      <c r="L43"/>
      <c r="M43" s="4"/>
      <c r="N43" s="4"/>
      <c r="O43" s="4"/>
      <c r="P43" s="4"/>
      <c r="Q43" s="4"/>
      <c r="R43" s="4"/>
      <c r="S43" s="4"/>
      <c r="T43" s="4"/>
      <c r="U43" s="4"/>
      <c r="V43" s="65"/>
      <c r="W43" s="4"/>
      <c r="X43" s="65"/>
      <c r="Y43" s="4"/>
      <c r="Z43" s="4"/>
      <c r="AA43" s="4"/>
      <c r="AB43" s="4"/>
      <c r="AC43" s="47">
        <v>27</v>
      </c>
      <c r="AD43" s="48">
        <f t="shared" si="5"/>
        <v>9089430.9495724887</v>
      </c>
      <c r="AE43" s="48">
        <f t="shared" si="6"/>
        <v>95439.024970511135</v>
      </c>
      <c r="AF43" s="48">
        <f t="shared" si="7"/>
        <v>354560.97502948885</v>
      </c>
      <c r="AG43" s="48">
        <f t="shared" si="8"/>
        <v>450000</v>
      </c>
      <c r="AH43" s="48">
        <f t="shared" si="9"/>
        <v>8734869.9745429996</v>
      </c>
      <c r="AI43"/>
      <c r="AO43" s="4"/>
      <c r="AP43" s="4"/>
      <c r="AQ43" s="4"/>
      <c r="AR43" s="4"/>
      <c r="AS43" s="4"/>
    </row>
    <row r="44" spans="1:45" x14ac:dyDescent="0.25">
      <c r="A44" s="4"/>
      <c r="B44" s="4"/>
      <c r="C44" s="4"/>
      <c r="D44" s="4"/>
      <c r="E44" s="4"/>
      <c r="F44" s="47">
        <v>28</v>
      </c>
      <c r="G44" s="48">
        <f t="shared" si="3"/>
        <v>13740082.887325002</v>
      </c>
      <c r="H44" s="48">
        <f t="shared" si="4"/>
        <v>273427.64945776755</v>
      </c>
      <c r="I44" s="48">
        <f t="shared" si="0"/>
        <v>301931.35054223245</v>
      </c>
      <c r="J44" s="48">
        <f t="shared" si="1"/>
        <v>575359</v>
      </c>
      <c r="K44" s="48">
        <f t="shared" si="2"/>
        <v>13438151.536782769</v>
      </c>
      <c r="L44"/>
      <c r="M44" s="4"/>
      <c r="N44" s="4"/>
      <c r="O44" s="4"/>
      <c r="P44" s="4"/>
      <c r="Q44" s="4"/>
      <c r="R44" s="4"/>
      <c r="S44" s="4"/>
      <c r="T44" s="4"/>
      <c r="U44" s="4"/>
      <c r="V44" s="65"/>
      <c r="W44" s="4"/>
      <c r="X44" s="65"/>
      <c r="Y44" s="4"/>
      <c r="Z44" s="4"/>
      <c r="AA44" s="4"/>
      <c r="AB44" s="4"/>
      <c r="AC44" s="47">
        <v>28</v>
      </c>
      <c r="AD44" s="48">
        <f t="shared" si="5"/>
        <v>8734869.9745429996</v>
      </c>
      <c r="AE44" s="48">
        <f t="shared" si="6"/>
        <v>91716.134732701496</v>
      </c>
      <c r="AF44" s="48">
        <f t="shared" si="7"/>
        <v>358283.86526729853</v>
      </c>
      <c r="AG44" s="48">
        <f t="shared" si="8"/>
        <v>450000</v>
      </c>
      <c r="AH44" s="48">
        <f t="shared" si="9"/>
        <v>8376586.1092757015</v>
      </c>
      <c r="AI44"/>
      <c r="AO44" s="4"/>
      <c r="AP44" s="4"/>
      <c r="AQ44" s="4"/>
      <c r="AR44" s="4"/>
      <c r="AS44" s="4"/>
    </row>
    <row r="45" spans="1:45" x14ac:dyDescent="0.25">
      <c r="A45" s="4"/>
      <c r="B45" s="4"/>
      <c r="C45" s="4"/>
      <c r="D45" s="4"/>
      <c r="E45" s="4"/>
      <c r="F45" s="47">
        <v>29</v>
      </c>
      <c r="G45" s="48">
        <f t="shared" si="3"/>
        <v>13438151.536782769</v>
      </c>
      <c r="H45" s="48">
        <f t="shared" si="4"/>
        <v>267419.2155819771</v>
      </c>
      <c r="I45" s="48">
        <f t="shared" si="0"/>
        <v>307939.7844180229</v>
      </c>
      <c r="J45" s="48">
        <f t="shared" si="1"/>
        <v>575359</v>
      </c>
      <c r="K45" s="48">
        <f t="shared" si="2"/>
        <v>13130211.752364747</v>
      </c>
      <c r="L45"/>
      <c r="M45" s="4"/>
      <c r="N45" s="4"/>
      <c r="O45" s="4"/>
      <c r="P45" s="4"/>
      <c r="Q45" s="4"/>
      <c r="R45" s="4"/>
      <c r="S45" s="4"/>
      <c r="T45" s="4"/>
      <c r="U45" s="4"/>
      <c r="V45" s="65"/>
      <c r="W45" s="65"/>
      <c r="X45" s="65"/>
      <c r="Y45" s="65"/>
      <c r="Z45" s="65"/>
      <c r="AA45" s="65"/>
      <c r="AB45" s="65"/>
      <c r="AC45" s="47">
        <v>29</v>
      </c>
      <c r="AD45" s="48">
        <f t="shared" si="5"/>
        <v>8376586.1092757015</v>
      </c>
      <c r="AE45" s="48">
        <f t="shared" si="6"/>
        <v>87954.154147394875</v>
      </c>
      <c r="AF45" s="48">
        <f t="shared" si="7"/>
        <v>362045.84585260513</v>
      </c>
      <c r="AG45" s="48">
        <f t="shared" si="8"/>
        <v>450000</v>
      </c>
      <c r="AH45" s="48">
        <f t="shared" si="9"/>
        <v>8014540.2634230964</v>
      </c>
      <c r="AI45"/>
      <c r="AO45" s="4"/>
      <c r="AP45" s="4"/>
      <c r="AQ45" s="4"/>
      <c r="AR45" s="4"/>
      <c r="AS45" s="4"/>
    </row>
    <row r="46" spans="1:45" x14ac:dyDescent="0.25">
      <c r="A46" s="4"/>
      <c r="B46" s="4"/>
      <c r="C46" s="4"/>
      <c r="D46" s="4"/>
      <c r="E46" s="4"/>
      <c r="F46" s="47">
        <v>30</v>
      </c>
      <c r="G46" s="48">
        <f t="shared" si="3"/>
        <v>13130211.752364747</v>
      </c>
      <c r="H46" s="48">
        <f t="shared" si="4"/>
        <v>261291.21387205849</v>
      </c>
      <c r="I46" s="48">
        <f t="shared" si="0"/>
        <v>314067.78612794151</v>
      </c>
      <c r="J46" s="48">
        <f t="shared" si="1"/>
        <v>575359</v>
      </c>
      <c r="K46" s="48">
        <f t="shared" si="2"/>
        <v>12816143.966236806</v>
      </c>
      <c r="L46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65"/>
      <c r="AC46" s="47">
        <v>30</v>
      </c>
      <c r="AD46" s="48">
        <f t="shared" si="5"/>
        <v>8014540.2634230964</v>
      </c>
      <c r="AE46" s="48">
        <f t="shared" si="6"/>
        <v>84152.672765942523</v>
      </c>
      <c r="AF46" s="48">
        <f t="shared" si="7"/>
        <v>365847.32723405748</v>
      </c>
      <c r="AG46" s="48">
        <f t="shared" si="8"/>
        <v>450000</v>
      </c>
      <c r="AH46" s="48">
        <f t="shared" si="9"/>
        <v>7648692.9361890387</v>
      </c>
      <c r="AI46"/>
      <c r="AO46" s="4"/>
      <c r="AP46" s="4"/>
      <c r="AQ46" s="4"/>
      <c r="AR46" s="4"/>
      <c r="AS46" s="4"/>
    </row>
    <row r="47" spans="1:45" ht="15.75" thickBot="1" x14ac:dyDescent="0.3">
      <c r="A47" s="4"/>
      <c r="B47" s="4"/>
      <c r="C47" s="4"/>
      <c r="D47" s="4"/>
      <c r="E47" s="4"/>
      <c r="F47" s="47">
        <v>31</v>
      </c>
      <c r="G47" s="48">
        <f t="shared" si="3"/>
        <v>12816143.966236806</v>
      </c>
      <c r="H47" s="48">
        <f t="shared" si="4"/>
        <v>255041.26492811245</v>
      </c>
      <c r="I47" s="48">
        <f t="shared" si="0"/>
        <v>320317.73507188755</v>
      </c>
      <c r="J47" s="48">
        <f t="shared" si="1"/>
        <v>575359</v>
      </c>
      <c r="K47" s="48">
        <f t="shared" si="2"/>
        <v>12495826.231164917</v>
      </c>
      <c r="L47"/>
      <c r="M47" s="4"/>
      <c r="N47" s="94" t="s">
        <v>71</v>
      </c>
      <c r="O47" s="179" t="s">
        <v>1</v>
      </c>
      <c r="P47" s="88">
        <f>Q39</f>
        <v>5865285.9423666559</v>
      </c>
      <c r="Q47" s="89" t="s">
        <v>69</v>
      </c>
      <c r="R47" s="60"/>
      <c r="S47" s="60"/>
      <c r="T47" s="60"/>
      <c r="U47" s="60"/>
      <c r="V47" s="4"/>
      <c r="W47" s="4"/>
      <c r="X47" s="4"/>
      <c r="Y47" s="4"/>
      <c r="Z47" s="4"/>
      <c r="AA47" s="4"/>
      <c r="AB47" s="65"/>
      <c r="AC47" s="47">
        <v>31</v>
      </c>
      <c r="AD47" s="48">
        <f t="shared" si="5"/>
        <v>7648692.9361890387</v>
      </c>
      <c r="AE47" s="48">
        <f t="shared" si="6"/>
        <v>80311.275829984908</v>
      </c>
      <c r="AF47" s="48">
        <f t="shared" si="7"/>
        <v>369688.72417001508</v>
      </c>
      <c r="AG47" s="48">
        <f t="shared" si="8"/>
        <v>450000</v>
      </c>
      <c r="AH47" s="48">
        <f t="shared" si="9"/>
        <v>7279004.2120190235</v>
      </c>
      <c r="AI47"/>
      <c r="AO47" s="4"/>
      <c r="AP47" s="4"/>
      <c r="AQ47" s="4"/>
      <c r="AR47" s="4"/>
      <c r="AS47" s="4"/>
    </row>
    <row r="48" spans="1:45" x14ac:dyDescent="0.25">
      <c r="A48" s="4"/>
      <c r="B48" s="4"/>
      <c r="C48" s="4"/>
      <c r="D48" s="4"/>
      <c r="E48" s="4"/>
      <c r="F48" s="47">
        <v>32</v>
      </c>
      <c r="G48" s="48">
        <f t="shared" si="3"/>
        <v>12495826.231164917</v>
      </c>
      <c r="H48" s="48">
        <f t="shared" si="4"/>
        <v>248666.94200018188</v>
      </c>
      <c r="I48" s="48">
        <f t="shared" si="0"/>
        <v>326692.05799981812</v>
      </c>
      <c r="J48" s="48">
        <f t="shared" si="1"/>
        <v>575359</v>
      </c>
      <c r="K48" s="48">
        <f t="shared" si="2"/>
        <v>12169134.1731651</v>
      </c>
      <c r="L48"/>
      <c r="M48" s="4"/>
      <c r="N48" s="95" t="s">
        <v>72</v>
      </c>
      <c r="O48" s="179"/>
      <c r="P48" s="91">
        <f>Q39</f>
        <v>5865285.9423666559</v>
      </c>
      <c r="Q48" s="90" t="s">
        <v>70</v>
      </c>
      <c r="R48" s="60"/>
      <c r="S48" s="60"/>
      <c r="T48" s="60"/>
      <c r="U48" s="60"/>
      <c r="V48" s="4"/>
      <c r="W48" s="4"/>
      <c r="X48" s="4"/>
      <c r="Y48" s="4"/>
      <c r="Z48" s="4"/>
      <c r="AA48" s="4"/>
      <c r="AB48" s="65"/>
      <c r="AC48" s="47">
        <v>32</v>
      </c>
      <c r="AD48" s="48">
        <f t="shared" si="5"/>
        <v>7279004.2120190235</v>
      </c>
      <c r="AE48" s="48">
        <f t="shared" si="6"/>
        <v>76429.544226199752</v>
      </c>
      <c r="AF48" s="48">
        <f t="shared" si="7"/>
        <v>373570.45577380026</v>
      </c>
      <c r="AG48" s="48">
        <f t="shared" si="8"/>
        <v>450000</v>
      </c>
      <c r="AH48" s="48">
        <f t="shared" si="9"/>
        <v>6905433.7562452229</v>
      </c>
      <c r="AI48"/>
      <c r="AO48" s="4"/>
      <c r="AP48" s="4"/>
      <c r="AQ48" s="4"/>
      <c r="AR48" s="4"/>
      <c r="AS48" s="4"/>
    </row>
    <row r="49" spans="1:45" ht="18.75" x14ac:dyDescent="0.25">
      <c r="A49" s="4"/>
      <c r="B49" s="4"/>
      <c r="C49" s="4"/>
      <c r="D49" s="4"/>
      <c r="E49" s="4"/>
      <c r="F49" s="47">
        <v>33</v>
      </c>
      <c r="G49" s="48">
        <f t="shared" si="3"/>
        <v>12169134.1731651</v>
      </c>
      <c r="H49" s="48">
        <f t="shared" si="4"/>
        <v>242165.7700459855</v>
      </c>
      <c r="I49" s="48">
        <f t="shared" si="0"/>
        <v>333193.22995401453</v>
      </c>
      <c r="J49" s="48">
        <f t="shared" si="1"/>
        <v>575359</v>
      </c>
      <c r="K49" s="48">
        <f t="shared" si="2"/>
        <v>11835940.943211086</v>
      </c>
      <c r="L49"/>
      <c r="M49" s="4"/>
      <c r="N49" s="24"/>
      <c r="O49" s="19"/>
      <c r="P49" s="4"/>
      <c r="Q49" s="12"/>
      <c r="R49" s="149"/>
      <c r="S49" s="72"/>
      <c r="T49" s="60"/>
      <c r="U49" s="60"/>
      <c r="V49" s="4"/>
      <c r="W49" s="4"/>
      <c r="X49" s="4"/>
      <c r="Y49" s="4"/>
      <c r="Z49" s="4"/>
      <c r="AA49" s="4"/>
      <c r="AB49" s="65"/>
      <c r="AC49" s="47">
        <v>33</v>
      </c>
      <c r="AD49" s="48">
        <f t="shared" si="5"/>
        <v>6905433.7562452229</v>
      </c>
      <c r="AE49" s="48">
        <f t="shared" si="6"/>
        <v>72507.054440574851</v>
      </c>
      <c r="AF49" s="48">
        <f t="shared" si="7"/>
        <v>377492.94555942516</v>
      </c>
      <c r="AG49" s="48">
        <f t="shared" si="8"/>
        <v>450000</v>
      </c>
      <c r="AH49" s="48">
        <f t="shared" si="9"/>
        <v>6527940.8106857976</v>
      </c>
      <c r="AI49"/>
      <c r="AO49" s="4"/>
      <c r="AP49" s="4"/>
      <c r="AQ49" s="4"/>
      <c r="AR49" s="4"/>
      <c r="AS49" s="4"/>
    </row>
    <row r="50" spans="1:45" x14ac:dyDescent="0.25">
      <c r="A50" s="4"/>
      <c r="B50" s="4"/>
      <c r="C50" s="4"/>
      <c r="D50" s="4"/>
      <c r="E50" s="4"/>
      <c r="F50" s="47">
        <v>34</v>
      </c>
      <c r="G50" s="48">
        <f t="shared" si="3"/>
        <v>11835940.943211086</v>
      </c>
      <c r="H50" s="48">
        <f t="shared" si="4"/>
        <v>235535.22476990061</v>
      </c>
      <c r="I50" s="48">
        <f t="shared" si="0"/>
        <v>339823.77523009939</v>
      </c>
      <c r="J50" s="48">
        <f t="shared" si="1"/>
        <v>575359</v>
      </c>
      <c r="K50" s="48">
        <f t="shared" si="2"/>
        <v>11496117.167980988</v>
      </c>
      <c r="L50"/>
      <c r="M50" s="4"/>
      <c r="N50" s="24"/>
      <c r="O50" s="19"/>
      <c r="P50" s="4"/>
      <c r="Q50" s="4"/>
      <c r="R50" s="149"/>
      <c r="S50" s="72"/>
      <c r="T50" s="60"/>
      <c r="U50" s="60"/>
      <c r="V50" s="4"/>
      <c r="W50" s="4"/>
      <c r="X50" s="4"/>
      <c r="Y50" s="4"/>
      <c r="Z50" s="4"/>
      <c r="AA50" s="4"/>
      <c r="AB50" s="65"/>
      <c r="AC50" s="47">
        <v>34</v>
      </c>
      <c r="AD50" s="48">
        <f t="shared" si="5"/>
        <v>6527940.8106857976</v>
      </c>
      <c r="AE50" s="48">
        <f t="shared" si="6"/>
        <v>68543.378512200885</v>
      </c>
      <c r="AF50" s="48">
        <f t="shared" si="7"/>
        <v>381456.6214877991</v>
      </c>
      <c r="AG50" s="48">
        <f t="shared" si="8"/>
        <v>450000</v>
      </c>
      <c r="AH50" s="48">
        <f t="shared" si="9"/>
        <v>6146484.1891979985</v>
      </c>
      <c r="AI50"/>
      <c r="AO50" s="4"/>
      <c r="AP50" s="4"/>
      <c r="AQ50" s="4"/>
      <c r="AR50" s="4"/>
      <c r="AS50" s="4"/>
    </row>
    <row r="51" spans="1:45" ht="19.5" thickBot="1" x14ac:dyDescent="0.3">
      <c r="A51" s="4"/>
      <c r="B51" s="4"/>
      <c r="C51" s="4"/>
      <c r="D51" s="4"/>
      <c r="E51" s="4"/>
      <c r="F51" s="47">
        <v>35</v>
      </c>
      <c r="G51" s="48">
        <f t="shared" si="3"/>
        <v>11496117.167980988</v>
      </c>
      <c r="H51" s="48">
        <f t="shared" si="4"/>
        <v>228772.73164282166</v>
      </c>
      <c r="I51" s="48">
        <f t="shared" si="0"/>
        <v>346586.26835717831</v>
      </c>
      <c r="J51" s="48">
        <f t="shared" si="1"/>
        <v>575359</v>
      </c>
      <c r="K51" s="48">
        <f t="shared" si="2"/>
        <v>11149530.899623809</v>
      </c>
      <c r="L51"/>
      <c r="M51" s="4"/>
      <c r="N51" s="94" t="s">
        <v>71</v>
      </c>
      <c r="O51" s="19" t="s">
        <v>1</v>
      </c>
      <c r="P51" s="180">
        <f>(Q39-Q40)</f>
        <v>5865285.9423666559</v>
      </c>
      <c r="Q51" s="180"/>
      <c r="R51" s="149"/>
      <c r="S51" s="86"/>
      <c r="T51" s="60"/>
      <c r="U51" s="60"/>
      <c r="V51" s="4"/>
      <c r="W51" s="4"/>
      <c r="X51" s="4"/>
      <c r="Y51" s="4"/>
      <c r="Z51" s="4"/>
      <c r="AA51" s="4"/>
      <c r="AB51" s="65"/>
      <c r="AC51" s="47">
        <v>35</v>
      </c>
      <c r="AD51" s="48">
        <f t="shared" si="5"/>
        <v>6146484.1891979985</v>
      </c>
      <c r="AE51" s="48">
        <f t="shared" si="6"/>
        <v>64538.083986578989</v>
      </c>
      <c r="AF51" s="48">
        <f t="shared" si="7"/>
        <v>385461.91601342103</v>
      </c>
      <c r="AG51" s="48">
        <f t="shared" si="8"/>
        <v>450000</v>
      </c>
      <c r="AH51" s="48">
        <f t="shared" si="9"/>
        <v>5761022.273184577</v>
      </c>
      <c r="AI51"/>
      <c r="AO51" s="4"/>
      <c r="AP51" s="4"/>
      <c r="AQ51" s="4"/>
      <c r="AR51" s="4"/>
      <c r="AS51" s="4"/>
    </row>
    <row r="52" spans="1:45" x14ac:dyDescent="0.25">
      <c r="A52" s="4"/>
      <c r="B52" s="4"/>
      <c r="C52" s="4"/>
      <c r="D52" s="4"/>
      <c r="E52" s="4"/>
      <c r="F52" s="47">
        <v>36</v>
      </c>
      <c r="G52" s="48">
        <f t="shared" si="3"/>
        <v>11149530.899623809</v>
      </c>
      <c r="H52" s="48">
        <f t="shared" si="4"/>
        <v>221875.66490251382</v>
      </c>
      <c r="I52" s="48">
        <f t="shared" si="0"/>
        <v>353483.33509748615</v>
      </c>
      <c r="J52" s="48">
        <f t="shared" si="1"/>
        <v>575359</v>
      </c>
      <c r="K52" s="48">
        <f t="shared" si="2"/>
        <v>10796047.564526323</v>
      </c>
      <c r="L52"/>
      <c r="M52" s="4"/>
      <c r="N52" s="95" t="s">
        <v>6</v>
      </c>
      <c r="O52" s="19"/>
      <c r="P52" s="181">
        <f>Q39-(Q41)</f>
        <v>5865296.9447478652</v>
      </c>
      <c r="Q52" s="181"/>
      <c r="R52" s="60"/>
      <c r="S52" s="60"/>
      <c r="T52" s="60"/>
      <c r="U52" s="60"/>
      <c r="V52" s="4"/>
      <c r="W52" s="4"/>
      <c r="X52" s="4"/>
      <c r="Y52" s="4"/>
      <c r="Z52" s="4"/>
      <c r="AA52" s="4"/>
      <c r="AB52" s="65"/>
      <c r="AC52" s="47">
        <v>36</v>
      </c>
      <c r="AD52" s="48">
        <f t="shared" si="5"/>
        <v>5761022.273184577</v>
      </c>
      <c r="AE52" s="48">
        <f t="shared" si="6"/>
        <v>60490.733868438059</v>
      </c>
      <c r="AF52" s="48">
        <f t="shared" si="7"/>
        <v>389509.26613156195</v>
      </c>
      <c r="AG52" s="48">
        <f t="shared" si="8"/>
        <v>450000</v>
      </c>
      <c r="AH52" s="48">
        <f t="shared" si="9"/>
        <v>5371513.0070530148</v>
      </c>
      <c r="AI52"/>
      <c r="AO52" s="4"/>
      <c r="AP52" s="4"/>
      <c r="AQ52" s="4"/>
      <c r="AR52" s="4"/>
      <c r="AS52" s="4"/>
    </row>
    <row r="53" spans="1:45" ht="18.75" x14ac:dyDescent="0.25">
      <c r="A53" s="4"/>
      <c r="B53" s="4"/>
      <c r="C53" s="4"/>
      <c r="D53" s="4"/>
      <c r="E53" s="4"/>
      <c r="F53" s="47">
        <v>37</v>
      </c>
      <c r="G53" s="48">
        <f t="shared" si="3"/>
        <v>10796047.564526323</v>
      </c>
      <c r="H53" s="48">
        <f t="shared" si="4"/>
        <v>214841.34653407385</v>
      </c>
      <c r="I53" s="48">
        <f t="shared" si="0"/>
        <v>360517.65346592618</v>
      </c>
      <c r="J53" s="48">
        <f t="shared" si="1"/>
        <v>575359</v>
      </c>
      <c r="K53" s="48">
        <f t="shared" si="2"/>
        <v>10435529.911060397</v>
      </c>
      <c r="L53"/>
      <c r="M53" s="4"/>
      <c r="N53" s="5"/>
      <c r="O53" s="19"/>
      <c r="P53" s="4"/>
      <c r="Q53" s="13"/>
      <c r="R53" s="60"/>
      <c r="S53" s="60"/>
      <c r="T53" s="60"/>
      <c r="U53" s="60"/>
      <c r="V53" s="4"/>
      <c r="W53" s="4"/>
      <c r="X53" s="4"/>
      <c r="Y53" s="4"/>
      <c r="Z53" s="4"/>
      <c r="AA53" s="4"/>
      <c r="AB53" s="65"/>
      <c r="AC53" s="47">
        <v>37</v>
      </c>
      <c r="AD53" s="48">
        <f t="shared" si="5"/>
        <v>5371513.0070530148</v>
      </c>
      <c r="AE53" s="48">
        <f t="shared" si="6"/>
        <v>56400.886574056662</v>
      </c>
      <c r="AF53" s="48">
        <f t="shared" si="7"/>
        <v>393599.11342594336</v>
      </c>
      <c r="AG53" s="48">
        <f t="shared" si="8"/>
        <v>450000</v>
      </c>
      <c r="AH53" s="48">
        <f t="shared" si="9"/>
        <v>4977913.8936270718</v>
      </c>
      <c r="AI53"/>
      <c r="AO53" s="4"/>
      <c r="AP53" s="4"/>
      <c r="AQ53" s="4"/>
      <c r="AR53" s="4"/>
      <c r="AS53" s="4"/>
    </row>
    <row r="54" spans="1:45" ht="15.75" thickBot="1" x14ac:dyDescent="0.3">
      <c r="A54" s="4"/>
      <c r="B54" s="4"/>
      <c r="C54" s="4"/>
      <c r="D54" s="4"/>
      <c r="E54" s="4"/>
      <c r="F54" s="47">
        <v>38</v>
      </c>
      <c r="G54" s="48">
        <f t="shared" si="3"/>
        <v>10435529.911060397</v>
      </c>
      <c r="H54" s="48">
        <f t="shared" si="4"/>
        <v>207667.04523010191</v>
      </c>
      <c r="I54" s="48">
        <f t="shared" si="0"/>
        <v>367691.95476989809</v>
      </c>
      <c r="J54" s="48">
        <f t="shared" si="1"/>
        <v>575359</v>
      </c>
      <c r="K54" s="48">
        <f t="shared" si="2"/>
        <v>10067837.956290498</v>
      </c>
      <c r="L54"/>
      <c r="M54" s="4"/>
      <c r="N54" s="94" t="s">
        <v>71</v>
      </c>
      <c r="O54" s="19" t="s">
        <v>1</v>
      </c>
      <c r="P54" s="19">
        <f>P51/P52</f>
        <v>0.99999812415614875</v>
      </c>
      <c r="Q54" s="4"/>
      <c r="R54" s="60"/>
      <c r="S54" s="60"/>
      <c r="T54" s="60"/>
      <c r="U54" s="60"/>
      <c r="V54" s="4"/>
      <c r="W54" s="4"/>
      <c r="X54" s="4"/>
      <c r="Y54" s="4"/>
      <c r="Z54" s="4"/>
      <c r="AA54" s="4"/>
      <c r="AB54" s="65"/>
      <c r="AC54" s="47">
        <v>38</v>
      </c>
      <c r="AD54" s="48">
        <f t="shared" si="5"/>
        <v>4977913.8936270718</v>
      </c>
      <c r="AE54" s="48">
        <f t="shared" si="6"/>
        <v>52268.095883084257</v>
      </c>
      <c r="AF54" s="48">
        <f t="shared" si="7"/>
        <v>397731.90411691577</v>
      </c>
      <c r="AG54" s="48">
        <f t="shared" si="8"/>
        <v>450000</v>
      </c>
      <c r="AH54" s="48">
        <f t="shared" si="9"/>
        <v>4580181.9895101562</v>
      </c>
      <c r="AI54"/>
      <c r="AO54" s="4"/>
      <c r="AP54" s="4"/>
      <c r="AQ54" s="4"/>
      <c r="AR54" s="4"/>
      <c r="AS54" s="4"/>
    </row>
    <row r="55" spans="1:45" x14ac:dyDescent="0.25">
      <c r="A55" s="4"/>
      <c r="B55" s="4"/>
      <c r="C55" s="4"/>
      <c r="D55" s="4"/>
      <c r="E55" s="4"/>
      <c r="F55" s="47">
        <v>39</v>
      </c>
      <c r="G55" s="48">
        <f t="shared" si="3"/>
        <v>10067837.956290498</v>
      </c>
      <c r="H55" s="48">
        <f t="shared" si="4"/>
        <v>200349.97533018093</v>
      </c>
      <c r="I55" s="48">
        <f t="shared" si="0"/>
        <v>375009.02466981905</v>
      </c>
      <c r="J55" s="48">
        <f t="shared" si="1"/>
        <v>575359</v>
      </c>
      <c r="K55" s="48">
        <f t="shared" si="2"/>
        <v>9692828.9316206798</v>
      </c>
      <c r="L55"/>
      <c r="M55" s="4"/>
      <c r="N55" s="24">
        <v>-1</v>
      </c>
      <c r="O55" s="19"/>
      <c r="P55" s="19"/>
      <c r="Q55" s="24"/>
      <c r="R55" s="149"/>
      <c r="S55" s="72"/>
      <c r="T55" s="60"/>
      <c r="U55" s="60"/>
      <c r="V55" s="4"/>
      <c r="W55" s="4"/>
      <c r="X55" s="4"/>
      <c r="Y55" s="4"/>
      <c r="Z55" s="4"/>
      <c r="AA55" s="4"/>
      <c r="AB55" s="65"/>
      <c r="AC55" s="47">
        <v>39</v>
      </c>
      <c r="AD55" s="48">
        <f t="shared" si="5"/>
        <v>4580181.9895101562</v>
      </c>
      <c r="AE55" s="48">
        <f t="shared" si="6"/>
        <v>48091.910889856641</v>
      </c>
      <c r="AF55" s="48">
        <f t="shared" si="7"/>
        <v>401908.08911014337</v>
      </c>
      <c r="AG55" s="48">
        <f t="shared" si="8"/>
        <v>450000</v>
      </c>
      <c r="AH55" s="48">
        <f t="shared" si="9"/>
        <v>4178273.9004000127</v>
      </c>
      <c r="AI55"/>
      <c r="AO55" s="4"/>
      <c r="AP55" s="4"/>
      <c r="AQ55" s="4"/>
      <c r="AR55" s="4"/>
      <c r="AS55" s="4"/>
    </row>
    <row r="56" spans="1:45" x14ac:dyDescent="0.25">
      <c r="A56" s="4"/>
      <c r="B56" s="4"/>
      <c r="C56" s="4"/>
      <c r="D56" s="4"/>
      <c r="E56" s="4"/>
      <c r="F56" s="47">
        <v>40</v>
      </c>
      <c r="G56" s="48">
        <f t="shared" si="3"/>
        <v>9692828.9316206798</v>
      </c>
      <c r="H56" s="48">
        <f t="shared" si="4"/>
        <v>192887.29573925154</v>
      </c>
      <c r="I56" s="48">
        <f t="shared" si="0"/>
        <v>382471.70426074846</v>
      </c>
      <c r="J56" s="48">
        <f t="shared" si="1"/>
        <v>575359</v>
      </c>
      <c r="K56" s="48">
        <f t="shared" si="2"/>
        <v>9310357.2273599319</v>
      </c>
      <c r="L56"/>
      <c r="M56" s="4"/>
      <c r="N56"/>
      <c r="O56" s="8"/>
      <c r="P56" s="8"/>
      <c r="Q56" s="24"/>
      <c r="R56" s="149"/>
      <c r="S56" s="72"/>
      <c r="T56" s="60"/>
      <c r="U56" s="60"/>
      <c r="V56" s="4"/>
      <c r="W56" s="4"/>
      <c r="X56" s="4"/>
      <c r="Y56" s="4"/>
      <c r="Z56" s="4"/>
      <c r="AA56" s="4"/>
      <c r="AB56" s="65"/>
      <c r="AC56" s="47">
        <v>40</v>
      </c>
      <c r="AD56" s="48">
        <f t="shared" si="5"/>
        <v>4178273.9004000127</v>
      </c>
      <c r="AE56" s="48">
        <f t="shared" si="6"/>
        <v>43871.875954200135</v>
      </c>
      <c r="AF56" s="48">
        <f t="shared" si="7"/>
        <v>406128.12404579984</v>
      </c>
      <c r="AG56" s="48">
        <f t="shared" si="8"/>
        <v>450000</v>
      </c>
      <c r="AH56" s="48">
        <f t="shared" si="9"/>
        <v>3772145.7763542128</v>
      </c>
      <c r="AI56"/>
      <c r="AO56" s="4"/>
      <c r="AP56" s="4"/>
      <c r="AQ56" s="4"/>
      <c r="AR56" s="4"/>
      <c r="AS56" s="4"/>
    </row>
    <row r="57" spans="1:45" ht="18.75" x14ac:dyDescent="0.25">
      <c r="A57" s="4"/>
      <c r="B57" s="4"/>
      <c r="C57" s="4"/>
      <c r="D57" s="4"/>
      <c r="E57" s="4"/>
      <c r="F57" s="47">
        <v>41</v>
      </c>
      <c r="G57" s="48">
        <f t="shared" si="3"/>
        <v>9310357.2273599319</v>
      </c>
      <c r="H57" s="48">
        <f t="shared" si="4"/>
        <v>185276.10882446266</v>
      </c>
      <c r="I57" s="48">
        <f t="shared" si="0"/>
        <v>390082.89117553737</v>
      </c>
      <c r="J57" s="48">
        <f t="shared" si="1"/>
        <v>575359</v>
      </c>
      <c r="K57" s="48">
        <f t="shared" si="2"/>
        <v>8920274.3361843936</v>
      </c>
      <c r="L57"/>
      <c r="M57" s="4"/>
      <c r="N57" s="92" t="s">
        <v>71</v>
      </c>
      <c r="O57" s="19" t="s">
        <v>1</v>
      </c>
      <c r="P57" s="19">
        <f>P54*N55</f>
        <v>-0.99999812415614875</v>
      </c>
      <c r="Q57" s="14"/>
      <c r="R57" s="149"/>
      <c r="S57" s="86"/>
      <c r="T57" s="60"/>
      <c r="U57" s="60"/>
      <c r="V57" s="4"/>
      <c r="W57" s="4"/>
      <c r="X57" s="4"/>
      <c r="Y57" s="4"/>
      <c r="Z57" s="4"/>
      <c r="AA57" s="4"/>
      <c r="AB57" s="65"/>
      <c r="AC57" s="47">
        <v>41</v>
      </c>
      <c r="AD57" s="48">
        <f t="shared" si="5"/>
        <v>3772145.7763542128</v>
      </c>
      <c r="AE57" s="48">
        <f t="shared" si="6"/>
        <v>39607.530651719237</v>
      </c>
      <c r="AF57" s="48">
        <f t="shared" si="7"/>
        <v>410392.46934828075</v>
      </c>
      <c r="AG57" s="48">
        <f t="shared" si="8"/>
        <v>450000</v>
      </c>
      <c r="AH57" s="48">
        <f t="shared" si="9"/>
        <v>3361753.3070059321</v>
      </c>
      <c r="AI57"/>
      <c r="AO57" s="4"/>
      <c r="AP57" s="4"/>
      <c r="AQ57" s="4"/>
      <c r="AR57" s="4"/>
      <c r="AS57" s="4"/>
    </row>
    <row r="58" spans="1:45" x14ac:dyDescent="0.25">
      <c r="A58" s="4"/>
      <c r="B58" s="4"/>
      <c r="C58" s="4"/>
      <c r="D58" s="4"/>
      <c r="E58" s="4"/>
      <c r="F58" s="47">
        <v>42</v>
      </c>
      <c r="G58" s="48">
        <f t="shared" si="3"/>
        <v>8920274.3361843936</v>
      </c>
      <c r="H58" s="48">
        <f t="shared" si="4"/>
        <v>177513.45929006944</v>
      </c>
      <c r="I58" s="48">
        <f t="shared" si="0"/>
        <v>397845.54070993059</v>
      </c>
      <c r="J58" s="48">
        <f t="shared" si="1"/>
        <v>575359</v>
      </c>
      <c r="K58" s="48">
        <f t="shared" si="2"/>
        <v>8522428.7954744622</v>
      </c>
      <c r="L58"/>
      <c r="M58" s="4"/>
      <c r="N58" s="5"/>
      <c r="O58" s="19"/>
      <c r="P58" s="19"/>
      <c r="Q58" s="15"/>
      <c r="R58" s="4"/>
      <c r="S58" s="4"/>
      <c r="T58" s="4"/>
      <c r="U58" s="4"/>
      <c r="V58" s="4"/>
      <c r="W58" s="4"/>
      <c r="X58" s="4"/>
      <c r="Y58" s="4"/>
      <c r="Z58" s="4"/>
      <c r="AA58" s="4"/>
      <c r="AB58" s="65"/>
      <c r="AC58" s="47">
        <v>42</v>
      </c>
      <c r="AD58" s="48">
        <f t="shared" si="5"/>
        <v>3361753.3070059321</v>
      </c>
      <c r="AE58" s="48">
        <f t="shared" si="6"/>
        <v>35298.40972356229</v>
      </c>
      <c r="AF58" s="48">
        <f t="shared" si="7"/>
        <v>414701.5902764377</v>
      </c>
      <c r="AG58" s="48">
        <f t="shared" si="8"/>
        <v>450000</v>
      </c>
      <c r="AH58" s="48">
        <f t="shared" si="9"/>
        <v>2947051.7167294943</v>
      </c>
      <c r="AI58"/>
      <c r="AO58" s="4"/>
      <c r="AP58" s="4"/>
      <c r="AQ58" s="4"/>
      <c r="AR58" s="4"/>
      <c r="AS58" s="4"/>
    </row>
    <row r="59" spans="1:45" x14ac:dyDescent="0.25">
      <c r="A59" s="4"/>
      <c r="B59" s="4"/>
      <c r="C59" s="4"/>
      <c r="D59" s="4"/>
      <c r="E59" s="4"/>
      <c r="F59" s="47">
        <v>43</v>
      </c>
      <c r="G59" s="48">
        <f t="shared" si="3"/>
        <v>8522428.7954744622</v>
      </c>
      <c r="H59" s="48">
        <f t="shared" si="4"/>
        <v>169596.3330299418</v>
      </c>
      <c r="I59" s="48">
        <f t="shared" si="0"/>
        <v>405762.66697005823</v>
      </c>
      <c r="J59" s="48">
        <f t="shared" si="1"/>
        <v>575359</v>
      </c>
      <c r="K59" s="48">
        <f t="shared" si="2"/>
        <v>8116666.1285044039</v>
      </c>
      <c r="L59"/>
      <c r="M59" s="4"/>
      <c r="N59" s="92" t="s">
        <v>7</v>
      </c>
      <c r="O59" s="19" t="s">
        <v>1</v>
      </c>
      <c r="P59" s="99">
        <f>P57-1</f>
        <v>-1.9999981241561486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65"/>
      <c r="AC59" s="47">
        <v>43</v>
      </c>
      <c r="AD59" s="48">
        <f t="shared" si="5"/>
        <v>2947051.7167294943</v>
      </c>
      <c r="AE59" s="48">
        <f t="shared" si="6"/>
        <v>30944.043025659692</v>
      </c>
      <c r="AF59" s="48">
        <f t="shared" si="7"/>
        <v>419055.95697434031</v>
      </c>
      <c r="AG59" s="48">
        <f t="shared" si="8"/>
        <v>450000</v>
      </c>
      <c r="AH59" s="48">
        <f t="shared" si="9"/>
        <v>2527995.7597551541</v>
      </c>
      <c r="AI59"/>
      <c r="AO59" s="4"/>
      <c r="AP59" s="4"/>
      <c r="AQ59" s="4"/>
      <c r="AR59" s="4"/>
      <c r="AS59" s="4"/>
    </row>
    <row r="60" spans="1:45" x14ac:dyDescent="0.25">
      <c r="A60" s="4"/>
      <c r="B60" s="4"/>
      <c r="C60" s="4"/>
      <c r="D60" s="4"/>
      <c r="E60" s="4"/>
      <c r="F60" s="47">
        <v>44</v>
      </c>
      <c r="G60" s="48">
        <f t="shared" si="3"/>
        <v>8116666.1285044039</v>
      </c>
      <c r="H60" s="48">
        <f t="shared" si="4"/>
        <v>161521.65595723764</v>
      </c>
      <c r="I60" s="48">
        <f t="shared" si="0"/>
        <v>413837.34404276236</v>
      </c>
      <c r="J60" s="48">
        <f t="shared" si="1"/>
        <v>575359</v>
      </c>
      <c r="K60" s="48">
        <f t="shared" si="2"/>
        <v>7702828.7844616417</v>
      </c>
      <c r="L60"/>
      <c r="M60" s="4"/>
      <c r="N60" s="5"/>
      <c r="O60" s="4"/>
      <c r="P60" s="19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65"/>
      <c r="AC60" s="47">
        <v>44</v>
      </c>
      <c r="AD60" s="48">
        <f t="shared" si="5"/>
        <v>2527995.7597551541</v>
      </c>
      <c r="AE60" s="48">
        <f t="shared" si="6"/>
        <v>26543.955477429121</v>
      </c>
      <c r="AF60" s="48">
        <f t="shared" si="7"/>
        <v>423456.04452257085</v>
      </c>
      <c r="AG60" s="48">
        <f t="shared" si="8"/>
        <v>450000</v>
      </c>
      <c r="AH60" s="48">
        <f t="shared" si="9"/>
        <v>2104539.7152325832</v>
      </c>
      <c r="AI60"/>
      <c r="AO60" s="4"/>
      <c r="AP60" s="4"/>
      <c r="AQ60" s="4"/>
      <c r="AR60" s="4"/>
      <c r="AS60" s="4"/>
    </row>
    <row r="61" spans="1:45" x14ac:dyDescent="0.25">
      <c r="A61" s="4"/>
      <c r="B61" s="4"/>
      <c r="C61" s="4"/>
      <c r="D61" s="4"/>
      <c r="E61" s="4"/>
      <c r="F61" s="47">
        <v>45</v>
      </c>
      <c r="G61" s="48">
        <f t="shared" si="3"/>
        <v>7702828.7844616417</v>
      </c>
      <c r="H61" s="48">
        <f t="shared" si="4"/>
        <v>153286.29281078669</v>
      </c>
      <c r="I61" s="48">
        <f t="shared" si="0"/>
        <v>422072.70718921331</v>
      </c>
      <c r="J61" s="48">
        <f t="shared" si="1"/>
        <v>575359</v>
      </c>
      <c r="K61" s="48">
        <f t="shared" si="2"/>
        <v>7280756.0772724282</v>
      </c>
      <c r="L61"/>
      <c r="M61" s="4"/>
      <c r="N61" s="100" t="s">
        <v>5</v>
      </c>
      <c r="O61" s="44" t="s">
        <v>1</v>
      </c>
      <c r="P61" s="85">
        <f>P59*-1</f>
        <v>1.9999981241561486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65"/>
      <c r="AC61" s="47">
        <v>45</v>
      </c>
      <c r="AD61" s="48">
        <f t="shared" si="5"/>
        <v>2104539.7152325832</v>
      </c>
      <c r="AE61" s="48">
        <f t="shared" si="6"/>
        <v>22097.667009942124</v>
      </c>
      <c r="AF61" s="48">
        <f t="shared" si="7"/>
        <v>427902.33299005788</v>
      </c>
      <c r="AG61" s="48">
        <f t="shared" si="8"/>
        <v>450000</v>
      </c>
      <c r="AH61" s="48">
        <f t="shared" si="9"/>
        <v>1676637.3822425255</v>
      </c>
      <c r="AI61"/>
      <c r="AO61" s="4"/>
      <c r="AP61" s="4"/>
      <c r="AQ61" s="4"/>
      <c r="AR61" s="4"/>
      <c r="AS61" s="4"/>
    </row>
    <row r="62" spans="1:45" x14ac:dyDescent="0.25">
      <c r="A62" s="4"/>
      <c r="B62" s="4"/>
      <c r="C62" s="4"/>
      <c r="D62" s="4"/>
      <c r="E62" s="4"/>
      <c r="F62" s="47">
        <v>46</v>
      </c>
      <c r="G62" s="48">
        <f t="shared" si="3"/>
        <v>7280756.0772724282</v>
      </c>
      <c r="H62" s="48">
        <f t="shared" si="4"/>
        <v>144887.04593772133</v>
      </c>
      <c r="I62" s="48">
        <f t="shared" si="0"/>
        <v>430471.95406227867</v>
      </c>
      <c r="J62" s="48">
        <f t="shared" si="1"/>
        <v>575359</v>
      </c>
      <c r="K62" s="48">
        <f t="shared" si="2"/>
        <v>6850284.1232101498</v>
      </c>
      <c r="L62"/>
      <c r="M62" s="4"/>
      <c r="N62" s="82"/>
      <c r="O62" s="58"/>
      <c r="P62" s="93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65"/>
      <c r="AC62" s="47">
        <v>46</v>
      </c>
      <c r="AD62" s="48">
        <f t="shared" si="5"/>
        <v>1676637.3822425255</v>
      </c>
      <c r="AE62" s="48">
        <f t="shared" si="6"/>
        <v>17604.692513546517</v>
      </c>
      <c r="AF62" s="48">
        <f t="shared" si="7"/>
        <v>432395.3074864535</v>
      </c>
      <c r="AG62" s="48">
        <f t="shared" si="8"/>
        <v>450000</v>
      </c>
      <c r="AH62" s="48">
        <f t="shared" si="9"/>
        <v>1244242.0747560719</v>
      </c>
      <c r="AI62"/>
      <c r="AO62" s="4"/>
      <c r="AP62" s="4"/>
      <c r="AQ62" s="4"/>
      <c r="AR62" s="4"/>
      <c r="AS62" s="4"/>
    </row>
    <row r="63" spans="1:45" x14ac:dyDescent="0.25">
      <c r="A63" s="4"/>
      <c r="B63" s="4"/>
      <c r="C63" s="4"/>
      <c r="D63" s="4"/>
      <c r="E63" s="4"/>
      <c r="F63" s="47">
        <v>47</v>
      </c>
      <c r="G63" s="48">
        <f t="shared" si="3"/>
        <v>6850284.1232101498</v>
      </c>
      <c r="H63" s="48">
        <f t="shared" si="4"/>
        <v>136320.65405188198</v>
      </c>
      <c r="I63" s="48">
        <f t="shared" si="0"/>
        <v>439038.34594811802</v>
      </c>
      <c r="J63" s="48">
        <f t="shared" si="1"/>
        <v>575359</v>
      </c>
      <c r="K63" s="48">
        <f t="shared" si="2"/>
        <v>6411245.777262032</v>
      </c>
      <c r="L63"/>
      <c r="M63" s="4"/>
      <c r="N63" s="92"/>
      <c r="O63" s="4"/>
      <c r="P63" s="1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65"/>
      <c r="AC63" s="47">
        <v>47</v>
      </c>
      <c r="AD63" s="48">
        <f t="shared" si="5"/>
        <v>1244242.0747560719</v>
      </c>
      <c r="AE63" s="48">
        <f t="shared" si="6"/>
        <v>13064.541784938756</v>
      </c>
      <c r="AF63" s="48">
        <f t="shared" si="7"/>
        <v>436935.45821506123</v>
      </c>
      <c r="AG63" s="48">
        <f t="shared" si="8"/>
        <v>450000</v>
      </c>
      <c r="AH63" s="48">
        <f t="shared" si="9"/>
        <v>807306.61654101068</v>
      </c>
      <c r="AI63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x14ac:dyDescent="0.25">
      <c r="A64" s="4"/>
      <c r="B64" s="4"/>
      <c r="C64" s="4"/>
      <c r="D64" s="4"/>
      <c r="E64" s="4"/>
      <c r="F64" s="47">
        <v>48</v>
      </c>
      <c r="G64" s="48">
        <f t="shared" si="3"/>
        <v>6411245.777262032</v>
      </c>
      <c r="H64" s="48">
        <f t="shared" si="4"/>
        <v>127583.79096751445</v>
      </c>
      <c r="I64" s="48">
        <f t="shared" si="0"/>
        <v>447775.20903248555</v>
      </c>
      <c r="J64" s="48">
        <f t="shared" si="1"/>
        <v>575359</v>
      </c>
      <c r="K64" s="48">
        <f t="shared" si="2"/>
        <v>5963470.5682295468</v>
      </c>
      <c r="L64"/>
      <c r="M64" s="4"/>
      <c r="N64" s="5"/>
      <c r="O64" s="4"/>
      <c r="P64" s="17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65"/>
      <c r="AC64" s="47">
        <v>48</v>
      </c>
      <c r="AD64" s="48">
        <f t="shared" si="5"/>
        <v>807306.61654101068</v>
      </c>
      <c r="AE64" s="48">
        <f t="shared" si="6"/>
        <v>8476.7194736806123</v>
      </c>
      <c r="AF64" s="48">
        <f t="shared" si="7"/>
        <v>441523.2805263194</v>
      </c>
      <c r="AG64" s="48">
        <f t="shared" si="8"/>
        <v>450000</v>
      </c>
      <c r="AH64" s="48">
        <f t="shared" si="9"/>
        <v>365783.33601469127</v>
      </c>
      <c r="AI6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x14ac:dyDescent="0.25">
      <c r="A65" s="4"/>
      <c r="B65" s="4"/>
      <c r="C65" s="4"/>
      <c r="D65" s="4"/>
      <c r="E65" s="4"/>
      <c r="F65" s="47">
        <v>49</v>
      </c>
      <c r="G65" s="48">
        <f t="shared" ref="G65:G76" si="10">K64</f>
        <v>5963470.5682295468</v>
      </c>
      <c r="H65" s="48">
        <f t="shared" si="4"/>
        <v>118673.06430776799</v>
      </c>
      <c r="I65" s="48">
        <f t="shared" si="0"/>
        <v>456685.93569223199</v>
      </c>
      <c r="J65" s="48">
        <f t="shared" si="1"/>
        <v>575359</v>
      </c>
      <c r="K65" s="48">
        <f t="shared" ref="K65:K76" si="11">G65-I65</f>
        <v>5506784.6325373147</v>
      </c>
      <c r="L65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65"/>
      <c r="AC65" s="110">
        <v>49</v>
      </c>
      <c r="AD65" s="109">
        <f t="shared" ref="AD65:AD76" si="12">AH64</f>
        <v>365783.33601469127</v>
      </c>
      <c r="AE65" s="109">
        <f t="shared" si="6"/>
        <v>3840.7250281542588</v>
      </c>
      <c r="AF65" s="109">
        <f t="shared" si="7"/>
        <v>446159.27497184573</v>
      </c>
      <c r="AG65" s="109">
        <f t="shared" si="8"/>
        <v>450000</v>
      </c>
      <c r="AH65" s="109">
        <f t="shared" ref="AH65:AH76" si="13">AD65-AF65</f>
        <v>-80375.93895715446</v>
      </c>
      <c r="AI65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x14ac:dyDescent="0.25">
      <c r="A66" s="4"/>
      <c r="B66" s="4"/>
      <c r="C66" s="4"/>
      <c r="D66" s="4"/>
      <c r="E66" s="4"/>
      <c r="F66" s="47">
        <v>50</v>
      </c>
      <c r="G66" s="48">
        <f t="shared" si="10"/>
        <v>5506784.6325373147</v>
      </c>
      <c r="H66" s="48">
        <f t="shared" si="4"/>
        <v>109585.01418749256</v>
      </c>
      <c r="I66" s="48">
        <f t="shared" si="0"/>
        <v>465773.98581250745</v>
      </c>
      <c r="J66" s="48">
        <f t="shared" si="1"/>
        <v>575359</v>
      </c>
      <c r="K66" s="48">
        <f t="shared" si="11"/>
        <v>5041010.6467248071</v>
      </c>
      <c r="L66"/>
      <c r="M66" s="4"/>
      <c r="N66" s="4" t="s">
        <v>4</v>
      </c>
      <c r="O66" s="4" t="s">
        <v>1</v>
      </c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65"/>
      <c r="AC66" s="47">
        <v>50</v>
      </c>
      <c r="AD66" s="48">
        <f t="shared" si="12"/>
        <v>-80375.93895715446</v>
      </c>
      <c r="AE66" s="48">
        <f t="shared" si="6"/>
        <v>-843.94735905012192</v>
      </c>
      <c r="AF66" s="48">
        <f t="shared" si="7"/>
        <v>450843.9473590501</v>
      </c>
      <c r="AG66" s="48">
        <f t="shared" si="8"/>
        <v>450000</v>
      </c>
      <c r="AH66" s="48">
        <f t="shared" si="13"/>
        <v>-531219.88631620456</v>
      </c>
      <c r="AI66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x14ac:dyDescent="0.25">
      <c r="A67" s="4"/>
      <c r="B67" s="4"/>
      <c r="C67" s="4"/>
      <c r="D67" s="4"/>
      <c r="E67" s="4"/>
      <c r="F67" s="47">
        <v>51</v>
      </c>
      <c r="G67" s="48">
        <f t="shared" si="10"/>
        <v>5041010.6467248071</v>
      </c>
      <c r="H67" s="48">
        <f t="shared" si="4"/>
        <v>100316.11186982367</v>
      </c>
      <c r="I67" s="48">
        <f t="shared" si="0"/>
        <v>475042.88813017635</v>
      </c>
      <c r="J67" s="48">
        <f t="shared" si="1"/>
        <v>575359</v>
      </c>
      <c r="K67" s="48">
        <f t="shared" si="11"/>
        <v>4565967.7585946303</v>
      </c>
      <c r="L67"/>
      <c r="M67" s="4"/>
      <c r="N67" s="4" t="s">
        <v>65</v>
      </c>
      <c r="O67" s="4" t="s">
        <v>1</v>
      </c>
      <c r="P67" s="4">
        <v>60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65"/>
      <c r="AC67" s="47">
        <v>51</v>
      </c>
      <c r="AD67" s="48">
        <f t="shared" si="12"/>
        <v>-531219.88631620456</v>
      </c>
      <c r="AE67" s="48">
        <f t="shared" si="6"/>
        <v>-5577.8088063201485</v>
      </c>
      <c r="AF67" s="48">
        <f t="shared" si="7"/>
        <v>455577.80880632013</v>
      </c>
      <c r="AG67" s="48">
        <f t="shared" si="8"/>
        <v>450000</v>
      </c>
      <c r="AH67" s="48">
        <f t="shared" si="13"/>
        <v>-986797.69512252463</v>
      </c>
      <c r="AI67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x14ac:dyDescent="0.25">
      <c r="A68" s="4"/>
      <c r="B68" s="4"/>
      <c r="C68" s="4"/>
      <c r="D68" s="4"/>
      <c r="E68" s="4"/>
      <c r="F68" s="47">
        <v>52</v>
      </c>
      <c r="G68" s="48">
        <f t="shared" si="10"/>
        <v>4565967.7585946303</v>
      </c>
      <c r="H68" s="48">
        <f t="shared" si="4"/>
        <v>90862.758396033154</v>
      </c>
      <c r="I68" s="48">
        <f t="shared" si="0"/>
        <v>484496.24160396686</v>
      </c>
      <c r="J68" s="48">
        <f t="shared" si="1"/>
        <v>575359</v>
      </c>
      <c r="K68" s="48">
        <f t="shared" si="11"/>
        <v>4081471.5169906635</v>
      </c>
      <c r="L68"/>
      <c r="M68" s="4"/>
      <c r="N68" s="4" t="s">
        <v>2</v>
      </c>
      <c r="O68" s="4" t="s">
        <v>1</v>
      </c>
      <c r="P68" s="101">
        <f>$C$30</f>
        <v>575359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65"/>
      <c r="AC68" s="47">
        <v>52</v>
      </c>
      <c r="AD68" s="48">
        <f t="shared" si="12"/>
        <v>-986797.69512252463</v>
      </c>
      <c r="AE68" s="48">
        <f t="shared" si="6"/>
        <v>-10361.37579878651</v>
      </c>
      <c r="AF68" s="48">
        <f t="shared" si="7"/>
        <v>460361.37579878652</v>
      </c>
      <c r="AG68" s="48">
        <f t="shared" si="8"/>
        <v>450000</v>
      </c>
      <c r="AH68" s="48">
        <f t="shared" si="13"/>
        <v>-1447159.0709213112</v>
      </c>
      <c r="AI68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x14ac:dyDescent="0.25">
      <c r="A69" s="4"/>
      <c r="B69" s="4"/>
      <c r="C69" s="4"/>
      <c r="D69" s="4"/>
      <c r="E69" s="4"/>
      <c r="F69" s="47">
        <v>53</v>
      </c>
      <c r="G69" s="48">
        <f t="shared" si="10"/>
        <v>4081471.5169906635</v>
      </c>
      <c r="H69" s="48">
        <f t="shared" si="4"/>
        <v>81221.283188114205</v>
      </c>
      <c r="I69" s="48">
        <f t="shared" si="0"/>
        <v>494137.71681188582</v>
      </c>
      <c r="J69" s="48">
        <f t="shared" si="1"/>
        <v>575359</v>
      </c>
      <c r="K69" s="48">
        <f t="shared" si="11"/>
        <v>3587333.8001787774</v>
      </c>
      <c r="L69"/>
      <c r="M69" s="4"/>
      <c r="N69" s="4" t="s">
        <v>75</v>
      </c>
      <c r="O69" s="4" t="s">
        <v>1</v>
      </c>
      <c r="P69" s="102">
        <f>$C$18</f>
        <v>20000000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65"/>
      <c r="AC69" s="47">
        <v>53</v>
      </c>
      <c r="AD69" s="48">
        <f t="shared" si="12"/>
        <v>-1447159.0709213112</v>
      </c>
      <c r="AE69" s="48">
        <f t="shared" si="6"/>
        <v>-15195.170244673767</v>
      </c>
      <c r="AF69" s="48">
        <f t="shared" si="7"/>
        <v>465195.17024467379</v>
      </c>
      <c r="AG69" s="48">
        <f t="shared" si="8"/>
        <v>450000</v>
      </c>
      <c r="AH69" s="48">
        <f t="shared" si="13"/>
        <v>-1912354.2411659849</v>
      </c>
      <c r="AI69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 x14ac:dyDescent="0.25">
      <c r="A70" s="4"/>
      <c r="B70" s="4"/>
      <c r="C70" s="4"/>
      <c r="D70" s="4"/>
      <c r="E70" s="4"/>
      <c r="F70" s="47">
        <v>54</v>
      </c>
      <c r="G70" s="48">
        <f t="shared" si="10"/>
        <v>3587333.8001787774</v>
      </c>
      <c r="H70" s="48">
        <f t="shared" si="4"/>
        <v>71387.942623557668</v>
      </c>
      <c r="I70" s="48">
        <f t="shared" si="0"/>
        <v>503971.05737644236</v>
      </c>
      <c r="J70" s="48">
        <f t="shared" si="1"/>
        <v>575359</v>
      </c>
      <c r="K70" s="48">
        <f t="shared" si="11"/>
        <v>3083362.7428023349</v>
      </c>
      <c r="L70"/>
      <c r="M70" s="4"/>
      <c r="N70" s="4" t="s">
        <v>76</v>
      </c>
      <c r="O70" s="4" t="s">
        <v>1</v>
      </c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65"/>
      <c r="AC70" s="47">
        <v>54</v>
      </c>
      <c r="AD70" s="48">
        <f t="shared" si="12"/>
        <v>-1912354.2411659849</v>
      </c>
      <c r="AE70" s="48">
        <f t="shared" si="6"/>
        <v>-20079.719532242842</v>
      </c>
      <c r="AF70" s="48">
        <f t="shared" si="7"/>
        <v>470079.71953224286</v>
      </c>
      <c r="AG70" s="48">
        <f t="shared" si="8"/>
        <v>450000</v>
      </c>
      <c r="AH70" s="48">
        <f t="shared" si="13"/>
        <v>-2382433.9606982279</v>
      </c>
      <c r="AI70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pans="1:45" x14ac:dyDescent="0.25">
      <c r="A71" s="4"/>
      <c r="B71" s="4"/>
      <c r="C71" s="4"/>
      <c r="D71" s="4"/>
      <c r="E71" s="4"/>
      <c r="F71" s="47">
        <v>55</v>
      </c>
      <c r="G71" s="48">
        <f t="shared" si="10"/>
        <v>3083362.7428023349</v>
      </c>
      <c r="H71" s="48">
        <f t="shared" si="4"/>
        <v>61358.918581766469</v>
      </c>
      <c r="I71" s="48">
        <f t="shared" si="0"/>
        <v>514000.08141823352</v>
      </c>
      <c r="J71" s="48">
        <f t="shared" si="1"/>
        <v>575359</v>
      </c>
      <c r="K71" s="48">
        <f t="shared" si="11"/>
        <v>2569362.6613841015</v>
      </c>
      <c r="L71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65"/>
      <c r="AC71" s="47">
        <v>55</v>
      </c>
      <c r="AD71" s="48">
        <f t="shared" si="12"/>
        <v>-2382433.9606982279</v>
      </c>
      <c r="AE71" s="48">
        <f t="shared" si="6"/>
        <v>-25015.556587331394</v>
      </c>
      <c r="AF71" s="48">
        <f t="shared" si="7"/>
        <v>475015.5565873314</v>
      </c>
      <c r="AG71" s="48">
        <f t="shared" si="8"/>
        <v>450000</v>
      </c>
      <c r="AH71" s="48">
        <f t="shared" si="13"/>
        <v>-2857449.5172855593</v>
      </c>
      <c r="AI71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pans="1:45" x14ac:dyDescent="0.25">
      <c r="A72" s="4"/>
      <c r="B72" s="4"/>
      <c r="C72" s="4"/>
      <c r="D72" s="4"/>
      <c r="E72" s="4"/>
      <c r="F72" s="47">
        <v>56</v>
      </c>
      <c r="G72" s="48">
        <f t="shared" si="10"/>
        <v>2569362.6613841015</v>
      </c>
      <c r="H72" s="48">
        <f t="shared" si="4"/>
        <v>51130.31696154362</v>
      </c>
      <c r="I72" s="48">
        <f t="shared" si="0"/>
        <v>524228.68303845637</v>
      </c>
      <c r="J72" s="48">
        <f t="shared" si="1"/>
        <v>575359</v>
      </c>
      <c r="K72" s="48">
        <f t="shared" si="11"/>
        <v>2045133.9783456451</v>
      </c>
      <c r="L72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65"/>
      <c r="AC72" s="47">
        <v>56</v>
      </c>
      <c r="AD72" s="48">
        <f t="shared" si="12"/>
        <v>-2857449.5172855593</v>
      </c>
      <c r="AE72" s="48">
        <f t="shared" si="6"/>
        <v>-30003.219931498374</v>
      </c>
      <c r="AF72" s="48">
        <f t="shared" si="7"/>
        <v>480003.2199314984</v>
      </c>
      <c r="AG72" s="48">
        <f t="shared" si="8"/>
        <v>450000</v>
      </c>
      <c r="AH72" s="48">
        <f t="shared" si="13"/>
        <v>-3337452.7372170575</v>
      </c>
      <c r="AI72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pans="1:45" x14ac:dyDescent="0.25">
      <c r="A73" s="4"/>
      <c r="B73" s="4"/>
      <c r="C73" s="4"/>
      <c r="D73" s="4"/>
      <c r="E73" s="4"/>
      <c r="F73" s="47">
        <v>57</v>
      </c>
      <c r="G73" s="48">
        <f t="shared" si="10"/>
        <v>2045133.9783456451</v>
      </c>
      <c r="H73" s="48">
        <f t="shared" si="4"/>
        <v>40698.166169078337</v>
      </c>
      <c r="I73" s="48">
        <f t="shared" si="0"/>
        <v>534660.83383092168</v>
      </c>
      <c r="J73" s="48">
        <f t="shared" si="1"/>
        <v>575359</v>
      </c>
      <c r="K73" s="48">
        <f t="shared" si="11"/>
        <v>1510473.1445147234</v>
      </c>
      <c r="L73"/>
      <c r="M73" s="4"/>
      <c r="N73" s="4" t="s">
        <v>76</v>
      </c>
      <c r="O73" s="4" t="s">
        <v>1</v>
      </c>
      <c r="P73" s="4">
        <f>(P68*P67/(P69))^(2/P67-1)</f>
        <v>0.58998618160258609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65"/>
      <c r="AC73" s="47">
        <v>57</v>
      </c>
      <c r="AD73" s="48">
        <f t="shared" si="12"/>
        <v>-3337452.7372170575</v>
      </c>
      <c r="AE73" s="48">
        <f t="shared" si="6"/>
        <v>-35043.253740779102</v>
      </c>
      <c r="AF73" s="48">
        <f t="shared" si="7"/>
        <v>485043.25374077912</v>
      </c>
      <c r="AG73" s="48">
        <f t="shared" si="8"/>
        <v>450000</v>
      </c>
      <c r="AH73" s="48">
        <f t="shared" si="13"/>
        <v>-3822495.9909578366</v>
      </c>
      <c r="AI73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pans="1:45" x14ac:dyDescent="0.25">
      <c r="A74" s="4"/>
      <c r="B74" s="4"/>
      <c r="C74" s="4"/>
      <c r="D74" s="4"/>
      <c r="E74" s="4"/>
      <c r="F74" s="47">
        <v>58</v>
      </c>
      <c r="G74" s="48">
        <f t="shared" si="10"/>
        <v>1510473.1445147234</v>
      </c>
      <c r="H74" s="48">
        <f t="shared" si="4"/>
        <v>30058.415575842999</v>
      </c>
      <c r="I74" s="48">
        <f t="shared" si="0"/>
        <v>545300.58442415704</v>
      </c>
      <c r="J74" s="48">
        <f t="shared" si="1"/>
        <v>575359</v>
      </c>
      <c r="K74" s="48">
        <f t="shared" si="11"/>
        <v>965172.5600905664</v>
      </c>
      <c r="L74"/>
      <c r="M74" s="4"/>
      <c r="N74" s="4" t="s">
        <v>4</v>
      </c>
      <c r="O74" s="4" t="s">
        <v>1</v>
      </c>
      <c r="P74" s="4">
        <f>(((P67-1*P73)-12)/(2*(P67-1*P73)-12))*P73</f>
        <v>0.26185401409508025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65"/>
      <c r="AC74" s="47">
        <v>58</v>
      </c>
      <c r="AD74" s="48">
        <f t="shared" si="12"/>
        <v>-3822495.9909578366</v>
      </c>
      <c r="AE74" s="48">
        <f t="shared" si="6"/>
        <v>-40136.207905057287</v>
      </c>
      <c r="AF74" s="48">
        <f t="shared" si="7"/>
        <v>490136.20790505729</v>
      </c>
      <c r="AG74" s="48">
        <f t="shared" si="8"/>
        <v>450000</v>
      </c>
      <c r="AH74" s="48">
        <f t="shared" si="13"/>
        <v>-4312632.1988628935</v>
      </c>
      <c r="AI7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pans="1:45" x14ac:dyDescent="0.25">
      <c r="A75" s="4"/>
      <c r="B75" s="4"/>
      <c r="C75" s="4"/>
      <c r="D75" s="4"/>
      <c r="E75" s="4"/>
      <c r="F75" s="47">
        <v>59</v>
      </c>
      <c r="G75" s="48">
        <f t="shared" si="10"/>
        <v>965172.5600905664</v>
      </c>
      <c r="H75" s="48">
        <f t="shared" si="4"/>
        <v>19206.933945802273</v>
      </c>
      <c r="I75" s="48">
        <f t="shared" si="0"/>
        <v>556152.06605419773</v>
      </c>
      <c r="J75" s="48">
        <f t="shared" si="1"/>
        <v>575359</v>
      </c>
      <c r="K75" s="48">
        <f t="shared" si="11"/>
        <v>409020.49403636868</v>
      </c>
      <c r="L75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65"/>
      <c r="AC75" s="47">
        <v>59</v>
      </c>
      <c r="AD75" s="48">
        <f t="shared" si="12"/>
        <v>-4312632.1988628935</v>
      </c>
      <c r="AE75" s="48">
        <f t="shared" si="6"/>
        <v>-45282.638088060383</v>
      </c>
      <c r="AF75" s="48">
        <f t="shared" si="7"/>
        <v>495282.63808806037</v>
      </c>
      <c r="AG75" s="48">
        <f t="shared" si="8"/>
        <v>450000</v>
      </c>
      <c r="AH75" s="48">
        <f t="shared" si="13"/>
        <v>-4807914.836950954</v>
      </c>
      <c r="AI75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pans="1:45" x14ac:dyDescent="0.25">
      <c r="A76" s="4"/>
      <c r="B76" s="4"/>
      <c r="C76" s="4"/>
      <c r="D76" s="4"/>
      <c r="E76" s="4"/>
      <c r="F76" s="47">
        <v>60</v>
      </c>
      <c r="G76" s="48">
        <f t="shared" si="10"/>
        <v>409020.49403636868</v>
      </c>
      <c r="H76" s="48">
        <f t="shared" si="4"/>
        <v>8139.5078313237373</v>
      </c>
      <c r="I76" s="48">
        <f t="shared" si="0"/>
        <v>567219.49216867622</v>
      </c>
      <c r="J76" s="48">
        <f t="shared" si="1"/>
        <v>575359</v>
      </c>
      <c r="K76" s="48">
        <f t="shared" si="11"/>
        <v>-158198.99813230755</v>
      </c>
      <c r="L7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65"/>
      <c r="AC76" s="47">
        <v>60</v>
      </c>
      <c r="AD76" s="48">
        <f t="shared" si="12"/>
        <v>-4807914.836950954</v>
      </c>
      <c r="AE76" s="48">
        <f t="shared" si="6"/>
        <v>-50483.10578798502</v>
      </c>
      <c r="AF76" s="48">
        <f t="shared" si="7"/>
        <v>500483.10578798503</v>
      </c>
      <c r="AG76" s="48">
        <f t="shared" si="8"/>
        <v>450000</v>
      </c>
      <c r="AH76" s="48">
        <f t="shared" si="13"/>
        <v>-5308397.9427389391</v>
      </c>
      <c r="AI76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pans="1:45" x14ac:dyDescent="0.25">
      <c r="A77" s="4"/>
      <c r="B77" s="4"/>
      <c r="C77" s="4"/>
      <c r="D77" s="4"/>
      <c r="E77" s="4"/>
      <c r="F77" s="47">
        <v>61</v>
      </c>
      <c r="G77" s="48"/>
      <c r="H77" s="48"/>
      <c r="I77" s="48"/>
      <c r="J77" s="48"/>
      <c r="K77" s="48"/>
      <c r="L77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65"/>
      <c r="AC77" s="47">
        <v>61</v>
      </c>
      <c r="AD77" s="49"/>
      <c r="AE77" s="49"/>
      <c r="AF77" s="49"/>
      <c r="AG77" s="49"/>
      <c r="AH77" s="49"/>
      <c r="AI77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pans="1:45" x14ac:dyDescent="0.25">
      <c r="A78" s="4"/>
      <c r="B78" s="4"/>
      <c r="C78" s="4"/>
      <c r="D78" s="4"/>
      <c r="E78" s="4"/>
      <c r="F78" s="47">
        <v>62</v>
      </c>
      <c r="G78" s="48"/>
      <c r="H78" s="48"/>
      <c r="I78" s="48"/>
      <c r="J78" s="48"/>
      <c r="K78" s="48"/>
      <c r="L78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65"/>
      <c r="AC78" s="47">
        <v>62</v>
      </c>
      <c r="AD78" s="49"/>
      <c r="AE78" s="49"/>
      <c r="AF78" s="49"/>
      <c r="AG78" s="49"/>
      <c r="AH78" s="49"/>
      <c r="AI78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pans="1:45" x14ac:dyDescent="0.25">
      <c r="A79" s="4"/>
      <c r="B79" s="4"/>
      <c r="C79" s="4"/>
      <c r="D79" s="4"/>
      <c r="E79" s="4"/>
      <c r="F79" s="47">
        <v>63</v>
      </c>
      <c r="G79" s="49"/>
      <c r="H79" s="49"/>
      <c r="I79" s="49"/>
      <c r="J79" s="49"/>
      <c r="K79" s="49"/>
      <c r="L79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65"/>
      <c r="AC79" s="47">
        <v>63</v>
      </c>
      <c r="AD79" s="49"/>
      <c r="AE79" s="49"/>
      <c r="AF79" s="49"/>
      <c r="AG79" s="49"/>
      <c r="AH79" s="49"/>
      <c r="AI79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pans="1:45" x14ac:dyDescent="0.25">
      <c r="A80" s="4"/>
      <c r="B80" s="4"/>
      <c r="C80" s="4"/>
      <c r="D80" s="4"/>
      <c r="E80" s="4"/>
      <c r="F80" s="47">
        <v>64</v>
      </c>
      <c r="G80" s="49"/>
      <c r="H80" s="49"/>
      <c r="I80" s="49"/>
      <c r="J80" s="49"/>
      <c r="K80" s="49"/>
      <c r="L80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65"/>
      <c r="AC80" s="47">
        <v>64</v>
      </c>
      <c r="AD80" s="49"/>
      <c r="AE80" s="49"/>
      <c r="AF80" s="49"/>
      <c r="AG80" s="49"/>
      <c r="AH80" s="49"/>
      <c r="AI80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pans="1:45" x14ac:dyDescent="0.25">
      <c r="A81" s="4"/>
      <c r="B81" s="4"/>
      <c r="C81" s="4"/>
      <c r="D81" s="4"/>
      <c r="E81" s="4"/>
      <c r="F81" s="47">
        <v>65</v>
      </c>
      <c r="G81" s="49"/>
      <c r="H81" s="49"/>
      <c r="I81" s="49"/>
      <c r="J81" s="49"/>
      <c r="K81" s="49"/>
      <c r="L81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65"/>
      <c r="AC81" s="47">
        <v>65</v>
      </c>
      <c r="AD81" s="49"/>
      <c r="AE81" s="49"/>
      <c r="AF81" s="49"/>
      <c r="AG81" s="49"/>
      <c r="AH81" s="49"/>
      <c r="AI81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pans="1:45" x14ac:dyDescent="0.25">
      <c r="A82" s="4"/>
      <c r="B82" s="4"/>
      <c r="C82" s="4"/>
      <c r="D82" s="4"/>
      <c r="E82" s="4"/>
      <c r="F82" s="47">
        <v>66</v>
      </c>
      <c r="G82" s="49"/>
      <c r="H82" s="49"/>
      <c r="I82" s="49"/>
      <c r="J82" s="49"/>
      <c r="K82" s="49"/>
      <c r="L82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65"/>
      <c r="AC82" s="47">
        <v>66</v>
      </c>
      <c r="AD82" s="49"/>
      <c r="AE82" s="49"/>
      <c r="AF82" s="49"/>
      <c r="AG82" s="49"/>
      <c r="AH82" s="49"/>
      <c r="AI82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pans="1:45" x14ac:dyDescent="0.25">
      <c r="A83" s="4"/>
      <c r="B83" s="4"/>
      <c r="C83" s="4"/>
      <c r="D83" s="4"/>
      <c r="E83" s="4"/>
      <c r="F83" s="47">
        <v>67</v>
      </c>
      <c r="G83" s="49"/>
      <c r="H83" s="49"/>
      <c r="I83" s="49"/>
      <c r="J83" s="49"/>
      <c r="K83" s="49"/>
      <c r="L8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65"/>
      <c r="AC83" s="47">
        <v>67</v>
      </c>
      <c r="AD83" s="49"/>
      <c r="AE83" s="49"/>
      <c r="AF83" s="49"/>
      <c r="AG83" s="49"/>
      <c r="AH83" s="49"/>
      <c r="AI83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pans="1:45" x14ac:dyDescent="0.25">
      <c r="A84" s="4"/>
      <c r="B84" s="4"/>
      <c r="C84" s="4"/>
      <c r="D84" s="4"/>
      <c r="E84" s="4"/>
      <c r="F84" s="47">
        <v>68</v>
      </c>
      <c r="G84" s="49"/>
      <c r="H84" s="49"/>
      <c r="I84" s="49"/>
      <c r="J84" s="49"/>
      <c r="K84" s="49"/>
      <c r="L8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65"/>
      <c r="AC84" s="47">
        <v>68</v>
      </c>
      <c r="AD84" s="49"/>
      <c r="AE84" s="49"/>
      <c r="AF84" s="49"/>
      <c r="AG84" s="49"/>
      <c r="AH84" s="49"/>
      <c r="AI8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x14ac:dyDescent="0.25">
      <c r="A85" s="4"/>
      <c r="B85" s="4"/>
      <c r="C85" s="4"/>
      <c r="D85" s="4"/>
      <c r="E85" s="4"/>
      <c r="F85" s="47">
        <v>69</v>
      </c>
      <c r="G85" s="49"/>
      <c r="H85" s="49"/>
      <c r="I85" s="49"/>
      <c r="J85" s="49"/>
      <c r="K85" s="49"/>
      <c r="L85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65"/>
      <c r="AC85" s="47">
        <v>69</v>
      </c>
      <c r="AD85" s="49"/>
      <c r="AE85" s="49"/>
      <c r="AF85" s="49"/>
      <c r="AG85" s="49"/>
      <c r="AH85" s="49"/>
      <c r="AI85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x14ac:dyDescent="0.25">
      <c r="A86" s="4"/>
      <c r="B86" s="4"/>
      <c r="C86" s="4"/>
      <c r="D86" s="4"/>
      <c r="E86" s="4"/>
      <c r="F86" s="47">
        <v>70</v>
      </c>
      <c r="G86" s="49"/>
      <c r="H86" s="49"/>
      <c r="I86" s="49"/>
      <c r="J86" s="49"/>
      <c r="K86" s="49"/>
      <c r="L8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65"/>
      <c r="AC86" s="47">
        <v>70</v>
      </c>
      <c r="AD86" s="49"/>
      <c r="AE86" s="49"/>
      <c r="AF86" s="49"/>
      <c r="AG86" s="49"/>
      <c r="AH86" s="49"/>
      <c r="AI86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x14ac:dyDescent="0.25">
      <c r="A87" s="4"/>
      <c r="B87" s="4"/>
      <c r="C87" s="4"/>
      <c r="D87" s="4"/>
      <c r="E87" s="4"/>
      <c r="F87" s="47">
        <v>71</v>
      </c>
      <c r="G87" s="49"/>
      <c r="H87" s="49"/>
      <c r="I87" s="49"/>
      <c r="J87" s="49"/>
      <c r="K87" s="49"/>
      <c r="L87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65"/>
      <c r="AC87" s="47">
        <v>71</v>
      </c>
      <c r="AD87" s="49"/>
      <c r="AE87" s="49"/>
      <c r="AF87" s="49"/>
      <c r="AG87" s="49"/>
      <c r="AH87" s="49"/>
      <c r="AI87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x14ac:dyDescent="0.25">
      <c r="A88" s="4"/>
      <c r="B88" s="4"/>
      <c r="C88" s="4"/>
      <c r="D88" s="4"/>
      <c r="E88" s="4"/>
      <c r="F88" s="47">
        <v>72</v>
      </c>
      <c r="G88" s="49"/>
      <c r="H88" s="49"/>
      <c r="I88" s="49"/>
      <c r="J88" s="49"/>
      <c r="K88" s="49"/>
      <c r="L88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65"/>
      <c r="AC88" s="47">
        <v>72</v>
      </c>
      <c r="AD88" s="49"/>
      <c r="AE88" s="49"/>
      <c r="AF88" s="49"/>
      <c r="AG88" s="49"/>
      <c r="AH88" s="49"/>
      <c r="AI88"/>
      <c r="AJ88" s="4"/>
      <c r="AK88" s="4"/>
      <c r="AL88" s="4"/>
      <c r="AM88" s="4"/>
      <c r="AN88" s="4"/>
      <c r="AO88" s="4"/>
      <c r="AP88" s="4"/>
      <c r="AQ88" s="4"/>
      <c r="AR88" s="4"/>
      <c r="AS88" s="4"/>
    </row>
  </sheetData>
  <mergeCells count="24">
    <mergeCell ref="AK25:AK26"/>
    <mergeCell ref="AL29:AM29"/>
    <mergeCell ref="AL30:AM30"/>
    <mergeCell ref="AR11:AR13"/>
    <mergeCell ref="AP11:AP13"/>
    <mergeCell ref="AC11:AH14"/>
    <mergeCell ref="U11:U13"/>
    <mergeCell ref="S11:S13"/>
    <mergeCell ref="R55:R57"/>
    <mergeCell ref="O47:O48"/>
    <mergeCell ref="P51:Q51"/>
    <mergeCell ref="P52:Q52"/>
    <mergeCell ref="R49:R51"/>
    <mergeCell ref="R40:R41"/>
    <mergeCell ref="F11:K14"/>
    <mergeCell ref="N11:N13"/>
    <mergeCell ref="P11:P13"/>
    <mergeCell ref="N16:Q16"/>
    <mergeCell ref="Q11:Q13"/>
    <mergeCell ref="N20:N22"/>
    <mergeCell ref="O20:O22"/>
    <mergeCell ref="N24:N25"/>
    <mergeCell ref="O24:O25"/>
    <mergeCell ref="N39:N40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listas!$C$2:$C$4</xm:f>
          </x14:formula1>
          <xm:sqref>C38 Z38</xm:sqref>
        </x14:dataValidation>
        <x14:dataValidation type="list" allowBlank="1" showInputMessage="1" showErrorMessage="1">
          <x14:formula1>
            <xm:f>listas!$D$3:$D$74</xm:f>
          </x14:formula1>
          <xm:sqref>C20 C32 Z20 Z32</xm:sqref>
        </x14:dataValidation>
        <x14:dataValidation type="list" allowBlank="1" showInputMessage="1" showErrorMessage="1">
          <x14:formula1>
            <xm:f>listas!$O$4:$O$8</xm:f>
          </x14:formula1>
          <xm:sqref>C36 Z36</xm:sqref>
        </x14:dataValidation>
        <x14:dataValidation type="list" allowBlank="1" showInputMessage="1" showErrorMessage="1">
          <x14:formula1>
            <xm:f>listas!$I$4:$I$13</xm:f>
          </x14:formula1>
          <xm:sqref>C24 Z24</xm:sqref>
        </x14:dataValidation>
        <x14:dataValidation type="list" allowBlank="1" showInputMessage="1" showErrorMessage="1">
          <x14:formula1>
            <xm:f>listas!$M$3:$M$4</xm:f>
          </x14:formula1>
          <xm:sqref>C22 Z22</xm:sqref>
        </x14:dataValidation>
        <x14:dataValidation type="list" allowBlank="1" showInputMessage="1" showErrorMessage="1">
          <x14:formula1>
            <xm:f>listas!$G$4:$G$5</xm:f>
          </x14:formula1>
          <xm:sqref>C16 Z16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Z78"/>
  <sheetViews>
    <sheetView topLeftCell="O1" zoomScale="60" zoomScaleNormal="60" workbookViewId="0">
      <selection activeCell="N5" sqref="N5"/>
    </sheetView>
  </sheetViews>
  <sheetFormatPr baseColWidth="10" defaultRowHeight="15" x14ac:dyDescent="0.25"/>
  <cols>
    <col min="1" max="1" width="2.5703125" customWidth="1"/>
    <col min="2" max="2" width="18.85546875" customWidth="1"/>
    <col min="3" max="3" width="17.28515625" customWidth="1"/>
    <col min="4" max="4" width="2.42578125" customWidth="1"/>
    <col min="5" max="5" width="4.140625" customWidth="1"/>
    <col min="7" max="7" width="18.85546875" customWidth="1"/>
    <col min="8" max="8" width="19.28515625" customWidth="1"/>
    <col min="9" max="9" width="17.7109375" customWidth="1"/>
    <col min="10" max="10" width="13.85546875" bestFit="1" customWidth="1"/>
    <col min="11" max="11" width="18.28515625" customWidth="1"/>
    <col min="12" max="12" width="3.5703125" customWidth="1"/>
    <col min="13" max="13" width="14.42578125" customWidth="1"/>
    <col min="14" max="14" width="8.140625" customWidth="1"/>
    <col min="15" max="15" width="4.42578125" customWidth="1"/>
    <col min="16" max="17" width="14.28515625" customWidth="1"/>
    <col min="18" max="18" width="12.140625" customWidth="1"/>
    <col min="19" max="19" width="1.85546875" customWidth="1"/>
    <col min="20" max="20" width="14.7109375" customWidth="1"/>
    <col min="21" max="21" width="3.28515625" customWidth="1"/>
    <col min="25" max="26" width="12" bestFit="1" customWidth="1"/>
  </cols>
  <sheetData>
    <row r="1" spans="2:26" x14ac:dyDescent="0.25">
      <c r="B1" s="35" t="s">
        <v>43</v>
      </c>
      <c r="R1" s="177" t="s">
        <v>50</v>
      </c>
      <c r="T1" s="177" t="s">
        <v>51</v>
      </c>
    </row>
    <row r="2" spans="2:26" ht="15" customHeight="1" x14ac:dyDescent="0.25">
      <c r="B2" s="34" t="s">
        <v>8</v>
      </c>
      <c r="C2" s="33"/>
      <c r="N2" s="177" t="s">
        <v>48</v>
      </c>
      <c r="P2" s="177" t="s">
        <v>49</v>
      </c>
      <c r="R2" s="177"/>
      <c r="T2" s="177"/>
    </row>
    <row r="3" spans="2:26" x14ac:dyDescent="0.25">
      <c r="B3" s="37"/>
      <c r="C3" s="33"/>
      <c r="N3" s="178"/>
      <c r="P3" s="178"/>
      <c r="R3" s="178"/>
      <c r="T3" s="178"/>
    </row>
    <row r="4" spans="2:26" x14ac:dyDescent="0.25">
      <c r="B4" s="34" t="s">
        <v>44</v>
      </c>
      <c r="C4" s="38"/>
      <c r="N4">
        <v>0.24</v>
      </c>
      <c r="P4">
        <f>N4/2</f>
        <v>0.12</v>
      </c>
      <c r="R4">
        <f>P4/ (1-P4)</f>
        <v>0.13636363636363635</v>
      </c>
      <c r="T4" s="53">
        <f>((1+R4)^(2/12))-1</f>
        <v>2.1534145886282108E-2</v>
      </c>
    </row>
    <row r="5" spans="2:26" ht="18.75" x14ac:dyDescent="0.25">
      <c r="F5" s="30">
        <v>1</v>
      </c>
      <c r="G5" s="30">
        <v>2</v>
      </c>
      <c r="H5" s="30" t="s">
        <v>35</v>
      </c>
      <c r="I5" s="30" t="s">
        <v>36</v>
      </c>
      <c r="J5" s="30">
        <v>5</v>
      </c>
      <c r="K5" s="30" t="s">
        <v>37</v>
      </c>
    </row>
    <row r="6" spans="2:26" x14ac:dyDescent="0.25">
      <c r="B6" s="29" t="s">
        <v>11</v>
      </c>
      <c r="C6" s="26" t="s">
        <v>13</v>
      </c>
      <c r="F6" s="31" t="s">
        <v>38</v>
      </c>
      <c r="G6" s="32" t="s">
        <v>9</v>
      </c>
      <c r="H6" s="32" t="s">
        <v>39</v>
      </c>
      <c r="I6" s="32" t="s">
        <v>40</v>
      </c>
      <c r="J6" s="32" t="s">
        <v>41</v>
      </c>
      <c r="K6" s="32" t="s">
        <v>42</v>
      </c>
    </row>
    <row r="7" spans="2:26" x14ac:dyDescent="0.25">
      <c r="C7" s="2"/>
      <c r="F7" s="47">
        <v>1</v>
      </c>
      <c r="G7" s="48">
        <f>C8</f>
        <v>26000000</v>
      </c>
      <c r="H7" s="48">
        <f>G7*$C$18</f>
        <v>494000</v>
      </c>
      <c r="I7" s="48">
        <f>J7-H7</f>
        <v>356000</v>
      </c>
      <c r="J7" s="48">
        <f>C20</f>
        <v>850000</v>
      </c>
      <c r="K7" s="48">
        <f>G7-I7</f>
        <v>25644000</v>
      </c>
      <c r="N7" s="51"/>
      <c r="O7" s="21"/>
      <c r="Q7" s="9"/>
    </row>
    <row r="8" spans="2:26" x14ac:dyDescent="0.25">
      <c r="B8" s="29" t="s">
        <v>9</v>
      </c>
      <c r="C8" s="27">
        <v>26000000</v>
      </c>
      <c r="F8" s="47">
        <v>2</v>
      </c>
      <c r="G8" s="48">
        <f>K7</f>
        <v>25644000</v>
      </c>
      <c r="H8" s="48">
        <f t="shared" ref="H8:H54" si="0">G8*$C$18</f>
        <v>487236</v>
      </c>
      <c r="I8" s="48">
        <f t="shared" ref="I8:I54" si="1">J8-H8</f>
        <v>362764</v>
      </c>
      <c r="J8" s="48">
        <f>J7</f>
        <v>850000</v>
      </c>
      <c r="K8" s="48">
        <f t="shared" ref="K8:K54" si="2">G8-I8</f>
        <v>25281236</v>
      </c>
      <c r="N8" s="2"/>
      <c r="O8" s="21"/>
      <c r="Q8" s="10"/>
    </row>
    <row r="9" spans="2:26" ht="18.75" x14ac:dyDescent="0.25">
      <c r="C9" s="2"/>
      <c r="F9" s="47">
        <v>3</v>
      </c>
      <c r="G9" s="48">
        <f t="shared" ref="G9:G54" si="3">K8</f>
        <v>25281236</v>
      </c>
      <c r="H9" s="48">
        <f t="shared" si="0"/>
        <v>480343.484</v>
      </c>
      <c r="I9" s="48">
        <f t="shared" si="1"/>
        <v>369656.516</v>
      </c>
      <c r="J9" s="48">
        <f t="shared" ref="J9:J54" si="4">J8</f>
        <v>850000</v>
      </c>
      <c r="K9" s="48">
        <f t="shared" si="2"/>
        <v>24911579.484000001</v>
      </c>
      <c r="N9" s="2"/>
      <c r="O9" s="21"/>
      <c r="Q9" s="23"/>
    </row>
    <row r="10" spans="2:26" x14ac:dyDescent="0.25">
      <c r="B10" s="29" t="s">
        <v>10</v>
      </c>
      <c r="C10" s="26">
        <v>48</v>
      </c>
      <c r="F10" s="47">
        <v>4</v>
      </c>
      <c r="G10" s="48">
        <f t="shared" si="3"/>
        <v>24911579.484000001</v>
      </c>
      <c r="H10" s="48">
        <f t="shared" si="0"/>
        <v>473320.01019599999</v>
      </c>
      <c r="I10" s="48">
        <f t="shared" si="1"/>
        <v>376679.98980400001</v>
      </c>
      <c r="J10" s="48">
        <f t="shared" si="4"/>
        <v>850000</v>
      </c>
      <c r="K10" s="48">
        <f t="shared" si="2"/>
        <v>24534899.494196001</v>
      </c>
      <c r="N10" s="185"/>
      <c r="O10" s="186"/>
      <c r="P10" s="42"/>
      <c r="Q10" s="43"/>
    </row>
    <row r="11" spans="2:26" x14ac:dyDescent="0.25">
      <c r="B11" s="4"/>
      <c r="C11" s="28"/>
      <c r="F11" s="47">
        <v>5</v>
      </c>
      <c r="G11" s="48">
        <f t="shared" si="3"/>
        <v>24534899.494196001</v>
      </c>
      <c r="H11" s="48">
        <f t="shared" si="0"/>
        <v>466163.09038972401</v>
      </c>
      <c r="I11" s="48">
        <f t="shared" si="1"/>
        <v>383836.90961027599</v>
      </c>
      <c r="J11" s="48">
        <f t="shared" si="4"/>
        <v>850000</v>
      </c>
      <c r="K11" s="48">
        <f t="shared" si="2"/>
        <v>24151062.584585726</v>
      </c>
      <c r="N11" s="185"/>
      <c r="O11" s="186"/>
      <c r="Q11" s="44"/>
    </row>
    <row r="12" spans="2:26" ht="18.75" x14ac:dyDescent="0.25">
      <c r="B12" s="29" t="s">
        <v>28</v>
      </c>
      <c r="C12" s="26" t="s">
        <v>21</v>
      </c>
      <c r="F12" s="47">
        <v>6</v>
      </c>
      <c r="G12" s="48">
        <f t="shared" si="3"/>
        <v>24151062.584585726</v>
      </c>
      <c r="H12" s="48">
        <f t="shared" si="0"/>
        <v>458870.18910712877</v>
      </c>
      <c r="I12" s="48">
        <f t="shared" si="1"/>
        <v>391129.81089287123</v>
      </c>
      <c r="J12" s="48">
        <f t="shared" si="4"/>
        <v>850000</v>
      </c>
      <c r="K12" s="48">
        <f t="shared" si="2"/>
        <v>23759932.773692854</v>
      </c>
      <c r="N12" s="185"/>
      <c r="O12" s="186"/>
      <c r="Q12" s="45"/>
    </row>
    <row r="13" spans="2:26" x14ac:dyDescent="0.25">
      <c r="C13" s="2"/>
      <c r="F13" s="47">
        <v>7</v>
      </c>
      <c r="G13" s="48">
        <f t="shared" si="3"/>
        <v>23759932.773692854</v>
      </c>
      <c r="H13" s="48">
        <f t="shared" si="0"/>
        <v>451438.72270016419</v>
      </c>
      <c r="I13" s="48">
        <f t="shared" si="1"/>
        <v>398561.27729983581</v>
      </c>
      <c r="J13" s="48">
        <f t="shared" si="4"/>
        <v>850000</v>
      </c>
      <c r="K13" s="48">
        <f t="shared" si="2"/>
        <v>23361371.496393017</v>
      </c>
      <c r="N13" s="2"/>
      <c r="O13" s="21"/>
    </row>
    <row r="14" spans="2:26" x14ac:dyDescent="0.25">
      <c r="B14" s="29" t="s">
        <v>27</v>
      </c>
      <c r="C14" s="26" t="s">
        <v>18</v>
      </c>
      <c r="F14" s="47">
        <v>8</v>
      </c>
      <c r="G14" s="48">
        <f t="shared" si="3"/>
        <v>23361371.496393017</v>
      </c>
      <c r="H14" s="48">
        <f t="shared" si="0"/>
        <v>443866.05843146733</v>
      </c>
      <c r="I14" s="48">
        <f t="shared" si="1"/>
        <v>406133.94156853267</v>
      </c>
      <c r="J14" s="48">
        <f t="shared" si="4"/>
        <v>850000</v>
      </c>
      <c r="K14" s="48">
        <f t="shared" si="2"/>
        <v>22955237.554824486</v>
      </c>
      <c r="N14" s="185"/>
      <c r="O14" s="186"/>
      <c r="P14" s="42"/>
      <c r="Y14">
        <v>850000</v>
      </c>
      <c r="Z14">
        <f>Y14*Y15</f>
        <v>20489266.077155001</v>
      </c>
    </row>
    <row r="15" spans="2:26" x14ac:dyDescent="0.25">
      <c r="C15" s="2"/>
      <c r="F15" s="47">
        <v>9</v>
      </c>
      <c r="G15" s="48">
        <f t="shared" si="3"/>
        <v>22955237.554824486</v>
      </c>
      <c r="H15" s="48">
        <f t="shared" si="0"/>
        <v>436149.51354166522</v>
      </c>
      <c r="I15" s="48">
        <f t="shared" si="1"/>
        <v>413850.48645833478</v>
      </c>
      <c r="J15" s="48">
        <f t="shared" si="4"/>
        <v>850000</v>
      </c>
      <c r="K15" s="48">
        <f t="shared" si="2"/>
        <v>22541387.068366151</v>
      </c>
      <c r="N15" s="185"/>
      <c r="O15" s="186"/>
      <c r="P15" s="46"/>
      <c r="Y15">
        <v>24.1050189143</v>
      </c>
    </row>
    <row r="16" spans="2:26" x14ac:dyDescent="0.25">
      <c r="B16" s="29" t="s">
        <v>52</v>
      </c>
      <c r="C16" s="40">
        <v>18</v>
      </c>
      <c r="F16" s="47">
        <v>10</v>
      </c>
      <c r="G16" s="48">
        <f t="shared" si="3"/>
        <v>22541387.068366151</v>
      </c>
      <c r="H16" s="48">
        <f t="shared" si="0"/>
        <v>428286.35429895687</v>
      </c>
      <c r="I16" s="48">
        <f t="shared" si="1"/>
        <v>421713.64570104313</v>
      </c>
      <c r="J16" s="48">
        <f t="shared" si="4"/>
        <v>850000</v>
      </c>
      <c r="K16" s="48">
        <f t="shared" si="2"/>
        <v>22119673.422665108</v>
      </c>
      <c r="N16" s="22"/>
      <c r="O16" s="21"/>
    </row>
    <row r="17" spans="2:15" x14ac:dyDescent="0.25">
      <c r="C17" s="2"/>
      <c r="F17" s="47">
        <v>11</v>
      </c>
      <c r="G17" s="48">
        <f t="shared" si="3"/>
        <v>22119673.422665108</v>
      </c>
      <c r="H17" s="48">
        <f t="shared" si="0"/>
        <v>420273.79503063706</v>
      </c>
      <c r="I17" s="48">
        <f t="shared" si="1"/>
        <v>429726.20496936294</v>
      </c>
      <c r="J17" s="48">
        <f t="shared" si="4"/>
        <v>850000</v>
      </c>
      <c r="K17" s="48">
        <f t="shared" si="2"/>
        <v>21689947.217695747</v>
      </c>
      <c r="N17" s="2"/>
      <c r="O17" s="21"/>
    </row>
    <row r="18" spans="2:15" x14ac:dyDescent="0.25">
      <c r="B18" s="36" t="s">
        <v>53</v>
      </c>
      <c r="C18" s="26">
        <v>1.9E-2</v>
      </c>
      <c r="F18" s="47">
        <v>12</v>
      </c>
      <c r="G18" s="48">
        <f t="shared" si="3"/>
        <v>21689947.217695747</v>
      </c>
      <c r="H18" s="48">
        <f t="shared" si="0"/>
        <v>412108.99713621917</v>
      </c>
      <c r="I18" s="48">
        <f t="shared" si="1"/>
        <v>437891.00286378083</v>
      </c>
      <c r="J18" s="48">
        <f t="shared" si="4"/>
        <v>850000</v>
      </c>
      <c r="K18" s="48">
        <f t="shared" si="2"/>
        <v>21252056.214831967</v>
      </c>
    </row>
    <row r="19" spans="2:15" x14ac:dyDescent="0.25">
      <c r="F19" s="47">
        <v>13</v>
      </c>
      <c r="G19" s="48">
        <f t="shared" si="3"/>
        <v>21252056.214831967</v>
      </c>
      <c r="H19" s="48">
        <f t="shared" si="0"/>
        <v>403789.06808180735</v>
      </c>
      <c r="I19" s="48">
        <f t="shared" si="1"/>
        <v>446210.93191819265</v>
      </c>
      <c r="J19" s="48">
        <f t="shared" si="4"/>
        <v>850000</v>
      </c>
      <c r="K19" s="48">
        <f t="shared" si="2"/>
        <v>20805845.282913774</v>
      </c>
    </row>
    <row r="20" spans="2:15" x14ac:dyDescent="0.25">
      <c r="B20" s="36" t="s">
        <v>54</v>
      </c>
      <c r="C20" s="41">
        <v>850000</v>
      </c>
      <c r="F20" s="47">
        <v>14</v>
      </c>
      <c r="G20" s="48">
        <f t="shared" si="3"/>
        <v>20805845.282913774</v>
      </c>
      <c r="H20" s="48">
        <f t="shared" si="0"/>
        <v>395311.0603753617</v>
      </c>
      <c r="I20" s="48">
        <f t="shared" si="1"/>
        <v>454688.9396246383</v>
      </c>
      <c r="J20" s="48">
        <f t="shared" si="4"/>
        <v>850000</v>
      </c>
      <c r="K20" s="48">
        <f t="shared" si="2"/>
        <v>20351156.343289137</v>
      </c>
    </row>
    <row r="21" spans="2:15" x14ac:dyDescent="0.25">
      <c r="F21" s="47">
        <v>15</v>
      </c>
      <c r="G21" s="48">
        <f>K20</f>
        <v>20351156.343289137</v>
      </c>
      <c r="H21" s="48">
        <f t="shared" si="0"/>
        <v>386671.97052249359</v>
      </c>
      <c r="I21" s="48">
        <f>J21-H21</f>
        <v>463328.02947750641</v>
      </c>
      <c r="J21" s="48">
        <f t="shared" si="4"/>
        <v>850000</v>
      </c>
      <c r="K21" s="48">
        <f t="shared" si="2"/>
        <v>19887828.31381163</v>
      </c>
    </row>
    <row r="22" spans="2:15" x14ac:dyDescent="0.25">
      <c r="B22" s="29" t="s">
        <v>55</v>
      </c>
      <c r="C22" s="26">
        <v>15</v>
      </c>
      <c r="F22" s="47">
        <v>16</v>
      </c>
      <c r="G22" s="48">
        <f t="shared" si="3"/>
        <v>19887828.31381163</v>
      </c>
      <c r="H22" s="48">
        <f t="shared" si="0"/>
        <v>377868.73796242097</v>
      </c>
      <c r="I22" s="48">
        <f t="shared" si="1"/>
        <v>472131.26203757903</v>
      </c>
      <c r="J22" s="48">
        <f t="shared" si="4"/>
        <v>850000</v>
      </c>
      <c r="K22" s="48">
        <f t="shared" si="2"/>
        <v>19415697.051774051</v>
      </c>
    </row>
    <row r="23" spans="2:15" x14ac:dyDescent="0.25">
      <c r="F23" s="47">
        <v>17</v>
      </c>
      <c r="G23" s="48">
        <f t="shared" si="3"/>
        <v>19415697.051774051</v>
      </c>
      <c r="H23" s="48">
        <f t="shared" si="0"/>
        <v>368898.24398370698</v>
      </c>
      <c r="I23" s="48">
        <f t="shared" si="1"/>
        <v>481101.75601629302</v>
      </c>
      <c r="J23" s="48">
        <f t="shared" si="4"/>
        <v>850000</v>
      </c>
      <c r="K23" s="48">
        <f t="shared" si="2"/>
        <v>18934595.295757759</v>
      </c>
    </row>
    <row r="24" spans="2:15" x14ac:dyDescent="0.25">
      <c r="B24" s="29" t="s">
        <v>56</v>
      </c>
      <c r="C24" s="27">
        <v>1500000</v>
      </c>
      <c r="F24" s="47">
        <v>18</v>
      </c>
      <c r="G24" s="48">
        <f t="shared" si="3"/>
        <v>18934595.295757759</v>
      </c>
      <c r="H24" s="48">
        <f t="shared" si="0"/>
        <v>359757.31061939744</v>
      </c>
      <c r="I24" s="48">
        <f t="shared" si="1"/>
        <v>490242.68938060256</v>
      </c>
      <c r="J24" s="48">
        <f t="shared" si="4"/>
        <v>850000</v>
      </c>
      <c r="K24" s="48">
        <f t="shared" si="2"/>
        <v>18444352.606377158</v>
      </c>
    </row>
    <row r="25" spans="2:15" x14ac:dyDescent="0.25">
      <c r="B25" s="4"/>
      <c r="C25" s="28"/>
      <c r="F25" s="47">
        <v>19</v>
      </c>
      <c r="G25" s="48">
        <f t="shared" si="3"/>
        <v>18444352.606377158</v>
      </c>
      <c r="H25" s="48">
        <f t="shared" si="0"/>
        <v>350442.69952116598</v>
      </c>
      <c r="I25" s="48">
        <f t="shared" si="1"/>
        <v>499557.30047883402</v>
      </c>
      <c r="J25" s="48">
        <f t="shared" si="4"/>
        <v>850000</v>
      </c>
      <c r="K25" s="48">
        <f t="shared" si="2"/>
        <v>17944795.305898324</v>
      </c>
    </row>
    <row r="26" spans="2:15" x14ac:dyDescent="0.25">
      <c r="B26" s="29" t="s">
        <v>29</v>
      </c>
      <c r="C26" s="26"/>
      <c r="F26" s="47">
        <v>20</v>
      </c>
      <c r="G26" s="48">
        <f t="shared" si="3"/>
        <v>17944795.305898324</v>
      </c>
      <c r="H26" s="48">
        <f t="shared" si="0"/>
        <v>340951.11081206816</v>
      </c>
      <c r="I26" s="48">
        <f t="shared" si="1"/>
        <v>509048.88918793184</v>
      </c>
      <c r="J26" s="48">
        <f t="shared" si="4"/>
        <v>850000</v>
      </c>
      <c r="K26" s="48">
        <f t="shared" si="2"/>
        <v>17435746.416710392</v>
      </c>
    </row>
    <row r="27" spans="2:15" x14ac:dyDescent="0.25">
      <c r="F27" s="47">
        <v>21</v>
      </c>
      <c r="G27" s="48">
        <f t="shared" si="3"/>
        <v>17435746.416710392</v>
      </c>
      <c r="H27" s="48">
        <f t="shared" si="0"/>
        <v>331279.18191749742</v>
      </c>
      <c r="I27" s="48">
        <f t="shared" si="1"/>
        <v>518720.81808250258</v>
      </c>
      <c r="J27" s="48">
        <f t="shared" si="4"/>
        <v>850000</v>
      </c>
      <c r="K27" s="48">
        <f t="shared" si="2"/>
        <v>16917025.598627888</v>
      </c>
    </row>
    <row r="28" spans="2:15" x14ac:dyDescent="0.25">
      <c r="B28" s="29" t="s">
        <v>57</v>
      </c>
      <c r="C28" s="26" t="s">
        <v>59</v>
      </c>
      <c r="F28" s="47">
        <v>22</v>
      </c>
      <c r="G28" s="48">
        <f t="shared" si="3"/>
        <v>16917025.598627888</v>
      </c>
      <c r="H28" s="48">
        <f t="shared" si="0"/>
        <v>321423.48637392983</v>
      </c>
      <c r="I28" s="48">
        <f t="shared" si="1"/>
        <v>528576.51362607023</v>
      </c>
      <c r="J28" s="48">
        <f t="shared" si="4"/>
        <v>850000</v>
      </c>
      <c r="K28" s="48">
        <f t="shared" si="2"/>
        <v>16388449.085001817</v>
      </c>
    </row>
    <row r="29" spans="2:15" x14ac:dyDescent="0.25">
      <c r="F29" s="47">
        <v>23</v>
      </c>
      <c r="G29" s="48">
        <f t="shared" si="3"/>
        <v>16388449.085001817</v>
      </c>
      <c r="H29" s="48">
        <f t="shared" si="0"/>
        <v>311380.53261503449</v>
      </c>
      <c r="I29" s="48">
        <f t="shared" si="1"/>
        <v>538619.46738496551</v>
      </c>
      <c r="J29" s="48">
        <f t="shared" si="4"/>
        <v>850000</v>
      </c>
      <c r="K29" s="48">
        <f t="shared" si="2"/>
        <v>15849829.617616851</v>
      </c>
    </row>
    <row r="30" spans="2:15" x14ac:dyDescent="0.25">
      <c r="F30" s="47">
        <v>24</v>
      </c>
      <c r="G30" s="48">
        <f t="shared" si="3"/>
        <v>15849829.617616851</v>
      </c>
      <c r="H30" s="48">
        <f t="shared" si="0"/>
        <v>301146.76273472013</v>
      </c>
      <c r="I30" s="48">
        <f t="shared" si="1"/>
        <v>548853.23726527987</v>
      </c>
      <c r="J30" s="48">
        <f t="shared" si="4"/>
        <v>850000</v>
      </c>
      <c r="K30" s="48">
        <f t="shared" si="2"/>
        <v>15300976.380351571</v>
      </c>
    </row>
    <row r="31" spans="2:15" x14ac:dyDescent="0.25">
      <c r="F31" s="47">
        <v>25</v>
      </c>
      <c r="G31" s="48">
        <f t="shared" si="3"/>
        <v>15300976.380351571</v>
      </c>
      <c r="H31" s="48">
        <f t="shared" si="0"/>
        <v>290718.55122667988</v>
      </c>
      <c r="I31" s="48">
        <f t="shared" si="1"/>
        <v>559281.44877332007</v>
      </c>
      <c r="J31" s="48">
        <f t="shared" si="4"/>
        <v>850000</v>
      </c>
      <c r="K31" s="48">
        <f t="shared" si="2"/>
        <v>14741694.931578251</v>
      </c>
    </row>
    <row r="32" spans="2:15" x14ac:dyDescent="0.25">
      <c r="F32" s="47">
        <v>26</v>
      </c>
      <c r="G32" s="48">
        <f t="shared" si="3"/>
        <v>14741694.931578251</v>
      </c>
      <c r="H32" s="48">
        <f t="shared" si="0"/>
        <v>280092.20369998674</v>
      </c>
      <c r="I32" s="48">
        <f t="shared" si="1"/>
        <v>569907.79630001332</v>
      </c>
      <c r="J32" s="48">
        <f t="shared" si="4"/>
        <v>850000</v>
      </c>
      <c r="K32" s="48">
        <f t="shared" si="2"/>
        <v>14171787.135278238</v>
      </c>
    </row>
    <row r="33" spans="6:11" x14ac:dyDescent="0.25">
      <c r="F33" s="47">
        <v>27</v>
      </c>
      <c r="G33" s="48">
        <f t="shared" si="3"/>
        <v>14171787.135278238</v>
      </c>
      <c r="H33" s="48">
        <f t="shared" si="0"/>
        <v>269263.95557028649</v>
      </c>
      <c r="I33" s="48">
        <f t="shared" si="1"/>
        <v>580736.04442971351</v>
      </c>
      <c r="J33" s="48">
        <f t="shared" si="4"/>
        <v>850000</v>
      </c>
      <c r="K33" s="48">
        <f t="shared" si="2"/>
        <v>13591051.090848524</v>
      </c>
    </row>
    <row r="34" spans="6:11" x14ac:dyDescent="0.25">
      <c r="F34" s="47">
        <v>28</v>
      </c>
      <c r="G34" s="48">
        <f t="shared" si="3"/>
        <v>13591051.090848524</v>
      </c>
      <c r="H34" s="48">
        <f t="shared" si="0"/>
        <v>258229.97072612194</v>
      </c>
      <c r="I34" s="48">
        <f t="shared" si="1"/>
        <v>591770.02927387808</v>
      </c>
      <c r="J34" s="48">
        <f t="shared" si="4"/>
        <v>850000</v>
      </c>
      <c r="K34" s="48">
        <f t="shared" si="2"/>
        <v>12999281.061574645</v>
      </c>
    </row>
    <row r="35" spans="6:11" x14ac:dyDescent="0.25">
      <c r="F35" s="47">
        <v>29</v>
      </c>
      <c r="G35" s="48">
        <f t="shared" si="3"/>
        <v>12999281.061574645</v>
      </c>
      <c r="H35" s="48">
        <f t="shared" si="0"/>
        <v>246986.34016991826</v>
      </c>
      <c r="I35" s="48">
        <f t="shared" si="1"/>
        <v>603013.65983008174</v>
      </c>
      <c r="J35" s="48">
        <f t="shared" si="4"/>
        <v>850000</v>
      </c>
      <c r="K35" s="48">
        <f t="shared" si="2"/>
        <v>12396267.401744563</v>
      </c>
    </row>
    <row r="36" spans="6:11" x14ac:dyDescent="0.25">
      <c r="F36" s="47">
        <v>30</v>
      </c>
      <c r="G36" s="48">
        <f t="shared" si="3"/>
        <v>12396267.401744563</v>
      </c>
      <c r="H36" s="48">
        <f t="shared" si="0"/>
        <v>235529.08063314669</v>
      </c>
      <c r="I36" s="48">
        <f t="shared" si="1"/>
        <v>614470.91936685331</v>
      </c>
      <c r="J36" s="48">
        <f t="shared" si="4"/>
        <v>850000</v>
      </c>
      <c r="K36" s="48">
        <f t="shared" si="2"/>
        <v>11781796.48237771</v>
      </c>
    </row>
    <row r="37" spans="6:11" x14ac:dyDescent="0.25">
      <c r="F37" s="47">
        <v>31</v>
      </c>
      <c r="G37" s="48">
        <f t="shared" si="3"/>
        <v>11781796.48237771</v>
      </c>
      <c r="H37" s="48">
        <f t="shared" si="0"/>
        <v>223854.13316517649</v>
      </c>
      <c r="I37" s="48">
        <f t="shared" si="1"/>
        <v>626145.86683482351</v>
      </c>
      <c r="J37" s="48">
        <f t="shared" si="4"/>
        <v>850000</v>
      </c>
      <c r="K37" s="48">
        <f t="shared" si="2"/>
        <v>11155650.615542887</v>
      </c>
    </row>
    <row r="38" spans="6:11" x14ac:dyDescent="0.25">
      <c r="F38" s="47">
        <v>32</v>
      </c>
      <c r="G38" s="48">
        <f t="shared" si="3"/>
        <v>11155650.615542887</v>
      </c>
      <c r="H38" s="48">
        <f t="shared" si="0"/>
        <v>211957.36169531484</v>
      </c>
      <c r="I38" s="48">
        <f t="shared" si="1"/>
        <v>638042.63830468513</v>
      </c>
      <c r="J38" s="48">
        <f t="shared" si="4"/>
        <v>850000</v>
      </c>
      <c r="K38" s="48">
        <f t="shared" si="2"/>
        <v>10517607.977238202</v>
      </c>
    </row>
    <row r="39" spans="6:11" x14ac:dyDescent="0.25">
      <c r="F39" s="47">
        <v>33</v>
      </c>
      <c r="G39" s="48">
        <f t="shared" si="3"/>
        <v>10517607.977238202</v>
      </c>
      <c r="H39" s="48">
        <f t="shared" si="0"/>
        <v>199834.55156752584</v>
      </c>
      <c r="I39" s="48">
        <f t="shared" si="1"/>
        <v>650165.44843247416</v>
      </c>
      <c r="J39" s="48">
        <f t="shared" si="4"/>
        <v>850000</v>
      </c>
      <c r="K39" s="48">
        <f t="shared" si="2"/>
        <v>9867442.528805729</v>
      </c>
    </row>
    <row r="40" spans="6:11" x14ac:dyDescent="0.25">
      <c r="F40" s="47">
        <v>34</v>
      </c>
      <c r="G40" s="48">
        <f t="shared" si="3"/>
        <v>9867442.528805729</v>
      </c>
      <c r="H40" s="48">
        <f t="shared" si="0"/>
        <v>187481.40804730885</v>
      </c>
      <c r="I40" s="48">
        <f t="shared" si="1"/>
        <v>662518.59195269109</v>
      </c>
      <c r="J40" s="48">
        <f t="shared" si="4"/>
        <v>850000</v>
      </c>
      <c r="K40" s="48">
        <f t="shared" si="2"/>
        <v>9204923.9368530381</v>
      </c>
    </row>
    <row r="41" spans="6:11" x14ac:dyDescent="0.25">
      <c r="F41" s="47">
        <v>35</v>
      </c>
      <c r="G41" s="48">
        <f t="shared" si="3"/>
        <v>9204923.9368530381</v>
      </c>
      <c r="H41" s="48">
        <f t="shared" si="0"/>
        <v>174893.55480020773</v>
      </c>
      <c r="I41" s="48">
        <f t="shared" si="1"/>
        <v>675106.44519979227</v>
      </c>
      <c r="J41" s="48">
        <f t="shared" si="4"/>
        <v>850000</v>
      </c>
      <c r="K41" s="48">
        <f t="shared" si="2"/>
        <v>8529817.4916532449</v>
      </c>
    </row>
    <row r="42" spans="6:11" x14ac:dyDescent="0.25">
      <c r="F42" s="47">
        <v>36</v>
      </c>
      <c r="G42" s="48">
        <f t="shared" si="3"/>
        <v>8529817.4916532449</v>
      </c>
      <c r="H42" s="48">
        <f t="shared" si="0"/>
        <v>162066.53234141166</v>
      </c>
      <c r="I42" s="48">
        <f t="shared" si="1"/>
        <v>687933.46765858831</v>
      </c>
      <c r="J42" s="48">
        <f t="shared" si="4"/>
        <v>850000</v>
      </c>
      <c r="K42" s="48">
        <f t="shared" si="2"/>
        <v>7841884.0239946563</v>
      </c>
    </row>
    <row r="43" spans="6:11" x14ac:dyDescent="0.25">
      <c r="F43" s="47">
        <v>37</v>
      </c>
      <c r="G43" s="48">
        <f t="shared" si="3"/>
        <v>7841884.0239946563</v>
      </c>
      <c r="H43" s="48">
        <f t="shared" si="0"/>
        <v>148995.79645589847</v>
      </c>
      <c r="I43" s="48">
        <f t="shared" si="1"/>
        <v>701004.20354410156</v>
      </c>
      <c r="J43" s="48">
        <f t="shared" si="4"/>
        <v>850000</v>
      </c>
      <c r="K43" s="48">
        <f t="shared" si="2"/>
        <v>7140879.8204505546</v>
      </c>
    </row>
    <row r="44" spans="6:11" x14ac:dyDescent="0.25">
      <c r="F44" s="47">
        <v>38</v>
      </c>
      <c r="G44" s="48">
        <f t="shared" si="3"/>
        <v>7140879.8204505546</v>
      </c>
      <c r="H44" s="48">
        <f t="shared" si="0"/>
        <v>135676.71658856052</v>
      </c>
      <c r="I44" s="48">
        <f t="shared" si="1"/>
        <v>714323.28341143951</v>
      </c>
      <c r="J44" s="48">
        <f t="shared" si="4"/>
        <v>850000</v>
      </c>
      <c r="K44" s="48">
        <f t="shared" si="2"/>
        <v>6426556.5370391151</v>
      </c>
    </row>
    <row r="45" spans="6:11" x14ac:dyDescent="0.25">
      <c r="F45" s="47">
        <v>39</v>
      </c>
      <c r="G45" s="48">
        <f t="shared" si="3"/>
        <v>6426556.5370391151</v>
      </c>
      <c r="H45" s="48">
        <f t="shared" si="0"/>
        <v>122104.57420374318</v>
      </c>
      <c r="I45" s="48">
        <f t="shared" si="1"/>
        <v>727895.42579625687</v>
      </c>
      <c r="J45" s="48">
        <f t="shared" si="4"/>
        <v>850000</v>
      </c>
      <c r="K45" s="48">
        <f t="shared" si="2"/>
        <v>5698661.1112428587</v>
      </c>
    </row>
    <row r="46" spans="6:11" x14ac:dyDescent="0.25">
      <c r="F46" s="47">
        <v>40</v>
      </c>
      <c r="G46" s="48">
        <f t="shared" si="3"/>
        <v>5698661.1112428587</v>
      </c>
      <c r="H46" s="48">
        <f t="shared" si="0"/>
        <v>108274.56111361431</v>
      </c>
      <c r="I46" s="48">
        <f t="shared" si="1"/>
        <v>741725.43888638564</v>
      </c>
      <c r="J46" s="48">
        <f t="shared" si="4"/>
        <v>850000</v>
      </c>
      <c r="K46" s="48">
        <f t="shared" si="2"/>
        <v>4956935.6723564733</v>
      </c>
    </row>
    <row r="47" spans="6:11" x14ac:dyDescent="0.25">
      <c r="F47" s="47">
        <v>41</v>
      </c>
      <c r="G47" s="48">
        <f t="shared" si="3"/>
        <v>4956935.6723564733</v>
      </c>
      <c r="H47" s="48">
        <f t="shared" si="0"/>
        <v>94181.777774772985</v>
      </c>
      <c r="I47" s="48">
        <f t="shared" si="1"/>
        <v>755818.22222522704</v>
      </c>
      <c r="J47" s="48">
        <f t="shared" si="4"/>
        <v>850000</v>
      </c>
      <c r="K47" s="48">
        <f t="shared" si="2"/>
        <v>4201117.4501312459</v>
      </c>
    </row>
    <row r="48" spans="6:11" x14ac:dyDescent="0.25">
      <c r="F48" s="47">
        <v>42</v>
      </c>
      <c r="G48" s="48">
        <f t="shared" si="3"/>
        <v>4201117.4501312459</v>
      </c>
      <c r="H48" s="48">
        <f t="shared" si="0"/>
        <v>79821.231552493671</v>
      </c>
      <c r="I48" s="48">
        <f t="shared" si="1"/>
        <v>770178.76844750636</v>
      </c>
      <c r="J48" s="48">
        <f t="shared" si="4"/>
        <v>850000</v>
      </c>
      <c r="K48" s="48">
        <f t="shared" si="2"/>
        <v>3430938.6816837396</v>
      </c>
    </row>
    <row r="49" spans="6:13" x14ac:dyDescent="0.25">
      <c r="F49" s="47">
        <v>43</v>
      </c>
      <c r="G49" s="48">
        <f t="shared" si="3"/>
        <v>3430938.6816837396</v>
      </c>
      <c r="H49" s="48">
        <f t="shared" si="0"/>
        <v>65187.834951991055</v>
      </c>
      <c r="I49" s="48">
        <f t="shared" si="1"/>
        <v>784812.1650480089</v>
      </c>
      <c r="J49" s="48">
        <f t="shared" si="4"/>
        <v>850000</v>
      </c>
      <c r="K49" s="48">
        <f t="shared" si="2"/>
        <v>2646126.5166357309</v>
      </c>
    </row>
    <row r="50" spans="6:13" x14ac:dyDescent="0.25">
      <c r="F50" s="47">
        <v>44</v>
      </c>
      <c r="G50" s="48">
        <f t="shared" si="3"/>
        <v>2646126.5166357309</v>
      </c>
      <c r="H50" s="48">
        <f t="shared" si="0"/>
        <v>50276.403816078884</v>
      </c>
      <c r="I50" s="48">
        <f t="shared" si="1"/>
        <v>799723.59618392109</v>
      </c>
      <c r="J50" s="48">
        <f t="shared" si="4"/>
        <v>850000</v>
      </c>
      <c r="K50" s="48">
        <f t="shared" si="2"/>
        <v>1846402.9204518097</v>
      </c>
      <c r="M50">
        <v>24911579.484000001</v>
      </c>
    </row>
    <row r="51" spans="6:13" x14ac:dyDescent="0.25">
      <c r="F51" s="47">
        <v>45</v>
      </c>
      <c r="G51" s="48">
        <f t="shared" si="3"/>
        <v>1846402.9204518097</v>
      </c>
      <c r="H51" s="48">
        <f t="shared" si="0"/>
        <v>35081.65548858438</v>
      </c>
      <c r="I51" s="48">
        <f t="shared" si="1"/>
        <v>814918.34451141558</v>
      </c>
      <c r="J51" s="48">
        <f t="shared" si="4"/>
        <v>850000</v>
      </c>
      <c r="K51" s="48">
        <f t="shared" si="2"/>
        <v>1031484.5759403941</v>
      </c>
      <c r="M51" s="42">
        <f>J52+K52</f>
        <v>1051082.7828832616</v>
      </c>
    </row>
    <row r="52" spans="6:13" x14ac:dyDescent="0.25">
      <c r="F52" s="110">
        <v>46</v>
      </c>
      <c r="G52" s="109">
        <f t="shared" si="3"/>
        <v>1031484.5759403941</v>
      </c>
      <c r="H52" s="109">
        <f t="shared" si="0"/>
        <v>19598.206942867488</v>
      </c>
      <c r="I52" s="109">
        <f t="shared" si="1"/>
        <v>830401.79305713251</v>
      </c>
      <c r="J52" s="109">
        <f t="shared" si="4"/>
        <v>850000</v>
      </c>
      <c r="K52" s="109">
        <f t="shared" si="2"/>
        <v>201082.78288326156</v>
      </c>
      <c r="L52" t="s">
        <v>79</v>
      </c>
      <c r="M52" t="s">
        <v>78</v>
      </c>
    </row>
    <row r="53" spans="6:13" x14ac:dyDescent="0.25">
      <c r="F53" s="47">
        <v>47</v>
      </c>
      <c r="G53" s="48">
        <f t="shared" si="3"/>
        <v>201082.78288326156</v>
      </c>
      <c r="H53" s="48">
        <f t="shared" si="0"/>
        <v>3820.5728747819694</v>
      </c>
      <c r="I53" s="48">
        <f t="shared" si="1"/>
        <v>846179.42712521798</v>
      </c>
      <c r="J53" s="48">
        <f t="shared" si="4"/>
        <v>850000</v>
      </c>
      <c r="K53" s="48">
        <f t="shared" si="2"/>
        <v>-645096.64424195641</v>
      </c>
      <c r="L53" t="s">
        <v>80</v>
      </c>
      <c r="M53" t="s">
        <v>81</v>
      </c>
    </row>
    <row r="54" spans="6:13" x14ac:dyDescent="0.25">
      <c r="F54" s="47">
        <v>48</v>
      </c>
      <c r="G54" s="48">
        <f t="shared" si="3"/>
        <v>-645096.64424195641</v>
      </c>
      <c r="H54" s="48">
        <f t="shared" si="0"/>
        <v>-12256.836240597171</v>
      </c>
      <c r="I54" s="48">
        <f t="shared" si="1"/>
        <v>862256.83624059719</v>
      </c>
      <c r="J54" s="48">
        <f t="shared" si="4"/>
        <v>850000</v>
      </c>
      <c r="K54" s="48">
        <f t="shared" si="2"/>
        <v>-1507353.4804825536</v>
      </c>
      <c r="L54" t="s">
        <v>82</v>
      </c>
      <c r="M54" t="s">
        <v>83</v>
      </c>
    </row>
    <row r="55" spans="6:13" x14ac:dyDescent="0.25">
      <c r="F55" s="47">
        <v>49</v>
      </c>
      <c r="G55" s="49"/>
      <c r="H55" s="49"/>
      <c r="I55" s="49"/>
      <c r="J55" s="49"/>
      <c r="K55" s="49"/>
    </row>
    <row r="56" spans="6:13" x14ac:dyDescent="0.25">
      <c r="F56" s="47">
        <v>50</v>
      </c>
      <c r="G56" s="49"/>
      <c r="H56" s="49"/>
      <c r="I56" s="49"/>
      <c r="J56" s="49"/>
      <c r="K56" s="49"/>
    </row>
    <row r="57" spans="6:13" x14ac:dyDescent="0.25">
      <c r="F57" s="47">
        <v>51</v>
      </c>
      <c r="G57" s="49"/>
      <c r="H57" s="49"/>
      <c r="I57" s="49"/>
      <c r="J57" s="49"/>
      <c r="K57" s="49"/>
    </row>
    <row r="58" spans="6:13" x14ac:dyDescent="0.25">
      <c r="F58" s="47">
        <v>52</v>
      </c>
      <c r="G58" s="49"/>
      <c r="H58" s="49"/>
      <c r="I58" s="49"/>
      <c r="J58" s="49"/>
      <c r="K58" s="49"/>
    </row>
    <row r="59" spans="6:13" x14ac:dyDescent="0.25">
      <c r="F59" s="47">
        <v>53</v>
      </c>
      <c r="G59" s="49"/>
      <c r="H59" s="49"/>
      <c r="I59" s="49"/>
      <c r="J59" s="49"/>
      <c r="K59" s="49"/>
    </row>
    <row r="60" spans="6:13" x14ac:dyDescent="0.25">
      <c r="F60" s="47">
        <v>54</v>
      </c>
      <c r="G60" s="49"/>
      <c r="H60" s="49"/>
      <c r="I60" s="49"/>
      <c r="J60" s="49"/>
      <c r="K60" s="49"/>
    </row>
    <row r="61" spans="6:13" x14ac:dyDescent="0.25">
      <c r="F61" s="47">
        <v>55</v>
      </c>
      <c r="G61" s="49"/>
      <c r="H61" s="49"/>
      <c r="I61" s="49"/>
      <c r="J61" s="49"/>
      <c r="K61" s="49"/>
    </row>
    <row r="62" spans="6:13" x14ac:dyDescent="0.25">
      <c r="F62" s="47">
        <v>56</v>
      </c>
      <c r="G62" s="49"/>
      <c r="H62" s="49"/>
      <c r="I62" s="49"/>
      <c r="J62" s="49"/>
      <c r="K62" s="49"/>
    </row>
    <row r="63" spans="6:13" x14ac:dyDescent="0.25">
      <c r="F63" s="47">
        <v>57</v>
      </c>
      <c r="G63" s="49"/>
      <c r="H63" s="49"/>
      <c r="I63" s="49"/>
      <c r="J63" s="49"/>
      <c r="K63" s="49"/>
    </row>
    <row r="64" spans="6:13" x14ac:dyDescent="0.25">
      <c r="F64" s="47">
        <v>58</v>
      </c>
      <c r="G64" s="49"/>
      <c r="H64" s="49"/>
      <c r="I64" s="49"/>
      <c r="J64" s="49"/>
      <c r="K64" s="49"/>
    </row>
    <row r="65" spans="6:11" x14ac:dyDescent="0.25">
      <c r="F65" s="47">
        <v>59</v>
      </c>
      <c r="G65" s="49"/>
      <c r="H65" s="49"/>
      <c r="I65" s="49"/>
      <c r="J65" s="49"/>
      <c r="K65" s="49"/>
    </row>
    <row r="66" spans="6:11" x14ac:dyDescent="0.25">
      <c r="F66" s="47">
        <v>60</v>
      </c>
      <c r="G66" s="49"/>
      <c r="H66" s="49"/>
      <c r="I66" s="49"/>
      <c r="J66" s="49"/>
      <c r="K66" s="49"/>
    </row>
    <row r="67" spans="6:11" x14ac:dyDescent="0.25">
      <c r="F67" s="47">
        <v>61</v>
      </c>
      <c r="G67" s="49"/>
      <c r="H67" s="49"/>
      <c r="I67" s="49"/>
      <c r="J67" s="49"/>
      <c r="K67" s="49"/>
    </row>
    <row r="68" spans="6:11" x14ac:dyDescent="0.25">
      <c r="F68" s="47">
        <v>62</v>
      </c>
      <c r="G68" s="49"/>
      <c r="H68" s="49"/>
      <c r="I68" s="49"/>
      <c r="J68" s="49"/>
      <c r="K68" s="49"/>
    </row>
    <row r="69" spans="6:11" x14ac:dyDescent="0.25">
      <c r="F69" s="47">
        <v>63</v>
      </c>
      <c r="G69" s="49"/>
      <c r="H69" s="49"/>
      <c r="I69" s="49"/>
      <c r="J69" s="49"/>
      <c r="K69" s="49"/>
    </row>
    <row r="70" spans="6:11" x14ac:dyDescent="0.25">
      <c r="F70" s="47">
        <v>64</v>
      </c>
      <c r="G70" s="49"/>
      <c r="H70" s="49"/>
      <c r="I70" s="49"/>
      <c r="J70" s="49"/>
      <c r="K70" s="49"/>
    </row>
    <row r="71" spans="6:11" x14ac:dyDescent="0.25">
      <c r="F71" s="47">
        <v>65</v>
      </c>
      <c r="G71" s="49"/>
      <c r="H71" s="49"/>
      <c r="I71" s="49"/>
      <c r="J71" s="49"/>
      <c r="K71" s="49"/>
    </row>
    <row r="72" spans="6:11" x14ac:dyDescent="0.25">
      <c r="F72" s="47">
        <v>66</v>
      </c>
      <c r="G72" s="49"/>
      <c r="H72" s="49"/>
      <c r="I72" s="49"/>
      <c r="J72" s="49"/>
      <c r="K72" s="49"/>
    </row>
    <row r="73" spans="6:11" x14ac:dyDescent="0.25">
      <c r="F73" s="47">
        <v>67</v>
      </c>
      <c r="G73" s="49"/>
      <c r="H73" s="49"/>
      <c r="I73" s="49"/>
      <c r="J73" s="49"/>
      <c r="K73" s="49"/>
    </row>
    <row r="74" spans="6:11" x14ac:dyDescent="0.25">
      <c r="F74" s="47">
        <v>68</v>
      </c>
      <c r="G74" s="49"/>
      <c r="H74" s="49"/>
      <c r="I74" s="49"/>
      <c r="J74" s="49"/>
      <c r="K74" s="49"/>
    </row>
    <row r="75" spans="6:11" x14ac:dyDescent="0.25">
      <c r="F75" s="47">
        <v>69</v>
      </c>
      <c r="G75" s="49"/>
      <c r="H75" s="49"/>
      <c r="I75" s="49"/>
      <c r="J75" s="49"/>
      <c r="K75" s="49"/>
    </row>
    <row r="76" spans="6:11" x14ac:dyDescent="0.25">
      <c r="F76" s="47">
        <v>70</v>
      </c>
      <c r="G76" s="49"/>
      <c r="H76" s="49"/>
      <c r="I76" s="49"/>
      <c r="J76" s="49"/>
      <c r="K76" s="49"/>
    </row>
    <row r="77" spans="6:11" x14ac:dyDescent="0.25">
      <c r="F77" s="47">
        <v>71</v>
      </c>
      <c r="G77" s="49"/>
      <c r="H77" s="49"/>
      <c r="I77" s="49"/>
      <c r="J77" s="49"/>
      <c r="K77" s="49"/>
    </row>
    <row r="78" spans="6:11" x14ac:dyDescent="0.25">
      <c r="F78" s="47">
        <v>72</v>
      </c>
      <c r="G78" s="49"/>
      <c r="H78" s="49"/>
      <c r="I78" s="49"/>
      <c r="J78" s="49"/>
      <c r="K78" s="49"/>
    </row>
  </sheetData>
  <mergeCells count="8">
    <mergeCell ref="N14:N15"/>
    <mergeCell ref="O14:O15"/>
    <mergeCell ref="R1:R3"/>
    <mergeCell ref="T1:T3"/>
    <mergeCell ref="N2:N3"/>
    <mergeCell ref="P2:P3"/>
    <mergeCell ref="N10:N12"/>
    <mergeCell ref="O10:O12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listas!$G$4:$G$5</xm:f>
          </x14:formula1>
          <xm:sqref>C6</xm:sqref>
        </x14:dataValidation>
        <x14:dataValidation type="list" allowBlank="1" showInputMessage="1" showErrorMessage="1">
          <x14:formula1>
            <xm:f>listas!$M$3:$M$4</xm:f>
          </x14:formula1>
          <xm:sqref>C12</xm:sqref>
        </x14:dataValidation>
        <x14:dataValidation type="list" allowBlank="1" showInputMessage="1" showErrorMessage="1">
          <x14:formula1>
            <xm:f>listas!$I$4:$I$13</xm:f>
          </x14:formula1>
          <xm:sqref>C14</xm:sqref>
        </x14:dataValidation>
        <x14:dataValidation type="list" allowBlank="1" showInputMessage="1" showErrorMessage="1">
          <x14:formula1>
            <xm:f>listas!$O$4:$O$8</xm:f>
          </x14:formula1>
          <xm:sqref>C26</xm:sqref>
        </x14:dataValidation>
        <x14:dataValidation type="list" allowBlank="1" showInputMessage="1" showErrorMessage="1">
          <x14:formula1>
            <xm:f>listas!$D$3:$D$74</xm:f>
          </x14:formula1>
          <xm:sqref>C10 C22</xm:sqref>
        </x14:dataValidation>
        <x14:dataValidation type="list" allowBlank="1" showInputMessage="1" showErrorMessage="1">
          <x14:formula1>
            <xm:f>listas!$C$2:$C$4</xm:f>
          </x14:formula1>
          <xm:sqref>C28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T78"/>
  <sheetViews>
    <sheetView workbookViewId="0">
      <selection activeCell="M5" sqref="M5"/>
    </sheetView>
  </sheetViews>
  <sheetFormatPr baseColWidth="10" defaultRowHeight="15" x14ac:dyDescent="0.25"/>
  <cols>
    <col min="1" max="1" width="2.5703125" customWidth="1"/>
    <col min="2" max="2" width="18.85546875" customWidth="1"/>
    <col min="3" max="3" width="17.28515625" customWidth="1"/>
    <col min="4" max="4" width="2.42578125" customWidth="1"/>
    <col min="5" max="5" width="4.140625" customWidth="1"/>
    <col min="7" max="7" width="18.85546875" customWidth="1"/>
    <col min="8" max="8" width="19.28515625" customWidth="1"/>
    <col min="9" max="9" width="17.7109375" customWidth="1"/>
    <col min="10" max="10" width="13.85546875" bestFit="1" customWidth="1"/>
    <col min="11" max="11" width="18.28515625" customWidth="1"/>
    <col min="12" max="12" width="2.42578125" customWidth="1"/>
    <col min="13" max="13" width="14.42578125" customWidth="1"/>
    <col min="14" max="14" width="8.140625" customWidth="1"/>
    <col min="15" max="15" width="4.42578125" customWidth="1"/>
    <col min="16" max="17" width="14.28515625" customWidth="1"/>
    <col min="18" max="18" width="12.140625" customWidth="1"/>
    <col min="19" max="19" width="1.85546875" customWidth="1"/>
    <col min="20" max="20" width="14.7109375" customWidth="1"/>
    <col min="21" max="21" width="3.28515625" customWidth="1"/>
  </cols>
  <sheetData>
    <row r="1" spans="2:20" x14ac:dyDescent="0.25">
      <c r="B1" s="35" t="s">
        <v>43</v>
      </c>
      <c r="R1" s="177" t="s">
        <v>50</v>
      </c>
      <c r="T1" s="177" t="s">
        <v>51</v>
      </c>
    </row>
    <row r="2" spans="2:20" ht="15" customHeight="1" x14ac:dyDescent="0.25">
      <c r="B2" s="34" t="s">
        <v>8</v>
      </c>
      <c r="C2" s="33"/>
      <c r="N2" s="177" t="s">
        <v>48</v>
      </c>
      <c r="P2" s="177" t="s">
        <v>49</v>
      </c>
      <c r="R2" s="177"/>
      <c r="T2" s="177"/>
    </row>
    <row r="3" spans="2:20" x14ac:dyDescent="0.25">
      <c r="B3" s="37"/>
      <c r="C3" s="33"/>
      <c r="N3" s="178"/>
      <c r="P3" s="178"/>
      <c r="R3" s="178"/>
      <c r="T3" s="178"/>
    </row>
    <row r="4" spans="2:20" x14ac:dyDescent="0.25">
      <c r="B4" s="34" t="s">
        <v>44</v>
      </c>
      <c r="C4" s="38"/>
      <c r="N4">
        <v>0.26819999999999999</v>
      </c>
      <c r="P4">
        <f>N4/2</f>
        <v>0.1341</v>
      </c>
      <c r="R4">
        <f>P4/ (1-P4)</f>
        <v>0.15486776764060514</v>
      </c>
      <c r="T4" s="53">
        <f>((1+R4)^(2/12))-1</f>
        <v>2.4287902365672798E-2</v>
      </c>
    </row>
    <row r="5" spans="2:20" ht="18.75" x14ac:dyDescent="0.25">
      <c r="F5" s="30">
        <v>1</v>
      </c>
      <c r="G5" s="30">
        <v>2</v>
      </c>
      <c r="H5" s="30" t="s">
        <v>35</v>
      </c>
      <c r="I5" s="30" t="s">
        <v>36</v>
      </c>
      <c r="J5" s="30">
        <v>5</v>
      </c>
      <c r="K5" s="30" t="s">
        <v>37</v>
      </c>
    </row>
    <row r="6" spans="2:20" x14ac:dyDescent="0.25">
      <c r="B6" s="29" t="s">
        <v>11</v>
      </c>
      <c r="C6" s="26" t="s">
        <v>13</v>
      </c>
      <c r="F6" s="31" t="s">
        <v>38</v>
      </c>
      <c r="G6" s="32" t="s">
        <v>9</v>
      </c>
      <c r="H6" s="32" t="s">
        <v>39</v>
      </c>
      <c r="I6" s="32" t="s">
        <v>40</v>
      </c>
      <c r="J6" s="32" t="s">
        <v>41</v>
      </c>
      <c r="K6" s="32" t="s">
        <v>42</v>
      </c>
    </row>
    <row r="7" spans="2:20" x14ac:dyDescent="0.25">
      <c r="C7" s="2"/>
      <c r="F7" s="47">
        <v>1</v>
      </c>
      <c r="G7" s="48">
        <f>C8</f>
        <v>26000000</v>
      </c>
      <c r="H7" s="48">
        <f>G7*$C$18</f>
        <v>494000</v>
      </c>
      <c r="I7" s="48">
        <f>J7-H7</f>
        <v>356000</v>
      </c>
      <c r="J7" s="48">
        <f>C20</f>
        <v>850000</v>
      </c>
      <c r="K7" s="48">
        <f>G7-I7</f>
        <v>25644000</v>
      </c>
      <c r="N7" s="51"/>
      <c r="O7" s="50"/>
      <c r="Q7" s="9"/>
    </row>
    <row r="8" spans="2:20" x14ac:dyDescent="0.25">
      <c r="B8" s="29" t="s">
        <v>9</v>
      </c>
      <c r="C8" s="27">
        <v>26000000</v>
      </c>
      <c r="F8" s="47">
        <v>2</v>
      </c>
      <c r="G8" s="48">
        <f>K7</f>
        <v>25644000</v>
      </c>
      <c r="H8" s="48">
        <f t="shared" ref="H8:H41" si="0">G8*$C$18</f>
        <v>487236</v>
      </c>
      <c r="I8" s="48">
        <f t="shared" ref="I8:I41" si="1">J8-H8</f>
        <v>362764</v>
      </c>
      <c r="J8" s="48">
        <f>J7</f>
        <v>850000</v>
      </c>
      <c r="K8" s="48">
        <f t="shared" ref="K8:K41" si="2">G8-I8</f>
        <v>25281236</v>
      </c>
      <c r="N8" s="2"/>
      <c r="O8" s="50"/>
      <c r="Q8" s="10"/>
    </row>
    <row r="9" spans="2:20" ht="18.75" x14ac:dyDescent="0.25">
      <c r="C9" s="2"/>
      <c r="F9" s="47">
        <v>3</v>
      </c>
      <c r="G9" s="48">
        <f t="shared" ref="G9:G41" si="3">K8</f>
        <v>25281236</v>
      </c>
      <c r="H9" s="48">
        <f t="shared" si="0"/>
        <v>480343.484</v>
      </c>
      <c r="I9" s="48">
        <f t="shared" si="1"/>
        <v>369656.516</v>
      </c>
      <c r="J9" s="48">
        <f t="shared" ref="J9:J41" si="4">J8</f>
        <v>850000</v>
      </c>
      <c r="K9" s="48">
        <f t="shared" si="2"/>
        <v>24911579.484000001</v>
      </c>
      <c r="N9" s="2"/>
      <c r="O9" s="50"/>
      <c r="Q9" s="23"/>
    </row>
    <row r="10" spans="2:20" x14ac:dyDescent="0.25">
      <c r="B10" s="29" t="s">
        <v>10</v>
      </c>
      <c r="C10" s="26">
        <v>48</v>
      </c>
      <c r="F10" s="47">
        <v>4</v>
      </c>
      <c r="G10" s="48">
        <f t="shared" si="3"/>
        <v>24911579.484000001</v>
      </c>
      <c r="H10" s="48">
        <f t="shared" si="0"/>
        <v>473320.01019599999</v>
      </c>
      <c r="I10" s="48">
        <f t="shared" si="1"/>
        <v>376679.98980400001</v>
      </c>
      <c r="J10" s="48">
        <f t="shared" si="4"/>
        <v>850000</v>
      </c>
      <c r="K10" s="48">
        <f t="shared" si="2"/>
        <v>24534899.494196001</v>
      </c>
      <c r="N10" s="185"/>
      <c r="O10" s="186"/>
      <c r="P10" s="42"/>
      <c r="Q10" s="43"/>
    </row>
    <row r="11" spans="2:20" x14ac:dyDescent="0.25">
      <c r="B11" s="4"/>
      <c r="C11" s="28"/>
      <c r="F11" s="47">
        <v>5</v>
      </c>
      <c r="G11" s="48">
        <f t="shared" si="3"/>
        <v>24534899.494196001</v>
      </c>
      <c r="H11" s="48">
        <f t="shared" si="0"/>
        <v>466163.09038972401</v>
      </c>
      <c r="I11" s="48">
        <f t="shared" si="1"/>
        <v>383836.90961027599</v>
      </c>
      <c r="J11" s="48">
        <f t="shared" si="4"/>
        <v>850000</v>
      </c>
      <c r="K11" s="48">
        <f t="shared" si="2"/>
        <v>24151062.584585726</v>
      </c>
      <c r="N11" s="185"/>
      <c r="O11" s="186"/>
      <c r="Q11" s="55"/>
    </row>
    <row r="12" spans="2:20" ht="18.75" x14ac:dyDescent="0.25">
      <c r="B12" s="29" t="s">
        <v>28</v>
      </c>
      <c r="C12" s="26" t="s">
        <v>21</v>
      </c>
      <c r="F12" s="47">
        <v>6</v>
      </c>
      <c r="G12" s="48">
        <f t="shared" si="3"/>
        <v>24151062.584585726</v>
      </c>
      <c r="H12" s="48">
        <f t="shared" si="0"/>
        <v>458870.18910712877</v>
      </c>
      <c r="I12" s="48">
        <f t="shared" si="1"/>
        <v>391129.81089287123</v>
      </c>
      <c r="J12" s="48">
        <f t="shared" si="4"/>
        <v>850000</v>
      </c>
      <c r="K12" s="48">
        <f t="shared" si="2"/>
        <v>23759932.773692854</v>
      </c>
      <c r="N12" s="185"/>
      <c r="O12" s="186"/>
      <c r="Q12" s="45"/>
    </row>
    <row r="13" spans="2:20" x14ac:dyDescent="0.25">
      <c r="C13" s="2"/>
      <c r="F13" s="47">
        <v>7</v>
      </c>
      <c r="G13" s="48">
        <f t="shared" si="3"/>
        <v>23759932.773692854</v>
      </c>
      <c r="H13" s="48">
        <f t="shared" si="0"/>
        <v>451438.72270016419</v>
      </c>
      <c r="I13" s="48">
        <f t="shared" si="1"/>
        <v>398561.27729983581</v>
      </c>
      <c r="J13" s="48">
        <f t="shared" si="4"/>
        <v>850000</v>
      </c>
      <c r="K13" s="48">
        <f t="shared" si="2"/>
        <v>23361371.496393017</v>
      </c>
      <c r="N13" s="2"/>
      <c r="O13" s="50"/>
    </row>
    <row r="14" spans="2:20" x14ac:dyDescent="0.25">
      <c r="B14" s="29" t="s">
        <v>27</v>
      </c>
      <c r="C14" s="26" t="s">
        <v>18</v>
      </c>
      <c r="F14" s="47">
        <v>8</v>
      </c>
      <c r="G14" s="48">
        <f t="shared" si="3"/>
        <v>23361371.496393017</v>
      </c>
      <c r="H14" s="48">
        <f t="shared" si="0"/>
        <v>443866.05843146733</v>
      </c>
      <c r="I14" s="48">
        <f t="shared" si="1"/>
        <v>406133.94156853267</v>
      </c>
      <c r="J14" s="48">
        <f t="shared" si="4"/>
        <v>850000</v>
      </c>
      <c r="K14" s="48">
        <f t="shared" si="2"/>
        <v>22955237.554824486</v>
      </c>
      <c r="N14" s="185"/>
      <c r="O14" s="186"/>
      <c r="P14" s="42"/>
    </row>
    <row r="15" spans="2:20" x14ac:dyDescent="0.25">
      <c r="C15" s="2"/>
      <c r="F15" s="47">
        <v>9</v>
      </c>
      <c r="G15" s="48">
        <f t="shared" si="3"/>
        <v>22955237.554824486</v>
      </c>
      <c r="H15" s="48">
        <f t="shared" si="0"/>
        <v>436149.51354166522</v>
      </c>
      <c r="I15" s="48">
        <f t="shared" si="1"/>
        <v>413850.48645833478</v>
      </c>
      <c r="J15" s="48">
        <f t="shared" si="4"/>
        <v>850000</v>
      </c>
      <c r="K15" s="48">
        <f t="shared" si="2"/>
        <v>22541387.068366151</v>
      </c>
      <c r="N15" s="185"/>
      <c r="O15" s="186"/>
      <c r="P15" s="46"/>
    </row>
    <row r="16" spans="2:20" x14ac:dyDescent="0.25">
      <c r="B16" s="29" t="s">
        <v>52</v>
      </c>
      <c r="C16" s="40">
        <v>18</v>
      </c>
      <c r="F16" s="47">
        <v>10</v>
      </c>
      <c r="G16" s="48">
        <f t="shared" si="3"/>
        <v>22541387.068366151</v>
      </c>
      <c r="H16" s="48">
        <f t="shared" si="0"/>
        <v>428286.35429895687</v>
      </c>
      <c r="I16" s="48">
        <f t="shared" si="1"/>
        <v>421713.64570104313</v>
      </c>
      <c r="J16" s="48">
        <f t="shared" si="4"/>
        <v>850000</v>
      </c>
      <c r="K16" s="48">
        <f t="shared" si="2"/>
        <v>22119673.422665108</v>
      </c>
      <c r="N16" s="51"/>
      <c r="O16" s="50"/>
    </row>
    <row r="17" spans="2:15" x14ac:dyDescent="0.25">
      <c r="C17" s="2"/>
      <c r="F17" s="47">
        <v>11</v>
      </c>
      <c r="G17" s="48">
        <f t="shared" si="3"/>
        <v>22119673.422665108</v>
      </c>
      <c r="H17" s="48">
        <f t="shared" si="0"/>
        <v>420273.79503063706</v>
      </c>
      <c r="I17" s="48">
        <f t="shared" si="1"/>
        <v>429726.20496936294</v>
      </c>
      <c r="J17" s="48">
        <f t="shared" si="4"/>
        <v>850000</v>
      </c>
      <c r="K17" s="48">
        <f t="shared" si="2"/>
        <v>21689947.217695747</v>
      </c>
      <c r="N17" s="2"/>
      <c r="O17" s="50"/>
    </row>
    <row r="18" spans="2:15" x14ac:dyDescent="0.25">
      <c r="B18" s="36" t="s">
        <v>53</v>
      </c>
      <c r="C18" s="26">
        <v>1.9E-2</v>
      </c>
      <c r="F18" s="47">
        <v>12</v>
      </c>
      <c r="G18" s="48">
        <f t="shared" si="3"/>
        <v>21689947.217695747</v>
      </c>
      <c r="H18" s="48">
        <f t="shared" si="0"/>
        <v>412108.99713621917</v>
      </c>
      <c r="I18" s="48">
        <f t="shared" si="1"/>
        <v>437891.00286378083</v>
      </c>
      <c r="J18" s="48">
        <f t="shared" si="4"/>
        <v>850000</v>
      </c>
      <c r="K18" s="48">
        <f t="shared" si="2"/>
        <v>21252056.214831967</v>
      </c>
    </row>
    <row r="19" spans="2:15" x14ac:dyDescent="0.25">
      <c r="F19" s="47">
        <v>13</v>
      </c>
      <c r="G19" s="48">
        <f t="shared" si="3"/>
        <v>21252056.214831967</v>
      </c>
      <c r="H19" s="48">
        <f t="shared" si="0"/>
        <v>403789.06808180735</v>
      </c>
      <c r="I19" s="48">
        <f t="shared" si="1"/>
        <v>446210.93191819265</v>
      </c>
      <c r="J19" s="48">
        <f t="shared" si="4"/>
        <v>850000</v>
      </c>
      <c r="K19" s="48">
        <f t="shared" si="2"/>
        <v>20805845.282913774</v>
      </c>
    </row>
    <row r="20" spans="2:15" x14ac:dyDescent="0.25">
      <c r="B20" s="36" t="s">
        <v>54</v>
      </c>
      <c r="C20" s="41">
        <v>850000</v>
      </c>
      <c r="F20" s="47">
        <v>14</v>
      </c>
      <c r="G20" s="48">
        <f t="shared" si="3"/>
        <v>20805845.282913774</v>
      </c>
      <c r="H20" s="48">
        <f t="shared" si="0"/>
        <v>395311.0603753617</v>
      </c>
      <c r="I20" s="48">
        <f t="shared" si="1"/>
        <v>454688.9396246383</v>
      </c>
      <c r="J20" s="48">
        <f t="shared" si="4"/>
        <v>850000</v>
      </c>
      <c r="K20" s="48">
        <f t="shared" si="2"/>
        <v>20351156.343289137</v>
      </c>
    </row>
    <row r="21" spans="2:15" x14ac:dyDescent="0.25">
      <c r="F21" s="47">
        <v>15</v>
      </c>
      <c r="G21" s="48">
        <f>K20</f>
        <v>20351156.343289137</v>
      </c>
      <c r="H21" s="48">
        <f t="shared" si="0"/>
        <v>386671.97052249359</v>
      </c>
      <c r="I21" s="48">
        <f>J21-H21</f>
        <v>463328.02947750641</v>
      </c>
      <c r="J21" s="48">
        <f t="shared" si="4"/>
        <v>850000</v>
      </c>
      <c r="K21" s="48">
        <f t="shared" si="2"/>
        <v>19887828.31381163</v>
      </c>
    </row>
    <row r="22" spans="2:15" x14ac:dyDescent="0.25">
      <c r="B22" s="29" t="s">
        <v>55</v>
      </c>
      <c r="C22" s="26">
        <v>15</v>
      </c>
      <c r="F22" s="47">
        <v>16</v>
      </c>
      <c r="G22" s="48">
        <f t="shared" si="3"/>
        <v>19887828.31381163</v>
      </c>
      <c r="H22" s="48">
        <f t="shared" si="0"/>
        <v>377868.73796242097</v>
      </c>
      <c r="I22" s="48">
        <f t="shared" si="1"/>
        <v>472131.26203757903</v>
      </c>
      <c r="J22" s="48">
        <f t="shared" si="4"/>
        <v>850000</v>
      </c>
      <c r="K22" s="48">
        <f t="shared" si="2"/>
        <v>19415697.051774051</v>
      </c>
    </row>
    <row r="23" spans="2:15" x14ac:dyDescent="0.25">
      <c r="F23" s="47">
        <v>17</v>
      </c>
      <c r="G23" s="48">
        <f t="shared" si="3"/>
        <v>19415697.051774051</v>
      </c>
      <c r="H23" s="48">
        <f t="shared" si="0"/>
        <v>368898.24398370698</v>
      </c>
      <c r="I23" s="48">
        <f t="shared" si="1"/>
        <v>481101.75601629302</v>
      </c>
      <c r="J23" s="48">
        <f t="shared" si="4"/>
        <v>850000</v>
      </c>
      <c r="K23" s="48">
        <f t="shared" si="2"/>
        <v>18934595.295757759</v>
      </c>
    </row>
    <row r="24" spans="2:15" x14ac:dyDescent="0.25">
      <c r="B24" s="29" t="s">
        <v>56</v>
      </c>
      <c r="C24" s="27">
        <v>1500000</v>
      </c>
      <c r="F24" s="110">
        <v>18</v>
      </c>
      <c r="G24" s="109">
        <f t="shared" si="3"/>
        <v>18934595.295757759</v>
      </c>
      <c r="H24" s="109">
        <f t="shared" si="0"/>
        <v>359757.31061939744</v>
      </c>
      <c r="I24" s="109">
        <f t="shared" si="1"/>
        <v>3490242.6893806024</v>
      </c>
      <c r="J24" s="109">
        <f>J23+3000000</f>
        <v>3850000</v>
      </c>
      <c r="K24" s="109">
        <f t="shared" si="2"/>
        <v>15444352.606377156</v>
      </c>
    </row>
    <row r="25" spans="2:15" x14ac:dyDescent="0.25">
      <c r="B25" s="4"/>
      <c r="C25" s="28"/>
      <c r="F25" s="47">
        <v>19</v>
      </c>
      <c r="G25" s="48">
        <f t="shared" si="3"/>
        <v>15444352.606377156</v>
      </c>
      <c r="H25" s="48">
        <f t="shared" si="0"/>
        <v>293442.69952116598</v>
      </c>
      <c r="I25" s="48">
        <f t="shared" si="1"/>
        <v>556557.30047883396</v>
      </c>
      <c r="J25" s="48">
        <f>J23</f>
        <v>850000</v>
      </c>
      <c r="K25" s="48">
        <f t="shared" si="2"/>
        <v>14887795.305898322</v>
      </c>
    </row>
    <row r="26" spans="2:15" x14ac:dyDescent="0.25">
      <c r="B26" s="29" t="s">
        <v>29</v>
      </c>
      <c r="C26" s="26"/>
      <c r="F26" s="47">
        <v>20</v>
      </c>
      <c r="G26" s="48">
        <f t="shared" si="3"/>
        <v>14887795.305898322</v>
      </c>
      <c r="H26" s="48">
        <f t="shared" si="0"/>
        <v>282868.1108120681</v>
      </c>
      <c r="I26" s="48">
        <f t="shared" si="1"/>
        <v>567131.8891879319</v>
      </c>
      <c r="J26" s="48">
        <f t="shared" si="4"/>
        <v>850000</v>
      </c>
      <c r="K26" s="48">
        <f t="shared" si="2"/>
        <v>14320663.41671039</v>
      </c>
    </row>
    <row r="27" spans="2:15" x14ac:dyDescent="0.25">
      <c r="F27" s="47">
        <v>21</v>
      </c>
      <c r="G27" s="48">
        <f t="shared" si="3"/>
        <v>14320663.41671039</v>
      </c>
      <c r="H27" s="48">
        <f t="shared" si="0"/>
        <v>272092.60491749737</v>
      </c>
      <c r="I27" s="48">
        <f t="shared" si="1"/>
        <v>577907.39508250263</v>
      </c>
      <c r="J27" s="48">
        <f t="shared" si="4"/>
        <v>850000</v>
      </c>
      <c r="K27" s="48">
        <f t="shared" si="2"/>
        <v>13742756.021627888</v>
      </c>
    </row>
    <row r="28" spans="2:15" x14ac:dyDescent="0.25">
      <c r="B28" s="29" t="s">
        <v>57</v>
      </c>
      <c r="C28" s="26" t="s">
        <v>59</v>
      </c>
      <c r="F28" s="47">
        <v>22</v>
      </c>
      <c r="G28" s="48">
        <f t="shared" si="3"/>
        <v>13742756.021627888</v>
      </c>
      <c r="H28" s="48">
        <f t="shared" si="0"/>
        <v>261112.36441092988</v>
      </c>
      <c r="I28" s="48">
        <f t="shared" si="1"/>
        <v>588887.63558907015</v>
      </c>
      <c r="J28" s="48">
        <f t="shared" si="4"/>
        <v>850000</v>
      </c>
      <c r="K28" s="48">
        <f t="shared" si="2"/>
        <v>13153868.386038817</v>
      </c>
    </row>
    <row r="29" spans="2:15" x14ac:dyDescent="0.25">
      <c r="F29" s="47">
        <v>23</v>
      </c>
      <c r="G29" s="48">
        <f t="shared" si="3"/>
        <v>13153868.386038817</v>
      </c>
      <c r="H29" s="48">
        <f t="shared" si="0"/>
        <v>249923.49933473751</v>
      </c>
      <c r="I29" s="48">
        <f t="shared" si="1"/>
        <v>600076.50066526246</v>
      </c>
      <c r="J29" s="48">
        <f t="shared" si="4"/>
        <v>850000</v>
      </c>
      <c r="K29" s="48">
        <f t="shared" si="2"/>
        <v>12553791.885373555</v>
      </c>
    </row>
    <row r="30" spans="2:15" x14ac:dyDescent="0.25">
      <c r="F30" s="47">
        <v>24</v>
      </c>
      <c r="G30" s="48">
        <f t="shared" si="3"/>
        <v>12553791.885373555</v>
      </c>
      <c r="H30" s="48">
        <f t="shared" si="0"/>
        <v>238522.04582209754</v>
      </c>
      <c r="I30" s="48">
        <f t="shared" si="1"/>
        <v>611477.95417790243</v>
      </c>
      <c r="J30" s="48">
        <f t="shared" si="4"/>
        <v>850000</v>
      </c>
      <c r="K30" s="48">
        <f t="shared" si="2"/>
        <v>11942313.931195652</v>
      </c>
    </row>
    <row r="31" spans="2:15" x14ac:dyDescent="0.25">
      <c r="F31" s="47">
        <v>25</v>
      </c>
      <c r="G31" s="48">
        <f t="shared" si="3"/>
        <v>11942313.931195652</v>
      </c>
      <c r="H31" s="48">
        <f t="shared" si="0"/>
        <v>226903.96469271739</v>
      </c>
      <c r="I31" s="48">
        <f t="shared" si="1"/>
        <v>623096.03530728258</v>
      </c>
      <c r="J31" s="48">
        <f t="shared" si="4"/>
        <v>850000</v>
      </c>
      <c r="K31" s="48">
        <f t="shared" si="2"/>
        <v>11319217.89588837</v>
      </c>
    </row>
    <row r="32" spans="2:15" x14ac:dyDescent="0.25">
      <c r="F32" s="47">
        <v>26</v>
      </c>
      <c r="G32" s="48">
        <f t="shared" si="3"/>
        <v>11319217.89588837</v>
      </c>
      <c r="H32" s="48">
        <f t="shared" si="0"/>
        <v>215065.14002187902</v>
      </c>
      <c r="I32" s="48">
        <f t="shared" si="1"/>
        <v>634934.85997812101</v>
      </c>
      <c r="J32" s="48">
        <f t="shared" si="4"/>
        <v>850000</v>
      </c>
      <c r="K32" s="48">
        <f t="shared" si="2"/>
        <v>10684283.035910249</v>
      </c>
    </row>
    <row r="33" spans="6:13" x14ac:dyDescent="0.25">
      <c r="F33" s="47">
        <v>27</v>
      </c>
      <c r="G33" s="48">
        <f t="shared" si="3"/>
        <v>10684283.035910249</v>
      </c>
      <c r="H33" s="48">
        <f t="shared" si="0"/>
        <v>203001.37768229473</v>
      </c>
      <c r="I33" s="48">
        <f t="shared" si="1"/>
        <v>646998.6223177053</v>
      </c>
      <c r="J33" s="48">
        <f t="shared" si="4"/>
        <v>850000</v>
      </c>
      <c r="K33" s="48">
        <f t="shared" si="2"/>
        <v>10037284.413592543</v>
      </c>
    </row>
    <row r="34" spans="6:13" x14ac:dyDescent="0.25">
      <c r="F34" s="47">
        <v>28</v>
      </c>
      <c r="G34" s="48">
        <f t="shared" si="3"/>
        <v>10037284.413592543</v>
      </c>
      <c r="H34" s="48">
        <f t="shared" si="0"/>
        <v>190708.40385825833</v>
      </c>
      <c r="I34" s="48">
        <f t="shared" si="1"/>
        <v>659291.59614174161</v>
      </c>
      <c r="J34" s="48">
        <f t="shared" si="4"/>
        <v>850000</v>
      </c>
      <c r="K34" s="48">
        <f t="shared" si="2"/>
        <v>9377992.8174508028</v>
      </c>
    </row>
    <row r="35" spans="6:13" x14ac:dyDescent="0.25">
      <c r="F35" s="47">
        <v>29</v>
      </c>
      <c r="G35" s="48">
        <f t="shared" si="3"/>
        <v>9377992.8174508028</v>
      </c>
      <c r="H35" s="48">
        <f t="shared" si="0"/>
        <v>178181.86353156524</v>
      </c>
      <c r="I35" s="48">
        <f t="shared" si="1"/>
        <v>671818.13646843471</v>
      </c>
      <c r="J35" s="48">
        <f t="shared" si="4"/>
        <v>850000</v>
      </c>
      <c r="K35" s="48">
        <f t="shared" si="2"/>
        <v>8706174.6809823681</v>
      </c>
    </row>
    <row r="36" spans="6:13" x14ac:dyDescent="0.25">
      <c r="F36" s="110">
        <v>30</v>
      </c>
      <c r="G36" s="109">
        <f t="shared" si="3"/>
        <v>8706174.6809823681</v>
      </c>
      <c r="H36" s="109">
        <f t="shared" si="0"/>
        <v>165417.31893866498</v>
      </c>
      <c r="I36" s="109">
        <f t="shared" si="1"/>
        <v>4684582.6810613349</v>
      </c>
      <c r="J36" s="109">
        <f>J35+4000000</f>
        <v>4850000</v>
      </c>
      <c r="K36" s="109">
        <f t="shared" si="2"/>
        <v>4021591.9999210332</v>
      </c>
    </row>
    <row r="37" spans="6:13" x14ac:dyDescent="0.25">
      <c r="F37" s="47">
        <v>31</v>
      </c>
      <c r="G37" s="48">
        <f t="shared" si="3"/>
        <v>4021591.9999210332</v>
      </c>
      <c r="H37" s="48">
        <f t="shared" si="0"/>
        <v>76410.247998499632</v>
      </c>
      <c r="I37" s="48">
        <f t="shared" si="1"/>
        <v>773589.75200150034</v>
      </c>
      <c r="J37" s="48">
        <f>J34</f>
        <v>850000</v>
      </c>
      <c r="K37" s="48">
        <f t="shared" si="2"/>
        <v>3248002.2479195329</v>
      </c>
    </row>
    <row r="38" spans="6:13" x14ac:dyDescent="0.25">
      <c r="F38" s="47">
        <v>32</v>
      </c>
      <c r="G38" s="48">
        <f t="shared" si="3"/>
        <v>3248002.2479195329</v>
      </c>
      <c r="H38" s="48">
        <f t="shared" si="0"/>
        <v>61712.042710471127</v>
      </c>
      <c r="I38" s="48">
        <f t="shared" si="1"/>
        <v>788287.95728952892</v>
      </c>
      <c r="J38" s="48">
        <f t="shared" si="4"/>
        <v>850000</v>
      </c>
      <c r="K38" s="48">
        <f t="shared" si="2"/>
        <v>2459714.2906300039</v>
      </c>
    </row>
    <row r="39" spans="6:13" x14ac:dyDescent="0.25">
      <c r="F39" s="47">
        <v>33</v>
      </c>
      <c r="G39" s="48">
        <f t="shared" si="3"/>
        <v>2459714.2906300039</v>
      </c>
      <c r="H39" s="48">
        <f t="shared" si="0"/>
        <v>46734.571521970072</v>
      </c>
      <c r="I39" s="48">
        <f t="shared" si="1"/>
        <v>803265.42847802991</v>
      </c>
      <c r="J39" s="48">
        <f t="shared" si="4"/>
        <v>850000</v>
      </c>
      <c r="K39" s="48">
        <f t="shared" si="2"/>
        <v>1656448.8621519739</v>
      </c>
    </row>
    <row r="40" spans="6:13" x14ac:dyDescent="0.25">
      <c r="F40" s="47">
        <v>34</v>
      </c>
      <c r="G40" s="48">
        <f t="shared" si="3"/>
        <v>1656448.8621519739</v>
      </c>
      <c r="H40" s="48">
        <f t="shared" si="0"/>
        <v>31472.528380887503</v>
      </c>
      <c r="I40" s="48">
        <f t="shared" si="1"/>
        <v>818527.47161911253</v>
      </c>
      <c r="J40" s="48">
        <f t="shared" si="4"/>
        <v>850000</v>
      </c>
      <c r="K40" s="48">
        <f t="shared" si="2"/>
        <v>837921.39053286135</v>
      </c>
    </row>
    <row r="41" spans="6:13" x14ac:dyDescent="0.25">
      <c r="F41" s="47">
        <v>35</v>
      </c>
      <c r="G41" s="48">
        <f t="shared" si="3"/>
        <v>837921.39053286135</v>
      </c>
      <c r="H41" s="48">
        <f t="shared" si="0"/>
        <v>15920.506420124366</v>
      </c>
      <c r="I41" s="48">
        <f t="shared" si="1"/>
        <v>834079.49357987568</v>
      </c>
      <c r="J41" s="48">
        <f t="shared" si="4"/>
        <v>850000</v>
      </c>
      <c r="K41" s="48">
        <f t="shared" si="2"/>
        <v>3841.8969529856695</v>
      </c>
    </row>
    <row r="42" spans="6:13" x14ac:dyDescent="0.25">
      <c r="F42" s="47"/>
      <c r="G42" s="48"/>
      <c r="H42" s="48"/>
      <c r="I42" s="48"/>
      <c r="J42" s="48"/>
      <c r="K42" s="48"/>
    </row>
    <row r="43" spans="6:13" x14ac:dyDescent="0.25">
      <c r="F43" s="47"/>
      <c r="G43" s="48"/>
      <c r="H43" s="48"/>
      <c r="I43" s="48"/>
      <c r="J43" s="48"/>
      <c r="K43" s="48"/>
      <c r="M43" t="s">
        <v>84</v>
      </c>
    </row>
    <row r="44" spans="6:13" x14ac:dyDescent="0.25">
      <c r="F44" s="47"/>
      <c r="G44" s="48"/>
      <c r="H44" s="48"/>
      <c r="I44" s="48"/>
      <c r="J44" s="48"/>
      <c r="K44" s="48"/>
    </row>
    <row r="45" spans="6:13" x14ac:dyDescent="0.25">
      <c r="F45" s="47"/>
      <c r="G45" s="48"/>
      <c r="H45" s="48"/>
      <c r="I45" s="48"/>
      <c r="J45" s="48"/>
      <c r="K45" s="48"/>
    </row>
    <row r="46" spans="6:13" x14ac:dyDescent="0.25">
      <c r="F46" s="47"/>
      <c r="G46" s="48"/>
      <c r="H46" s="48"/>
      <c r="I46" s="48"/>
      <c r="J46" s="48"/>
      <c r="K46" s="48"/>
    </row>
    <row r="47" spans="6:13" x14ac:dyDescent="0.25">
      <c r="F47" s="47"/>
      <c r="G47" s="48"/>
      <c r="H47" s="48"/>
      <c r="I47" s="48"/>
      <c r="J47" s="48"/>
      <c r="K47" s="48"/>
    </row>
    <row r="48" spans="6:13" x14ac:dyDescent="0.25">
      <c r="F48" s="47"/>
      <c r="G48" s="48"/>
      <c r="H48" s="48"/>
      <c r="I48" s="48"/>
      <c r="J48" s="48"/>
      <c r="K48" s="48"/>
    </row>
    <row r="49" spans="6:13" x14ac:dyDescent="0.25">
      <c r="F49" s="47"/>
      <c r="G49" s="48"/>
      <c r="H49" s="48"/>
      <c r="I49" s="48"/>
      <c r="J49" s="48"/>
      <c r="K49" s="48"/>
    </row>
    <row r="50" spans="6:13" x14ac:dyDescent="0.25">
      <c r="F50" s="47"/>
      <c r="G50" s="48"/>
      <c r="H50" s="48"/>
      <c r="I50" s="48"/>
      <c r="J50" s="48"/>
      <c r="K50" s="48"/>
      <c r="M50">
        <v>24911579.484000001</v>
      </c>
    </row>
    <row r="51" spans="6:13" x14ac:dyDescent="0.25">
      <c r="F51" s="47"/>
      <c r="G51" s="48"/>
      <c r="H51" s="48"/>
      <c r="I51" s="48"/>
      <c r="J51" s="48"/>
      <c r="K51" s="48"/>
      <c r="M51" s="42">
        <f>J52+K52</f>
        <v>0</v>
      </c>
    </row>
    <row r="52" spans="6:13" x14ac:dyDescent="0.25">
      <c r="F52" s="111"/>
      <c r="G52" s="112"/>
      <c r="H52" s="112"/>
      <c r="I52" s="112"/>
      <c r="J52" s="112"/>
      <c r="K52" s="112"/>
      <c r="L52" t="s">
        <v>79</v>
      </c>
      <c r="M52" t="s">
        <v>78</v>
      </c>
    </row>
    <row r="53" spans="6:13" x14ac:dyDescent="0.25">
      <c r="F53" s="47"/>
      <c r="G53" s="48"/>
      <c r="H53" s="48"/>
      <c r="I53" s="48"/>
      <c r="J53" s="48"/>
      <c r="K53" s="48"/>
      <c r="L53" t="s">
        <v>80</v>
      </c>
      <c r="M53" t="s">
        <v>81</v>
      </c>
    </row>
    <row r="54" spans="6:13" x14ac:dyDescent="0.25">
      <c r="F54" s="47"/>
      <c r="G54" s="48"/>
      <c r="H54" s="48"/>
      <c r="I54" s="48"/>
      <c r="J54" s="48"/>
      <c r="K54" s="48"/>
      <c r="L54" t="s">
        <v>82</v>
      </c>
      <c r="M54" t="s">
        <v>83</v>
      </c>
    </row>
    <row r="55" spans="6:13" x14ac:dyDescent="0.25">
      <c r="F55" s="47"/>
      <c r="G55" s="49"/>
      <c r="H55" s="49"/>
      <c r="I55" s="49"/>
      <c r="J55" s="49"/>
      <c r="K55" s="49"/>
    </row>
    <row r="56" spans="6:13" x14ac:dyDescent="0.25">
      <c r="F56" s="47"/>
      <c r="G56" s="49"/>
      <c r="H56" s="49"/>
      <c r="I56" s="49"/>
      <c r="J56" s="49"/>
      <c r="K56" s="49"/>
    </row>
    <row r="57" spans="6:13" x14ac:dyDescent="0.25">
      <c r="F57" s="47"/>
      <c r="G57" s="49"/>
      <c r="H57" s="49"/>
      <c r="I57" s="49"/>
      <c r="J57" s="49"/>
      <c r="K57" s="49"/>
    </row>
    <row r="58" spans="6:13" x14ac:dyDescent="0.25">
      <c r="F58" s="47"/>
      <c r="G58" s="49"/>
      <c r="H58" s="49"/>
      <c r="I58" s="49"/>
      <c r="J58" s="49"/>
      <c r="K58" s="49"/>
    </row>
    <row r="59" spans="6:13" x14ac:dyDescent="0.25">
      <c r="F59" s="47"/>
      <c r="G59" s="49"/>
      <c r="H59" s="49"/>
      <c r="I59" s="49"/>
      <c r="J59" s="49"/>
      <c r="K59" s="49"/>
    </row>
    <row r="60" spans="6:13" x14ac:dyDescent="0.25">
      <c r="F60" s="47"/>
      <c r="G60" s="49"/>
      <c r="H60" s="49"/>
      <c r="I60" s="49"/>
      <c r="J60" s="49"/>
      <c r="K60" s="49"/>
    </row>
    <row r="61" spans="6:13" x14ac:dyDescent="0.25">
      <c r="F61" s="47"/>
      <c r="G61" s="49"/>
      <c r="H61" s="49"/>
      <c r="I61" s="49"/>
      <c r="J61" s="49"/>
      <c r="K61" s="49"/>
    </row>
    <row r="62" spans="6:13" x14ac:dyDescent="0.25">
      <c r="F62" s="47"/>
      <c r="G62" s="49"/>
      <c r="H62" s="49"/>
      <c r="I62" s="49"/>
      <c r="J62" s="49"/>
      <c r="K62" s="49"/>
    </row>
    <row r="63" spans="6:13" x14ac:dyDescent="0.25">
      <c r="F63" s="47"/>
      <c r="G63" s="49"/>
      <c r="H63" s="49"/>
      <c r="I63" s="49"/>
      <c r="J63" s="49"/>
      <c r="K63" s="49"/>
    </row>
    <row r="64" spans="6:13" x14ac:dyDescent="0.25">
      <c r="F64" s="47"/>
      <c r="G64" s="49"/>
      <c r="H64" s="49"/>
      <c r="I64" s="49"/>
      <c r="J64" s="49"/>
      <c r="K64" s="49"/>
    </row>
    <row r="65" spans="6:11" x14ac:dyDescent="0.25">
      <c r="F65" s="47"/>
      <c r="G65" s="49"/>
      <c r="H65" s="49"/>
      <c r="I65" s="49"/>
      <c r="J65" s="49"/>
      <c r="K65" s="49"/>
    </row>
    <row r="66" spans="6:11" x14ac:dyDescent="0.25">
      <c r="F66" s="47"/>
      <c r="G66" s="49"/>
      <c r="H66" s="49"/>
      <c r="I66" s="49"/>
      <c r="J66" s="49"/>
      <c r="K66" s="49"/>
    </row>
    <row r="67" spans="6:11" x14ac:dyDescent="0.25">
      <c r="F67" s="47"/>
      <c r="G67" s="49"/>
      <c r="H67" s="49"/>
      <c r="I67" s="49"/>
      <c r="J67" s="49"/>
      <c r="K67" s="49"/>
    </row>
    <row r="68" spans="6:11" x14ac:dyDescent="0.25">
      <c r="F68" s="47"/>
      <c r="G68" s="49"/>
      <c r="H68" s="49"/>
      <c r="I68" s="49"/>
      <c r="J68" s="49"/>
      <c r="K68" s="49"/>
    </row>
    <row r="69" spans="6:11" x14ac:dyDescent="0.25">
      <c r="F69" s="47"/>
      <c r="G69" s="49"/>
      <c r="H69" s="49"/>
      <c r="I69" s="49"/>
      <c r="J69" s="49"/>
      <c r="K69" s="49"/>
    </row>
    <row r="70" spans="6:11" x14ac:dyDescent="0.25">
      <c r="F70" s="47"/>
      <c r="G70" s="49"/>
      <c r="H70" s="49"/>
      <c r="I70" s="49"/>
      <c r="J70" s="49"/>
      <c r="K70" s="49"/>
    </row>
    <row r="71" spans="6:11" x14ac:dyDescent="0.25">
      <c r="F71" s="47"/>
      <c r="G71" s="49"/>
      <c r="H71" s="49"/>
      <c r="I71" s="49"/>
      <c r="J71" s="49"/>
      <c r="K71" s="49"/>
    </row>
    <row r="72" spans="6:11" x14ac:dyDescent="0.25">
      <c r="F72" s="47"/>
      <c r="G72" s="49"/>
      <c r="H72" s="49"/>
      <c r="I72" s="49"/>
      <c r="J72" s="49"/>
      <c r="K72" s="49"/>
    </row>
    <row r="73" spans="6:11" x14ac:dyDescent="0.25">
      <c r="F73" s="47"/>
      <c r="G73" s="49"/>
      <c r="H73" s="49"/>
      <c r="I73" s="49"/>
      <c r="J73" s="49"/>
      <c r="K73" s="49"/>
    </row>
    <row r="74" spans="6:11" x14ac:dyDescent="0.25">
      <c r="F74" s="47"/>
      <c r="G74" s="49"/>
      <c r="H74" s="49"/>
      <c r="I74" s="49"/>
      <c r="J74" s="49"/>
      <c r="K74" s="49"/>
    </row>
    <row r="75" spans="6:11" x14ac:dyDescent="0.25">
      <c r="F75" s="47"/>
      <c r="G75" s="49"/>
      <c r="H75" s="49"/>
      <c r="I75" s="49"/>
      <c r="J75" s="49"/>
      <c r="K75" s="49"/>
    </row>
    <row r="76" spans="6:11" x14ac:dyDescent="0.25">
      <c r="F76" s="47"/>
      <c r="G76" s="49"/>
      <c r="H76" s="49"/>
      <c r="I76" s="49"/>
      <c r="J76" s="49"/>
      <c r="K76" s="49"/>
    </row>
    <row r="77" spans="6:11" x14ac:dyDescent="0.25">
      <c r="F77" s="47"/>
      <c r="G77" s="49"/>
      <c r="H77" s="49"/>
      <c r="I77" s="49"/>
      <c r="J77" s="49"/>
      <c r="K77" s="49"/>
    </row>
    <row r="78" spans="6:11" x14ac:dyDescent="0.25">
      <c r="F78" s="47"/>
      <c r="G78" s="49"/>
      <c r="H78" s="49"/>
      <c r="I78" s="49"/>
      <c r="J78" s="49"/>
      <c r="K78" s="49"/>
    </row>
  </sheetData>
  <mergeCells count="8">
    <mergeCell ref="N14:N15"/>
    <mergeCell ref="O14:O15"/>
    <mergeCell ref="R1:R3"/>
    <mergeCell ref="T1:T3"/>
    <mergeCell ref="N2:N3"/>
    <mergeCell ref="P2:P3"/>
    <mergeCell ref="N10:N12"/>
    <mergeCell ref="O10:O12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listas!$C$2:$C$4</xm:f>
          </x14:formula1>
          <xm:sqref>C28</xm:sqref>
        </x14:dataValidation>
        <x14:dataValidation type="list" allowBlank="1" showInputMessage="1" showErrorMessage="1">
          <x14:formula1>
            <xm:f>listas!$D$3:$D$74</xm:f>
          </x14:formula1>
          <xm:sqref>C10 C22</xm:sqref>
        </x14:dataValidation>
        <x14:dataValidation type="list" allowBlank="1" showInputMessage="1" showErrorMessage="1">
          <x14:formula1>
            <xm:f>listas!$O$4:$O$8</xm:f>
          </x14:formula1>
          <xm:sqref>C26</xm:sqref>
        </x14:dataValidation>
        <x14:dataValidation type="list" allowBlank="1" showInputMessage="1" showErrorMessage="1">
          <x14:formula1>
            <xm:f>listas!$I$4:$I$13</xm:f>
          </x14:formula1>
          <xm:sqref>C14</xm:sqref>
        </x14:dataValidation>
        <x14:dataValidation type="list" allowBlank="1" showInputMessage="1" showErrorMessage="1">
          <x14:formula1>
            <xm:f>listas!$M$3:$M$4</xm:f>
          </x14:formula1>
          <xm:sqref>C12</xm:sqref>
        </x14:dataValidation>
        <x14:dataValidation type="list" allowBlank="1" showInputMessage="1" showErrorMessage="1">
          <x14:formula1>
            <xm:f>listas!$G$4:$G$5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T78"/>
  <sheetViews>
    <sheetView topLeftCell="U1" workbookViewId="0">
      <selection activeCell="K4" sqref="K4"/>
    </sheetView>
  </sheetViews>
  <sheetFormatPr baseColWidth="10" defaultRowHeight="15" x14ac:dyDescent="0.25"/>
  <cols>
    <col min="1" max="1" width="2.5703125" customWidth="1"/>
    <col min="2" max="2" width="18.85546875" customWidth="1"/>
    <col min="3" max="3" width="17.28515625" customWidth="1"/>
    <col min="4" max="4" width="2.42578125" customWidth="1"/>
    <col min="5" max="5" width="4.140625" customWidth="1"/>
    <col min="7" max="7" width="18.85546875" customWidth="1"/>
    <col min="8" max="8" width="19.28515625" customWidth="1"/>
    <col min="9" max="9" width="17.7109375" customWidth="1"/>
    <col min="10" max="10" width="13.85546875" bestFit="1" customWidth="1"/>
    <col min="11" max="11" width="18.28515625" customWidth="1"/>
    <col min="12" max="12" width="3.5703125" customWidth="1"/>
    <col min="14" max="14" width="8.140625" customWidth="1"/>
    <col min="15" max="15" width="4.42578125" customWidth="1"/>
    <col min="16" max="17" width="14.28515625" customWidth="1"/>
    <col min="18" max="18" width="12.140625" customWidth="1"/>
    <col min="19" max="19" width="1.85546875" customWidth="1"/>
    <col min="20" max="20" width="14.7109375" customWidth="1"/>
    <col min="21" max="21" width="3.28515625" customWidth="1"/>
  </cols>
  <sheetData>
    <row r="1" spans="2:20" x14ac:dyDescent="0.25">
      <c r="B1" s="35" t="s">
        <v>43</v>
      </c>
      <c r="R1" s="177" t="s">
        <v>50</v>
      </c>
      <c r="T1" s="177" t="s">
        <v>51</v>
      </c>
    </row>
    <row r="2" spans="2:20" ht="15" customHeight="1" x14ac:dyDescent="0.25">
      <c r="B2" s="34" t="s">
        <v>8</v>
      </c>
      <c r="C2" s="33"/>
      <c r="N2" s="177" t="s">
        <v>48</v>
      </c>
      <c r="P2" s="177" t="s">
        <v>49</v>
      </c>
      <c r="R2" s="177"/>
      <c r="T2" s="177"/>
    </row>
    <row r="3" spans="2:20" x14ac:dyDescent="0.25">
      <c r="B3" s="37"/>
      <c r="C3" s="33"/>
      <c r="N3" s="178"/>
      <c r="P3" s="178"/>
      <c r="R3" s="178"/>
      <c r="T3" s="178"/>
    </row>
    <row r="4" spans="2:20" x14ac:dyDescent="0.25">
      <c r="B4" s="34" t="s">
        <v>44</v>
      </c>
      <c r="C4" s="38"/>
      <c r="N4">
        <v>0.18</v>
      </c>
      <c r="P4">
        <f>N4/2</f>
        <v>0.09</v>
      </c>
      <c r="R4">
        <f>P4/ (1-P4)</f>
        <v>9.8901098901098897E-2</v>
      </c>
      <c r="T4" s="53">
        <f>((1+R4)^(2/12))-1</f>
        <v>1.5842631169739496E-2</v>
      </c>
    </row>
    <row r="5" spans="2:20" ht="18.75" x14ac:dyDescent="0.25">
      <c r="F5" s="30">
        <v>1</v>
      </c>
      <c r="G5" s="30">
        <v>2</v>
      </c>
      <c r="H5" s="30" t="s">
        <v>35</v>
      </c>
      <c r="I5" s="30" t="s">
        <v>36</v>
      </c>
      <c r="J5" s="30">
        <v>5</v>
      </c>
      <c r="K5" s="30" t="s">
        <v>37</v>
      </c>
    </row>
    <row r="6" spans="2:20" x14ac:dyDescent="0.25">
      <c r="B6" s="29" t="s">
        <v>11</v>
      </c>
      <c r="C6" s="26" t="s">
        <v>13</v>
      </c>
      <c r="F6" s="31" t="s">
        <v>38</v>
      </c>
      <c r="G6" s="32" t="s">
        <v>9</v>
      </c>
      <c r="H6" s="32" t="s">
        <v>39</v>
      </c>
      <c r="I6" s="32" t="s">
        <v>40</v>
      </c>
      <c r="J6" s="32" t="s">
        <v>41</v>
      </c>
      <c r="K6" s="32" t="s">
        <v>42</v>
      </c>
    </row>
    <row r="7" spans="2:20" x14ac:dyDescent="0.25">
      <c r="C7" s="2"/>
      <c r="F7" s="47">
        <v>1</v>
      </c>
      <c r="G7" s="48">
        <f>C8</f>
        <v>10000000</v>
      </c>
      <c r="H7" s="48">
        <f>G7*$C$18</f>
        <v>158426.31169739497</v>
      </c>
      <c r="I7" s="48">
        <f>J7-H7</f>
        <v>140633.74985265327</v>
      </c>
      <c r="J7" s="48">
        <f>P17</f>
        <v>299060.06155004824</v>
      </c>
      <c r="K7" s="48">
        <f>G7-I7</f>
        <v>9859366.2501473464</v>
      </c>
      <c r="N7" s="22" t="s">
        <v>2</v>
      </c>
      <c r="O7" s="21" t="s">
        <v>1</v>
      </c>
      <c r="Q7" s="9" t="s">
        <v>0</v>
      </c>
    </row>
    <row r="8" spans="2:20" ht="18.75" x14ac:dyDescent="0.25">
      <c r="B8" s="29" t="s">
        <v>9</v>
      </c>
      <c r="C8" s="27">
        <v>10000000</v>
      </c>
      <c r="F8" s="47">
        <v>2</v>
      </c>
      <c r="G8" s="48">
        <f>K7</f>
        <v>9859366.2501473464</v>
      </c>
      <c r="H8" s="48">
        <f t="shared" ref="H8:H54" si="0">G8*$C$18</f>
        <v>156198.30306846197</v>
      </c>
      <c r="I8" s="48">
        <f t="shared" ref="I8:I54" si="1">J8-H8</f>
        <v>142861.75848158626</v>
      </c>
      <c r="J8" s="48">
        <f>J7</f>
        <v>299060.06155004824</v>
      </c>
      <c r="K8" s="48">
        <f t="shared" ref="K8:K54" si="2">G8-I8</f>
        <v>9716504.4916657601</v>
      </c>
      <c r="N8" s="2"/>
      <c r="O8" s="21"/>
      <c r="Q8" s="10" t="s">
        <v>3</v>
      </c>
    </row>
    <row r="9" spans="2:20" ht="18.75" x14ac:dyDescent="0.25">
      <c r="C9" s="2"/>
      <c r="F9" s="47">
        <v>3</v>
      </c>
      <c r="G9" s="48">
        <f t="shared" ref="G9:G54" si="3">K8</f>
        <v>9716504.4916657601</v>
      </c>
      <c r="H9" s="48">
        <f t="shared" si="0"/>
        <v>153934.99692057777</v>
      </c>
      <c r="I9" s="48">
        <f t="shared" si="1"/>
        <v>145125.06462947046</v>
      </c>
      <c r="J9" s="48">
        <f t="shared" ref="J9:J54" si="4">J8</f>
        <v>299060.06155004824</v>
      </c>
      <c r="K9" s="48">
        <f t="shared" si="2"/>
        <v>9571379.4270362891</v>
      </c>
      <c r="N9" s="2"/>
      <c r="O9" s="21"/>
      <c r="Q9" s="23" t="s">
        <v>4</v>
      </c>
    </row>
    <row r="10" spans="2:20" x14ac:dyDescent="0.25">
      <c r="B10" s="29" t="s">
        <v>10</v>
      </c>
      <c r="C10" s="26">
        <v>48</v>
      </c>
      <c r="F10" s="47">
        <v>4</v>
      </c>
      <c r="G10" s="48">
        <f t="shared" si="3"/>
        <v>9571379.4270362891</v>
      </c>
      <c r="H10" s="48">
        <f t="shared" si="0"/>
        <v>151635.83404816847</v>
      </c>
      <c r="I10" s="48">
        <f t="shared" si="1"/>
        <v>147424.22750187977</v>
      </c>
      <c r="J10" s="48">
        <f t="shared" si="4"/>
        <v>299060.06155004824</v>
      </c>
      <c r="K10" s="48">
        <f t="shared" si="2"/>
        <v>9423955.1995344087</v>
      </c>
      <c r="N10" s="185" t="s">
        <v>2</v>
      </c>
      <c r="O10" s="186" t="s">
        <v>1</v>
      </c>
      <c r="P10" s="42">
        <f>C8</f>
        <v>10000000</v>
      </c>
      <c r="Q10" s="43"/>
    </row>
    <row r="11" spans="2:20" x14ac:dyDescent="0.25">
      <c r="B11" s="4"/>
      <c r="C11" s="28"/>
      <c r="F11" s="47">
        <v>5</v>
      </c>
      <c r="G11" s="48">
        <f t="shared" si="3"/>
        <v>9423955.1995344087</v>
      </c>
      <c r="H11" s="48">
        <f t="shared" si="0"/>
        <v>149300.24638637243</v>
      </c>
      <c r="I11" s="48">
        <f t="shared" si="1"/>
        <v>149759.81516367581</v>
      </c>
      <c r="J11" s="48">
        <f t="shared" si="4"/>
        <v>299060.06155004824</v>
      </c>
      <c r="K11" s="48">
        <f t="shared" si="2"/>
        <v>9274195.3843707331</v>
      </c>
      <c r="N11" s="185"/>
      <c r="O11" s="186"/>
      <c r="P11">
        <f>1-(1+C18)^-C10</f>
        <v>0.52974747238484743</v>
      </c>
      <c r="Q11" s="44"/>
    </row>
    <row r="12" spans="2:20" ht="18.75" x14ac:dyDescent="0.25">
      <c r="B12" s="29" t="s">
        <v>28</v>
      </c>
      <c r="C12" s="26" t="s">
        <v>21</v>
      </c>
      <c r="F12" s="47">
        <v>6</v>
      </c>
      <c r="G12" s="48">
        <f t="shared" si="3"/>
        <v>9274195.3843707331</v>
      </c>
      <c r="H12" s="48">
        <f t="shared" si="0"/>
        <v>146927.65687068595</v>
      </c>
      <c r="I12" s="48">
        <f t="shared" si="1"/>
        <v>152132.40467936228</v>
      </c>
      <c r="J12" s="48">
        <f t="shared" si="4"/>
        <v>299060.06155004824</v>
      </c>
      <c r="K12" s="48">
        <f t="shared" si="2"/>
        <v>9122062.9796913713</v>
      </c>
      <c r="N12" s="185"/>
      <c r="O12" s="186"/>
      <c r="P12">
        <f>C18</f>
        <v>1.5842631169739496E-2</v>
      </c>
      <c r="Q12" s="45"/>
    </row>
    <row r="13" spans="2:20" x14ac:dyDescent="0.25">
      <c r="C13" s="2"/>
      <c r="F13" s="47">
        <v>7</v>
      </c>
      <c r="G13" s="48">
        <f t="shared" si="3"/>
        <v>9122062.9796913713</v>
      </c>
      <c r="H13" s="48">
        <f t="shared" si="0"/>
        <v>144517.47929438527</v>
      </c>
      <c r="I13" s="48">
        <f t="shared" si="1"/>
        <v>154542.58225566297</v>
      </c>
      <c r="J13" s="48">
        <f t="shared" si="4"/>
        <v>299060.06155004824</v>
      </c>
      <c r="K13" s="48">
        <f t="shared" si="2"/>
        <v>8967520.397435708</v>
      </c>
      <c r="N13" s="2"/>
      <c r="O13" s="21"/>
    </row>
    <row r="14" spans="2:20" x14ac:dyDescent="0.25">
      <c r="B14" s="29" t="s">
        <v>27</v>
      </c>
      <c r="C14" s="26" t="s">
        <v>18</v>
      </c>
      <c r="F14" s="47">
        <v>8</v>
      </c>
      <c r="G14" s="48">
        <f t="shared" si="3"/>
        <v>8967520.397435708</v>
      </c>
      <c r="H14" s="48">
        <f t="shared" si="0"/>
        <v>142069.11816368965</v>
      </c>
      <c r="I14" s="48">
        <f t="shared" si="1"/>
        <v>156990.94338635859</v>
      </c>
      <c r="J14" s="48">
        <f t="shared" si="4"/>
        <v>299060.06155004824</v>
      </c>
      <c r="K14" s="48">
        <f t="shared" si="2"/>
        <v>8810529.4540493488</v>
      </c>
      <c r="N14" s="185" t="s">
        <v>2</v>
      </c>
      <c r="O14" s="186" t="s">
        <v>1</v>
      </c>
      <c r="P14" s="42">
        <f>P10</f>
        <v>10000000</v>
      </c>
    </row>
    <row r="15" spans="2:20" x14ac:dyDescent="0.25">
      <c r="C15" s="2"/>
      <c r="F15" s="47">
        <v>9</v>
      </c>
      <c r="G15" s="48">
        <f t="shared" si="3"/>
        <v>8810529.4540493488</v>
      </c>
      <c r="H15" s="48">
        <f t="shared" si="0"/>
        <v>139581.96855063012</v>
      </c>
      <c r="I15" s="48">
        <f t="shared" si="1"/>
        <v>159478.09299941812</v>
      </c>
      <c r="J15" s="48">
        <f t="shared" si="4"/>
        <v>299060.06155004824</v>
      </c>
      <c r="K15" s="48">
        <f t="shared" si="2"/>
        <v>8651051.3610499315</v>
      </c>
      <c r="N15" s="185"/>
      <c r="O15" s="186"/>
      <c r="P15" s="46">
        <f>P11/P12</f>
        <v>33.438099183720261</v>
      </c>
    </row>
    <row r="16" spans="2:20" x14ac:dyDescent="0.25">
      <c r="B16" s="29" t="s">
        <v>52</v>
      </c>
      <c r="C16" s="40">
        <v>18</v>
      </c>
      <c r="F16" s="47">
        <v>10</v>
      </c>
      <c r="G16" s="48">
        <f t="shared" si="3"/>
        <v>8651051.3610499315</v>
      </c>
      <c r="H16" s="48">
        <f t="shared" si="0"/>
        <v>137055.41594358694</v>
      </c>
      <c r="I16" s="48">
        <f t="shared" si="1"/>
        <v>162004.6456064613</v>
      </c>
      <c r="J16" s="48">
        <f t="shared" si="4"/>
        <v>299060.06155004824</v>
      </c>
      <c r="K16" s="48">
        <f t="shared" si="2"/>
        <v>8489046.7154434696</v>
      </c>
      <c r="N16" s="22"/>
      <c r="O16" s="21"/>
    </row>
    <row r="17" spans="2:16" x14ac:dyDescent="0.25">
      <c r="C17" s="2"/>
      <c r="F17" s="47">
        <v>11</v>
      </c>
      <c r="G17" s="48">
        <f t="shared" si="3"/>
        <v>8489046.7154434696</v>
      </c>
      <c r="H17" s="48">
        <f t="shared" si="0"/>
        <v>134488.83609545941</v>
      </c>
      <c r="I17" s="48">
        <f t="shared" si="1"/>
        <v>164571.22545458883</v>
      </c>
      <c r="J17" s="48">
        <f t="shared" si="4"/>
        <v>299060.06155004824</v>
      </c>
      <c r="K17" s="48">
        <f t="shared" si="2"/>
        <v>8324475.4899888812</v>
      </c>
      <c r="N17" s="2" t="s">
        <v>2</v>
      </c>
      <c r="O17" s="21" t="s">
        <v>1</v>
      </c>
      <c r="P17">
        <f>P14/P15</f>
        <v>299060.06155004824</v>
      </c>
    </row>
    <row r="18" spans="2:16" x14ac:dyDescent="0.25">
      <c r="B18" s="36" t="s">
        <v>53</v>
      </c>
      <c r="C18" s="26">
        <f>T4</f>
        <v>1.5842631169739496E-2</v>
      </c>
      <c r="F18" s="47">
        <v>12</v>
      </c>
      <c r="G18" s="48">
        <f t="shared" si="3"/>
        <v>8324475.4899888812</v>
      </c>
      <c r="H18" s="48">
        <f t="shared" si="0"/>
        <v>131881.59486943032</v>
      </c>
      <c r="I18" s="48">
        <f t="shared" si="1"/>
        <v>167178.46668061792</v>
      </c>
      <c r="J18" s="48">
        <f t="shared" si="4"/>
        <v>299060.06155004824</v>
      </c>
      <c r="K18" s="48">
        <f t="shared" si="2"/>
        <v>8157297.0233082632</v>
      </c>
    </row>
    <row r="19" spans="2:16" x14ac:dyDescent="0.25">
      <c r="F19" s="47">
        <v>13</v>
      </c>
      <c r="G19" s="48">
        <f t="shared" si="3"/>
        <v>8157297.0233082632</v>
      </c>
      <c r="H19" s="48">
        <f t="shared" si="0"/>
        <v>129233.0480822867</v>
      </c>
      <c r="I19" s="48">
        <f t="shared" si="1"/>
        <v>169827.01346776154</v>
      </c>
      <c r="J19" s="48">
        <f t="shared" si="4"/>
        <v>299060.06155004824</v>
      </c>
      <c r="K19" s="48">
        <f t="shared" si="2"/>
        <v>7987470.0098405015</v>
      </c>
    </row>
    <row r="20" spans="2:16" x14ac:dyDescent="0.25">
      <c r="B20" s="36" t="s">
        <v>54</v>
      </c>
      <c r="C20" s="41">
        <f>J7</f>
        <v>299060.06155004824</v>
      </c>
      <c r="F20" s="47">
        <v>14</v>
      </c>
      <c r="G20" s="48">
        <f t="shared" si="3"/>
        <v>7987470.0098405015</v>
      </c>
      <c r="H20" s="48">
        <f t="shared" si="0"/>
        <v>126542.54134525856</v>
      </c>
      <c r="I20" s="48">
        <f t="shared" si="1"/>
        <v>172517.52020478967</v>
      </c>
      <c r="J20" s="48">
        <f t="shared" si="4"/>
        <v>299060.06155004824</v>
      </c>
      <c r="K20" s="48">
        <f t="shared" si="2"/>
        <v>7814952.4896357115</v>
      </c>
    </row>
    <row r="21" spans="2:16" x14ac:dyDescent="0.25">
      <c r="F21" s="47">
        <v>15</v>
      </c>
      <c r="G21" s="48">
        <f>K20</f>
        <v>7814952.4896357115</v>
      </c>
      <c r="H21" s="48">
        <f t="shared" si="0"/>
        <v>123809.409902336</v>
      </c>
      <c r="I21" s="48">
        <f t="shared" si="1"/>
        <v>1376190.5900976639</v>
      </c>
      <c r="J21" s="48">
        <f>C24</f>
        <v>1500000</v>
      </c>
      <c r="K21" s="48">
        <f t="shared" si="2"/>
        <v>6438761.8995380476</v>
      </c>
    </row>
    <row r="22" spans="2:16" x14ac:dyDescent="0.25">
      <c r="B22" s="29" t="s">
        <v>55</v>
      </c>
      <c r="C22" s="26">
        <v>15</v>
      </c>
      <c r="F22" s="47">
        <v>16</v>
      </c>
      <c r="G22" s="48">
        <f t="shared" si="3"/>
        <v>6438761.8995380476</v>
      </c>
      <c r="H22" s="48">
        <f t="shared" si="0"/>
        <v>102006.92996415256</v>
      </c>
      <c r="I22" s="48">
        <f t="shared" si="1"/>
        <v>197053.13158589567</v>
      </c>
      <c r="J22" s="48">
        <f>J20</f>
        <v>299060.06155004824</v>
      </c>
      <c r="K22" s="48">
        <f t="shared" si="2"/>
        <v>6241708.7679521516</v>
      </c>
    </row>
    <row r="23" spans="2:16" x14ac:dyDescent="0.25">
      <c r="F23" s="47">
        <v>17</v>
      </c>
      <c r="G23" s="48">
        <f t="shared" si="3"/>
        <v>6241708.7679521516</v>
      </c>
      <c r="H23" s="48">
        <f t="shared" si="0"/>
        <v>98885.089879595063</v>
      </c>
      <c r="I23" s="48">
        <f t="shared" si="1"/>
        <v>200174.97167045317</v>
      </c>
      <c r="J23" s="48">
        <f t="shared" si="4"/>
        <v>299060.06155004824</v>
      </c>
      <c r="K23" s="48">
        <f t="shared" si="2"/>
        <v>6041533.7962816982</v>
      </c>
    </row>
    <row r="24" spans="2:16" x14ac:dyDescent="0.25">
      <c r="B24" s="29" t="s">
        <v>56</v>
      </c>
      <c r="C24" s="27">
        <v>1500000</v>
      </c>
      <c r="F24" s="47">
        <v>18</v>
      </c>
      <c r="G24" s="48">
        <f t="shared" si="3"/>
        <v>6041533.7962816982</v>
      </c>
      <c r="H24" s="48">
        <f t="shared" si="0"/>
        <v>95713.791634007022</v>
      </c>
      <c r="I24" s="48">
        <f t="shared" si="1"/>
        <v>203346.26991604123</v>
      </c>
      <c r="J24" s="48">
        <f t="shared" si="4"/>
        <v>299060.06155004824</v>
      </c>
      <c r="K24" s="48">
        <f t="shared" si="2"/>
        <v>5838187.5263656573</v>
      </c>
    </row>
    <row r="25" spans="2:16" x14ac:dyDescent="0.25">
      <c r="B25" s="4"/>
      <c r="C25" s="28"/>
      <c r="F25" s="47">
        <v>19</v>
      </c>
      <c r="G25" s="48">
        <f t="shared" si="3"/>
        <v>5838187.5263656573</v>
      </c>
      <c r="H25" s="48">
        <f t="shared" si="0"/>
        <v>92492.251679984896</v>
      </c>
      <c r="I25" s="48">
        <f t="shared" si="1"/>
        <v>206567.80987006333</v>
      </c>
      <c r="J25" s="48">
        <f t="shared" si="4"/>
        <v>299060.06155004824</v>
      </c>
      <c r="K25" s="48">
        <f t="shared" si="2"/>
        <v>5631619.716495594</v>
      </c>
    </row>
    <row r="26" spans="2:16" x14ac:dyDescent="0.25">
      <c r="B26" s="29" t="s">
        <v>29</v>
      </c>
      <c r="C26" s="26"/>
      <c r="F26" s="47">
        <v>20</v>
      </c>
      <c r="G26" s="48">
        <f t="shared" si="3"/>
        <v>5631619.716495594</v>
      </c>
      <c r="H26" s="48">
        <f t="shared" si="0"/>
        <v>89219.674056672608</v>
      </c>
      <c r="I26" s="48">
        <f t="shared" si="1"/>
        <v>209840.38749337563</v>
      </c>
      <c r="J26" s="48">
        <f t="shared" si="4"/>
        <v>299060.06155004824</v>
      </c>
      <c r="K26" s="48">
        <f t="shared" si="2"/>
        <v>5421779.3290022183</v>
      </c>
    </row>
    <row r="27" spans="2:16" x14ac:dyDescent="0.25">
      <c r="F27" s="47">
        <v>21</v>
      </c>
      <c r="G27" s="48">
        <f t="shared" si="3"/>
        <v>5421779.3290022183</v>
      </c>
      <c r="H27" s="48">
        <f t="shared" si="0"/>
        <v>85895.250193099841</v>
      </c>
      <c r="I27" s="48">
        <f t="shared" si="1"/>
        <v>213164.8113569484</v>
      </c>
      <c r="J27" s="48">
        <f t="shared" si="4"/>
        <v>299060.06155004824</v>
      </c>
      <c r="K27" s="48">
        <f t="shared" si="2"/>
        <v>5208614.5176452696</v>
      </c>
    </row>
    <row r="28" spans="2:16" x14ac:dyDescent="0.25">
      <c r="B28" s="29" t="s">
        <v>57</v>
      </c>
      <c r="C28" s="26" t="s">
        <v>59</v>
      </c>
      <c r="F28" s="47">
        <v>22</v>
      </c>
      <c r="G28" s="48">
        <f t="shared" si="3"/>
        <v>5208614.5176452696</v>
      </c>
      <c r="H28" s="48">
        <f t="shared" si="0"/>
        <v>82518.158708404604</v>
      </c>
      <c r="I28" s="48">
        <f t="shared" si="1"/>
        <v>216541.90284164363</v>
      </c>
      <c r="J28" s="48">
        <f t="shared" si="4"/>
        <v>299060.06155004824</v>
      </c>
      <c r="K28" s="48">
        <f t="shared" si="2"/>
        <v>4992072.6148036262</v>
      </c>
    </row>
    <row r="29" spans="2:16" x14ac:dyDescent="0.25">
      <c r="F29" s="47">
        <v>23</v>
      </c>
      <c r="G29" s="48">
        <f t="shared" si="3"/>
        <v>4992072.6148036262</v>
      </c>
      <c r="H29" s="48">
        <f t="shared" si="0"/>
        <v>79087.565208890883</v>
      </c>
      <c r="I29" s="48">
        <f t="shared" si="1"/>
        <v>219972.49634115736</v>
      </c>
      <c r="J29" s="48">
        <f t="shared" si="4"/>
        <v>299060.06155004824</v>
      </c>
      <c r="K29" s="48">
        <f t="shared" si="2"/>
        <v>4772100.1184624685</v>
      </c>
    </row>
    <row r="30" spans="2:16" x14ac:dyDescent="0.25">
      <c r="F30" s="47">
        <v>24</v>
      </c>
      <c r="G30" s="48">
        <f t="shared" si="3"/>
        <v>4772100.1184624685</v>
      </c>
      <c r="H30" s="48">
        <f t="shared" si="0"/>
        <v>75602.622081871043</v>
      </c>
      <c r="I30" s="48">
        <f t="shared" si="1"/>
        <v>223457.43946817721</v>
      </c>
      <c r="J30" s="48">
        <f t="shared" si="4"/>
        <v>299060.06155004824</v>
      </c>
      <c r="K30" s="48">
        <f t="shared" si="2"/>
        <v>4548642.6789942915</v>
      </c>
    </row>
    <row r="31" spans="2:16" x14ac:dyDescent="0.25">
      <c r="F31" s="47">
        <v>25</v>
      </c>
      <c r="G31" s="48">
        <f t="shared" si="3"/>
        <v>4548642.6789942915</v>
      </c>
      <c r="H31" s="48">
        <f t="shared" si="0"/>
        <v>72062.468286242321</v>
      </c>
      <c r="I31" s="48">
        <f t="shared" si="1"/>
        <v>226997.5932638059</v>
      </c>
      <c r="J31" s="48">
        <f t="shared" si="4"/>
        <v>299060.06155004824</v>
      </c>
      <c r="K31" s="48">
        <f t="shared" si="2"/>
        <v>4321645.0857304856</v>
      </c>
    </row>
    <row r="32" spans="2:16" x14ac:dyDescent="0.25">
      <c r="F32" s="47">
        <v>26</v>
      </c>
      <c r="G32" s="48">
        <f t="shared" si="3"/>
        <v>4321645.0857304856</v>
      </c>
      <c r="H32" s="48">
        <f t="shared" si="0"/>
        <v>68466.229139745308</v>
      </c>
      <c r="I32" s="48">
        <f t="shared" si="1"/>
        <v>230593.83241030294</v>
      </c>
      <c r="J32" s="48">
        <f t="shared" si="4"/>
        <v>299060.06155004824</v>
      </c>
      <c r="K32" s="48">
        <f t="shared" si="2"/>
        <v>4091051.2533201827</v>
      </c>
    </row>
    <row r="33" spans="6:11" x14ac:dyDescent="0.25">
      <c r="F33" s="47">
        <v>27</v>
      </c>
      <c r="G33" s="48">
        <f t="shared" si="3"/>
        <v>4091051.2533201827</v>
      </c>
      <c r="H33" s="48">
        <f t="shared" si="0"/>
        <v>64813.016102852154</v>
      </c>
      <c r="I33" s="48">
        <f t="shared" si="1"/>
        <v>234247.04544719608</v>
      </c>
      <c r="J33" s="48">
        <f t="shared" si="4"/>
        <v>299060.06155004824</v>
      </c>
      <c r="K33" s="48">
        <f t="shared" si="2"/>
        <v>3856804.2078729868</v>
      </c>
    </row>
    <row r="34" spans="6:11" x14ac:dyDescent="0.25">
      <c r="F34" s="47">
        <v>28</v>
      </c>
      <c r="G34" s="48">
        <f t="shared" si="3"/>
        <v>3856804.2078729868</v>
      </c>
      <c r="H34" s="48">
        <f t="shared" si="0"/>
        <v>61101.926559231026</v>
      </c>
      <c r="I34" s="48">
        <f t="shared" si="1"/>
        <v>237958.13499081723</v>
      </c>
      <c r="J34" s="48">
        <f t="shared" si="4"/>
        <v>299060.06155004824</v>
      </c>
      <c r="K34" s="48">
        <f t="shared" si="2"/>
        <v>3618846.0728821694</v>
      </c>
    </row>
    <row r="35" spans="6:11" x14ac:dyDescent="0.25">
      <c r="F35" s="47">
        <v>29</v>
      </c>
      <c r="G35" s="48">
        <f t="shared" si="3"/>
        <v>3618846.0728821694</v>
      </c>
      <c r="H35" s="48">
        <f t="shared" si="0"/>
        <v>57332.043592732429</v>
      </c>
      <c r="I35" s="48">
        <f t="shared" si="1"/>
        <v>241728.01795731581</v>
      </c>
      <c r="J35" s="48">
        <f t="shared" si="4"/>
        <v>299060.06155004824</v>
      </c>
      <c r="K35" s="48">
        <f t="shared" si="2"/>
        <v>3377118.0549248536</v>
      </c>
    </row>
    <row r="36" spans="6:11" x14ac:dyDescent="0.25">
      <c r="F36" s="47">
        <v>30</v>
      </c>
      <c r="G36" s="48">
        <f t="shared" si="3"/>
        <v>3377118.0549248536</v>
      </c>
      <c r="H36" s="48">
        <f t="shared" si="0"/>
        <v>53502.435760842505</v>
      </c>
      <c r="I36" s="48">
        <f t="shared" si="1"/>
        <v>245557.62578920572</v>
      </c>
      <c r="J36" s="48">
        <f t="shared" si="4"/>
        <v>299060.06155004824</v>
      </c>
      <c r="K36" s="48">
        <f t="shared" si="2"/>
        <v>3131560.4291356481</v>
      </c>
    </row>
    <row r="37" spans="6:11" x14ac:dyDescent="0.25">
      <c r="F37" s="47">
        <v>31</v>
      </c>
      <c r="G37" s="48">
        <f t="shared" si="3"/>
        <v>3131560.4291356481</v>
      </c>
      <c r="H37" s="48">
        <f t="shared" si="0"/>
        <v>49612.156864547207</v>
      </c>
      <c r="I37" s="48">
        <f t="shared" si="1"/>
        <v>249447.90468550104</v>
      </c>
      <c r="J37" s="48">
        <f t="shared" si="4"/>
        <v>299060.06155004824</v>
      </c>
      <c r="K37" s="48">
        <f t="shared" si="2"/>
        <v>2882112.5244501471</v>
      </c>
    </row>
    <row r="38" spans="6:11" x14ac:dyDescent="0.25">
      <c r="F38" s="47">
        <v>32</v>
      </c>
      <c r="G38" s="48">
        <f t="shared" si="3"/>
        <v>2882112.5244501471</v>
      </c>
      <c r="H38" s="48">
        <f t="shared" si="0"/>
        <v>45660.245714550489</v>
      </c>
      <c r="I38" s="48">
        <f t="shared" si="1"/>
        <v>253399.81583549775</v>
      </c>
      <c r="J38" s="48">
        <f t="shared" si="4"/>
        <v>299060.06155004824</v>
      </c>
      <c r="K38" s="48">
        <f t="shared" si="2"/>
        <v>2628712.7086146493</v>
      </c>
    </row>
    <row r="39" spans="6:11" x14ac:dyDescent="0.25">
      <c r="F39" s="47">
        <v>33</v>
      </c>
      <c r="G39" s="48">
        <f t="shared" si="3"/>
        <v>2628712.7086146493</v>
      </c>
      <c r="H39" s="48">
        <f t="shared" si="0"/>
        <v>41645.725893788782</v>
      </c>
      <c r="I39" s="48">
        <f t="shared" si="1"/>
        <v>257414.33565625944</v>
      </c>
      <c r="J39" s="48">
        <f t="shared" si="4"/>
        <v>299060.06155004824</v>
      </c>
      <c r="K39" s="48">
        <f t="shared" si="2"/>
        <v>2371298.37295839</v>
      </c>
    </row>
    <row r="40" spans="6:11" x14ac:dyDescent="0.25">
      <c r="F40" s="47">
        <v>34</v>
      </c>
      <c r="G40" s="48">
        <f t="shared" si="3"/>
        <v>2371298.37295839</v>
      </c>
      <c r="H40" s="48">
        <f t="shared" si="0"/>
        <v>37567.605516183146</v>
      </c>
      <c r="I40" s="48">
        <f t="shared" si="1"/>
        <v>261492.45603386511</v>
      </c>
      <c r="J40" s="48">
        <f t="shared" si="4"/>
        <v>299060.06155004824</v>
      </c>
      <c r="K40" s="48">
        <f t="shared" si="2"/>
        <v>2109805.9169245251</v>
      </c>
    </row>
    <row r="41" spans="6:11" x14ac:dyDescent="0.25">
      <c r="F41" s="47">
        <v>35</v>
      </c>
      <c r="G41" s="48">
        <f t="shared" si="3"/>
        <v>2109805.9169245251</v>
      </c>
      <c r="H41" s="48">
        <f t="shared" si="0"/>
        <v>33424.876981569301</v>
      </c>
      <c r="I41" s="48">
        <f t="shared" si="1"/>
        <v>265635.18456847896</v>
      </c>
      <c r="J41" s="48">
        <f t="shared" si="4"/>
        <v>299060.06155004824</v>
      </c>
      <c r="K41" s="48">
        <f t="shared" si="2"/>
        <v>1844170.7323560461</v>
      </c>
    </row>
    <row r="42" spans="6:11" x14ac:dyDescent="0.25">
      <c r="F42" s="47">
        <v>36</v>
      </c>
      <c r="G42" s="48">
        <f t="shared" si="3"/>
        <v>1844170.7323560461</v>
      </c>
      <c r="H42" s="48">
        <f t="shared" si="0"/>
        <v>29216.516726745209</v>
      </c>
      <c r="I42" s="48">
        <f t="shared" si="1"/>
        <v>269843.544823303</v>
      </c>
      <c r="J42" s="48">
        <f t="shared" si="4"/>
        <v>299060.06155004824</v>
      </c>
      <c r="K42" s="48">
        <f t="shared" si="2"/>
        <v>1574327.187532743</v>
      </c>
    </row>
    <row r="43" spans="6:11" x14ac:dyDescent="0.25">
      <c r="F43" s="47">
        <v>37</v>
      </c>
      <c r="G43" s="48">
        <f t="shared" si="3"/>
        <v>1574327.187532743</v>
      </c>
      <c r="H43" s="48">
        <f t="shared" si="0"/>
        <v>24941.484972574552</v>
      </c>
      <c r="I43" s="48">
        <f t="shared" si="1"/>
        <v>274118.57657747366</v>
      </c>
      <c r="J43" s="48">
        <f t="shared" si="4"/>
        <v>299060.06155004824</v>
      </c>
      <c r="K43" s="48">
        <f t="shared" si="2"/>
        <v>1300208.6109552693</v>
      </c>
    </row>
    <row r="44" spans="6:11" x14ac:dyDescent="0.25">
      <c r="F44" s="47">
        <v>38</v>
      </c>
      <c r="G44" s="48">
        <f t="shared" si="3"/>
        <v>1300208.6109552693</v>
      </c>
      <c r="H44" s="48">
        <f t="shared" si="0"/>
        <v>20598.725467083645</v>
      </c>
      <c r="I44" s="48">
        <f t="shared" si="1"/>
        <v>278461.33608296461</v>
      </c>
      <c r="J44" s="48">
        <f t="shared" si="4"/>
        <v>299060.06155004824</v>
      </c>
      <c r="K44" s="48">
        <f t="shared" si="2"/>
        <v>1021747.2748723046</v>
      </c>
    </row>
    <row r="45" spans="6:11" x14ac:dyDescent="0.25">
      <c r="F45" s="47">
        <v>39</v>
      </c>
      <c r="G45" s="48">
        <f t="shared" si="3"/>
        <v>1021747.2748723046</v>
      </c>
      <c r="H45" s="48">
        <f t="shared" si="0"/>
        <v>16187.165224488363</v>
      </c>
      <c r="I45" s="48">
        <f t="shared" si="1"/>
        <v>282872.89632555988</v>
      </c>
      <c r="J45" s="48">
        <f t="shared" si="4"/>
        <v>299060.06155004824</v>
      </c>
      <c r="K45" s="48">
        <f t="shared" si="2"/>
        <v>738874.37854674482</v>
      </c>
    </row>
    <row r="46" spans="6:11" x14ac:dyDescent="0.25">
      <c r="F46" s="47">
        <v>40</v>
      </c>
      <c r="G46" s="48">
        <f t="shared" si="3"/>
        <v>738874.37854674482</v>
      </c>
      <c r="H46" s="48">
        <f t="shared" si="0"/>
        <v>11705.714260086559</v>
      </c>
      <c r="I46" s="48">
        <f t="shared" si="1"/>
        <v>287354.3472899617</v>
      </c>
      <c r="J46" s="48">
        <f t="shared" si="4"/>
        <v>299060.06155004824</v>
      </c>
      <c r="K46" s="48">
        <f t="shared" si="2"/>
        <v>451520.03125678311</v>
      </c>
    </row>
    <row r="47" spans="6:11" x14ac:dyDescent="0.25">
      <c r="F47" s="47">
        <v>41</v>
      </c>
      <c r="G47" s="48">
        <f t="shared" si="3"/>
        <v>451520.03125678311</v>
      </c>
      <c r="H47" s="48">
        <f t="shared" si="0"/>
        <v>7153.2653209504633</v>
      </c>
      <c r="I47" s="48">
        <f t="shared" si="1"/>
        <v>291906.79622909776</v>
      </c>
      <c r="J47" s="48">
        <f>J46</f>
        <v>299060.06155004824</v>
      </c>
      <c r="K47" s="48">
        <f t="shared" si="2"/>
        <v>159613.23502768535</v>
      </c>
    </row>
    <row r="48" spans="6:11" x14ac:dyDescent="0.25">
      <c r="F48" s="47">
        <v>42</v>
      </c>
      <c r="G48" s="48">
        <f t="shared" si="3"/>
        <v>159613.23502768535</v>
      </c>
      <c r="H48" s="48">
        <f t="shared" si="0"/>
        <v>2528.6936123525638</v>
      </c>
      <c r="I48" s="48">
        <f t="shared" si="1"/>
        <v>159613.23502768535</v>
      </c>
      <c r="J48" s="48">
        <f>K47+H48</f>
        <v>162141.92864003792</v>
      </c>
      <c r="K48" s="48">
        <f t="shared" si="2"/>
        <v>0</v>
      </c>
    </row>
    <row r="49" spans="6:11" x14ac:dyDescent="0.25">
      <c r="F49" s="47">
        <v>43</v>
      </c>
      <c r="G49" s="48">
        <f t="shared" si="3"/>
        <v>0</v>
      </c>
      <c r="H49" s="48">
        <f t="shared" si="0"/>
        <v>0</v>
      </c>
      <c r="I49" s="48">
        <f t="shared" si="1"/>
        <v>162141.92864003792</v>
      </c>
      <c r="J49" s="48">
        <f t="shared" si="4"/>
        <v>162141.92864003792</v>
      </c>
      <c r="K49" s="48">
        <f t="shared" si="2"/>
        <v>-162141.92864003792</v>
      </c>
    </row>
    <row r="50" spans="6:11" x14ac:dyDescent="0.25">
      <c r="F50" s="47">
        <v>44</v>
      </c>
      <c r="G50" s="48">
        <f t="shared" si="3"/>
        <v>-162141.92864003792</v>
      </c>
      <c r="H50" s="48">
        <f t="shared" si="0"/>
        <v>-2568.7547725943418</v>
      </c>
      <c r="I50" s="48">
        <f t="shared" si="1"/>
        <v>164710.68341263226</v>
      </c>
      <c r="J50" s="48">
        <f t="shared" si="4"/>
        <v>162141.92864003792</v>
      </c>
      <c r="K50" s="48">
        <f t="shared" si="2"/>
        <v>-326852.61205267021</v>
      </c>
    </row>
    <row r="51" spans="6:11" x14ac:dyDescent="0.25">
      <c r="F51" s="47">
        <v>45</v>
      </c>
      <c r="G51" s="48">
        <f t="shared" si="3"/>
        <v>-326852.61205267021</v>
      </c>
      <c r="H51" s="48">
        <f t="shared" si="0"/>
        <v>-5178.2053796164046</v>
      </c>
      <c r="I51" s="48">
        <f t="shared" si="1"/>
        <v>167320.13401965433</v>
      </c>
      <c r="J51" s="48">
        <f t="shared" si="4"/>
        <v>162141.92864003792</v>
      </c>
      <c r="K51" s="48">
        <f t="shared" si="2"/>
        <v>-494172.74607232457</v>
      </c>
    </row>
    <row r="52" spans="6:11" x14ac:dyDescent="0.25">
      <c r="F52" s="47">
        <v>46</v>
      </c>
      <c r="G52" s="48">
        <f t="shared" si="3"/>
        <v>-494172.74607232457</v>
      </c>
      <c r="H52" s="48">
        <f t="shared" si="0"/>
        <v>-7828.9965501611705</v>
      </c>
      <c r="I52" s="48">
        <f t="shared" si="1"/>
        <v>169970.92519019908</v>
      </c>
      <c r="J52" s="48">
        <f t="shared" si="4"/>
        <v>162141.92864003792</v>
      </c>
      <c r="K52" s="48">
        <f t="shared" si="2"/>
        <v>-664143.67126252363</v>
      </c>
    </row>
    <row r="53" spans="6:11" x14ac:dyDescent="0.25">
      <c r="F53" s="47">
        <v>47</v>
      </c>
      <c r="G53" s="48">
        <f t="shared" si="3"/>
        <v>-664143.67126252363</v>
      </c>
      <c r="H53" s="48">
        <f t="shared" si="0"/>
        <v>-10521.783227528878</v>
      </c>
      <c r="I53" s="48">
        <f t="shared" si="1"/>
        <v>172663.7118675668</v>
      </c>
      <c r="J53" s="48">
        <f t="shared" si="4"/>
        <v>162141.92864003792</v>
      </c>
      <c r="K53" s="48">
        <f t="shared" si="2"/>
        <v>-836807.38313009043</v>
      </c>
    </row>
    <row r="54" spans="6:11" x14ac:dyDescent="0.25">
      <c r="F54" s="47">
        <v>48</v>
      </c>
      <c r="G54" s="48">
        <f t="shared" si="3"/>
        <v>-836807.38313009043</v>
      </c>
      <c r="H54" s="48">
        <f t="shared" si="0"/>
        <v>-13257.23073104491</v>
      </c>
      <c r="I54" s="48">
        <f t="shared" si="1"/>
        <v>175399.15937108285</v>
      </c>
      <c r="J54" s="48">
        <f t="shared" si="4"/>
        <v>162141.92864003792</v>
      </c>
      <c r="K54" s="48">
        <f t="shared" si="2"/>
        <v>-1012206.5425011732</v>
      </c>
    </row>
    <row r="55" spans="6:11" x14ac:dyDescent="0.25">
      <c r="F55" s="47">
        <v>49</v>
      </c>
      <c r="G55" s="49"/>
      <c r="H55" s="49"/>
      <c r="I55" s="49"/>
      <c r="J55" s="49"/>
      <c r="K55" s="49"/>
    </row>
    <row r="56" spans="6:11" x14ac:dyDescent="0.25">
      <c r="F56" s="47">
        <v>50</v>
      </c>
      <c r="G56" s="49"/>
      <c r="H56" s="49"/>
      <c r="I56" s="49"/>
      <c r="J56" s="49"/>
      <c r="K56" s="49"/>
    </row>
    <row r="57" spans="6:11" x14ac:dyDescent="0.25">
      <c r="F57" s="47">
        <v>51</v>
      </c>
      <c r="G57" s="49"/>
      <c r="H57" s="49"/>
      <c r="I57" s="49"/>
      <c r="J57" s="49"/>
      <c r="K57" s="49"/>
    </row>
    <row r="58" spans="6:11" x14ac:dyDescent="0.25">
      <c r="F58" s="47">
        <v>52</v>
      </c>
      <c r="G58" s="49"/>
      <c r="H58" s="49"/>
      <c r="I58" s="49"/>
      <c r="J58" s="49"/>
      <c r="K58" s="49"/>
    </row>
    <row r="59" spans="6:11" x14ac:dyDescent="0.25">
      <c r="F59" s="47">
        <v>53</v>
      </c>
      <c r="G59" s="49"/>
      <c r="H59" s="49"/>
      <c r="I59" s="49"/>
      <c r="J59" s="49"/>
      <c r="K59" s="49"/>
    </row>
    <row r="60" spans="6:11" x14ac:dyDescent="0.25">
      <c r="F60" s="47">
        <v>54</v>
      </c>
      <c r="G60" s="49"/>
      <c r="H60" s="49"/>
      <c r="I60" s="49"/>
      <c r="J60" s="49"/>
      <c r="K60" s="49"/>
    </row>
    <row r="61" spans="6:11" x14ac:dyDescent="0.25">
      <c r="F61" s="47">
        <v>55</v>
      </c>
      <c r="G61" s="49"/>
      <c r="H61" s="49"/>
      <c r="I61" s="49"/>
      <c r="J61" s="49"/>
      <c r="K61" s="49"/>
    </row>
    <row r="62" spans="6:11" x14ac:dyDescent="0.25">
      <c r="F62" s="47">
        <v>56</v>
      </c>
      <c r="G62" s="49"/>
      <c r="H62" s="49"/>
      <c r="I62" s="49"/>
      <c r="J62" s="49"/>
      <c r="K62" s="49"/>
    </row>
    <row r="63" spans="6:11" x14ac:dyDescent="0.25">
      <c r="F63" s="47">
        <v>57</v>
      </c>
      <c r="G63" s="49"/>
      <c r="H63" s="49"/>
      <c r="I63" s="49"/>
      <c r="J63" s="49"/>
      <c r="K63" s="49"/>
    </row>
    <row r="64" spans="6:11" x14ac:dyDescent="0.25">
      <c r="F64" s="47">
        <v>58</v>
      </c>
      <c r="G64" s="49"/>
      <c r="H64" s="49"/>
      <c r="I64" s="49"/>
      <c r="J64" s="49"/>
      <c r="K64" s="49"/>
    </row>
    <row r="65" spans="6:11" x14ac:dyDescent="0.25">
      <c r="F65" s="47">
        <v>59</v>
      </c>
      <c r="G65" s="49"/>
      <c r="H65" s="49"/>
      <c r="I65" s="49"/>
      <c r="J65" s="49"/>
      <c r="K65" s="49"/>
    </row>
    <row r="66" spans="6:11" x14ac:dyDescent="0.25">
      <c r="F66" s="47">
        <v>60</v>
      </c>
      <c r="G66" s="49"/>
      <c r="H66" s="49"/>
      <c r="I66" s="49"/>
      <c r="J66" s="49"/>
      <c r="K66" s="49"/>
    </row>
    <row r="67" spans="6:11" x14ac:dyDescent="0.25">
      <c r="F67" s="47">
        <v>61</v>
      </c>
      <c r="G67" s="49"/>
      <c r="H67" s="49"/>
      <c r="I67" s="49"/>
      <c r="J67" s="49"/>
      <c r="K67" s="49"/>
    </row>
    <row r="68" spans="6:11" x14ac:dyDescent="0.25">
      <c r="F68" s="47">
        <v>62</v>
      </c>
      <c r="G68" s="49"/>
      <c r="H68" s="49"/>
      <c r="I68" s="49"/>
      <c r="J68" s="49"/>
      <c r="K68" s="49"/>
    </row>
    <row r="69" spans="6:11" x14ac:dyDescent="0.25">
      <c r="F69" s="47">
        <v>63</v>
      </c>
      <c r="G69" s="49"/>
      <c r="H69" s="49"/>
      <c r="I69" s="49"/>
      <c r="J69" s="49"/>
      <c r="K69" s="49"/>
    </row>
    <row r="70" spans="6:11" x14ac:dyDescent="0.25">
      <c r="F70" s="47">
        <v>64</v>
      </c>
      <c r="G70" s="49"/>
      <c r="H70" s="49"/>
      <c r="I70" s="49"/>
      <c r="J70" s="49"/>
      <c r="K70" s="49"/>
    </row>
    <row r="71" spans="6:11" x14ac:dyDescent="0.25">
      <c r="F71" s="47">
        <v>65</v>
      </c>
      <c r="G71" s="49"/>
      <c r="H71" s="49"/>
      <c r="I71" s="49"/>
      <c r="J71" s="49"/>
      <c r="K71" s="49"/>
    </row>
    <row r="72" spans="6:11" x14ac:dyDescent="0.25">
      <c r="F72" s="47">
        <v>66</v>
      </c>
      <c r="G72" s="49"/>
      <c r="H72" s="49"/>
      <c r="I72" s="49"/>
      <c r="J72" s="49"/>
      <c r="K72" s="49"/>
    </row>
    <row r="73" spans="6:11" x14ac:dyDescent="0.25">
      <c r="F73" s="47">
        <v>67</v>
      </c>
      <c r="G73" s="49"/>
      <c r="H73" s="49"/>
      <c r="I73" s="49"/>
      <c r="J73" s="49"/>
      <c r="K73" s="49"/>
    </row>
    <row r="74" spans="6:11" x14ac:dyDescent="0.25">
      <c r="F74" s="47">
        <v>68</v>
      </c>
      <c r="G74" s="49"/>
      <c r="H74" s="49"/>
      <c r="I74" s="49"/>
      <c r="J74" s="49"/>
      <c r="K74" s="49"/>
    </row>
    <row r="75" spans="6:11" x14ac:dyDescent="0.25">
      <c r="F75" s="47">
        <v>69</v>
      </c>
      <c r="G75" s="49"/>
      <c r="H75" s="49"/>
      <c r="I75" s="49"/>
      <c r="J75" s="49"/>
      <c r="K75" s="49"/>
    </row>
    <row r="76" spans="6:11" x14ac:dyDescent="0.25">
      <c r="F76" s="47">
        <v>70</v>
      </c>
      <c r="G76" s="49"/>
      <c r="H76" s="49"/>
      <c r="I76" s="49"/>
      <c r="J76" s="49"/>
      <c r="K76" s="49"/>
    </row>
    <row r="77" spans="6:11" x14ac:dyDescent="0.25">
      <c r="F77" s="47">
        <v>71</v>
      </c>
      <c r="G77" s="49"/>
      <c r="H77" s="49"/>
      <c r="I77" s="49"/>
      <c r="J77" s="49"/>
      <c r="K77" s="49"/>
    </row>
    <row r="78" spans="6:11" x14ac:dyDescent="0.25">
      <c r="F78" s="47">
        <v>72</v>
      </c>
      <c r="G78" s="49"/>
      <c r="H78" s="49"/>
      <c r="I78" s="49"/>
      <c r="J78" s="49"/>
      <c r="K78" s="49"/>
    </row>
  </sheetData>
  <mergeCells count="8">
    <mergeCell ref="N14:N15"/>
    <mergeCell ref="O14:O15"/>
    <mergeCell ref="R1:R3"/>
    <mergeCell ref="T1:T3"/>
    <mergeCell ref="N2:N3"/>
    <mergeCell ref="P2:P3"/>
    <mergeCell ref="N10:N12"/>
    <mergeCell ref="O10:O12"/>
  </mergeCell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listas!$G$4:$G$5</xm:f>
          </x14:formula1>
          <xm:sqref>C6</xm:sqref>
        </x14:dataValidation>
        <x14:dataValidation type="list" allowBlank="1" showInputMessage="1" showErrorMessage="1">
          <x14:formula1>
            <xm:f>listas!$M$3:$M$4</xm:f>
          </x14:formula1>
          <xm:sqref>C12</xm:sqref>
        </x14:dataValidation>
        <x14:dataValidation type="list" allowBlank="1" showInputMessage="1" showErrorMessage="1">
          <x14:formula1>
            <xm:f>listas!$I$4:$I$13</xm:f>
          </x14:formula1>
          <xm:sqref>C14</xm:sqref>
        </x14:dataValidation>
        <x14:dataValidation type="list" allowBlank="1" showInputMessage="1" showErrorMessage="1">
          <x14:formula1>
            <xm:f>listas!$O$4:$O$8</xm:f>
          </x14:formula1>
          <xm:sqref>C26</xm:sqref>
        </x14:dataValidation>
        <x14:dataValidation type="list" allowBlank="1" showInputMessage="1" showErrorMessage="1">
          <x14:formula1>
            <xm:f>listas!$D$3:$D$74</xm:f>
          </x14:formula1>
          <xm:sqref>C10 C22</xm:sqref>
        </x14:dataValidation>
        <x14:dataValidation type="list" allowBlank="1" showInputMessage="1" showErrorMessage="1">
          <x14:formula1>
            <xm:f>listas!$C$2:$C$4</xm:f>
          </x14:formula1>
          <xm:sqref>C28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Y78"/>
  <sheetViews>
    <sheetView showGridLines="0" tabSelected="1" zoomScaleNormal="100" workbookViewId="0">
      <selection activeCell="F19" sqref="F19"/>
    </sheetView>
  </sheetViews>
  <sheetFormatPr baseColWidth="10" defaultRowHeight="15" x14ac:dyDescent="0.25"/>
  <cols>
    <col min="1" max="1" width="2.5703125" customWidth="1"/>
    <col min="2" max="2" width="30.7109375" customWidth="1"/>
    <col min="3" max="3" width="17.28515625" customWidth="1"/>
    <col min="4" max="4" width="2.42578125" customWidth="1"/>
    <col min="5" max="5" width="4.140625" customWidth="1"/>
    <col min="7" max="7" width="18.85546875" customWidth="1"/>
    <col min="8" max="8" width="19.28515625" customWidth="1"/>
    <col min="9" max="9" width="17.7109375" customWidth="1"/>
    <col min="10" max="10" width="13.85546875" bestFit="1" customWidth="1"/>
    <col min="11" max="11" width="18.28515625" customWidth="1"/>
    <col min="12" max="12" width="16.28515625" customWidth="1"/>
    <col min="13" max="13" width="16" customWidth="1"/>
    <col min="14" max="14" width="13.85546875" customWidth="1"/>
    <col min="15" max="15" width="4.42578125" customWidth="1"/>
    <col min="16" max="16" width="15" bestFit="1" customWidth="1"/>
    <col min="17" max="17" width="7.140625" customWidth="1"/>
    <col min="18" max="18" width="21.42578125" bestFit="1" customWidth="1"/>
    <col min="19" max="19" width="1.85546875" customWidth="1"/>
    <col min="20" max="20" width="15.28515625" customWidth="1"/>
    <col min="22" max="22" width="1.5703125" customWidth="1"/>
    <col min="23" max="24" width="3" customWidth="1"/>
    <col min="25" max="25" width="17.140625" bestFit="1" customWidth="1"/>
  </cols>
  <sheetData>
    <row r="1" spans="2:20" x14ac:dyDescent="0.25">
      <c r="B1" s="35" t="s">
        <v>43</v>
      </c>
    </row>
    <row r="2" spans="2:20" x14ac:dyDescent="0.25">
      <c r="B2" s="34" t="s">
        <v>8</v>
      </c>
      <c r="C2" s="33"/>
    </row>
    <row r="3" spans="2:20" x14ac:dyDescent="0.25">
      <c r="B3" s="37"/>
      <c r="C3" s="33"/>
      <c r="N3" s="39" t="s">
        <v>48</v>
      </c>
      <c r="P3" s="39" t="s">
        <v>49</v>
      </c>
      <c r="R3" s="39" t="s">
        <v>50</v>
      </c>
      <c r="T3" s="39" t="s">
        <v>51</v>
      </c>
    </row>
    <row r="4" spans="2:20" x14ac:dyDescent="0.25">
      <c r="B4" s="37"/>
      <c r="C4" s="140"/>
      <c r="N4">
        <v>0.18</v>
      </c>
      <c r="P4">
        <f>N4/2</f>
        <v>0.09</v>
      </c>
      <c r="R4">
        <f>P4/ (1-P4)</f>
        <v>9.8901098901098897E-2</v>
      </c>
      <c r="T4">
        <f>((1+R4)^(2/12))-1</f>
        <v>1.5842631169739496E-2</v>
      </c>
    </row>
    <row r="5" spans="2:20" ht="18.75" x14ac:dyDescent="0.25">
      <c r="F5" s="30">
        <v>1</v>
      </c>
      <c r="G5" s="30">
        <v>2</v>
      </c>
      <c r="H5" s="30" t="s">
        <v>35</v>
      </c>
      <c r="I5" s="30" t="s">
        <v>36</v>
      </c>
      <c r="J5" s="30">
        <v>5</v>
      </c>
      <c r="K5" s="30" t="s">
        <v>37</v>
      </c>
    </row>
    <row r="6" spans="2:20" x14ac:dyDescent="0.25">
      <c r="B6" s="29" t="s">
        <v>11</v>
      </c>
      <c r="C6" s="26" t="s">
        <v>13</v>
      </c>
      <c r="F6" s="31" t="s">
        <v>38</v>
      </c>
      <c r="G6" s="32" t="s">
        <v>9</v>
      </c>
      <c r="H6" s="32" t="s">
        <v>39</v>
      </c>
      <c r="I6" s="32" t="s">
        <v>40</v>
      </c>
      <c r="J6" s="32" t="s">
        <v>41</v>
      </c>
      <c r="K6" s="32" t="s">
        <v>42</v>
      </c>
    </row>
    <row r="7" spans="2:20" x14ac:dyDescent="0.25">
      <c r="C7" s="2"/>
      <c r="F7" s="47">
        <v>1</v>
      </c>
      <c r="G7" s="48"/>
      <c r="H7" s="48"/>
      <c r="I7" s="48"/>
      <c r="J7" s="48"/>
      <c r="K7" s="48">
        <f>G7-I7</f>
        <v>0</v>
      </c>
      <c r="N7" s="6" t="s">
        <v>2</v>
      </c>
      <c r="O7" s="1" t="s">
        <v>1</v>
      </c>
      <c r="Q7" s="9" t="s">
        <v>0</v>
      </c>
    </row>
    <row r="8" spans="2:20" ht="18.75" x14ac:dyDescent="0.25">
      <c r="B8" s="29" t="s">
        <v>9</v>
      </c>
      <c r="C8" s="27"/>
      <c r="F8" s="47">
        <v>2</v>
      </c>
      <c r="G8" s="48"/>
      <c r="H8" s="48"/>
      <c r="I8" s="48"/>
      <c r="J8" s="48"/>
      <c r="K8" s="48">
        <f>G8-I8</f>
        <v>0</v>
      </c>
      <c r="N8" s="2"/>
      <c r="O8" s="1"/>
      <c r="Q8" s="10" t="s">
        <v>3</v>
      </c>
    </row>
    <row r="9" spans="2:20" ht="18.75" x14ac:dyDescent="0.25">
      <c r="C9" s="2"/>
      <c r="F9" s="47">
        <v>3</v>
      </c>
      <c r="G9" s="48"/>
      <c r="H9" s="48"/>
      <c r="I9" s="48"/>
      <c r="J9" s="48"/>
      <c r="K9" s="48">
        <f>G9-I9</f>
        <v>0</v>
      </c>
      <c r="N9" s="2"/>
      <c r="O9" s="1"/>
      <c r="Q9" s="7" t="s">
        <v>4</v>
      </c>
    </row>
    <row r="10" spans="2:20" x14ac:dyDescent="0.25">
      <c r="B10" s="29" t="s">
        <v>10</v>
      </c>
      <c r="C10" s="26">
        <v>48</v>
      </c>
      <c r="F10" s="47">
        <v>4</v>
      </c>
      <c r="G10" s="48"/>
      <c r="H10" s="48"/>
      <c r="I10" s="48"/>
      <c r="J10" s="48"/>
      <c r="K10" s="48">
        <f>G10-I10</f>
        <v>0</v>
      </c>
      <c r="N10" s="185" t="s">
        <v>2</v>
      </c>
      <c r="O10" s="186" t="s">
        <v>1</v>
      </c>
      <c r="P10" s="42">
        <f>C8</f>
        <v>0</v>
      </c>
      <c r="Q10" s="43"/>
    </row>
    <row r="11" spans="2:20" x14ac:dyDescent="0.25">
      <c r="B11" s="4"/>
      <c r="C11" s="28"/>
      <c r="F11" s="47">
        <v>5</v>
      </c>
      <c r="G11" s="48"/>
      <c r="H11" s="48"/>
      <c r="I11" s="48"/>
      <c r="J11" s="48"/>
      <c r="K11" s="48">
        <f>G11-I11</f>
        <v>0</v>
      </c>
      <c r="N11" s="185"/>
      <c r="O11" s="186"/>
      <c r="P11">
        <f>1-(1+C18)^-C10</f>
        <v>0.52974747238484743</v>
      </c>
      <c r="Q11" s="44"/>
    </row>
    <row r="12" spans="2:20" ht="18.75" x14ac:dyDescent="0.25">
      <c r="B12" s="29" t="s">
        <v>28</v>
      </c>
      <c r="C12" s="26" t="s">
        <v>21</v>
      </c>
      <c r="F12" s="47">
        <v>6</v>
      </c>
      <c r="G12" s="48"/>
      <c r="H12" s="48"/>
      <c r="I12" s="48"/>
      <c r="J12" s="48"/>
      <c r="K12" s="48">
        <f>G12-I12</f>
        <v>0</v>
      </c>
      <c r="N12" s="185"/>
      <c r="O12" s="186"/>
      <c r="P12">
        <f>C18</f>
        <v>1.5842631169739496E-2</v>
      </c>
      <c r="Q12" s="45"/>
    </row>
    <row r="13" spans="2:20" x14ac:dyDescent="0.25">
      <c r="C13" s="2"/>
      <c r="F13" s="47">
        <v>7</v>
      </c>
      <c r="G13" s="48"/>
      <c r="H13" s="48"/>
      <c r="I13" s="48"/>
      <c r="J13" s="48"/>
      <c r="K13" s="48">
        <f>G13-I13</f>
        <v>0</v>
      </c>
      <c r="N13" s="2"/>
      <c r="O13" s="1"/>
    </row>
    <row r="14" spans="2:20" x14ac:dyDescent="0.25">
      <c r="B14" s="29" t="s">
        <v>27</v>
      </c>
      <c r="C14" s="26" t="s">
        <v>18</v>
      </c>
      <c r="F14" s="47">
        <v>8</v>
      </c>
      <c r="G14" s="48"/>
      <c r="H14" s="48"/>
      <c r="I14" s="48"/>
      <c r="J14" s="48"/>
      <c r="K14" s="48">
        <f>G14-I14</f>
        <v>0</v>
      </c>
      <c r="N14" s="185" t="s">
        <v>2</v>
      </c>
      <c r="O14" s="186" t="s">
        <v>1</v>
      </c>
      <c r="P14" s="42">
        <f>P10</f>
        <v>0</v>
      </c>
    </row>
    <row r="15" spans="2:20" x14ac:dyDescent="0.25">
      <c r="C15" s="2"/>
      <c r="F15" s="47">
        <v>9</v>
      </c>
      <c r="G15" s="48"/>
      <c r="H15" s="48"/>
      <c r="I15" s="48"/>
      <c r="J15" s="48"/>
      <c r="K15" s="48">
        <f>G15-I15</f>
        <v>0</v>
      </c>
      <c r="N15" s="185"/>
      <c r="O15" s="186"/>
      <c r="P15" s="46">
        <f>P11/P12</f>
        <v>33.438099183720261</v>
      </c>
    </row>
    <row r="16" spans="2:20" x14ac:dyDescent="0.25">
      <c r="B16" s="29" t="s">
        <v>52</v>
      </c>
      <c r="C16" s="40">
        <v>18</v>
      </c>
      <c r="F16" s="47">
        <v>10</v>
      </c>
      <c r="G16" s="48"/>
      <c r="H16" s="48"/>
      <c r="I16" s="48"/>
      <c r="J16" s="133"/>
      <c r="K16" s="48">
        <f>G16-I16</f>
        <v>0</v>
      </c>
      <c r="N16" s="6"/>
      <c r="O16" s="1"/>
    </row>
    <row r="17" spans="2:25" x14ac:dyDescent="0.25">
      <c r="C17" s="2"/>
      <c r="F17" s="47">
        <v>11</v>
      </c>
      <c r="G17" s="48"/>
      <c r="H17" s="48"/>
      <c r="I17" s="48"/>
      <c r="J17" s="48"/>
      <c r="K17" s="48">
        <f>G17-I17</f>
        <v>0</v>
      </c>
      <c r="N17" s="2" t="s">
        <v>2</v>
      </c>
      <c r="O17" s="1" t="s">
        <v>1</v>
      </c>
      <c r="P17">
        <f>P14/P15</f>
        <v>0</v>
      </c>
    </row>
    <row r="18" spans="2:25" x14ac:dyDescent="0.25">
      <c r="B18" s="36" t="s">
        <v>53</v>
      </c>
      <c r="C18" s="26">
        <f>T4</f>
        <v>1.5842631169739496E-2</v>
      </c>
      <c r="F18" s="47">
        <v>12</v>
      </c>
      <c r="G18" s="48"/>
      <c r="H18" s="48"/>
      <c r="I18" s="48"/>
      <c r="J18" s="48"/>
      <c r="K18" s="48">
        <f>G18-I18</f>
        <v>0</v>
      </c>
    </row>
    <row r="19" spans="2:25" x14ac:dyDescent="0.25">
      <c r="F19" s="47">
        <v>13</v>
      </c>
      <c r="G19" s="48"/>
      <c r="H19" s="48"/>
      <c r="I19" s="48"/>
      <c r="J19" s="48"/>
      <c r="K19" s="48">
        <f>G19-I19</f>
        <v>0</v>
      </c>
    </row>
    <row r="20" spans="2:25" x14ac:dyDescent="0.25">
      <c r="B20" s="36" t="s">
        <v>54</v>
      </c>
      <c r="C20" s="41">
        <f>J7</f>
        <v>0</v>
      </c>
      <c r="F20" s="47">
        <v>14</v>
      </c>
      <c r="G20" s="48"/>
      <c r="H20" s="48"/>
      <c r="I20" s="48"/>
      <c r="J20" s="48"/>
      <c r="K20" s="118">
        <f>G20-I20</f>
        <v>0</v>
      </c>
    </row>
    <row r="21" spans="2:25" ht="15.75" x14ac:dyDescent="0.25">
      <c r="F21" s="47">
        <v>15</v>
      </c>
      <c r="G21" s="191"/>
      <c r="H21" s="191"/>
      <c r="I21" s="115"/>
      <c r="J21" s="117">
        <f>C24</f>
        <v>3000000</v>
      </c>
      <c r="K21" s="191">
        <f>G21-I21</f>
        <v>0</v>
      </c>
      <c r="L21" s="42">
        <f>+K20+H21-J21</f>
        <v>-3000000</v>
      </c>
    </row>
    <row r="22" spans="2:25" x14ac:dyDescent="0.25">
      <c r="B22" s="29" t="s">
        <v>92</v>
      </c>
      <c r="C22" s="26">
        <v>15</v>
      </c>
      <c r="F22" s="47">
        <v>16</v>
      </c>
      <c r="G22" s="48"/>
      <c r="H22" s="48"/>
      <c r="I22" s="48"/>
      <c r="J22" s="48"/>
      <c r="K22" s="48">
        <f>G22-I22</f>
        <v>0</v>
      </c>
    </row>
    <row r="23" spans="2:25" x14ac:dyDescent="0.25">
      <c r="F23" s="47">
        <v>17</v>
      </c>
      <c r="G23" s="48"/>
      <c r="H23" s="48"/>
      <c r="I23" s="48"/>
      <c r="J23" s="48"/>
      <c r="K23" s="48">
        <f>G23-I23</f>
        <v>0</v>
      </c>
      <c r="N23" s="2" t="s">
        <v>0</v>
      </c>
      <c r="O23" t="s">
        <v>1</v>
      </c>
      <c r="P23" t="s">
        <v>99</v>
      </c>
      <c r="R23" s="2" t="s">
        <v>0</v>
      </c>
      <c r="S23" t="s">
        <v>1</v>
      </c>
      <c r="T23" t="s">
        <v>99</v>
      </c>
    </row>
    <row r="24" spans="2:25" x14ac:dyDescent="0.25">
      <c r="B24" s="29" t="s">
        <v>88</v>
      </c>
      <c r="C24" s="27">
        <v>3000000</v>
      </c>
      <c r="F24" s="47">
        <v>18</v>
      </c>
      <c r="G24" s="48"/>
      <c r="H24" s="48"/>
      <c r="I24" s="48"/>
      <c r="J24" s="48"/>
      <c r="K24" s="48">
        <f>G24-I24</f>
        <v>0</v>
      </c>
    </row>
    <row r="25" spans="2:25" x14ac:dyDescent="0.25">
      <c r="B25" s="4"/>
      <c r="C25" s="28"/>
      <c r="F25" s="47">
        <v>19</v>
      </c>
      <c r="G25" s="48"/>
      <c r="H25" s="48"/>
      <c r="I25" s="48"/>
      <c r="J25" s="48"/>
      <c r="K25" s="132">
        <f>G25-I25</f>
        <v>0</v>
      </c>
      <c r="L25" s="42">
        <f>K25</f>
        <v>0</v>
      </c>
      <c r="M25" s="42">
        <f>K26/((1-(1+$C$18)^-22)/$C$18)</f>
        <v>0</v>
      </c>
      <c r="N25" s="2" t="s">
        <v>0</v>
      </c>
      <c r="O25" t="s">
        <v>1</v>
      </c>
      <c r="P25" s="119">
        <f>P17*(1-(1+$C$18)^-34)/$C$18</f>
        <v>0</v>
      </c>
      <c r="R25" s="2" t="s">
        <v>0</v>
      </c>
      <c r="S25" t="s">
        <v>1</v>
      </c>
      <c r="T25" s="119">
        <f>P17*(1-(1+$C$18)^-22.5449)/$C$18</f>
        <v>0</v>
      </c>
      <c r="W25" s="186" t="s">
        <v>2</v>
      </c>
      <c r="X25" s="186" t="s">
        <v>1</v>
      </c>
      <c r="Y25" s="9" t="s">
        <v>0</v>
      </c>
    </row>
    <row r="26" spans="2:25" ht="18.75" x14ac:dyDescent="0.25">
      <c r="B26" s="29" t="s">
        <v>89</v>
      </c>
      <c r="C26" s="26"/>
      <c r="F26" s="47">
        <v>20</v>
      </c>
      <c r="G26" s="48"/>
      <c r="H26" s="136"/>
      <c r="I26" s="48"/>
      <c r="J26" s="192">
        <f>J25+$C$34</f>
        <v>1000000</v>
      </c>
      <c r="K26" s="48">
        <f>G26-I26</f>
        <v>0</v>
      </c>
      <c r="W26" s="186"/>
      <c r="X26" s="186"/>
      <c r="Y26" s="10" t="s">
        <v>3</v>
      </c>
    </row>
    <row r="27" spans="2:25" ht="18.75" x14ac:dyDescent="0.25">
      <c r="F27" s="47">
        <v>21</v>
      </c>
      <c r="G27" s="48"/>
      <c r="H27" s="48"/>
      <c r="I27" s="48"/>
      <c r="J27" s="48"/>
      <c r="K27" s="48">
        <f>G27-I27</f>
        <v>0</v>
      </c>
      <c r="P27" s="113">
        <v>1500000</v>
      </c>
      <c r="T27" s="113">
        <f>J26</f>
        <v>1000000</v>
      </c>
      <c r="W27" s="186"/>
      <c r="X27" s="186"/>
      <c r="Y27" s="23" t="s">
        <v>4</v>
      </c>
    </row>
    <row r="28" spans="2:25" x14ac:dyDescent="0.25">
      <c r="B28" s="29" t="s">
        <v>90</v>
      </c>
      <c r="C28" s="26" t="s">
        <v>59</v>
      </c>
      <c r="F28" s="47">
        <v>22</v>
      </c>
      <c r="G28" s="48"/>
      <c r="H28" s="48"/>
      <c r="I28" s="48"/>
      <c r="J28" s="48"/>
      <c r="K28" s="48">
        <f>G28-I28</f>
        <v>0</v>
      </c>
      <c r="L28" s="42"/>
    </row>
    <row r="29" spans="2:25" x14ac:dyDescent="0.25">
      <c r="F29" s="47">
        <v>23</v>
      </c>
      <c r="G29" s="48"/>
      <c r="H29" s="48"/>
      <c r="I29" s="48"/>
      <c r="J29" s="48"/>
      <c r="K29" s="48">
        <f>G29-I29</f>
        <v>0</v>
      </c>
      <c r="P29" s="122">
        <f>P25*$C$18</f>
        <v>0</v>
      </c>
      <c r="T29" s="124">
        <f>L25*$C$18</f>
        <v>0</v>
      </c>
      <c r="W29" s="186" t="s">
        <v>2</v>
      </c>
      <c r="X29" s="186" t="s">
        <v>1</v>
      </c>
      <c r="Y29" s="138">
        <f>T31</f>
        <v>-1000000</v>
      </c>
    </row>
    <row r="30" spans="2:25" x14ac:dyDescent="0.25">
      <c r="B30" s="29" t="s">
        <v>91</v>
      </c>
      <c r="C30" s="116" t="s">
        <v>98</v>
      </c>
      <c r="F30" s="47">
        <v>24</v>
      </c>
      <c r="G30" s="48"/>
      <c r="H30" s="48"/>
      <c r="I30" s="48"/>
      <c r="J30" s="48"/>
      <c r="K30" s="48">
        <f>G30-I30</f>
        <v>0</v>
      </c>
      <c r="W30" s="186"/>
      <c r="X30" s="186"/>
      <c r="Y30" s="10">
        <f>(1-(1+$C$18)^-21.546)/$C$18</f>
        <v>18.133486815486489</v>
      </c>
    </row>
    <row r="31" spans="2:25" ht="18.75" x14ac:dyDescent="0.25">
      <c r="F31" s="47">
        <v>25</v>
      </c>
      <c r="G31" s="48"/>
      <c r="H31" s="48"/>
      <c r="I31" s="48"/>
      <c r="J31" s="48"/>
      <c r="K31" s="48">
        <f>G31-I31</f>
        <v>0</v>
      </c>
      <c r="P31" s="124">
        <f>P25-P27+P29</f>
        <v>-1500000</v>
      </c>
      <c r="T31" s="124">
        <f>T25-T27+T29</f>
        <v>-1000000</v>
      </c>
      <c r="W31" s="186"/>
      <c r="X31" s="186"/>
      <c r="Y31" s="23"/>
    </row>
    <row r="32" spans="2:25" x14ac:dyDescent="0.25">
      <c r="B32" s="29" t="s">
        <v>93</v>
      </c>
      <c r="C32" s="26">
        <v>20</v>
      </c>
      <c r="F32" s="47">
        <v>26</v>
      </c>
      <c r="G32" s="48"/>
      <c r="H32" s="48"/>
      <c r="I32" s="48"/>
      <c r="J32" s="136"/>
      <c r="K32" s="48">
        <f>G32-I32</f>
        <v>0</v>
      </c>
    </row>
    <row r="33" spans="2:25" x14ac:dyDescent="0.25">
      <c r="F33" s="47">
        <v>27</v>
      </c>
      <c r="G33" s="48"/>
      <c r="H33" s="48"/>
      <c r="I33" s="48"/>
      <c r="J33" s="48"/>
      <c r="K33" s="48">
        <f>G33-I33</f>
        <v>0</v>
      </c>
      <c r="W33" t="s">
        <v>2</v>
      </c>
      <c r="X33" t="s">
        <v>1</v>
      </c>
      <c r="Y33" s="139">
        <f>Y29/Y30</f>
        <v>-55146.59205784808</v>
      </c>
    </row>
    <row r="34" spans="2:25" x14ac:dyDescent="0.25">
      <c r="B34" s="29" t="s">
        <v>94</v>
      </c>
      <c r="C34" s="27">
        <v>1000000</v>
      </c>
      <c r="F34" s="47">
        <v>28</v>
      </c>
      <c r="G34" s="48"/>
      <c r="H34" s="48"/>
      <c r="I34" s="48"/>
      <c r="J34" s="48"/>
      <c r="K34" s="48">
        <f>G34-I34</f>
        <v>0</v>
      </c>
      <c r="M34" t="s">
        <v>101</v>
      </c>
      <c r="P34">
        <v>1000000</v>
      </c>
    </row>
    <row r="35" spans="2:25" x14ac:dyDescent="0.25">
      <c r="B35" s="4"/>
      <c r="C35" s="28"/>
      <c r="F35" s="47">
        <v>29</v>
      </c>
      <c r="G35" s="48"/>
      <c r="H35" s="48"/>
      <c r="I35" s="48"/>
      <c r="J35" s="48"/>
      <c r="K35" s="48">
        <f>G35-I35</f>
        <v>0</v>
      </c>
    </row>
    <row r="36" spans="2:25" x14ac:dyDescent="0.25">
      <c r="B36" s="29" t="s">
        <v>95</v>
      </c>
      <c r="C36" s="26" t="s">
        <v>31</v>
      </c>
      <c r="F36" s="47">
        <v>30</v>
      </c>
      <c r="G36" s="48"/>
      <c r="H36" s="48"/>
      <c r="I36" s="48"/>
      <c r="J36" s="48"/>
      <c r="K36" s="48">
        <f>G36-I36</f>
        <v>0</v>
      </c>
      <c r="M36" t="s">
        <v>100</v>
      </c>
      <c r="N36" s="194" t="s">
        <v>0</v>
      </c>
      <c r="O36" t="s">
        <v>1</v>
      </c>
      <c r="P36" s="193" t="s">
        <v>99</v>
      </c>
      <c r="R36" s="2" t="s">
        <v>0</v>
      </c>
      <c r="S36" t="s">
        <v>1</v>
      </c>
      <c r="T36" t="s">
        <v>99</v>
      </c>
      <c r="Y36" s="114"/>
    </row>
    <row r="37" spans="2:25" x14ac:dyDescent="0.25">
      <c r="F37" s="47">
        <v>31</v>
      </c>
      <c r="G37" s="48"/>
      <c r="H37" s="48"/>
      <c r="I37" s="48"/>
      <c r="J37" s="48"/>
      <c r="K37" s="48">
        <f>G37-I37</f>
        <v>0</v>
      </c>
    </row>
    <row r="38" spans="2:25" x14ac:dyDescent="0.25">
      <c r="B38" s="29" t="s">
        <v>96</v>
      </c>
      <c r="C38" s="26" t="s">
        <v>60</v>
      </c>
      <c r="F38" s="47">
        <v>32</v>
      </c>
      <c r="G38" s="48"/>
      <c r="H38" s="48"/>
      <c r="I38" s="48"/>
      <c r="J38" s="48"/>
      <c r="K38" s="48">
        <f>G38-I38</f>
        <v>0</v>
      </c>
      <c r="M38" t="s">
        <v>102</v>
      </c>
      <c r="N38" s="125">
        <f>P31</f>
        <v>-1500000</v>
      </c>
      <c r="O38" t="s">
        <v>1</v>
      </c>
      <c r="P38" t="s">
        <v>99</v>
      </c>
      <c r="R38" s="125">
        <f>P31</f>
        <v>-1500000</v>
      </c>
      <c r="S38" t="s">
        <v>1</v>
      </c>
      <c r="T38" t="s">
        <v>99</v>
      </c>
    </row>
    <row r="39" spans="2:25" x14ac:dyDescent="0.25">
      <c r="F39" s="47">
        <v>33</v>
      </c>
      <c r="G39" s="48"/>
      <c r="H39" s="48"/>
      <c r="I39" s="48"/>
      <c r="J39" s="48"/>
      <c r="K39" s="48">
        <f>G39-I39</f>
        <v>0</v>
      </c>
    </row>
    <row r="40" spans="2:25" x14ac:dyDescent="0.25">
      <c r="B40" s="29" t="s">
        <v>97</v>
      </c>
      <c r="C40" s="116" t="s">
        <v>87</v>
      </c>
      <c r="F40" s="47">
        <v>34</v>
      </c>
      <c r="G40" s="48"/>
      <c r="H40" s="48"/>
      <c r="I40" s="48"/>
      <c r="J40" s="48"/>
      <c r="K40" s="48">
        <f>G40-I40</f>
        <v>0</v>
      </c>
      <c r="N40" s="114">
        <f>6438762*$C$18</f>
        <v>102006.93155573422</v>
      </c>
      <c r="O40" t="s">
        <v>1</v>
      </c>
      <c r="P40" t="s">
        <v>103</v>
      </c>
      <c r="R40" t="e">
        <f>R38/J19</f>
        <v>#DIV/0!</v>
      </c>
      <c r="S40" t="s">
        <v>1</v>
      </c>
      <c r="T40" t="s">
        <v>113</v>
      </c>
    </row>
    <row r="41" spans="2:25" x14ac:dyDescent="0.25">
      <c r="F41" s="47">
        <v>35</v>
      </c>
      <c r="G41" s="48"/>
      <c r="H41" s="48"/>
      <c r="I41" s="48"/>
      <c r="J41" s="48"/>
      <c r="K41" s="48">
        <f>G41-I41</f>
        <v>0</v>
      </c>
    </row>
    <row r="42" spans="2:25" ht="15.75" thickBot="1" x14ac:dyDescent="0.3">
      <c r="B42" s="121" t="s">
        <v>0</v>
      </c>
      <c r="C42" s="120">
        <f>$P$25</f>
        <v>0</v>
      </c>
      <c r="F42" s="47">
        <v>36</v>
      </c>
      <c r="G42" s="48"/>
      <c r="H42" s="48"/>
      <c r="I42" s="48"/>
      <c r="J42" s="48"/>
      <c r="K42" s="48">
        <f>G42-I42</f>
        <v>0</v>
      </c>
      <c r="N42" s="126">
        <f>N40</f>
        <v>102006.93155573422</v>
      </c>
      <c r="O42" t="s">
        <v>1</v>
      </c>
      <c r="P42" t="s">
        <v>104</v>
      </c>
      <c r="R42" t="e">
        <f>R40*$C$18</f>
        <v>#DIV/0!</v>
      </c>
      <c r="S42" t="s">
        <v>1</v>
      </c>
      <c r="T42" t="s">
        <v>114</v>
      </c>
    </row>
    <row r="43" spans="2:25" x14ac:dyDescent="0.25">
      <c r="F43" s="137">
        <v>37</v>
      </c>
      <c r="G43" s="115"/>
      <c r="H43" s="115"/>
      <c r="I43" s="115"/>
      <c r="J43" s="115"/>
      <c r="K43" s="115">
        <f>G43-I43</f>
        <v>0</v>
      </c>
      <c r="N43" s="127">
        <f>$C$20</f>
        <v>0</v>
      </c>
    </row>
    <row r="44" spans="2:25" x14ac:dyDescent="0.25">
      <c r="B44" s="35" t="s">
        <v>109</v>
      </c>
      <c r="C44" s="42">
        <f>J48</f>
        <v>0</v>
      </c>
      <c r="F44" s="47">
        <v>38</v>
      </c>
      <c r="G44" s="48"/>
      <c r="H44" s="48"/>
      <c r="I44" s="48"/>
      <c r="J44" s="48"/>
      <c r="K44" s="48">
        <f>G44-I44</f>
        <v>0</v>
      </c>
      <c r="R44" t="e">
        <f>R42-1</f>
        <v>#DIV/0!</v>
      </c>
      <c r="S44" t="s">
        <v>1</v>
      </c>
      <c r="T44" s="135" t="s">
        <v>116</v>
      </c>
    </row>
    <row r="45" spans="2:25" x14ac:dyDescent="0.25">
      <c r="F45" s="47">
        <v>39</v>
      </c>
      <c r="G45" s="48"/>
      <c r="H45" s="48"/>
      <c r="I45" s="48"/>
      <c r="J45" s="48"/>
      <c r="K45" s="48">
        <f>G45-I45</f>
        <v>0</v>
      </c>
      <c r="N45" s="134" t="e">
        <f>N42/N43</f>
        <v>#DIV/0!</v>
      </c>
      <c r="O45" t="s">
        <v>1</v>
      </c>
      <c r="P45" t="s">
        <v>107</v>
      </c>
    </row>
    <row r="46" spans="2:25" x14ac:dyDescent="0.25">
      <c r="B46" s="35" t="s">
        <v>110</v>
      </c>
      <c r="C46">
        <f>N51</f>
        <v>0.65959999999999996</v>
      </c>
      <c r="F46" s="47">
        <v>40</v>
      </c>
      <c r="G46" s="48"/>
      <c r="H46" s="48"/>
      <c r="I46" s="48"/>
      <c r="J46" s="48"/>
      <c r="K46" s="48">
        <f>G46-I46</f>
        <v>0</v>
      </c>
      <c r="R46" t="e">
        <f>R44*-1</f>
        <v>#DIV/0!</v>
      </c>
      <c r="S46" t="s">
        <v>1</v>
      </c>
      <c r="T46" t="s">
        <v>115</v>
      </c>
    </row>
    <row r="47" spans="2:25" x14ac:dyDescent="0.25">
      <c r="F47" s="47">
        <v>41</v>
      </c>
      <c r="G47" s="48"/>
      <c r="H47" s="48"/>
      <c r="I47" s="48"/>
      <c r="J47" s="48"/>
      <c r="K47" s="48">
        <f>G47-I47</f>
        <v>0</v>
      </c>
      <c r="N47" s="128" t="s">
        <v>106</v>
      </c>
      <c r="O47" t="s">
        <v>1</v>
      </c>
      <c r="P47" t="s">
        <v>105</v>
      </c>
    </row>
    <row r="48" spans="2:25" x14ac:dyDescent="0.25">
      <c r="F48" s="47">
        <v>42</v>
      </c>
      <c r="G48" s="48"/>
      <c r="H48" s="48"/>
      <c r="I48" s="48"/>
      <c r="J48" s="123"/>
      <c r="K48" s="48">
        <f>G48-I48</f>
        <v>0</v>
      </c>
      <c r="R48" s="135" t="s">
        <v>117</v>
      </c>
      <c r="S48" s="135" t="s">
        <v>1</v>
      </c>
      <c r="T48" s="135" t="s">
        <v>118</v>
      </c>
    </row>
    <row r="49" spans="6:21" x14ac:dyDescent="0.25">
      <c r="F49" s="47">
        <v>43</v>
      </c>
      <c r="G49" s="48"/>
      <c r="H49" s="48"/>
      <c r="I49" s="48"/>
      <c r="J49" s="48"/>
      <c r="K49" s="48">
        <f>G49-I49</f>
        <v>0</v>
      </c>
      <c r="N49" s="129">
        <v>0.34039900000000001</v>
      </c>
      <c r="O49" t="s">
        <v>1</v>
      </c>
      <c r="P49" s="131" t="s">
        <v>108</v>
      </c>
      <c r="Q49" s="130">
        <f>LOG(1.01584)</f>
        <v>6.8253097302768996E-3</v>
      </c>
    </row>
    <row r="50" spans="6:21" x14ac:dyDescent="0.25">
      <c r="F50" s="47">
        <v>44</v>
      </c>
      <c r="G50" s="48"/>
      <c r="H50" s="48"/>
      <c r="I50" s="48"/>
      <c r="J50" s="48"/>
      <c r="K50" s="48">
        <f>G50-I50</f>
        <v>0</v>
      </c>
      <c r="R50">
        <f>LOG(0.658908216)</f>
        <v>-0.18117507715239176</v>
      </c>
      <c r="S50" t="s">
        <v>1</v>
      </c>
      <c r="T50" s="131" t="s">
        <v>119</v>
      </c>
      <c r="U50" s="130">
        <f>LOG(1.01584)</f>
        <v>6.8253097302768996E-3</v>
      </c>
    </row>
    <row r="51" spans="6:21" x14ac:dyDescent="0.25">
      <c r="F51" s="47">
        <v>45</v>
      </c>
      <c r="G51" s="48"/>
      <c r="H51" s="48"/>
      <c r="I51" s="48"/>
      <c r="J51" s="48"/>
      <c r="K51" s="48">
        <f>G51-I51</f>
        <v>0</v>
      </c>
      <c r="N51">
        <v>0.65959999999999996</v>
      </c>
      <c r="O51" t="s">
        <v>1</v>
      </c>
      <c r="P51" s="135" t="s">
        <v>112</v>
      </c>
    </row>
    <row r="52" spans="6:21" x14ac:dyDescent="0.25">
      <c r="F52" s="47">
        <v>46</v>
      </c>
      <c r="G52" s="48"/>
      <c r="H52" s="48"/>
      <c r="I52" s="48"/>
      <c r="J52" s="48"/>
      <c r="K52" s="48">
        <f>G52-I52</f>
        <v>0</v>
      </c>
      <c r="R52">
        <f>R50/U50</f>
        <v>-26.544594210677904</v>
      </c>
      <c r="S52" t="s">
        <v>1</v>
      </c>
      <c r="T52" s="135" t="s">
        <v>119</v>
      </c>
    </row>
    <row r="53" spans="6:21" x14ac:dyDescent="0.25">
      <c r="F53" s="47">
        <v>47</v>
      </c>
      <c r="G53" s="48"/>
      <c r="H53" s="48"/>
      <c r="I53" s="48"/>
      <c r="J53" s="48"/>
      <c r="K53" s="48">
        <f>G53-I53</f>
        <v>0</v>
      </c>
      <c r="N53" s="4">
        <v>26.48</v>
      </c>
      <c r="O53" t="s">
        <v>1</v>
      </c>
      <c r="P53" t="s">
        <v>65</v>
      </c>
    </row>
    <row r="54" spans="6:21" x14ac:dyDescent="0.25">
      <c r="F54" s="47">
        <v>48</v>
      </c>
      <c r="G54" s="48"/>
      <c r="H54" s="48"/>
      <c r="I54" s="48"/>
      <c r="J54" s="48"/>
      <c r="K54" s="48">
        <f>G54-I54</f>
        <v>0</v>
      </c>
      <c r="M54" t="s">
        <v>111</v>
      </c>
      <c r="N54" s="102">
        <f>C34+C20</f>
        <v>1000000</v>
      </c>
      <c r="R54">
        <f>R52*-1</f>
        <v>26.544594210677904</v>
      </c>
      <c r="S54" t="s">
        <v>1</v>
      </c>
      <c r="T54" t="s">
        <v>65</v>
      </c>
    </row>
    <row r="55" spans="6:21" x14ac:dyDescent="0.25">
      <c r="F55" s="47">
        <v>49</v>
      </c>
      <c r="G55" s="49"/>
      <c r="H55" s="49"/>
      <c r="I55" s="49"/>
      <c r="J55" s="49"/>
      <c r="K55" s="49"/>
      <c r="N55" s="4"/>
    </row>
    <row r="56" spans="6:21" x14ac:dyDescent="0.25">
      <c r="F56" s="47">
        <v>50</v>
      </c>
      <c r="G56" s="49"/>
      <c r="H56" s="49"/>
      <c r="I56" s="49"/>
      <c r="J56" s="49"/>
      <c r="K56" s="49"/>
      <c r="R56">
        <v>0.54459421067790004</v>
      </c>
    </row>
    <row r="57" spans="6:21" x14ac:dyDescent="0.25">
      <c r="F57" s="47">
        <v>51</v>
      </c>
      <c r="G57" s="49"/>
      <c r="H57" s="49"/>
      <c r="I57" s="49"/>
      <c r="J57" s="49"/>
      <c r="K57" s="49"/>
      <c r="R57" s="42">
        <f>R56*J47</f>
        <v>0</v>
      </c>
    </row>
    <row r="58" spans="6:21" x14ac:dyDescent="0.25">
      <c r="F58" s="47">
        <v>52</v>
      </c>
      <c r="G58" s="49"/>
      <c r="H58" s="49"/>
      <c r="I58" s="49"/>
      <c r="J58" s="49"/>
      <c r="K58" s="49"/>
    </row>
    <row r="59" spans="6:21" x14ac:dyDescent="0.25">
      <c r="F59" s="47">
        <v>53</v>
      </c>
      <c r="G59" s="49"/>
      <c r="H59" s="49"/>
      <c r="I59" s="49"/>
      <c r="J59" s="49"/>
      <c r="K59" s="49"/>
    </row>
    <row r="60" spans="6:21" x14ac:dyDescent="0.25">
      <c r="F60" s="47">
        <v>54</v>
      </c>
      <c r="G60" s="49"/>
      <c r="H60" s="49"/>
      <c r="I60" s="49"/>
      <c r="J60" s="49"/>
      <c r="K60" s="49"/>
    </row>
    <row r="61" spans="6:21" x14ac:dyDescent="0.25">
      <c r="F61" s="47">
        <v>55</v>
      </c>
      <c r="G61" s="49"/>
      <c r="H61" s="49"/>
      <c r="I61" s="49"/>
      <c r="J61" s="49"/>
      <c r="K61" s="49"/>
    </row>
    <row r="62" spans="6:21" x14ac:dyDescent="0.25">
      <c r="F62" s="47">
        <v>56</v>
      </c>
      <c r="G62" s="49"/>
      <c r="H62" s="49"/>
      <c r="I62" s="49"/>
      <c r="J62" s="49"/>
      <c r="K62" s="49"/>
    </row>
    <row r="63" spans="6:21" x14ac:dyDescent="0.25">
      <c r="F63" s="47">
        <v>57</v>
      </c>
      <c r="G63" s="49"/>
      <c r="H63" s="49"/>
      <c r="I63" s="49"/>
      <c r="J63" s="49"/>
      <c r="K63" s="49"/>
    </row>
    <row r="64" spans="6:21" x14ac:dyDescent="0.25">
      <c r="F64" s="47">
        <v>58</v>
      </c>
      <c r="G64" s="49"/>
      <c r="H64" s="49"/>
      <c r="I64" s="49"/>
      <c r="J64" s="49"/>
      <c r="K64" s="49"/>
    </row>
    <row r="65" spans="6:11" x14ac:dyDescent="0.25">
      <c r="F65" s="47">
        <v>59</v>
      </c>
      <c r="G65" s="49"/>
      <c r="H65" s="49"/>
      <c r="I65" s="49"/>
      <c r="J65" s="49"/>
      <c r="K65" s="49"/>
    </row>
    <row r="66" spans="6:11" x14ac:dyDescent="0.25">
      <c r="F66" s="47">
        <v>60</v>
      </c>
      <c r="G66" s="49"/>
      <c r="H66" s="49"/>
      <c r="I66" s="49"/>
      <c r="J66" s="49"/>
      <c r="K66" s="49"/>
    </row>
    <row r="67" spans="6:11" x14ac:dyDescent="0.25">
      <c r="F67" s="47">
        <v>61</v>
      </c>
      <c r="G67" s="49"/>
      <c r="H67" s="49"/>
      <c r="I67" s="49"/>
      <c r="J67" s="49"/>
      <c r="K67" s="49"/>
    </row>
    <row r="68" spans="6:11" x14ac:dyDescent="0.25">
      <c r="F68" s="47">
        <v>62</v>
      </c>
      <c r="G68" s="49"/>
      <c r="H68" s="49"/>
      <c r="I68" s="49"/>
      <c r="J68" s="49"/>
      <c r="K68" s="49"/>
    </row>
    <row r="69" spans="6:11" x14ac:dyDescent="0.25">
      <c r="F69" s="47">
        <v>63</v>
      </c>
      <c r="G69" s="49"/>
      <c r="H69" s="49"/>
      <c r="I69" s="49"/>
      <c r="J69" s="49"/>
      <c r="K69" s="49"/>
    </row>
    <row r="70" spans="6:11" x14ac:dyDescent="0.25">
      <c r="F70" s="47">
        <v>64</v>
      </c>
      <c r="G70" s="49"/>
      <c r="H70" s="49"/>
      <c r="I70" s="49"/>
      <c r="J70" s="49"/>
      <c r="K70" s="49"/>
    </row>
    <row r="71" spans="6:11" x14ac:dyDescent="0.25">
      <c r="F71" s="47">
        <v>65</v>
      </c>
      <c r="G71" s="49"/>
      <c r="H71" s="49"/>
      <c r="I71" s="49"/>
      <c r="J71" s="49"/>
      <c r="K71" s="49"/>
    </row>
    <row r="72" spans="6:11" x14ac:dyDescent="0.25">
      <c r="F72" s="47">
        <v>66</v>
      </c>
      <c r="G72" s="49"/>
      <c r="H72" s="49"/>
      <c r="I72" s="49"/>
      <c r="J72" s="49"/>
      <c r="K72" s="49"/>
    </row>
    <row r="73" spans="6:11" x14ac:dyDescent="0.25">
      <c r="F73" s="47">
        <v>67</v>
      </c>
      <c r="G73" s="49"/>
      <c r="H73" s="49"/>
      <c r="I73" s="49"/>
      <c r="J73" s="49"/>
      <c r="K73" s="49"/>
    </row>
    <row r="74" spans="6:11" x14ac:dyDescent="0.25">
      <c r="F74" s="47">
        <v>68</v>
      </c>
      <c r="G74" s="49"/>
      <c r="H74" s="49"/>
      <c r="I74" s="49"/>
      <c r="J74" s="49"/>
      <c r="K74" s="49"/>
    </row>
    <row r="75" spans="6:11" x14ac:dyDescent="0.25">
      <c r="F75" s="47">
        <v>69</v>
      </c>
      <c r="G75" s="49"/>
      <c r="H75" s="49"/>
      <c r="I75" s="49"/>
      <c r="J75" s="49"/>
      <c r="K75" s="49"/>
    </row>
    <row r="76" spans="6:11" x14ac:dyDescent="0.25">
      <c r="F76" s="47">
        <v>70</v>
      </c>
      <c r="G76" s="49"/>
      <c r="H76" s="49"/>
      <c r="I76" s="49"/>
      <c r="J76" s="49"/>
      <c r="K76" s="49"/>
    </row>
    <row r="77" spans="6:11" x14ac:dyDescent="0.25">
      <c r="F77" s="47">
        <v>71</v>
      </c>
      <c r="G77" s="49"/>
      <c r="H77" s="49"/>
      <c r="I77" s="49"/>
      <c r="J77" s="49"/>
      <c r="K77" s="49"/>
    </row>
    <row r="78" spans="6:11" x14ac:dyDescent="0.25">
      <c r="F78" s="47">
        <v>72</v>
      </c>
      <c r="G78" s="49"/>
      <c r="H78" s="49"/>
      <c r="I78" s="49"/>
      <c r="J78" s="49"/>
      <c r="K78" s="49"/>
    </row>
  </sheetData>
  <mergeCells count="8">
    <mergeCell ref="W29:W31"/>
    <mergeCell ref="X29:X31"/>
    <mergeCell ref="N10:N12"/>
    <mergeCell ref="O10:O12"/>
    <mergeCell ref="N14:N15"/>
    <mergeCell ref="O14:O15"/>
    <mergeCell ref="X25:X27"/>
    <mergeCell ref="W25:W27"/>
  </mergeCells>
  <pageMargins left="0.7" right="0.7" top="0.75" bottom="0.75" header="0.3" footer="0.3"/>
  <pageSetup orientation="portrait" horizontalDpi="4294967293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listas!$G$4:$G$5</xm:f>
          </x14:formula1>
          <xm:sqref>C6</xm:sqref>
        </x14:dataValidation>
        <x14:dataValidation type="list" allowBlank="1" showInputMessage="1" showErrorMessage="1">
          <x14:formula1>
            <xm:f>listas!$M$3:$M$4</xm:f>
          </x14:formula1>
          <xm:sqref>C12</xm:sqref>
        </x14:dataValidation>
        <x14:dataValidation type="list" allowBlank="1" showInputMessage="1" showErrorMessage="1">
          <x14:formula1>
            <xm:f>listas!$I$4:$I$13</xm:f>
          </x14:formula1>
          <xm:sqref>C14</xm:sqref>
        </x14:dataValidation>
        <x14:dataValidation type="list" allowBlank="1" showInputMessage="1" showErrorMessage="1">
          <x14:formula1>
            <xm:f>listas!$O$4:$O$8</xm:f>
          </x14:formula1>
          <xm:sqref>C26 C36</xm:sqref>
        </x14:dataValidation>
        <x14:dataValidation type="list" allowBlank="1" showInputMessage="1" showErrorMessage="1">
          <x14:formula1>
            <xm:f>listas!$D$3:$D$74</xm:f>
          </x14:formula1>
          <xm:sqref>C10 C22 C32</xm:sqref>
        </x14:dataValidation>
        <x14:dataValidation type="list" allowBlank="1" showInputMessage="1" showErrorMessage="1">
          <x14:formula1>
            <xm:f>listas!$C$2:$C$4</xm:f>
          </x14:formula1>
          <xm:sqref>C28 C38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4"/>
  <sheetViews>
    <sheetView zoomScale="110" zoomScaleNormal="110" workbookViewId="0"/>
  </sheetViews>
  <sheetFormatPr baseColWidth="10" defaultRowHeight="15" x14ac:dyDescent="0.25"/>
  <cols>
    <col min="1" max="1" width="2.5703125" customWidth="1"/>
    <col min="2" max="2" width="30.7109375" customWidth="1"/>
    <col min="3" max="3" width="25" customWidth="1"/>
    <col min="4" max="4" width="85.7109375" customWidth="1"/>
    <col min="5" max="5" width="4.140625" customWidth="1"/>
    <col min="6" max="6" width="35.85546875" customWidth="1"/>
    <col min="7" max="7" width="5.7109375" customWidth="1"/>
    <col min="13" max="13" width="25.140625" customWidth="1"/>
    <col min="14" max="14" width="21.5703125" customWidth="1"/>
  </cols>
  <sheetData>
    <row r="1" spans="2:15" x14ac:dyDescent="0.25">
      <c r="B1" s="35" t="s">
        <v>43</v>
      </c>
      <c r="D1" t="s">
        <v>128</v>
      </c>
    </row>
    <row r="2" spans="2:15" x14ac:dyDescent="0.25">
      <c r="B2" s="34" t="s">
        <v>8</v>
      </c>
      <c r="C2" s="33"/>
    </row>
    <row r="3" spans="2:15" ht="45" x14ac:dyDescent="0.25">
      <c r="D3" s="195" t="s">
        <v>120</v>
      </c>
      <c r="M3" s="53" t="s">
        <v>131</v>
      </c>
      <c r="N3" s="53" t="s">
        <v>132</v>
      </c>
    </row>
    <row r="4" spans="2:15" x14ac:dyDescent="0.25">
      <c r="B4" s="29" t="s">
        <v>11</v>
      </c>
      <c r="C4" s="26" t="s">
        <v>12</v>
      </c>
      <c r="D4" t="s">
        <v>123</v>
      </c>
      <c r="M4">
        <f>0.2/2</f>
        <v>0.1</v>
      </c>
      <c r="N4" s="142">
        <f>M4/(1-M4)</f>
        <v>0.11111111111111112</v>
      </c>
    </row>
    <row r="5" spans="2:15" ht="5.0999999999999996" customHeight="1" x14ac:dyDescent="0.25">
      <c r="C5" s="2"/>
    </row>
    <row r="6" spans="2:15" x14ac:dyDescent="0.25">
      <c r="B6" s="29" t="s">
        <v>9</v>
      </c>
      <c r="C6" s="27">
        <v>10000000</v>
      </c>
      <c r="D6" t="s">
        <v>121</v>
      </c>
      <c r="F6" t="s">
        <v>129</v>
      </c>
      <c r="G6" s="25">
        <v>0.2</v>
      </c>
    </row>
    <row r="7" spans="2:15" ht="5.0999999999999996" customHeight="1" x14ac:dyDescent="0.25">
      <c r="C7" s="2"/>
    </row>
    <row r="8" spans="2:15" x14ac:dyDescent="0.25">
      <c r="B8" s="29" t="s">
        <v>10</v>
      </c>
      <c r="C8" s="26">
        <v>72</v>
      </c>
      <c r="D8" t="s">
        <v>122</v>
      </c>
      <c r="F8" t="s">
        <v>130</v>
      </c>
      <c r="G8" s="25"/>
      <c r="N8" s="197">
        <f>((1+N4)^(2/12))-1</f>
        <v>1.7715170689366566E-2</v>
      </c>
      <c r="O8" s="196" t="s">
        <v>145</v>
      </c>
    </row>
    <row r="9" spans="2:15" ht="5.0999999999999996" customHeight="1" x14ac:dyDescent="0.25">
      <c r="B9" s="4"/>
      <c r="C9" s="28"/>
    </row>
    <row r="10" spans="2:15" x14ac:dyDescent="0.25">
      <c r="B10" s="29" t="s">
        <v>28</v>
      </c>
      <c r="C10" s="26" t="s">
        <v>20</v>
      </c>
      <c r="D10" t="s">
        <v>125</v>
      </c>
      <c r="F10" t="s">
        <v>133</v>
      </c>
      <c r="G10" s="143">
        <f>N8</f>
        <v>1.7715170689366566E-2</v>
      </c>
    </row>
    <row r="11" spans="2:15" ht="5.0999999999999996" customHeight="1" x14ac:dyDescent="0.25">
      <c r="B11" s="141"/>
      <c r="C11" s="28"/>
    </row>
    <row r="12" spans="2:15" ht="23.25" x14ac:dyDescent="0.35">
      <c r="B12" s="29" t="s">
        <v>127</v>
      </c>
      <c r="C12" s="144">
        <f>G6</f>
        <v>0.2</v>
      </c>
      <c r="D12" t="s">
        <v>126</v>
      </c>
    </row>
    <row r="13" spans="2:15" ht="5.0999999999999996" customHeight="1" x14ac:dyDescent="0.25">
      <c r="C13" s="2"/>
    </row>
    <row r="14" spans="2:15" ht="21" x14ac:dyDescent="0.35">
      <c r="B14" s="29" t="s">
        <v>27</v>
      </c>
      <c r="C14" s="145" t="s">
        <v>17</v>
      </c>
      <c r="D14" t="s">
        <v>134</v>
      </c>
    </row>
    <row r="15" spans="2:15" ht="5.0999999999999996" customHeight="1" x14ac:dyDescent="0.25">
      <c r="C15" s="2"/>
    </row>
    <row r="16" spans="2:15" ht="23.25" x14ac:dyDescent="0.35">
      <c r="B16" s="36" t="s">
        <v>53</v>
      </c>
      <c r="C16" s="187">
        <f>G10</f>
        <v>1.7715170689366566E-2</v>
      </c>
      <c r="D16" t="s">
        <v>135</v>
      </c>
    </row>
    <row r="17" spans="2:4" ht="5.0999999999999996" customHeight="1" x14ac:dyDescent="0.25"/>
    <row r="18" spans="2:4" x14ac:dyDescent="0.25">
      <c r="B18" s="36" t="s">
        <v>54</v>
      </c>
      <c r="C18" s="188" t="s">
        <v>144</v>
      </c>
      <c r="D18" t="s">
        <v>124</v>
      </c>
    </row>
    <row r="19" spans="2:4" ht="5.0999999999999996" customHeight="1" x14ac:dyDescent="0.25"/>
    <row r="20" spans="2:4" x14ac:dyDescent="0.25">
      <c r="B20" s="29" t="s">
        <v>92</v>
      </c>
      <c r="C20" s="26">
        <v>26</v>
      </c>
      <c r="D20" t="s">
        <v>137</v>
      </c>
    </row>
    <row r="21" spans="2:4" ht="5.0999999999999996" customHeight="1" x14ac:dyDescent="0.25"/>
    <row r="22" spans="2:4" x14ac:dyDescent="0.25">
      <c r="B22" s="29" t="s">
        <v>88</v>
      </c>
      <c r="C22" s="27">
        <v>4000000</v>
      </c>
      <c r="D22" t="s">
        <v>136</v>
      </c>
    </row>
    <row r="23" spans="2:4" ht="5.0999999999999996" customHeight="1" x14ac:dyDescent="0.25">
      <c r="B23" s="4"/>
      <c r="C23" s="28"/>
    </row>
    <row r="24" spans="2:4" x14ac:dyDescent="0.25">
      <c r="B24" s="146" t="s">
        <v>89</v>
      </c>
      <c r="C24" s="147" t="s">
        <v>31</v>
      </c>
      <c r="D24" t="s">
        <v>138</v>
      </c>
    </row>
    <row r="25" spans="2:4" ht="5.0999999999999996" customHeight="1" x14ac:dyDescent="0.25"/>
    <row r="26" spans="2:4" x14ac:dyDescent="0.25">
      <c r="B26" s="29" t="s">
        <v>90</v>
      </c>
      <c r="C26" s="189" t="s">
        <v>60</v>
      </c>
      <c r="D26" t="s">
        <v>139</v>
      </c>
    </row>
    <row r="27" spans="2:4" ht="5.0999999999999996" customHeight="1" x14ac:dyDescent="0.25"/>
    <row r="28" spans="2:4" x14ac:dyDescent="0.25">
      <c r="B28" s="29" t="s">
        <v>91</v>
      </c>
      <c r="C28" s="116" t="s">
        <v>98</v>
      </c>
      <c r="D28" t="s">
        <v>140</v>
      </c>
    </row>
    <row r="29" spans="2:4" ht="5.0999999999999996" customHeight="1" x14ac:dyDescent="0.25"/>
    <row r="30" spans="2:4" x14ac:dyDescent="0.25">
      <c r="B30" s="29" t="s">
        <v>93</v>
      </c>
      <c r="C30" s="26">
        <v>27</v>
      </c>
      <c r="D30" t="s">
        <v>137</v>
      </c>
    </row>
    <row r="31" spans="2:4" ht="5.0999999999999996" customHeight="1" x14ac:dyDescent="0.25"/>
    <row r="32" spans="2:4" x14ac:dyDescent="0.25">
      <c r="B32" s="29" t="s">
        <v>94</v>
      </c>
      <c r="C32" s="27">
        <v>1000000</v>
      </c>
      <c r="D32" t="s">
        <v>136</v>
      </c>
    </row>
    <row r="33" spans="2:4" ht="5.0999999999999996" customHeight="1" x14ac:dyDescent="0.25">
      <c r="B33" s="4"/>
      <c r="C33" s="28"/>
    </row>
    <row r="34" spans="2:4" x14ac:dyDescent="0.25">
      <c r="B34" s="146" t="s">
        <v>95</v>
      </c>
      <c r="C34" s="147" t="s">
        <v>31</v>
      </c>
      <c r="D34" t="s">
        <v>138</v>
      </c>
    </row>
    <row r="35" spans="2:4" ht="5.0999999999999996" customHeight="1" x14ac:dyDescent="0.25"/>
    <row r="36" spans="2:4" x14ac:dyDescent="0.25">
      <c r="B36" s="29" t="s">
        <v>96</v>
      </c>
      <c r="C36" s="26" t="s">
        <v>59</v>
      </c>
    </row>
    <row r="37" spans="2:4" ht="5.0999999999999996" customHeight="1" x14ac:dyDescent="0.25"/>
    <row r="38" spans="2:4" x14ac:dyDescent="0.25">
      <c r="B38" s="29" t="s">
        <v>97</v>
      </c>
      <c r="C38" s="116" t="s">
        <v>87</v>
      </c>
    </row>
    <row r="40" spans="2:4" x14ac:dyDescent="0.25">
      <c r="B40" s="190" t="s">
        <v>0</v>
      </c>
      <c r="C40" s="120"/>
      <c r="D40" t="s">
        <v>141</v>
      </c>
    </row>
    <row r="42" spans="2:4" x14ac:dyDescent="0.25">
      <c r="B42" s="35" t="s">
        <v>109</v>
      </c>
      <c r="C42" s="42"/>
      <c r="D42" t="s">
        <v>142</v>
      </c>
    </row>
    <row r="44" spans="2:4" x14ac:dyDescent="0.25">
      <c r="B44" s="35" t="s">
        <v>110</v>
      </c>
      <c r="D44" t="s">
        <v>143</v>
      </c>
    </row>
  </sheetData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listas!$C$2:$C$4</xm:f>
          </x14:formula1>
          <xm:sqref>C26 C36</xm:sqref>
        </x14:dataValidation>
        <x14:dataValidation type="list" allowBlank="1" showInputMessage="1" showErrorMessage="1">
          <x14:formula1>
            <xm:f>listas!$D$3:$D$74</xm:f>
          </x14:formula1>
          <xm:sqref>C8 C20 C30</xm:sqref>
        </x14:dataValidation>
        <x14:dataValidation type="list" allowBlank="1" showInputMessage="1" showErrorMessage="1">
          <x14:formula1>
            <xm:f>listas!$O$4:$O$8</xm:f>
          </x14:formula1>
          <xm:sqref>C24 C34</xm:sqref>
        </x14:dataValidation>
        <x14:dataValidation type="list" allowBlank="1" showInputMessage="1" showErrorMessage="1">
          <x14:formula1>
            <xm:f>listas!$I$4:$I$13</xm:f>
          </x14:formula1>
          <xm:sqref>C14</xm:sqref>
        </x14:dataValidation>
        <x14:dataValidation type="list" allowBlank="1" showInputMessage="1" showErrorMessage="1">
          <x14:formula1>
            <xm:f>listas!$M$3:$M$4</xm:f>
          </x14:formula1>
          <xm:sqref>C10:C11</xm:sqref>
        </x14:dataValidation>
        <x14:dataValidation type="list" allowBlank="1" showInputMessage="1" showErrorMessage="1">
          <x14:formula1>
            <xm:f>listas!$G$4:$G$5</xm:f>
          </x14:formula1>
          <xm:sqref>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4"/>
  <sheetViews>
    <sheetView workbookViewId="0">
      <selection activeCell="E17" sqref="E16:E17"/>
    </sheetView>
  </sheetViews>
  <sheetFormatPr baseColWidth="10" defaultRowHeight="15" x14ac:dyDescent="0.25"/>
  <cols>
    <col min="3" max="3" width="17.28515625" bestFit="1" customWidth="1"/>
    <col min="7" max="7" width="17.85546875" bestFit="1" customWidth="1"/>
    <col min="8" max="8" width="1.5703125" customWidth="1"/>
    <col min="9" max="9" width="19.85546875" customWidth="1"/>
    <col min="10" max="10" width="24.28515625" customWidth="1"/>
    <col min="11" max="11" width="21.7109375" customWidth="1"/>
    <col min="12" max="12" width="23.28515625" customWidth="1"/>
    <col min="13" max="13" width="14.7109375" bestFit="1" customWidth="1"/>
    <col min="14" max="14" width="4" customWidth="1"/>
  </cols>
  <sheetData>
    <row r="1" spans="2:15" x14ac:dyDescent="0.25">
      <c r="C1" t="s">
        <v>58</v>
      </c>
    </row>
    <row r="2" spans="2:15" x14ac:dyDescent="0.25">
      <c r="B2" t="s">
        <v>46</v>
      </c>
      <c r="D2" t="s">
        <v>45</v>
      </c>
    </row>
    <row r="3" spans="2:15" x14ac:dyDescent="0.25">
      <c r="B3" t="s">
        <v>47</v>
      </c>
      <c r="C3" t="s">
        <v>59</v>
      </c>
      <c r="D3">
        <v>1</v>
      </c>
      <c r="G3" s="25" t="s">
        <v>14</v>
      </c>
      <c r="I3" s="25" t="s">
        <v>21</v>
      </c>
      <c r="K3" s="25" t="s">
        <v>20</v>
      </c>
      <c r="M3" s="25" t="s">
        <v>21</v>
      </c>
    </row>
    <row r="4" spans="2:15" x14ac:dyDescent="0.25">
      <c r="C4" t="s">
        <v>60</v>
      </c>
      <c r="D4">
        <v>2</v>
      </c>
      <c r="G4" t="s">
        <v>12</v>
      </c>
      <c r="I4" t="s">
        <v>15</v>
      </c>
      <c r="K4" t="s">
        <v>15</v>
      </c>
      <c r="M4" s="25" t="s">
        <v>20</v>
      </c>
      <c r="O4" t="s">
        <v>31</v>
      </c>
    </row>
    <row r="5" spans="2:15" x14ac:dyDescent="0.25">
      <c r="D5">
        <v>3</v>
      </c>
      <c r="G5" t="s">
        <v>13</v>
      </c>
      <c r="I5" t="s">
        <v>16</v>
      </c>
      <c r="K5" t="s">
        <v>16</v>
      </c>
      <c r="O5" t="s">
        <v>30</v>
      </c>
    </row>
    <row r="6" spans="2:15" x14ac:dyDescent="0.25">
      <c r="D6">
        <v>4</v>
      </c>
      <c r="I6" t="s">
        <v>17</v>
      </c>
      <c r="K6" t="s">
        <v>17</v>
      </c>
      <c r="O6" t="s">
        <v>32</v>
      </c>
    </row>
    <row r="7" spans="2:15" x14ac:dyDescent="0.25">
      <c r="D7">
        <v>5</v>
      </c>
      <c r="I7" t="s">
        <v>18</v>
      </c>
      <c r="K7" t="s">
        <v>18</v>
      </c>
      <c r="O7" t="s">
        <v>33</v>
      </c>
    </row>
    <row r="8" spans="2:15" x14ac:dyDescent="0.25">
      <c r="D8">
        <v>6</v>
      </c>
      <c r="I8" t="s">
        <v>19</v>
      </c>
      <c r="K8" t="s">
        <v>19</v>
      </c>
      <c r="O8" t="s">
        <v>34</v>
      </c>
    </row>
    <row r="9" spans="2:15" x14ac:dyDescent="0.25">
      <c r="D9">
        <v>7</v>
      </c>
      <c r="I9" t="s">
        <v>22</v>
      </c>
      <c r="K9" t="s">
        <v>22</v>
      </c>
    </row>
    <row r="10" spans="2:15" x14ac:dyDescent="0.25">
      <c r="D10">
        <v>8</v>
      </c>
      <c r="I10" t="s">
        <v>23</v>
      </c>
      <c r="K10" t="s">
        <v>23</v>
      </c>
    </row>
    <row r="11" spans="2:15" x14ac:dyDescent="0.25">
      <c r="D11">
        <v>9</v>
      </c>
      <c r="I11" t="s">
        <v>24</v>
      </c>
      <c r="K11" t="s">
        <v>24</v>
      </c>
    </row>
    <row r="12" spans="2:15" x14ac:dyDescent="0.25">
      <c r="D12">
        <v>10</v>
      </c>
      <c r="I12" t="s">
        <v>25</v>
      </c>
      <c r="K12" t="s">
        <v>25</v>
      </c>
    </row>
    <row r="13" spans="2:15" x14ac:dyDescent="0.25">
      <c r="D13">
        <v>11</v>
      </c>
      <c r="I13" t="s">
        <v>26</v>
      </c>
      <c r="K13" t="s">
        <v>26</v>
      </c>
    </row>
    <row r="14" spans="2:15" x14ac:dyDescent="0.25">
      <c r="D14">
        <v>12</v>
      </c>
    </row>
    <row r="15" spans="2:15" x14ac:dyDescent="0.25">
      <c r="D15">
        <v>13</v>
      </c>
    </row>
    <row r="16" spans="2:15" x14ac:dyDescent="0.25">
      <c r="D16">
        <v>14</v>
      </c>
    </row>
    <row r="17" spans="4:4" x14ac:dyDescent="0.25">
      <c r="D17">
        <v>15</v>
      </c>
    </row>
    <row r="18" spans="4:4" x14ac:dyDescent="0.25">
      <c r="D18">
        <v>16</v>
      </c>
    </row>
    <row r="19" spans="4:4" x14ac:dyDescent="0.25">
      <c r="D19">
        <v>17</v>
      </c>
    </row>
    <row r="20" spans="4:4" x14ac:dyDescent="0.25">
      <c r="D20">
        <v>18</v>
      </c>
    </row>
    <row r="21" spans="4:4" x14ac:dyDescent="0.25">
      <c r="D21">
        <v>19</v>
      </c>
    </row>
    <row r="22" spans="4:4" x14ac:dyDescent="0.25">
      <c r="D22">
        <v>20</v>
      </c>
    </row>
    <row r="23" spans="4:4" x14ac:dyDescent="0.25">
      <c r="D23">
        <v>21</v>
      </c>
    </row>
    <row r="24" spans="4:4" x14ac:dyDescent="0.25">
      <c r="D24">
        <v>22</v>
      </c>
    </row>
    <row r="25" spans="4:4" x14ac:dyDescent="0.25">
      <c r="D25">
        <v>23</v>
      </c>
    </row>
    <row r="26" spans="4:4" x14ac:dyDescent="0.25">
      <c r="D26">
        <v>24</v>
      </c>
    </row>
    <row r="27" spans="4:4" x14ac:dyDescent="0.25">
      <c r="D27">
        <v>25</v>
      </c>
    </row>
    <row r="28" spans="4:4" x14ac:dyDescent="0.25">
      <c r="D28">
        <v>26</v>
      </c>
    </row>
    <row r="29" spans="4:4" x14ac:dyDescent="0.25">
      <c r="D29">
        <v>27</v>
      </c>
    </row>
    <row r="30" spans="4:4" x14ac:dyDescent="0.25">
      <c r="D30">
        <v>28</v>
      </c>
    </row>
    <row r="31" spans="4:4" x14ac:dyDescent="0.25">
      <c r="D31">
        <v>29</v>
      </c>
    </row>
    <row r="32" spans="4:4" x14ac:dyDescent="0.25">
      <c r="D32">
        <v>30</v>
      </c>
    </row>
    <row r="33" spans="4:4" x14ac:dyDescent="0.25">
      <c r="D33">
        <v>31</v>
      </c>
    </row>
    <row r="34" spans="4:4" x14ac:dyDescent="0.25">
      <c r="D34">
        <v>32</v>
      </c>
    </row>
    <row r="35" spans="4:4" x14ac:dyDescent="0.25">
      <c r="D35">
        <v>33</v>
      </c>
    </row>
    <row r="36" spans="4:4" x14ac:dyDescent="0.25">
      <c r="D36">
        <v>34</v>
      </c>
    </row>
    <row r="37" spans="4:4" x14ac:dyDescent="0.25">
      <c r="D37">
        <v>35</v>
      </c>
    </row>
    <row r="38" spans="4:4" x14ac:dyDescent="0.25">
      <c r="D38">
        <v>36</v>
      </c>
    </row>
    <row r="39" spans="4:4" x14ac:dyDescent="0.25">
      <c r="D39">
        <v>37</v>
      </c>
    </row>
    <row r="40" spans="4:4" x14ac:dyDescent="0.25">
      <c r="D40">
        <v>38</v>
      </c>
    </row>
    <row r="41" spans="4:4" x14ac:dyDescent="0.25">
      <c r="D41">
        <v>39</v>
      </c>
    </row>
    <row r="42" spans="4:4" x14ac:dyDescent="0.25">
      <c r="D42">
        <v>40</v>
      </c>
    </row>
    <row r="43" spans="4:4" x14ac:dyDescent="0.25">
      <c r="D43">
        <v>41</v>
      </c>
    </row>
    <row r="44" spans="4:4" x14ac:dyDescent="0.25">
      <c r="D44">
        <v>42</v>
      </c>
    </row>
    <row r="45" spans="4:4" x14ac:dyDescent="0.25">
      <c r="D45">
        <v>43</v>
      </c>
    </row>
    <row r="46" spans="4:4" x14ac:dyDescent="0.25">
      <c r="D46">
        <v>44</v>
      </c>
    </row>
    <row r="47" spans="4:4" x14ac:dyDescent="0.25">
      <c r="D47">
        <v>45</v>
      </c>
    </row>
    <row r="48" spans="4:4" x14ac:dyDescent="0.25">
      <c r="D48">
        <v>46</v>
      </c>
    </row>
    <row r="49" spans="4:4" x14ac:dyDescent="0.25">
      <c r="D49">
        <v>47</v>
      </c>
    </row>
    <row r="50" spans="4:4" x14ac:dyDescent="0.25">
      <c r="D50">
        <v>48</v>
      </c>
    </row>
    <row r="51" spans="4:4" x14ac:dyDescent="0.25">
      <c r="D51">
        <v>49</v>
      </c>
    </row>
    <row r="52" spans="4:4" x14ac:dyDescent="0.25">
      <c r="D52">
        <v>50</v>
      </c>
    </row>
    <row r="53" spans="4:4" x14ac:dyDescent="0.25">
      <c r="D53">
        <v>51</v>
      </c>
    </row>
    <row r="54" spans="4:4" x14ac:dyDescent="0.25">
      <c r="D54">
        <v>52</v>
      </c>
    </row>
    <row r="55" spans="4:4" x14ac:dyDescent="0.25">
      <c r="D55">
        <v>53</v>
      </c>
    </row>
    <row r="56" spans="4:4" x14ac:dyDescent="0.25">
      <c r="D56">
        <v>54</v>
      </c>
    </row>
    <row r="57" spans="4:4" x14ac:dyDescent="0.25">
      <c r="D57">
        <v>55</v>
      </c>
    </row>
    <row r="58" spans="4:4" x14ac:dyDescent="0.25">
      <c r="D58">
        <v>56</v>
      </c>
    </row>
    <row r="59" spans="4:4" x14ac:dyDescent="0.25">
      <c r="D59">
        <v>57</v>
      </c>
    </row>
    <row r="60" spans="4:4" x14ac:dyDescent="0.25">
      <c r="D60">
        <v>58</v>
      </c>
    </row>
    <row r="61" spans="4:4" x14ac:dyDescent="0.25">
      <c r="D61">
        <v>59</v>
      </c>
    </row>
    <row r="62" spans="4:4" x14ac:dyDescent="0.25">
      <c r="D62">
        <v>60</v>
      </c>
    </row>
    <row r="63" spans="4:4" x14ac:dyDescent="0.25">
      <c r="D63">
        <v>61</v>
      </c>
    </row>
    <row r="64" spans="4:4" x14ac:dyDescent="0.25">
      <c r="D64">
        <v>62</v>
      </c>
    </row>
    <row r="65" spans="4:4" x14ac:dyDescent="0.25">
      <c r="D65">
        <v>63</v>
      </c>
    </row>
    <row r="66" spans="4:4" x14ac:dyDescent="0.25">
      <c r="D66">
        <v>64</v>
      </c>
    </row>
    <row r="67" spans="4:4" x14ac:dyDescent="0.25">
      <c r="D67">
        <v>65</v>
      </c>
    </row>
    <row r="68" spans="4:4" x14ac:dyDescent="0.25">
      <c r="D68">
        <v>66</v>
      </c>
    </row>
    <row r="69" spans="4:4" x14ac:dyDescent="0.25">
      <c r="D69">
        <v>67</v>
      </c>
    </row>
    <row r="70" spans="4:4" x14ac:dyDescent="0.25">
      <c r="D70">
        <v>68</v>
      </c>
    </row>
    <row r="71" spans="4:4" x14ac:dyDescent="0.25">
      <c r="D71">
        <v>69</v>
      </c>
    </row>
    <row r="72" spans="4:4" x14ac:dyDescent="0.25">
      <c r="D72">
        <v>70</v>
      </c>
    </row>
    <row r="73" spans="4:4" x14ac:dyDescent="0.25">
      <c r="D73">
        <v>71</v>
      </c>
    </row>
    <row r="74" spans="4:4" x14ac:dyDescent="0.25">
      <c r="D74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Ejercicio1</vt:lpstr>
      <vt:lpstr>Ejercicio2</vt:lpstr>
      <vt:lpstr>Ejercicio3</vt:lpstr>
      <vt:lpstr>Ejercicio4</vt:lpstr>
      <vt:lpstr>Mockup_Proyecto</vt:lpstr>
      <vt:lpstr>Hoja1</vt:lpstr>
      <vt:lpstr>listas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P8J6</dc:creator>
  <cp:lastModifiedBy>Laboratorio</cp:lastModifiedBy>
  <dcterms:created xsi:type="dcterms:W3CDTF">2020-04-28T23:41:26Z</dcterms:created>
  <dcterms:modified xsi:type="dcterms:W3CDTF">2020-05-19T00:23:34Z</dcterms:modified>
</cp:coreProperties>
</file>