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sco\Trabalho\Universidade\Mestrado\2ºano\2ºSemestre\Tese\Testes\Testes de Consumo\"/>
    </mc:Choice>
  </mc:AlternateContent>
  <xr:revisionPtr revIDLastSave="0" documentId="13_ncr:1_{098CA5A6-C354-40B6-BE35-66B0436CCCD0}" xr6:coauthVersionLast="47" xr6:coauthVersionMax="47" xr10:uidLastSave="{00000000-0000-0000-0000-000000000000}"/>
  <bookViews>
    <workbookView xWindow="-108" yWindow="-108" windowWidth="23256" windowHeight="12456" xr2:uid="{3AF2AFE0-9BAE-4043-B9F9-0970CD15097C}"/>
  </bookViews>
  <sheets>
    <sheet name="Individual Tests" sheetId="2" r:id="rId1"/>
    <sheet name="Use Case" sheetId="5" r:id="rId2"/>
    <sheet name="Consumption per Mode and Hour" sheetId="9" r:id="rId3"/>
    <sheet name="Expected Battery Life" sheetId="10" r:id="rId4"/>
    <sheet name="Folha2" sheetId="7" state="hidden" r:id="rId5"/>
  </sheets>
  <definedNames>
    <definedName name="_xlnm.Print_Area" localSheetId="2">'Consumption per Mode and Hour'!$B$1:$E$62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9" l="1"/>
  <c r="E41" i="9"/>
  <c r="D41" i="9"/>
  <c r="G6" i="5"/>
  <c r="D14" i="5"/>
  <c r="G9" i="5"/>
  <c r="G10" i="5"/>
  <c r="D54" i="9"/>
  <c r="E39" i="9"/>
  <c r="E40" i="9" s="1"/>
  <c r="E10" i="9"/>
  <c r="D10" i="9"/>
  <c r="D55" i="9"/>
  <c r="E55" i="9"/>
  <c r="E54" i="9"/>
  <c r="D56" i="9"/>
  <c r="F8" i="10"/>
  <c r="F9" i="10"/>
  <c r="F7" i="10"/>
  <c r="F6" i="10"/>
  <c r="F5" i="10"/>
  <c r="E15" i="9"/>
  <c r="E22" i="9"/>
  <c r="E23" i="9"/>
  <c r="E24" i="9"/>
  <c r="E29" i="9"/>
  <c r="E30" i="9"/>
  <c r="E31" i="9" s="1"/>
  <c r="E35" i="9"/>
  <c r="E36" i="9"/>
  <c r="E37" i="9" s="1"/>
  <c r="E48" i="9"/>
  <c r="E47" i="9"/>
  <c r="E46" i="9"/>
  <c r="E53" i="9"/>
  <c r="D53" i="9"/>
  <c r="E9" i="9"/>
  <c r="E7" i="9"/>
  <c r="D48" i="9"/>
  <c r="D47" i="9"/>
  <c r="D46" i="9"/>
  <c r="D36" i="9"/>
  <c r="D37" i="9" s="1"/>
  <c r="D35" i="9"/>
  <c r="D30" i="9"/>
  <c r="D31" i="9" s="1"/>
  <c r="D29" i="9"/>
  <c r="D24" i="9"/>
  <c r="D22" i="9"/>
  <c r="D23" i="9" s="1"/>
  <c r="D16" i="9"/>
  <c r="D18" i="9" s="1"/>
  <c r="D15" i="9"/>
  <c r="D9" i="9"/>
  <c r="D7" i="9"/>
  <c r="E45" i="7"/>
  <c r="F45" i="7"/>
  <c r="G45" i="7"/>
  <c r="H45" i="7"/>
  <c r="I45" i="7"/>
  <c r="J45" i="7"/>
  <c r="K45" i="7"/>
  <c r="L45" i="7"/>
  <c r="M45" i="7"/>
  <c r="N45" i="7"/>
  <c r="O45" i="7"/>
  <c r="P45" i="7"/>
  <c r="D45" i="7"/>
  <c r="D46" i="7" s="1"/>
  <c r="K46" i="7"/>
  <c r="L46" i="7"/>
  <c r="E38" i="7"/>
  <c r="E39" i="7" s="1"/>
  <c r="F38" i="7"/>
  <c r="F39" i="7" s="1"/>
  <c r="G38" i="7"/>
  <c r="G39" i="7" s="1"/>
  <c r="H38" i="7"/>
  <c r="H39" i="7" s="1"/>
  <c r="I38" i="7"/>
  <c r="I39" i="7" s="1"/>
  <c r="J38" i="7"/>
  <c r="K38" i="7"/>
  <c r="K39" i="7" s="1"/>
  <c r="L38" i="7"/>
  <c r="M38" i="7"/>
  <c r="M39" i="7" s="1"/>
  <c r="N38" i="7"/>
  <c r="N39" i="7" s="1"/>
  <c r="O38" i="7"/>
  <c r="O39" i="7" s="1"/>
  <c r="P38" i="7"/>
  <c r="P39" i="7" s="1"/>
  <c r="J39" i="7"/>
  <c r="L39" i="7"/>
  <c r="D38" i="7"/>
  <c r="D39" i="7" s="1"/>
  <c r="P44" i="7"/>
  <c r="P43" i="7"/>
  <c r="O44" i="7"/>
  <c r="O43" i="7"/>
  <c r="N44" i="7"/>
  <c r="N43" i="7"/>
  <c r="M44" i="7"/>
  <c r="M43" i="7"/>
  <c r="L44" i="7"/>
  <c r="L43" i="7"/>
  <c r="K44" i="7"/>
  <c r="K43" i="7"/>
  <c r="J44" i="7"/>
  <c r="J46" i="7" s="1"/>
  <c r="J43" i="7"/>
  <c r="I44" i="7"/>
  <c r="I43" i="7"/>
  <c r="H44" i="7"/>
  <c r="H43" i="7"/>
  <c r="G44" i="7"/>
  <c r="G43" i="7"/>
  <c r="F44" i="7"/>
  <c r="F43" i="7"/>
  <c r="E44" i="7"/>
  <c r="E43" i="7"/>
  <c r="D44" i="7"/>
  <c r="D43" i="7"/>
  <c r="E37" i="7"/>
  <c r="F37" i="7"/>
  <c r="G37" i="7"/>
  <c r="H37" i="7"/>
  <c r="I37" i="7"/>
  <c r="J37" i="7"/>
  <c r="K37" i="7"/>
  <c r="L37" i="7"/>
  <c r="M37" i="7"/>
  <c r="N37" i="7"/>
  <c r="O37" i="7"/>
  <c r="P37" i="7"/>
  <c r="E20" i="7"/>
  <c r="F20" i="7"/>
  <c r="G20" i="7"/>
  <c r="H20" i="7"/>
  <c r="H21" i="7" s="1"/>
  <c r="I20" i="7"/>
  <c r="J20" i="7"/>
  <c r="K20" i="7"/>
  <c r="L20" i="7"/>
  <c r="M20" i="7"/>
  <c r="M21" i="7" s="1"/>
  <c r="N20" i="7"/>
  <c r="N21" i="7" s="1"/>
  <c r="O20" i="7"/>
  <c r="O21" i="7" s="1"/>
  <c r="P20" i="7"/>
  <c r="P21" i="7" s="1"/>
  <c r="I21" i="7"/>
  <c r="J21" i="7"/>
  <c r="K21" i="7"/>
  <c r="L21" i="7"/>
  <c r="E22" i="7"/>
  <c r="F22" i="7"/>
  <c r="G22" i="7"/>
  <c r="H22" i="7"/>
  <c r="I22" i="7"/>
  <c r="I23" i="7" s="1"/>
  <c r="J22" i="7"/>
  <c r="J23" i="7" s="1"/>
  <c r="K22" i="7"/>
  <c r="K23" i="7" s="1"/>
  <c r="L22" i="7"/>
  <c r="L23" i="7" s="1"/>
  <c r="M22" i="7"/>
  <c r="M23" i="7" s="1"/>
  <c r="N22" i="7"/>
  <c r="N23" i="7" s="1"/>
  <c r="O22" i="7"/>
  <c r="O23" i="7" s="1"/>
  <c r="P22" i="7"/>
  <c r="P23" i="7" s="1"/>
  <c r="D22" i="7"/>
  <c r="D23" i="7" s="1"/>
  <c r="D20" i="7"/>
  <c r="D21" i="7" s="1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D28" i="7"/>
  <c r="D29" i="7" s="1"/>
  <c r="E28" i="7"/>
  <c r="E29" i="7" s="1"/>
  <c r="F28" i="7"/>
  <c r="F29" i="7" s="1"/>
  <c r="G28" i="7"/>
  <c r="G29" i="7" s="1"/>
  <c r="H28" i="7"/>
  <c r="H29" i="7" s="1"/>
  <c r="I28" i="7"/>
  <c r="I29" i="7" s="1"/>
  <c r="J28" i="7"/>
  <c r="J29" i="7" s="1"/>
  <c r="K28" i="7"/>
  <c r="K29" i="7" s="1"/>
  <c r="L28" i="7"/>
  <c r="L29" i="7" s="1"/>
  <c r="M28" i="7"/>
  <c r="M29" i="7" s="1"/>
  <c r="N28" i="7"/>
  <c r="N29" i="7" s="1"/>
  <c r="O28" i="7"/>
  <c r="O29" i="7" s="1"/>
  <c r="P28" i="7"/>
  <c r="P29" i="7" s="1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D34" i="7"/>
  <c r="D35" i="7" s="1"/>
  <c r="E34" i="7"/>
  <c r="E35" i="7" s="1"/>
  <c r="F34" i="7"/>
  <c r="F35" i="7" s="1"/>
  <c r="G34" i="7"/>
  <c r="G35" i="7" s="1"/>
  <c r="H34" i="7"/>
  <c r="H35" i="7" s="1"/>
  <c r="I34" i="7"/>
  <c r="I35" i="7" s="1"/>
  <c r="J34" i="7"/>
  <c r="J35" i="7" s="1"/>
  <c r="K34" i="7"/>
  <c r="K35" i="7" s="1"/>
  <c r="L34" i="7"/>
  <c r="L35" i="7" s="1"/>
  <c r="M34" i="7"/>
  <c r="M35" i="7" s="1"/>
  <c r="N34" i="7"/>
  <c r="N35" i="7" s="1"/>
  <c r="O34" i="7"/>
  <c r="O35" i="7" s="1"/>
  <c r="P34" i="7"/>
  <c r="P35" i="7" s="1"/>
  <c r="D37" i="7"/>
  <c r="P15" i="7"/>
  <c r="P14" i="7"/>
  <c r="P13" i="7"/>
  <c r="O15" i="7"/>
  <c r="O14" i="7"/>
  <c r="O13" i="7"/>
  <c r="N15" i="7"/>
  <c r="N14" i="7"/>
  <c r="N13" i="7"/>
  <c r="M15" i="7"/>
  <c r="M14" i="7"/>
  <c r="M13" i="7"/>
  <c r="L15" i="7"/>
  <c r="L14" i="7"/>
  <c r="L13" i="7"/>
  <c r="K15" i="7"/>
  <c r="K14" i="7"/>
  <c r="K13" i="7"/>
  <c r="J15" i="7"/>
  <c r="J14" i="7"/>
  <c r="J13" i="7"/>
  <c r="I15" i="7"/>
  <c r="I14" i="7"/>
  <c r="I13" i="7"/>
  <c r="H15" i="7"/>
  <c r="H14" i="7"/>
  <c r="H13" i="7"/>
  <c r="G15" i="7"/>
  <c r="G14" i="7"/>
  <c r="G13" i="7"/>
  <c r="F15" i="7"/>
  <c r="F14" i="7"/>
  <c r="F13" i="7"/>
  <c r="E15" i="7"/>
  <c r="E14" i="7"/>
  <c r="E13" i="7"/>
  <c r="D14" i="7"/>
  <c r="D15" i="7"/>
  <c r="P8" i="7"/>
  <c r="P7" i="7"/>
  <c r="P5" i="7"/>
  <c r="P6" i="7" s="1"/>
  <c r="O8" i="7"/>
  <c r="O7" i="7"/>
  <c r="O5" i="7"/>
  <c r="O6" i="7" s="1"/>
  <c r="N8" i="7"/>
  <c r="N7" i="7"/>
  <c r="N5" i="7"/>
  <c r="M8" i="7"/>
  <c r="M7" i="7"/>
  <c r="M5" i="7"/>
  <c r="L8" i="7"/>
  <c r="L7" i="7"/>
  <c r="L5" i="7"/>
  <c r="L6" i="7" s="1"/>
  <c r="K8" i="7"/>
  <c r="K7" i="7"/>
  <c r="K5" i="7"/>
  <c r="K6" i="7" s="1"/>
  <c r="J8" i="7"/>
  <c r="J7" i="7"/>
  <c r="J5" i="7"/>
  <c r="J6" i="7" s="1"/>
  <c r="I8" i="7"/>
  <c r="I7" i="7"/>
  <c r="I5" i="7"/>
  <c r="H8" i="7"/>
  <c r="H7" i="7"/>
  <c r="H5" i="7"/>
  <c r="G8" i="7"/>
  <c r="G7" i="7"/>
  <c r="G5" i="7"/>
  <c r="G9" i="7" s="1"/>
  <c r="F8" i="7"/>
  <c r="F7" i="7"/>
  <c r="F5" i="7"/>
  <c r="F6" i="7" s="1"/>
  <c r="E8" i="7"/>
  <c r="E7" i="7"/>
  <c r="E5" i="7"/>
  <c r="E6" i="7" s="1"/>
  <c r="D8" i="7"/>
  <c r="D7" i="7"/>
  <c r="D5" i="7"/>
  <c r="D6" i="7" s="1"/>
  <c r="M46" i="7" l="1"/>
  <c r="H16" i="7"/>
  <c r="N46" i="7"/>
  <c r="N16" i="7"/>
  <c r="E46" i="7"/>
  <c r="H9" i="5"/>
  <c r="H10" i="5"/>
  <c r="H6" i="5"/>
  <c r="G11" i="5"/>
  <c r="E42" i="9"/>
  <c r="D39" i="9"/>
  <c r="D11" i="9"/>
  <c r="I46" i="7"/>
  <c r="E56" i="9"/>
  <c r="O46" i="7"/>
  <c r="E49" i="9"/>
  <c r="F46" i="7"/>
  <c r="P46" i="7"/>
  <c r="G23" i="7"/>
  <c r="F23" i="7"/>
  <c r="E23" i="7"/>
  <c r="I16" i="7"/>
  <c r="H46" i="7"/>
  <c r="G46" i="7"/>
  <c r="E11" i="9"/>
  <c r="E18" i="9"/>
  <c r="E25" i="9"/>
  <c r="D49" i="9"/>
  <c r="E8" i="9"/>
  <c r="D8" i="9"/>
  <c r="D25" i="9"/>
  <c r="H23" i="7"/>
  <c r="G21" i="7"/>
  <c r="F21" i="7"/>
  <c r="E21" i="7"/>
  <c r="E16" i="7"/>
  <c r="H9" i="7"/>
  <c r="J16" i="7"/>
  <c r="O16" i="7"/>
  <c r="M9" i="7"/>
  <c r="P16" i="7"/>
  <c r="G16" i="7"/>
  <c r="M16" i="7"/>
  <c r="N9" i="7"/>
  <c r="I9" i="7"/>
  <c r="L16" i="7"/>
  <c r="J9" i="7"/>
  <c r="F16" i="7"/>
  <c r="K16" i="7"/>
  <c r="P9" i="7"/>
  <c r="D16" i="7"/>
  <c r="L9" i="7"/>
  <c r="E9" i="7"/>
  <c r="O9" i="7"/>
  <c r="D13" i="7"/>
  <c r="N6" i="7"/>
  <c r="M6" i="7"/>
  <c r="K9" i="7"/>
  <c r="I6" i="7"/>
  <c r="H6" i="7"/>
  <c r="G6" i="7"/>
  <c r="F9" i="7"/>
  <c r="D9" i="7"/>
  <c r="H11" i="5" l="1"/>
  <c r="E5" i="9" s="1"/>
  <c r="D40" i="9"/>
  <c r="D42" i="9"/>
  <c r="D59" i="9" s="1"/>
  <c r="R3" i="7" a="1"/>
  <c r="R3" i="7" s="1"/>
  <c r="E59" i="9"/>
  <c r="D61" i="9" l="1"/>
  <c r="D62" i="9"/>
  <c r="G5" i="10" s="1"/>
  <c r="G9" i="10" l="1"/>
  <c r="G8" i="10"/>
  <c r="G6" i="10"/>
  <c r="G7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<sst xmlns="http://schemas.openxmlformats.org/spreadsheetml/2006/main" count="288" uniqueCount="120">
  <si>
    <t>Sensor</t>
  </si>
  <si>
    <t>A9G</t>
  </si>
  <si>
    <t>MicroSD</t>
  </si>
  <si>
    <t>Test</t>
  </si>
  <si>
    <t>Test Description</t>
  </si>
  <si>
    <t>Parameters</t>
  </si>
  <si>
    <t>Current Consumption (mA)</t>
  </si>
  <si>
    <t>Bosch BME680</t>
  </si>
  <si>
    <t>IAM-20680</t>
  </si>
  <si>
    <t>Results
(1st Test)</t>
  </si>
  <si>
    <t>Continuous monitoring 
of accelerometer values</t>
  </si>
  <si>
    <t>A cycle that simulates the normal data recording procedure: switch on, record for 10 seconds (temperature, humidity and pressure) and then switch to the low power mode.</t>
  </si>
  <si>
    <t>Data 
Recording Cycle</t>
  </si>
  <si>
    <t>Min. Value</t>
  </si>
  <si>
    <t>Max. Value</t>
  </si>
  <si>
    <t>Avg. Value</t>
  </si>
  <si>
    <t>Shunt Voltage (mV)</t>
  </si>
  <si>
    <t>Power Consumption (mW)</t>
  </si>
  <si>
    <t>Total Energy (mWh)</t>
  </si>
  <si>
    <t>Results
(2st Test)</t>
  </si>
  <si>
    <t>Results
(3st Test)</t>
  </si>
  <si>
    <t>A cycle that simulates the normal data acquisition procedure: Switch on the GPS, wait for a maximum of 60 seconds to fix the satellite and, if successful, store the coordinates and then switch off the GPS.</t>
  </si>
  <si>
    <t>GPS Data Recording</t>
  </si>
  <si>
    <t>MQTT data transmission</t>
  </si>
  <si>
    <t>Initial configuration of the network and then transfer of data from the microSD card</t>
  </si>
  <si>
    <t>Total Energy Con. (mWh)</t>
  </si>
  <si>
    <t>Consumption during 2 minutes</t>
  </si>
  <si>
    <t>ODR 250 Hz
Over-Sampling 8x</t>
  </si>
  <si>
    <t>Average Bus Voltage (V)</t>
  </si>
  <si>
    <t>Module Initialization (Reseting)</t>
  </si>
  <si>
    <t>AT Command (AT+RST=1)</t>
  </si>
  <si>
    <t>Start from normal mode and perform a reset to wake up the module and to configure it.</t>
  </si>
  <si>
    <t>60 Seconds Maximum Time to obtain Location</t>
  </si>
  <si>
    <t>Data Writting</t>
  </si>
  <si>
    <t>Testing using the Kingston SDCS2/32GB MicroSD
Data Writting of 3 registers of Impacts Data and 5 registers of BME Data
SPI frequency : 1MHz</t>
  </si>
  <si>
    <t xml:space="preserve">A cycle that simulates the process of transferring data from the RAM to the MicroSD. </t>
  </si>
  <si>
    <t>1 minute duration. 
15 setences per message.</t>
  </si>
  <si>
    <t>Transport</t>
  </si>
  <si>
    <t>Storage</t>
  </si>
  <si>
    <t>Start Point</t>
  </si>
  <si>
    <t>34h42m</t>
  </si>
  <si>
    <t>0h04m</t>
  </si>
  <si>
    <t>20h51m</t>
  </si>
  <si>
    <t>5h10m</t>
  </si>
  <si>
    <t>0h00m</t>
  </si>
  <si>
    <t>10h36m</t>
  </si>
  <si>
    <t>15h13m</t>
  </si>
  <si>
    <t>End Point</t>
  </si>
  <si>
    <t>Total:</t>
  </si>
  <si>
    <t>Decimal</t>
  </si>
  <si>
    <t>Percentage</t>
  </si>
  <si>
    <t>Storage:</t>
  </si>
  <si>
    <t>00h</t>
  </si>
  <si>
    <t>bme</t>
  </si>
  <si>
    <t>01h</t>
  </si>
  <si>
    <t>02h</t>
  </si>
  <si>
    <t>03h</t>
  </si>
  <si>
    <t>04h</t>
  </si>
  <si>
    <t>05h</t>
  </si>
  <si>
    <t>06h</t>
  </si>
  <si>
    <t>07h</t>
  </si>
  <si>
    <t>08h</t>
  </si>
  <si>
    <t>09h</t>
  </si>
  <si>
    <t>10h</t>
  </si>
  <si>
    <t>11h</t>
  </si>
  <si>
    <t>12h</t>
  </si>
  <si>
    <t>AM</t>
  </si>
  <si>
    <t>Action/component</t>
  </si>
  <si>
    <t>Usage Time (minutes)</t>
  </si>
  <si>
    <t>Usage Time per cycle (minutes)</t>
  </si>
  <si>
    <t>nº cycles</t>
  </si>
  <si>
    <t>Active Power Consumption (mW)</t>
  </si>
  <si>
    <t>Sleep Power Consumption (mW)</t>
  </si>
  <si>
    <t>Percentage Usage (%)</t>
  </si>
  <si>
    <t>Sleeping Mode</t>
  </si>
  <si>
    <t>imu</t>
  </si>
  <si>
    <t xml:space="preserve">A9G </t>
  </si>
  <si>
    <t>GPS</t>
  </si>
  <si>
    <t>Data Transmission</t>
  </si>
  <si>
    <t>Module</t>
  </si>
  <si>
    <t>Sleep Power Consumption (mWh)</t>
  </si>
  <si>
    <t>Sleep Mode</t>
  </si>
  <si>
    <t>Module Inicialization</t>
  </si>
  <si>
    <t>Micro-SD</t>
  </si>
  <si>
    <t>1 minute duration.</t>
  </si>
  <si>
    <t>Mode</t>
  </si>
  <si>
    <t>Mode Usage Percentage:</t>
  </si>
  <si>
    <t>Microcontroller</t>
  </si>
  <si>
    <t>Total Energy (per hour) (mWh):</t>
  </si>
  <si>
    <t>Total Energy (per day) (mWh):</t>
  </si>
  <si>
    <t>Manufacturer</t>
  </si>
  <si>
    <t>Capacity (mWh)</t>
  </si>
  <si>
    <t>Nominal Voltage (V)</t>
  </si>
  <si>
    <t>Expected Battery Life (days)</t>
  </si>
  <si>
    <t>Estimated Power Consumption</t>
  </si>
  <si>
    <t>Capacity (mAh)</t>
  </si>
  <si>
    <t xml:space="preserve">Expected Battery Life </t>
  </si>
  <si>
    <t>ESP32</t>
  </si>
  <si>
    <t>Tasks Manager Running</t>
  </si>
  <si>
    <t xml:space="preserve">Consumption measured on the microcontroller only when it is running on normal mode </t>
  </si>
  <si>
    <t xml:space="preserve">Consumption measured on the microcontroller only when it is running on sleeping mode </t>
  </si>
  <si>
    <t>CPU Frequency: 160 MHz</t>
  </si>
  <si>
    <t>-</t>
  </si>
  <si>
    <t>Total Energy per hour (mWh)</t>
  </si>
  <si>
    <t>Theorical Transport:</t>
  </si>
  <si>
    <t>Resting:</t>
  </si>
  <si>
    <t>Total Time</t>
  </si>
  <si>
    <t>Real Transport:</t>
  </si>
  <si>
    <t>Active Mode
 (Real Transport)</t>
  </si>
  <si>
    <t>Sleeping Mode
 (Storage + Resting)</t>
  </si>
  <si>
    <t>Type</t>
  </si>
  <si>
    <t>Time</t>
  </si>
  <si>
    <t>Use Case</t>
  </si>
  <si>
    <t>Taking into account a rest period of 9 hours in a 24-hour period of transport</t>
  </si>
  <si>
    <t>Individual Tests</t>
  </si>
  <si>
    <t>Consumption during a standby period</t>
  </si>
  <si>
    <t>Price (€)</t>
  </si>
  <si>
    <t>RS Components</t>
  </si>
  <si>
    <t>Mode: Sleep-Mode</t>
  </si>
  <si>
    <t>Mode: Forced Mode
Over-Sampling 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</si>
</sst>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000"/>
    <numFmt numFmtId="167" formatCode="0.0"/>
    <numFmt numFmtId="168" formatCode="#,##0.00\ &quot;€&quot;"/>
  </numFmts>
  <fonts count="4">
    <font>
      <sz val="11"/>
      <color theme="1"/>
      <name val="Calibri"/>
      <family val="2"/>
      <scheme val="minor"/>
    </font>
    <font>
      <sz val="11"/>
      <color theme="1"/>
      <name val="Bosch Office Sans"/>
    </font>
    <font>
      <b/>
      <sz val="14"/>
      <color theme="1"/>
      <name val="Bosch Office Sans"/>
    </font>
    <font>
      <u/>
      <sz val="11"/>
      <color theme="1"/>
      <name val="Bosch Office Sans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0" fillId="2" borderId="1" xfId="0" applyFill="1" applyBorder="1"/>
    <xf numFmtId="167" fontId="0" fillId="2" borderId="1" xfId="0" applyNumberFormat="1" applyFill="1" applyBorder="1"/>
    <xf numFmtId="10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2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3" borderId="1" xfId="0" applyFill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2" fontId="1" fillId="2" borderId="1" xfId="0" applyNumberFormat="1" applyFont="1" applyFill="1" applyBorder="1" applyAlignment="1">
      <alignment horizontal="right"/>
    </xf>
    <xf numFmtId="10" fontId="1" fillId="2" borderId="1" xfId="0" applyNumberFormat="1" applyFont="1" applyFill="1" applyBorder="1" applyAlignment="1">
      <alignment horizontal="right"/>
    </xf>
    <xf numFmtId="165" fontId="1" fillId="2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wrapText="1"/>
    </xf>
    <xf numFmtId="9" fontId="1" fillId="3" borderId="1" xfId="0" applyNumberFormat="1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/>
    </xf>
    <xf numFmtId="2" fontId="1" fillId="2" borderId="1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2" fontId="1" fillId="2" borderId="1" xfId="0" applyNumberFormat="1" applyFont="1" applyFill="1" applyBorder="1"/>
    <xf numFmtId="167" fontId="1" fillId="2" borderId="1" xfId="0" applyNumberFormat="1" applyFont="1" applyFill="1" applyBorder="1"/>
    <xf numFmtId="168" fontId="1" fillId="2" borderId="1" xfId="0" applyNumberFormat="1" applyFont="1" applyFill="1" applyBorder="1"/>
    <xf numFmtId="0" fontId="3" fillId="2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top" wrapText="1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0" fontId="1" fillId="2" borderId="8" xfId="0" applyNumberFormat="1" applyFont="1" applyFill="1" applyBorder="1" applyAlignment="1">
      <alignment horizontal="center" wrapText="1"/>
    </xf>
    <xf numFmtId="10" fontId="1" fillId="2" borderId="11" xfId="0" applyNumberFormat="1" applyFont="1" applyFill="1" applyBorder="1" applyAlignment="1">
      <alignment horizontal="center" wrapText="1"/>
    </xf>
    <xf numFmtId="10" fontId="1" fillId="2" borderId="13" xfId="0" applyNumberFormat="1" applyFont="1" applyFill="1" applyBorder="1" applyAlignment="1">
      <alignment horizontal="center" wrapText="1"/>
    </xf>
    <xf numFmtId="10" fontId="1" fillId="2" borderId="9" xfId="0" applyNumberFormat="1" applyFont="1" applyFill="1" applyBorder="1" applyAlignment="1">
      <alignment horizontal="center" wrapText="1"/>
    </xf>
    <xf numFmtId="10" fontId="1" fillId="2" borderId="10" xfId="0" applyNumberFormat="1" applyFont="1" applyFill="1" applyBorder="1" applyAlignment="1">
      <alignment horizontal="center" wrapText="1"/>
    </xf>
    <xf numFmtId="10" fontId="1" fillId="2" borderId="1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589175</xdr:colOff>
      <xdr:row>15</xdr:row>
      <xdr:rowOff>30003</xdr:rowOff>
    </xdr:from>
    <xdr:to>
      <xdr:col>2</xdr:col>
      <xdr:colOff>440562</xdr:colOff>
      <xdr:row>28</xdr:row>
      <xdr:rowOff>2023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FD7C580-4391-22C0-35C6-056874FA3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175" y="3101570"/>
          <a:ext cx="1206137" cy="2318842"/>
        </a:xfrm>
        <a:prstGeom prst="rect">
          <a:avLst/>
        </a:prstGeom>
      </xdr:spPr>
    </xdr:pic>
    <xdr:clientData/>
  </xdr:twoCellAnchor>
  <xdr:twoCellAnchor editAs="oneCell">
    <xdr:from>
      <xdr:col>2</xdr:col>
      <xdr:colOff>308654</xdr:colOff>
      <xdr:row>14</xdr:row>
      <xdr:rowOff>124744</xdr:rowOff>
    </xdr:from>
    <xdr:to>
      <xdr:col>8</xdr:col>
      <xdr:colOff>58799</xdr:colOff>
      <xdr:row>31</xdr:row>
      <xdr:rowOff>168542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3112A6-66E7-78E8-FDA6-2EAD647BF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4139" y="3015631"/>
          <a:ext cx="4404747" cy="3103935"/>
        </a:xfrm>
        <a:prstGeom prst="rect">
          <a:avLst/>
        </a:prstGeom>
      </xdr:spPr>
    </xdr:pic>
    <xdr:clientData/>
  </xdr:twoCellAnchor>
  <xdr:twoCellAnchor editAs="oneCell">
    <xdr:from>
      <xdr:col>0</xdr:col>
      <xdr:colOff>604884</xdr:colOff>
      <xdr:row>31</xdr:row>
      <xdr:rowOff>165281</xdr:rowOff>
    </xdr:from>
    <xdr:to>
      <xdr:col>7</xdr:col>
      <xdr:colOff>743911</xdr:colOff>
      <xdr:row>44</xdr:row>
      <xdr:rowOff>19757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F15DC4A-D0E9-8625-C083-B93E57CB3FE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31"/>
        <a:stretch/>
      </xdr:blipFill>
      <xdr:spPr bwMode="auto">
        <a:xfrm>
          <a:off x="604884" y="6127735"/>
          <a:ext cx="5334001" cy="2207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DF0C-4987-4B28-9F84-2510A09497F0}">
  <sheetPr>
    <pageSetUpPr fitToPage="1"/>
  </sheetPr>
  <dimension ref="B1:O40"/>
  <sheetViews>
    <sheetView tabSelected="1" topLeftCell="B13" zoomScale="90" zoomScaleNormal="90" workbookViewId="0">
      <selection activeCell="E8" sqref="E8"/>
    </sheetView>
  </sheetViews>
  <sheetFormatPr defaultRowHeight="13.8"/>
  <cols>
    <col min="1" max="2" width="8.88671875" style="15"/>
    <col min="3" max="3" width="13.33203125" style="15" customWidth="1"/>
    <col min="4" max="4" width="12.88671875" style="15" customWidth="1"/>
    <col min="5" max="5" width="21.77734375" style="15" customWidth="1"/>
    <col min="6" max="6" width="13.77734375" style="15" bestFit="1" customWidth="1"/>
    <col min="7" max="7" width="17.33203125" style="15" customWidth="1"/>
    <col min="8" max="8" width="14.77734375" style="15" customWidth="1"/>
    <col min="9" max="9" width="22.77734375" style="15" customWidth="1"/>
    <col min="10" max="11" width="14.44140625" style="15" customWidth="1"/>
    <col min="12" max="12" width="20.6640625" style="15" customWidth="1"/>
    <col min="13" max="13" width="13.77734375" style="15" customWidth="1"/>
    <col min="14" max="14" width="16.109375" style="15" customWidth="1"/>
    <col min="15" max="15" width="15.21875" style="15" customWidth="1"/>
    <col min="16" max="16384" width="8.88671875" style="15"/>
  </cols>
  <sheetData>
    <row r="1" spans="2:15" ht="14.4" customHeight="1">
      <c r="B1" s="44" t="s">
        <v>114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6"/>
    </row>
    <row r="2" spans="2:15" ht="14.4" customHeight="1">
      <c r="B2" s="47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</row>
    <row r="4" spans="2:15">
      <c r="B4" s="50" t="s">
        <v>0</v>
      </c>
      <c r="C4" s="50"/>
      <c r="D4" s="50"/>
      <c r="E4" s="50" t="s">
        <v>7</v>
      </c>
      <c r="F4" s="50"/>
      <c r="G4" s="31" t="s">
        <v>8</v>
      </c>
      <c r="H4" s="50" t="s">
        <v>1</v>
      </c>
      <c r="I4" s="50"/>
      <c r="J4" s="50"/>
      <c r="K4" s="50"/>
      <c r="L4" s="50" t="s">
        <v>2</v>
      </c>
      <c r="M4" s="50"/>
      <c r="N4" s="51" t="s">
        <v>97</v>
      </c>
      <c r="O4" s="51"/>
    </row>
    <row r="5" spans="2:15" ht="55.2">
      <c r="B5" s="50" t="s">
        <v>3</v>
      </c>
      <c r="C5" s="50"/>
      <c r="D5" s="50"/>
      <c r="E5" s="31" t="s">
        <v>12</v>
      </c>
      <c r="F5" s="31" t="s">
        <v>74</v>
      </c>
      <c r="G5" s="31" t="s">
        <v>10</v>
      </c>
      <c r="H5" s="31" t="s">
        <v>29</v>
      </c>
      <c r="I5" s="31" t="s">
        <v>22</v>
      </c>
      <c r="J5" s="31" t="s">
        <v>23</v>
      </c>
      <c r="K5" s="31" t="s">
        <v>81</v>
      </c>
      <c r="L5" s="31" t="s">
        <v>33</v>
      </c>
      <c r="M5" s="31" t="s">
        <v>81</v>
      </c>
      <c r="N5" s="31" t="s">
        <v>98</v>
      </c>
      <c r="O5" s="31" t="s">
        <v>81</v>
      </c>
    </row>
    <row r="6" spans="2:15" ht="148.19999999999999" customHeight="1">
      <c r="B6" s="50" t="s">
        <v>4</v>
      </c>
      <c r="C6" s="50"/>
      <c r="D6" s="50"/>
      <c r="E6" s="35" t="s">
        <v>11</v>
      </c>
      <c r="F6" s="35" t="s">
        <v>26</v>
      </c>
      <c r="G6" s="35" t="s">
        <v>26</v>
      </c>
      <c r="H6" s="35" t="s">
        <v>31</v>
      </c>
      <c r="I6" s="35" t="s">
        <v>21</v>
      </c>
      <c r="J6" s="35" t="s">
        <v>24</v>
      </c>
      <c r="K6" s="35" t="s">
        <v>115</v>
      </c>
      <c r="L6" s="35" t="s">
        <v>35</v>
      </c>
      <c r="M6" s="35" t="s">
        <v>115</v>
      </c>
      <c r="N6" s="35" t="s">
        <v>99</v>
      </c>
      <c r="O6" s="35" t="s">
        <v>100</v>
      </c>
    </row>
    <row r="7" spans="2:15" ht="145.19999999999999" customHeight="1">
      <c r="B7" s="50" t="s">
        <v>5</v>
      </c>
      <c r="C7" s="50"/>
      <c r="D7" s="50"/>
      <c r="E7" s="35" t="s">
        <v>119</v>
      </c>
      <c r="F7" s="35" t="s">
        <v>118</v>
      </c>
      <c r="G7" s="35" t="s">
        <v>27</v>
      </c>
      <c r="H7" s="35" t="s">
        <v>30</v>
      </c>
      <c r="I7" s="35" t="s">
        <v>32</v>
      </c>
      <c r="J7" s="35" t="s">
        <v>36</v>
      </c>
      <c r="K7" s="35" t="s">
        <v>84</v>
      </c>
      <c r="L7" s="35" t="s">
        <v>34</v>
      </c>
      <c r="M7" s="35" t="s">
        <v>84</v>
      </c>
      <c r="N7" s="35" t="s">
        <v>101</v>
      </c>
      <c r="O7" s="35" t="s">
        <v>101</v>
      </c>
    </row>
    <row r="8" spans="2:15">
      <c r="B8" s="42" t="s">
        <v>9</v>
      </c>
      <c r="C8" s="42" t="s">
        <v>28</v>
      </c>
      <c r="D8" s="42"/>
      <c r="E8" s="33">
        <v>3.25</v>
      </c>
      <c r="F8" s="33">
        <v>3.26</v>
      </c>
      <c r="G8" s="33">
        <v>3.24</v>
      </c>
      <c r="H8" s="33">
        <v>4.8</v>
      </c>
      <c r="I8" s="33">
        <v>4.7699999999999996</v>
      </c>
      <c r="J8" s="33">
        <v>4.71</v>
      </c>
      <c r="K8" s="33">
        <v>4.8099999999999996</v>
      </c>
      <c r="L8" s="33">
        <v>3.3</v>
      </c>
      <c r="M8" s="33">
        <v>3.26</v>
      </c>
      <c r="N8" s="33">
        <v>3.9</v>
      </c>
      <c r="O8" s="33">
        <v>3.92</v>
      </c>
    </row>
    <row r="9" spans="2:15" ht="17.399999999999999" customHeight="1">
      <c r="B9" s="42"/>
      <c r="C9" s="42" t="s">
        <v>6</v>
      </c>
      <c r="D9" s="32" t="s">
        <v>13</v>
      </c>
      <c r="E9" s="33">
        <v>-0.01</v>
      </c>
      <c r="F9" s="33">
        <v>0</v>
      </c>
      <c r="G9" s="33">
        <v>5.3</v>
      </c>
      <c r="H9" s="33">
        <v>11</v>
      </c>
      <c r="I9" s="33">
        <v>12.5</v>
      </c>
      <c r="J9" s="33">
        <v>13.4</v>
      </c>
      <c r="K9" s="33">
        <v>2</v>
      </c>
      <c r="L9" s="33">
        <v>0.4</v>
      </c>
      <c r="M9" s="33">
        <v>0.3</v>
      </c>
      <c r="N9" s="33">
        <v>31.9</v>
      </c>
      <c r="O9" s="33">
        <v>1.5</v>
      </c>
    </row>
    <row r="10" spans="2:15">
      <c r="B10" s="42"/>
      <c r="C10" s="42"/>
      <c r="D10" s="32" t="s">
        <v>14</v>
      </c>
      <c r="E10" s="33">
        <v>14</v>
      </c>
      <c r="F10" s="33">
        <v>0.8</v>
      </c>
      <c r="G10" s="33">
        <v>6.7</v>
      </c>
      <c r="H10" s="33">
        <v>400</v>
      </c>
      <c r="I10" s="33">
        <v>126.7</v>
      </c>
      <c r="J10" s="33">
        <v>400</v>
      </c>
      <c r="K10" s="33">
        <v>83.6</v>
      </c>
      <c r="L10" s="33">
        <v>62.9</v>
      </c>
      <c r="M10" s="33">
        <v>0.4</v>
      </c>
      <c r="N10" s="33">
        <v>58.3</v>
      </c>
      <c r="O10" s="33">
        <v>1.7</v>
      </c>
    </row>
    <row r="11" spans="2:15" ht="18" customHeight="1">
      <c r="B11" s="42"/>
      <c r="C11" s="42"/>
      <c r="D11" s="32" t="s">
        <v>15</v>
      </c>
      <c r="E11" s="33">
        <v>2.6</v>
      </c>
      <c r="F11" s="33">
        <v>0.43</v>
      </c>
      <c r="G11" s="33">
        <v>5.64</v>
      </c>
      <c r="H11" s="33">
        <v>39.450000000000003</v>
      </c>
      <c r="I11" s="33">
        <v>52.82</v>
      </c>
      <c r="J11" s="33">
        <v>128.41</v>
      </c>
      <c r="K11" s="33">
        <v>4</v>
      </c>
      <c r="L11" s="33">
        <v>18.72</v>
      </c>
      <c r="M11" s="33">
        <v>0.33</v>
      </c>
      <c r="N11" s="33">
        <v>48.45</v>
      </c>
      <c r="O11" s="33">
        <v>1.6</v>
      </c>
    </row>
    <row r="12" spans="2:15" ht="14.4" customHeight="1">
      <c r="B12" s="42"/>
      <c r="C12" s="42" t="s">
        <v>16</v>
      </c>
      <c r="D12" s="32" t="s">
        <v>13</v>
      </c>
      <c r="E12" s="33">
        <v>-0.01</v>
      </c>
      <c r="F12" s="33">
        <v>0</v>
      </c>
      <c r="G12" s="33">
        <v>0.53</v>
      </c>
      <c r="H12" s="33">
        <v>1.0900000000000001</v>
      </c>
      <c r="I12" s="33">
        <v>1.25</v>
      </c>
      <c r="J12" s="33">
        <v>1.34</v>
      </c>
      <c r="K12" s="33">
        <v>0.2</v>
      </c>
      <c r="L12" s="33">
        <v>0.05</v>
      </c>
      <c r="M12" s="33">
        <v>0.02</v>
      </c>
      <c r="N12" s="33">
        <v>3.31</v>
      </c>
      <c r="O12" s="33">
        <v>0.15</v>
      </c>
    </row>
    <row r="13" spans="2:15">
      <c r="B13" s="42"/>
      <c r="C13" s="42"/>
      <c r="D13" s="32" t="s">
        <v>14</v>
      </c>
      <c r="E13" s="33">
        <v>1.63</v>
      </c>
      <c r="F13" s="33">
        <v>0.04</v>
      </c>
      <c r="G13" s="33">
        <v>0.63</v>
      </c>
      <c r="H13" s="33">
        <v>40</v>
      </c>
      <c r="I13" s="33">
        <v>12.52</v>
      </c>
      <c r="J13" s="33">
        <v>40</v>
      </c>
      <c r="K13" s="33">
        <v>80.900000000000006</v>
      </c>
      <c r="L13" s="33">
        <v>5.82</v>
      </c>
      <c r="M13" s="33">
        <v>0.04</v>
      </c>
      <c r="N13" s="33">
        <v>5.77</v>
      </c>
      <c r="O13" s="33">
        <v>0.17</v>
      </c>
    </row>
    <row r="14" spans="2:15">
      <c r="B14" s="42"/>
      <c r="C14" s="42"/>
      <c r="D14" s="32" t="s">
        <v>15</v>
      </c>
      <c r="E14" s="33">
        <v>0.23</v>
      </c>
      <c r="F14" s="33">
        <v>0</v>
      </c>
      <c r="G14" s="33">
        <v>0.56000000000000005</v>
      </c>
      <c r="H14" s="33">
        <v>4.46</v>
      </c>
      <c r="I14" s="33">
        <v>5.29</v>
      </c>
      <c r="J14" s="33">
        <v>12.32</v>
      </c>
      <c r="K14" s="33">
        <v>0.4</v>
      </c>
      <c r="L14" s="33">
        <v>1.8</v>
      </c>
      <c r="M14" s="33">
        <v>0.03</v>
      </c>
      <c r="N14" s="33">
        <v>4.8600000000000003</v>
      </c>
      <c r="O14" s="33">
        <v>0.16</v>
      </c>
    </row>
    <row r="15" spans="2:15">
      <c r="B15" s="42"/>
      <c r="C15" s="42" t="s">
        <v>17</v>
      </c>
      <c r="D15" s="32" t="s">
        <v>13</v>
      </c>
      <c r="E15" s="33">
        <v>0</v>
      </c>
      <c r="F15" s="33">
        <v>0</v>
      </c>
      <c r="G15" s="33">
        <v>18</v>
      </c>
      <c r="H15" s="33">
        <v>52</v>
      </c>
      <c r="I15" s="33">
        <v>61</v>
      </c>
      <c r="J15" s="33">
        <v>64</v>
      </c>
      <c r="K15" s="33">
        <v>10</v>
      </c>
      <c r="L15" s="33">
        <v>2</v>
      </c>
      <c r="M15" s="33">
        <v>2</v>
      </c>
      <c r="N15" s="33">
        <v>128</v>
      </c>
      <c r="O15" s="33">
        <v>7</v>
      </c>
    </row>
    <row r="16" spans="2:15">
      <c r="B16" s="42"/>
      <c r="C16" s="42"/>
      <c r="D16" s="32" t="s">
        <v>14</v>
      </c>
      <c r="E16" s="33">
        <v>46</v>
      </c>
      <c r="F16" s="33">
        <v>2</v>
      </c>
      <c r="G16" s="33">
        <v>21</v>
      </c>
      <c r="H16" s="33">
        <v>1924</v>
      </c>
      <c r="I16" s="33">
        <v>596</v>
      </c>
      <c r="J16" s="33">
        <v>1927</v>
      </c>
      <c r="K16" s="33">
        <v>403</v>
      </c>
      <c r="L16" s="33">
        <v>200</v>
      </c>
      <c r="M16" s="33">
        <v>2</v>
      </c>
      <c r="N16" s="33">
        <v>228</v>
      </c>
      <c r="O16" s="33">
        <v>7</v>
      </c>
    </row>
    <row r="17" spans="2:15">
      <c r="B17" s="42"/>
      <c r="C17" s="42"/>
      <c r="D17" s="32" t="s">
        <v>15</v>
      </c>
      <c r="E17" s="33">
        <v>8.44</v>
      </c>
      <c r="F17" s="33">
        <v>1.38</v>
      </c>
      <c r="G17" s="33">
        <v>18.36</v>
      </c>
      <c r="H17" s="33">
        <v>177.91</v>
      </c>
      <c r="I17" s="33">
        <v>251.15</v>
      </c>
      <c r="J17" s="33">
        <v>587.63</v>
      </c>
      <c r="K17" s="33">
        <v>19.149999999999999</v>
      </c>
      <c r="L17" s="33">
        <v>59.32</v>
      </c>
      <c r="M17" s="33">
        <v>2</v>
      </c>
      <c r="N17" s="33">
        <v>186.33</v>
      </c>
      <c r="O17" s="33">
        <v>7</v>
      </c>
    </row>
    <row r="18" spans="2:15">
      <c r="B18" s="42"/>
      <c r="C18" s="43" t="s">
        <v>25</v>
      </c>
      <c r="D18" s="43"/>
      <c r="E18" s="34">
        <v>3.798E-2</v>
      </c>
      <c r="F18" s="34">
        <v>2.3109999999999999E-2</v>
      </c>
      <c r="G18" s="34">
        <v>0.61352490000000004</v>
      </c>
      <c r="H18" s="34">
        <v>1.00817</v>
      </c>
      <c r="I18" s="34">
        <v>4.5904699999999998</v>
      </c>
      <c r="J18" s="34">
        <v>9.8264399999999998</v>
      </c>
      <c r="K18" s="34">
        <v>0.32068999999999998</v>
      </c>
      <c r="L18" s="34">
        <v>0.53552999999999995</v>
      </c>
      <c r="M18" s="34">
        <v>3.3500000000000002E-2</v>
      </c>
      <c r="N18" s="34">
        <v>3.1598299999999999</v>
      </c>
      <c r="O18" s="34">
        <v>0.11744</v>
      </c>
    </row>
    <row r="19" spans="2:15">
      <c r="B19" s="42" t="s">
        <v>19</v>
      </c>
      <c r="C19" s="42" t="s">
        <v>28</v>
      </c>
      <c r="D19" s="42"/>
      <c r="E19" s="33">
        <v>3.25</v>
      </c>
      <c r="F19" s="33" t="s">
        <v>102</v>
      </c>
      <c r="G19" s="33">
        <v>3.24</v>
      </c>
      <c r="H19" s="33">
        <v>4.79</v>
      </c>
      <c r="I19" s="33">
        <v>4.7699999999999996</v>
      </c>
      <c r="J19" s="33">
        <v>4.66</v>
      </c>
      <c r="K19" s="33">
        <v>4.8</v>
      </c>
      <c r="L19" s="33">
        <v>3.27</v>
      </c>
      <c r="M19" s="33">
        <v>3.26</v>
      </c>
      <c r="N19" s="33">
        <v>3.9</v>
      </c>
      <c r="O19" s="33" t="s">
        <v>102</v>
      </c>
    </row>
    <row r="20" spans="2:15" ht="14.4" customHeight="1">
      <c r="B20" s="42"/>
      <c r="C20" s="42" t="s">
        <v>6</v>
      </c>
      <c r="D20" s="32" t="s">
        <v>13</v>
      </c>
      <c r="E20" s="33">
        <v>-0.1</v>
      </c>
      <c r="F20" s="33" t="s">
        <v>102</v>
      </c>
      <c r="G20" s="33">
        <v>5.3</v>
      </c>
      <c r="H20" s="33">
        <v>11.1</v>
      </c>
      <c r="I20" s="33">
        <v>12.6</v>
      </c>
      <c r="J20" s="33">
        <v>63.8</v>
      </c>
      <c r="K20" s="33">
        <v>2</v>
      </c>
      <c r="L20" s="33">
        <v>0.5</v>
      </c>
      <c r="M20" s="33">
        <v>0.2</v>
      </c>
      <c r="N20" s="33">
        <v>32.5</v>
      </c>
      <c r="O20" s="33" t="s">
        <v>102</v>
      </c>
    </row>
    <row r="21" spans="2:15">
      <c r="B21" s="42"/>
      <c r="C21" s="42"/>
      <c r="D21" s="32" t="s">
        <v>14</v>
      </c>
      <c r="E21" s="33">
        <v>14.8</v>
      </c>
      <c r="F21" s="33" t="s">
        <v>102</v>
      </c>
      <c r="G21" s="33">
        <v>6.5</v>
      </c>
      <c r="H21" s="33">
        <v>400</v>
      </c>
      <c r="I21" s="33">
        <v>118.1</v>
      </c>
      <c r="J21" s="33">
        <v>400</v>
      </c>
      <c r="K21" s="33">
        <v>75.2</v>
      </c>
      <c r="L21" s="33">
        <v>63.4</v>
      </c>
      <c r="M21" s="33">
        <v>0.4</v>
      </c>
      <c r="N21" s="33">
        <v>55.5</v>
      </c>
      <c r="O21" s="33" t="s">
        <v>102</v>
      </c>
    </row>
    <row r="22" spans="2:15">
      <c r="B22" s="42"/>
      <c r="C22" s="42"/>
      <c r="D22" s="32" t="s">
        <v>15</v>
      </c>
      <c r="E22" s="33">
        <v>1.87</v>
      </c>
      <c r="F22" s="33" t="s">
        <v>102</v>
      </c>
      <c r="G22" s="33">
        <v>5.6</v>
      </c>
      <c r="H22" s="33">
        <v>37.659999999999997</v>
      </c>
      <c r="I22" s="33">
        <v>48.42</v>
      </c>
      <c r="J22" s="33">
        <v>170.66</v>
      </c>
      <c r="K22" s="33">
        <v>4.22</v>
      </c>
      <c r="L22" s="33">
        <v>18.55</v>
      </c>
      <c r="M22" s="33">
        <v>0.31</v>
      </c>
      <c r="N22" s="33">
        <v>48.33</v>
      </c>
      <c r="O22" s="33" t="s">
        <v>102</v>
      </c>
    </row>
    <row r="23" spans="2:15">
      <c r="B23" s="42"/>
      <c r="C23" s="42" t="s">
        <v>16</v>
      </c>
      <c r="D23" s="32" t="s">
        <v>13</v>
      </c>
      <c r="E23" s="33">
        <v>-0.01</v>
      </c>
      <c r="F23" s="33" t="s">
        <v>102</v>
      </c>
      <c r="G23" s="33">
        <v>0.54</v>
      </c>
      <c r="H23" s="33">
        <v>1.1100000000000001</v>
      </c>
      <c r="I23" s="33">
        <v>1.26</v>
      </c>
      <c r="J23" s="33">
        <v>6.48</v>
      </c>
      <c r="K23" s="33">
        <v>0.2</v>
      </c>
      <c r="L23" s="33">
        <v>0.04</v>
      </c>
      <c r="M23" s="33">
        <v>0.02</v>
      </c>
      <c r="N23" s="33">
        <v>3.23</v>
      </c>
      <c r="O23" s="33" t="s">
        <v>102</v>
      </c>
    </row>
    <row r="24" spans="2:15">
      <c r="B24" s="42"/>
      <c r="C24" s="42"/>
      <c r="D24" s="32" t="s">
        <v>14</v>
      </c>
      <c r="E24" s="33">
        <v>1.66</v>
      </c>
      <c r="F24" s="33" t="s">
        <v>102</v>
      </c>
      <c r="G24" s="33">
        <v>0.64</v>
      </c>
      <c r="H24" s="33">
        <v>40</v>
      </c>
      <c r="I24" s="33">
        <v>11.84</v>
      </c>
      <c r="J24" s="33">
        <v>40</v>
      </c>
      <c r="K24" s="33">
        <v>7.6</v>
      </c>
      <c r="L24" s="33">
        <v>6.34</v>
      </c>
      <c r="M24" s="33">
        <v>0.04</v>
      </c>
      <c r="N24" s="33">
        <v>5.55</v>
      </c>
      <c r="O24" s="33" t="s">
        <v>102</v>
      </c>
    </row>
    <row r="25" spans="2:15">
      <c r="B25" s="42"/>
      <c r="C25" s="42"/>
      <c r="D25" s="32" t="s">
        <v>15</v>
      </c>
      <c r="E25" s="33">
        <v>0.2</v>
      </c>
      <c r="F25" s="33" t="s">
        <v>102</v>
      </c>
      <c r="G25" s="33">
        <v>0.56000000000000005</v>
      </c>
      <c r="H25" s="33">
        <v>4.1900000000000004</v>
      </c>
      <c r="I25" s="33">
        <v>4.84</v>
      </c>
      <c r="J25" s="33">
        <v>16.559999999999999</v>
      </c>
      <c r="K25" s="33">
        <v>0.44</v>
      </c>
      <c r="L25" s="33">
        <v>1.77</v>
      </c>
      <c r="M25" s="33">
        <v>0.03</v>
      </c>
      <c r="N25" s="33">
        <v>4.8600000000000003</v>
      </c>
      <c r="O25" s="33" t="s">
        <v>102</v>
      </c>
    </row>
    <row r="26" spans="2:15">
      <c r="B26" s="42"/>
      <c r="C26" s="42" t="s">
        <v>17</v>
      </c>
      <c r="D26" s="32" t="s">
        <v>13</v>
      </c>
      <c r="E26" s="33">
        <v>0</v>
      </c>
      <c r="F26" s="33" t="s">
        <v>102</v>
      </c>
      <c r="G26" s="33">
        <v>16</v>
      </c>
      <c r="H26" s="33">
        <v>52</v>
      </c>
      <c r="I26" s="33">
        <v>61</v>
      </c>
      <c r="J26" s="33">
        <v>305</v>
      </c>
      <c r="K26" s="33">
        <v>10</v>
      </c>
      <c r="L26" s="33">
        <v>2</v>
      </c>
      <c r="M26" s="33">
        <v>0</v>
      </c>
      <c r="N26" s="33">
        <v>128</v>
      </c>
      <c r="O26" s="33" t="s">
        <v>102</v>
      </c>
    </row>
    <row r="27" spans="2:15">
      <c r="B27" s="42"/>
      <c r="C27" s="42"/>
      <c r="D27" s="32" t="s">
        <v>14</v>
      </c>
      <c r="E27" s="33">
        <v>39</v>
      </c>
      <c r="F27" s="33" t="s">
        <v>102</v>
      </c>
      <c r="G27" s="33">
        <v>21</v>
      </c>
      <c r="H27" s="33">
        <v>1458</v>
      </c>
      <c r="I27" s="33">
        <v>557</v>
      </c>
      <c r="J27" s="33">
        <v>1912</v>
      </c>
      <c r="K27" s="33">
        <v>398</v>
      </c>
      <c r="L27" s="33">
        <v>185</v>
      </c>
      <c r="M27" s="33">
        <v>2</v>
      </c>
      <c r="N27" s="33">
        <v>216</v>
      </c>
      <c r="O27" s="33" t="s">
        <v>102</v>
      </c>
    </row>
    <row r="28" spans="2:15">
      <c r="B28" s="42"/>
      <c r="C28" s="42"/>
      <c r="D28" s="32" t="s">
        <v>15</v>
      </c>
      <c r="E28" s="33">
        <v>6.03</v>
      </c>
      <c r="F28" s="33" t="s">
        <v>102</v>
      </c>
      <c r="G28" s="33">
        <v>18.21</v>
      </c>
      <c r="H28" s="33">
        <v>165.53</v>
      </c>
      <c r="I28" s="33">
        <v>231.49</v>
      </c>
      <c r="J28" s="33">
        <v>794.36</v>
      </c>
      <c r="K28" s="33">
        <v>20.21</v>
      </c>
      <c r="L28" s="33">
        <v>60.31</v>
      </c>
      <c r="M28" s="33">
        <v>2</v>
      </c>
      <c r="N28" s="33">
        <v>186.06</v>
      </c>
      <c r="O28" s="33" t="s">
        <v>102</v>
      </c>
    </row>
    <row r="29" spans="2:15">
      <c r="B29" s="42"/>
      <c r="C29" s="43" t="s">
        <v>18</v>
      </c>
      <c r="D29" s="43"/>
      <c r="E29" s="34">
        <v>2.8309999999999998E-2</v>
      </c>
      <c r="F29" s="34" t="s">
        <v>102</v>
      </c>
      <c r="G29" s="34">
        <v>0.60801166666666595</v>
      </c>
      <c r="H29" s="34">
        <v>0.94260999999999995</v>
      </c>
      <c r="I29" s="34">
        <v>4.1925299999999996</v>
      </c>
      <c r="J29" s="34">
        <v>13.305389999999999</v>
      </c>
      <c r="K29" s="34">
        <v>0.33796999999999999</v>
      </c>
      <c r="L29" s="34">
        <v>0.60480999999999996</v>
      </c>
      <c r="M29" s="34">
        <v>3.3390000000000003E-2</v>
      </c>
      <c r="N29" s="34">
        <v>3.1216900000000001</v>
      </c>
      <c r="O29" s="34" t="s">
        <v>102</v>
      </c>
    </row>
    <row r="30" spans="2:15">
      <c r="B30" s="42" t="s">
        <v>20</v>
      </c>
      <c r="C30" s="42" t="s">
        <v>28</v>
      </c>
      <c r="D30" s="42"/>
      <c r="E30" s="33">
        <v>3.25</v>
      </c>
      <c r="F30" s="33" t="s">
        <v>102</v>
      </c>
      <c r="G30" s="33">
        <v>3.24</v>
      </c>
      <c r="H30" s="33">
        <v>4.8</v>
      </c>
      <c r="I30" s="33">
        <v>4.7699999999999996</v>
      </c>
      <c r="J30" s="33">
        <v>4.67</v>
      </c>
      <c r="K30" s="33">
        <v>4.8</v>
      </c>
      <c r="L30" s="33">
        <v>3.28</v>
      </c>
      <c r="M30" s="33">
        <v>3.26</v>
      </c>
      <c r="N30" s="33">
        <v>3.9</v>
      </c>
      <c r="O30" s="33" t="s">
        <v>102</v>
      </c>
    </row>
    <row r="31" spans="2:15" ht="14.4" customHeight="1">
      <c r="B31" s="42"/>
      <c r="C31" s="42" t="s">
        <v>6</v>
      </c>
      <c r="D31" s="32" t="s">
        <v>13</v>
      </c>
      <c r="E31" s="33">
        <v>-0.1</v>
      </c>
      <c r="F31" s="33" t="s">
        <v>102</v>
      </c>
      <c r="G31" s="33">
        <v>5.3</v>
      </c>
      <c r="H31" s="33">
        <v>10.9</v>
      </c>
      <c r="I31" s="33">
        <v>12.5</v>
      </c>
      <c r="J31" s="33">
        <v>61.2</v>
      </c>
      <c r="K31" s="33">
        <v>2</v>
      </c>
      <c r="L31" s="33">
        <v>0.3</v>
      </c>
      <c r="M31" s="33">
        <v>0.2</v>
      </c>
      <c r="N31" s="33">
        <v>38</v>
      </c>
      <c r="O31" s="33" t="s">
        <v>102</v>
      </c>
    </row>
    <row r="32" spans="2:15">
      <c r="B32" s="42"/>
      <c r="C32" s="42"/>
      <c r="D32" s="32" t="s">
        <v>14</v>
      </c>
      <c r="E32" s="33">
        <v>15.7</v>
      </c>
      <c r="F32" s="33" t="s">
        <v>102</v>
      </c>
      <c r="G32" s="33">
        <v>6.6</v>
      </c>
      <c r="H32" s="33">
        <v>400</v>
      </c>
      <c r="I32" s="33">
        <v>115.2</v>
      </c>
      <c r="J32" s="33">
        <v>400</v>
      </c>
      <c r="K32" s="33">
        <v>81.099999999999994</v>
      </c>
      <c r="L32" s="33">
        <v>63.1</v>
      </c>
      <c r="M32" s="33">
        <v>0.4</v>
      </c>
      <c r="N32" s="33">
        <v>55.9</v>
      </c>
      <c r="O32" s="33" t="s">
        <v>102</v>
      </c>
    </row>
    <row r="33" spans="2:15">
      <c r="B33" s="42"/>
      <c r="C33" s="42"/>
      <c r="D33" s="32" t="s">
        <v>15</v>
      </c>
      <c r="E33" s="33">
        <v>2.4500000000000002</v>
      </c>
      <c r="F33" s="33" t="s">
        <v>102</v>
      </c>
      <c r="G33" s="33">
        <v>5.6</v>
      </c>
      <c r="H33" s="33">
        <v>42.66</v>
      </c>
      <c r="I33" s="33">
        <v>48.11</v>
      </c>
      <c r="J33" s="33">
        <v>167.75</v>
      </c>
      <c r="K33" s="33">
        <v>3.77</v>
      </c>
      <c r="L33" s="33">
        <v>17.13</v>
      </c>
      <c r="M33" s="33">
        <v>0.32</v>
      </c>
      <c r="N33" s="33">
        <v>48.9</v>
      </c>
      <c r="O33" s="33" t="s">
        <v>102</v>
      </c>
    </row>
    <row r="34" spans="2:15">
      <c r="B34" s="42"/>
      <c r="C34" s="42" t="s">
        <v>16</v>
      </c>
      <c r="D34" s="32" t="s">
        <v>13</v>
      </c>
      <c r="E34" s="33">
        <v>-0.01</v>
      </c>
      <c r="F34" s="33" t="s">
        <v>102</v>
      </c>
      <c r="G34" s="33">
        <v>0.54</v>
      </c>
      <c r="H34" s="33">
        <v>1.0900000000000001</v>
      </c>
      <c r="I34" s="33">
        <v>1.25</v>
      </c>
      <c r="J34" s="33">
        <v>6.13</v>
      </c>
      <c r="K34" s="33">
        <v>0.2</v>
      </c>
      <c r="L34" s="33">
        <v>0.04</v>
      </c>
      <c r="M34" s="33">
        <v>0.02</v>
      </c>
      <c r="N34" s="33">
        <v>3.31</v>
      </c>
      <c r="O34" s="33" t="s">
        <v>102</v>
      </c>
    </row>
    <row r="35" spans="2:15">
      <c r="B35" s="42"/>
      <c r="C35" s="42"/>
      <c r="D35" s="32" t="s">
        <v>14</v>
      </c>
      <c r="E35" s="33">
        <v>1.21</v>
      </c>
      <c r="F35" s="33" t="s">
        <v>102</v>
      </c>
      <c r="G35" s="33">
        <v>0.65</v>
      </c>
      <c r="H35" s="33">
        <v>40</v>
      </c>
      <c r="I35" s="33">
        <v>11.49</v>
      </c>
      <c r="J35" s="33">
        <v>40</v>
      </c>
      <c r="K35" s="33">
        <v>8.11</v>
      </c>
      <c r="L35" s="33">
        <v>4.91</v>
      </c>
      <c r="M35" s="33">
        <v>0.04</v>
      </c>
      <c r="N35" s="33">
        <v>5.58</v>
      </c>
      <c r="O35" s="33" t="s">
        <v>102</v>
      </c>
    </row>
    <row r="36" spans="2:15">
      <c r="B36" s="42"/>
      <c r="C36" s="42"/>
      <c r="D36" s="32" t="s">
        <v>15</v>
      </c>
      <c r="E36" s="33">
        <v>0.22</v>
      </c>
      <c r="F36" s="33" t="s">
        <v>102</v>
      </c>
      <c r="G36" s="33">
        <v>0.55000000000000004</v>
      </c>
      <c r="H36" s="33">
        <v>4.46</v>
      </c>
      <c r="I36" s="33">
        <v>4.8099999999999996</v>
      </c>
      <c r="J36" s="33">
        <v>16.48</v>
      </c>
      <c r="K36" s="33">
        <v>0.36</v>
      </c>
      <c r="L36" s="33">
        <v>1.72</v>
      </c>
      <c r="M36" s="33">
        <v>0.03</v>
      </c>
      <c r="N36" s="33">
        <v>4.93</v>
      </c>
      <c r="O36" s="33" t="s">
        <v>102</v>
      </c>
    </row>
    <row r="37" spans="2:15">
      <c r="B37" s="42"/>
      <c r="C37" s="42" t="s">
        <v>17</v>
      </c>
      <c r="D37" s="32" t="s">
        <v>13</v>
      </c>
      <c r="E37" s="33">
        <v>0</v>
      </c>
      <c r="F37" s="33" t="s">
        <v>102</v>
      </c>
      <c r="G37" s="33">
        <v>18</v>
      </c>
      <c r="H37" s="33">
        <v>52</v>
      </c>
      <c r="I37" s="33">
        <v>61</v>
      </c>
      <c r="J37" s="33">
        <v>285</v>
      </c>
      <c r="K37" s="33">
        <v>10</v>
      </c>
      <c r="L37" s="33">
        <v>2</v>
      </c>
      <c r="M37" s="33">
        <v>0</v>
      </c>
      <c r="N37" s="33">
        <v>129</v>
      </c>
      <c r="O37" s="33" t="s">
        <v>102</v>
      </c>
    </row>
    <row r="38" spans="2:15">
      <c r="B38" s="42"/>
      <c r="C38" s="42"/>
      <c r="D38" s="32" t="s">
        <v>14</v>
      </c>
      <c r="E38" s="33">
        <v>51</v>
      </c>
      <c r="F38" s="33" t="s">
        <v>102</v>
      </c>
      <c r="G38" s="33">
        <v>21</v>
      </c>
      <c r="H38" s="33">
        <v>1892</v>
      </c>
      <c r="I38" s="33">
        <v>542</v>
      </c>
      <c r="J38" s="33">
        <v>1914</v>
      </c>
      <c r="K38" s="33">
        <v>382</v>
      </c>
      <c r="L38" s="33">
        <v>200</v>
      </c>
      <c r="M38" s="33">
        <v>2</v>
      </c>
      <c r="N38" s="33">
        <v>218</v>
      </c>
      <c r="O38" s="33" t="s">
        <v>102</v>
      </c>
    </row>
    <row r="39" spans="2:15">
      <c r="B39" s="42"/>
      <c r="C39" s="42"/>
      <c r="D39" s="32" t="s">
        <v>15</v>
      </c>
      <c r="E39" s="33">
        <v>8.2899999999999991</v>
      </c>
      <c r="F39" s="33" t="s">
        <v>102</v>
      </c>
      <c r="G39" s="33">
        <v>18.48</v>
      </c>
      <c r="H39" s="33">
        <v>176.06</v>
      </c>
      <c r="I39" s="33">
        <v>228.99</v>
      </c>
      <c r="J39" s="33">
        <v>780.09</v>
      </c>
      <c r="K39" s="33">
        <v>16.809999999999999</v>
      </c>
      <c r="L39" s="33">
        <v>55.93</v>
      </c>
      <c r="M39" s="33">
        <v>1.99</v>
      </c>
      <c r="N39" s="33">
        <v>190.14</v>
      </c>
      <c r="O39" s="33" t="s">
        <v>102</v>
      </c>
    </row>
    <row r="40" spans="2:15">
      <c r="B40" s="42"/>
      <c r="C40" s="43" t="s">
        <v>18</v>
      </c>
      <c r="D40" s="43"/>
      <c r="E40" s="34">
        <v>3.0859999999999999E-2</v>
      </c>
      <c r="F40" s="34" t="s">
        <v>102</v>
      </c>
      <c r="G40" s="34">
        <v>0.61753999999999998</v>
      </c>
      <c r="H40" s="34">
        <v>0.95362000000000002</v>
      </c>
      <c r="I40" s="34">
        <v>4.1153899999999997</v>
      </c>
      <c r="J40" s="34">
        <v>13.04467</v>
      </c>
      <c r="K40" s="34">
        <v>0.28105999999999998</v>
      </c>
      <c r="L40" s="34">
        <v>0.50183</v>
      </c>
      <c r="M40" s="34">
        <v>3.3279999999999997E-2</v>
      </c>
      <c r="N40" s="34">
        <v>3.1848299999999998</v>
      </c>
      <c r="O40" s="34" t="s">
        <v>102</v>
      </c>
    </row>
  </sheetData>
  <mergeCells count="27">
    <mergeCell ref="B1:O2"/>
    <mergeCell ref="B8:B18"/>
    <mergeCell ref="C8:D8"/>
    <mergeCell ref="C19:D19"/>
    <mergeCell ref="B19:B29"/>
    <mergeCell ref="C12:C14"/>
    <mergeCell ref="C15:C17"/>
    <mergeCell ref="C9:C11"/>
    <mergeCell ref="L4:M4"/>
    <mergeCell ref="N4:O4"/>
    <mergeCell ref="B7:D7"/>
    <mergeCell ref="B4:D4"/>
    <mergeCell ref="B5:D5"/>
    <mergeCell ref="B6:D6"/>
    <mergeCell ref="E4:F4"/>
    <mergeCell ref="H4:K4"/>
    <mergeCell ref="C30:D30"/>
    <mergeCell ref="B30:B40"/>
    <mergeCell ref="C18:D18"/>
    <mergeCell ref="C20:C22"/>
    <mergeCell ref="C23:C25"/>
    <mergeCell ref="C26:C28"/>
    <mergeCell ref="C29:D29"/>
    <mergeCell ref="C31:C33"/>
    <mergeCell ref="C34:C36"/>
    <mergeCell ref="C37:C39"/>
    <mergeCell ref="C40:D40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FA91-2FC2-4B39-83D8-276A437ED170}">
  <dimension ref="B1:Q14"/>
  <sheetViews>
    <sheetView zoomScale="97" zoomScaleNormal="97" workbookViewId="0">
      <selection activeCell="B7" sqref="B7"/>
    </sheetView>
  </sheetViews>
  <sheetFormatPr defaultRowHeight="14.4"/>
  <cols>
    <col min="2" max="2" width="10.6640625" customWidth="1"/>
    <col min="3" max="4" width="8.44140625" bestFit="1" customWidth="1"/>
    <col min="6" max="6" width="19.6640625" bestFit="1" customWidth="1"/>
    <col min="7" max="7" width="10.77734375" bestFit="1" customWidth="1"/>
    <col min="8" max="8" width="11.5546875" bestFit="1" customWidth="1"/>
    <col min="9" max="9" width="9.5546875" bestFit="1" customWidth="1"/>
    <col min="14" max="14" width="10.109375" bestFit="1" customWidth="1"/>
  </cols>
  <sheetData>
    <row r="1" spans="2:17" ht="14.4" customHeight="1">
      <c r="B1" s="55" t="s">
        <v>112</v>
      </c>
      <c r="C1" s="55"/>
      <c r="D1" s="55"/>
      <c r="E1" s="55"/>
      <c r="F1" s="55"/>
      <c r="G1" s="55"/>
      <c r="H1" s="55"/>
    </row>
    <row r="2" spans="2:17" ht="14.4" customHeight="1">
      <c r="B2" s="55"/>
      <c r="C2" s="55"/>
      <c r="D2" s="55"/>
      <c r="E2" s="55"/>
      <c r="F2" s="55"/>
      <c r="G2" s="55"/>
      <c r="H2" s="55"/>
    </row>
    <row r="3" spans="2:17">
      <c r="B3" s="15"/>
      <c r="C3" s="15"/>
      <c r="D3" s="15"/>
      <c r="E3" s="15"/>
      <c r="F3" s="15"/>
      <c r="G3" s="15"/>
      <c r="H3" s="15"/>
    </row>
    <row r="4" spans="2:17">
      <c r="B4" s="52" t="s">
        <v>39</v>
      </c>
      <c r="C4" s="54"/>
      <c r="D4" s="53"/>
      <c r="E4" s="15"/>
      <c r="F4" s="15"/>
      <c r="G4" s="15"/>
      <c r="H4" s="15"/>
    </row>
    <row r="5" spans="2:17">
      <c r="B5" s="22" t="s">
        <v>110</v>
      </c>
      <c r="C5" s="22" t="s">
        <v>111</v>
      </c>
      <c r="D5" s="22" t="s">
        <v>49</v>
      </c>
      <c r="E5" s="15"/>
      <c r="F5" s="19"/>
      <c r="G5" s="22" t="s">
        <v>106</v>
      </c>
      <c r="H5" s="22" t="s">
        <v>50</v>
      </c>
    </row>
    <row r="6" spans="2:17">
      <c r="B6" s="25" t="s">
        <v>37</v>
      </c>
      <c r="C6" s="25" t="s">
        <v>43</v>
      </c>
      <c r="D6" s="23">
        <v>5.17</v>
      </c>
      <c r="E6" s="15"/>
      <c r="F6" s="25" t="s">
        <v>104</v>
      </c>
      <c r="G6" s="24">
        <f>SUM($D$8,$D$6,$D$10,$D$12)</f>
        <v>78.940000000000012</v>
      </c>
      <c r="H6" s="25">
        <f>$G$6/$D$14</f>
        <v>0.88092846780493261</v>
      </c>
    </row>
    <row r="7" spans="2:17" ht="14.4" customHeight="1">
      <c r="B7" s="25" t="s">
        <v>38</v>
      </c>
      <c r="C7" s="25" t="s">
        <v>44</v>
      </c>
      <c r="D7" s="23">
        <v>0</v>
      </c>
      <c r="E7" s="15"/>
      <c r="F7" s="56" t="s">
        <v>113</v>
      </c>
      <c r="G7" s="57"/>
      <c r="H7" s="58"/>
    </row>
    <row r="8" spans="2:17" ht="14.4" customHeight="1">
      <c r="B8" s="25" t="s">
        <v>37</v>
      </c>
      <c r="C8" s="25" t="s">
        <v>42</v>
      </c>
      <c r="D8" s="23">
        <v>20.85</v>
      </c>
      <c r="E8" s="15"/>
      <c r="F8" s="59"/>
      <c r="G8" s="60"/>
      <c r="H8" s="61"/>
    </row>
    <row r="9" spans="2:17">
      <c r="B9" s="25" t="s">
        <v>38</v>
      </c>
      <c r="C9" s="25" t="s">
        <v>41</v>
      </c>
      <c r="D9" s="23">
        <v>7.0000000000000007E-2</v>
      </c>
      <c r="E9" s="15"/>
      <c r="F9" s="25" t="s">
        <v>105</v>
      </c>
      <c r="G9" s="24">
        <f>$G$6*9/24</f>
        <v>29.602500000000006</v>
      </c>
      <c r="H9" s="25">
        <f>$G$9/$D$14</f>
        <v>0.33034817542684974</v>
      </c>
      <c r="Q9" s="2"/>
    </row>
    <row r="10" spans="2:17">
      <c r="B10" s="25" t="s">
        <v>37</v>
      </c>
      <c r="C10" s="25" t="s">
        <v>40</v>
      </c>
      <c r="D10" s="23">
        <v>37.700000000000003</v>
      </c>
      <c r="E10" s="15"/>
      <c r="F10" s="25" t="s">
        <v>51</v>
      </c>
      <c r="G10" s="24">
        <f>$D$7+$D$9+$D$11</f>
        <v>10.67</v>
      </c>
      <c r="H10" s="25">
        <f>$G$10/$D$14</f>
        <v>0.11907153219506751</v>
      </c>
    </row>
    <row r="11" spans="2:17">
      <c r="B11" s="25" t="s">
        <v>38</v>
      </c>
      <c r="C11" s="25" t="s">
        <v>45</v>
      </c>
      <c r="D11" s="23">
        <v>10.6</v>
      </c>
      <c r="E11" s="15"/>
      <c r="F11" s="25" t="s">
        <v>107</v>
      </c>
      <c r="G11" s="24">
        <f xml:space="preserve"> $G$6-($G$6*9/24)</f>
        <v>49.337500000000006</v>
      </c>
      <c r="H11" s="25">
        <f>$G$11/$D$14</f>
        <v>0.55058029237808292</v>
      </c>
    </row>
    <row r="12" spans="2:17">
      <c r="B12" s="25" t="s">
        <v>37</v>
      </c>
      <c r="C12" s="25" t="s">
        <v>46</v>
      </c>
      <c r="D12" s="23">
        <v>15.22</v>
      </c>
      <c r="E12" s="15"/>
      <c r="F12" s="15"/>
      <c r="G12" s="15"/>
      <c r="H12" s="15"/>
    </row>
    <row r="13" spans="2:17">
      <c r="B13" s="52" t="s">
        <v>47</v>
      </c>
      <c r="C13" s="54"/>
      <c r="D13" s="53"/>
      <c r="E13" s="15"/>
      <c r="F13" s="15"/>
      <c r="G13" s="15"/>
      <c r="H13" s="15"/>
    </row>
    <row r="14" spans="2:17">
      <c r="B14" s="52" t="s">
        <v>48</v>
      </c>
      <c r="C14" s="53"/>
      <c r="D14" s="22">
        <f>SUM(D6:D12)</f>
        <v>89.61</v>
      </c>
      <c r="E14" s="15"/>
      <c r="F14" s="15"/>
      <c r="G14" s="15"/>
      <c r="H14" s="15"/>
    </row>
  </sheetData>
  <mergeCells count="5">
    <mergeCell ref="B14:C14"/>
    <mergeCell ref="B13:D13"/>
    <mergeCell ref="B1:H2"/>
    <mergeCell ref="F7:H8"/>
    <mergeCell ref="B4:D4"/>
  </mergeCells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B7F4-F3D9-41B7-8995-0C2E36EB32BD}">
  <sheetPr>
    <pageSetUpPr fitToPage="1"/>
  </sheetPr>
  <dimension ref="B1:E63"/>
  <sheetViews>
    <sheetView topLeftCell="A4" workbookViewId="0">
      <selection activeCell="E16" sqref="E16"/>
    </sheetView>
  </sheetViews>
  <sheetFormatPr defaultRowHeight="14.4"/>
  <cols>
    <col min="2" max="2" width="17.21875" bestFit="1" customWidth="1"/>
    <col min="3" max="3" width="31.77734375" style="1" bestFit="1" customWidth="1"/>
    <col min="4" max="4" width="16.21875" style="13" bestFit="1" customWidth="1"/>
    <col min="5" max="5" width="19.21875" bestFit="1" customWidth="1"/>
  </cols>
  <sheetData>
    <row r="1" spans="2:5">
      <c r="B1" s="55" t="s">
        <v>94</v>
      </c>
      <c r="C1" s="55"/>
      <c r="D1" s="55"/>
      <c r="E1" s="55"/>
    </row>
    <row r="2" spans="2:5">
      <c r="B2" s="55"/>
      <c r="C2" s="55"/>
      <c r="D2" s="55"/>
      <c r="E2" s="55"/>
    </row>
    <row r="3" spans="2:5">
      <c r="B3" s="15"/>
      <c r="C3" s="20"/>
      <c r="D3" s="21"/>
      <c r="E3" s="15"/>
    </row>
    <row r="4" spans="2:5" ht="28.8" customHeight="1">
      <c r="B4" s="67" t="s">
        <v>67</v>
      </c>
      <c r="C4" s="22" t="s">
        <v>85</v>
      </c>
      <c r="D4" s="27" t="s">
        <v>108</v>
      </c>
      <c r="E4" s="27" t="s">
        <v>109</v>
      </c>
    </row>
    <row r="5" spans="2:5">
      <c r="B5" s="67"/>
      <c r="C5" s="22" t="s">
        <v>86</v>
      </c>
      <c r="D5" s="28">
        <v>0.55000000000000004</v>
      </c>
      <c r="E5" s="28">
        <f>1-$D$5</f>
        <v>0.44999999999999996</v>
      </c>
    </row>
    <row r="6" spans="2:5">
      <c r="B6" s="65" t="s">
        <v>53</v>
      </c>
      <c r="C6" s="14" t="s">
        <v>70</v>
      </c>
      <c r="D6" s="41">
        <v>2</v>
      </c>
      <c r="E6" s="23">
        <v>1</v>
      </c>
    </row>
    <row r="7" spans="2:5">
      <c r="B7" s="65"/>
      <c r="C7" s="14" t="s">
        <v>69</v>
      </c>
      <c r="D7" s="24">
        <f>10/60</f>
        <v>0.16666666666666666</v>
      </c>
      <c r="E7" s="24">
        <f>10/60</f>
        <v>0.16666666666666666</v>
      </c>
    </row>
    <row r="8" spans="2:5">
      <c r="B8" s="65"/>
      <c r="C8" s="14" t="s">
        <v>73</v>
      </c>
      <c r="D8" s="25">
        <f>D6*((D7/60)/1)</f>
        <v>5.5555555555555549E-3</v>
      </c>
      <c r="E8" s="25">
        <f>E6*((E7/60)/1)</f>
        <v>2.7777777777777775E-3</v>
      </c>
    </row>
    <row r="9" spans="2:5">
      <c r="B9" s="65"/>
      <c r="C9" s="14" t="s">
        <v>71</v>
      </c>
      <c r="D9" s="26">
        <f>('Individual Tests'!$E$17+'Individual Tests'!$E$28+'Individual Tests'!$E$39)/3</f>
        <v>7.586666666666666</v>
      </c>
      <c r="E9" s="26">
        <f>('Individual Tests'!$E$17+'Individual Tests'!$E$28+'Individual Tests'!$E$39)/3</f>
        <v>7.586666666666666</v>
      </c>
    </row>
    <row r="10" spans="2:5">
      <c r="B10" s="65"/>
      <c r="C10" s="14" t="s">
        <v>72</v>
      </c>
      <c r="D10" s="26">
        <f>'Individual Tests'!$F$17</f>
        <v>1.38</v>
      </c>
      <c r="E10" s="26">
        <f>'Individual Tests'!$F$17</f>
        <v>1.38</v>
      </c>
    </row>
    <row r="11" spans="2:5">
      <c r="B11" s="65"/>
      <c r="C11" s="14" t="s">
        <v>103</v>
      </c>
      <c r="D11" s="26">
        <f>(D6*D7*D9+(60-(D6*D7))*D10)/60</f>
        <v>1.4144814814814812</v>
      </c>
      <c r="E11" s="26">
        <f>(E6*E7*E9+(60-(E6*E7))*E10)/60</f>
        <v>1.3972407407407408</v>
      </c>
    </row>
    <row r="12" spans="2:5">
      <c r="B12" s="64"/>
      <c r="C12" s="64"/>
      <c r="D12" s="64"/>
      <c r="E12" s="18"/>
    </row>
    <row r="13" spans="2:5">
      <c r="B13" s="65" t="s">
        <v>75</v>
      </c>
      <c r="C13" s="14" t="s">
        <v>70</v>
      </c>
      <c r="D13" s="23">
        <v>1</v>
      </c>
      <c r="E13" s="23">
        <v>1</v>
      </c>
    </row>
    <row r="14" spans="2:5">
      <c r="B14" s="65"/>
      <c r="C14" s="14" t="s">
        <v>69</v>
      </c>
      <c r="D14" s="24">
        <v>60</v>
      </c>
      <c r="E14" s="24">
        <v>60</v>
      </c>
    </row>
    <row r="15" spans="2:5">
      <c r="B15" s="65"/>
      <c r="C15" s="14" t="s">
        <v>73</v>
      </c>
      <c r="D15" s="25">
        <f>D13*((D14/60)/1)</f>
        <v>1</v>
      </c>
      <c r="E15" s="25">
        <f>E13*((E14/60)/1)</f>
        <v>1</v>
      </c>
    </row>
    <row r="16" spans="2:5">
      <c r="B16" s="65"/>
      <c r="C16" s="14" t="s">
        <v>71</v>
      </c>
      <c r="D16" s="26">
        <f>('Individual Tests'!$G$17+'Individual Tests'!$G$28+'Individual Tests'!$G$39)/3</f>
        <v>18.349999999999998</v>
      </c>
      <c r="E16" s="26">
        <f>('Individual Tests'!$G$17+'Individual Tests'!$G$28+'Individual Tests'!$G$39)/3</f>
        <v>18.349999999999998</v>
      </c>
    </row>
    <row r="17" spans="2:5">
      <c r="B17" s="65"/>
      <c r="C17" s="14" t="s">
        <v>72</v>
      </c>
      <c r="D17" s="26">
        <v>0</v>
      </c>
      <c r="E17" s="26">
        <v>0</v>
      </c>
    </row>
    <row r="18" spans="2:5">
      <c r="B18" s="65"/>
      <c r="C18" s="14" t="s">
        <v>103</v>
      </c>
      <c r="D18" s="26">
        <f>(D13*D14*D16+(60-(D13*D14))*D17)/60</f>
        <v>18.349999999999998</v>
      </c>
      <c r="E18" s="26">
        <f>(E13*E14*E16+(60-(E13*E14))*E17)/60</f>
        <v>18.349999999999998</v>
      </c>
    </row>
    <row r="19" spans="2:5">
      <c r="B19" s="64"/>
      <c r="C19" s="64"/>
      <c r="D19" s="64"/>
      <c r="E19" s="18"/>
    </row>
    <row r="20" spans="2:5">
      <c r="B20" s="65" t="s">
        <v>76</v>
      </c>
      <c r="C20" s="66" t="s">
        <v>82</v>
      </c>
      <c r="D20" s="66"/>
      <c r="E20" s="66"/>
    </row>
    <row r="21" spans="2:5">
      <c r="B21" s="65"/>
      <c r="C21" s="14" t="s">
        <v>70</v>
      </c>
      <c r="D21" s="23">
        <v>1</v>
      </c>
      <c r="E21" s="23">
        <v>0</v>
      </c>
    </row>
    <row r="22" spans="2:5">
      <c r="B22" s="65"/>
      <c r="C22" s="14" t="s">
        <v>69</v>
      </c>
      <c r="D22" s="24">
        <f>20/60</f>
        <v>0.33333333333333331</v>
      </c>
      <c r="E22" s="24">
        <f>20/60</f>
        <v>0.33333333333333331</v>
      </c>
    </row>
    <row r="23" spans="2:5">
      <c r="B23" s="65"/>
      <c r="C23" s="14" t="s">
        <v>73</v>
      </c>
      <c r="D23" s="25">
        <f>D21*((D22/60)/1)</f>
        <v>5.5555555555555549E-3</v>
      </c>
      <c r="E23" s="25">
        <f>E21*((E22/60)/1)</f>
        <v>0</v>
      </c>
    </row>
    <row r="24" spans="2:5">
      <c r="B24" s="65"/>
      <c r="C24" s="14" t="s">
        <v>71</v>
      </c>
      <c r="D24" s="26">
        <f>('Individual Tests'!$H$17+'Individual Tests'!$H$28+'Individual Tests'!$H$39)/3</f>
        <v>173.16666666666666</v>
      </c>
      <c r="E24" s="26">
        <f>('Individual Tests'!$H$17+'Individual Tests'!$H$28+'Individual Tests'!$H$39)/3</f>
        <v>173.16666666666666</v>
      </c>
    </row>
    <row r="25" spans="2:5">
      <c r="B25" s="65"/>
      <c r="C25" s="14" t="s">
        <v>103</v>
      </c>
      <c r="D25" s="26">
        <f>(D21*D22)/60*D24</f>
        <v>0.96203703703703691</v>
      </c>
      <c r="E25" s="26">
        <f>(E21*E22)/60*E24</f>
        <v>0</v>
      </c>
    </row>
    <row r="26" spans="2:5">
      <c r="B26" s="65"/>
      <c r="C26" s="66" t="s">
        <v>77</v>
      </c>
      <c r="D26" s="66"/>
      <c r="E26" s="66"/>
    </row>
    <row r="27" spans="2:5">
      <c r="B27" s="65"/>
      <c r="C27" s="14" t="s">
        <v>70</v>
      </c>
      <c r="D27" s="23">
        <v>1</v>
      </c>
      <c r="E27" s="23">
        <v>0</v>
      </c>
    </row>
    <row r="28" spans="2:5">
      <c r="B28" s="65"/>
      <c r="C28" s="14" t="s">
        <v>69</v>
      </c>
      <c r="D28" s="24">
        <v>1</v>
      </c>
      <c r="E28" s="24">
        <v>1</v>
      </c>
    </row>
    <row r="29" spans="2:5">
      <c r="B29" s="65"/>
      <c r="C29" s="14" t="s">
        <v>73</v>
      </c>
      <c r="D29" s="25">
        <f>D27*((D28/60)/1)</f>
        <v>1.6666666666666666E-2</v>
      </c>
      <c r="E29" s="25">
        <f>E27*((E28/60)/1)</f>
        <v>0</v>
      </c>
    </row>
    <row r="30" spans="2:5">
      <c r="B30" s="65"/>
      <c r="C30" s="14" t="s">
        <v>71</v>
      </c>
      <c r="D30" s="26">
        <f>('Individual Tests'!$I$17+'Individual Tests'!$I$39+'Individual Tests'!$I$28)/3</f>
        <v>237.21</v>
      </c>
      <c r="E30" s="26">
        <f>('Individual Tests'!$I$17+'Individual Tests'!$I$39+'Individual Tests'!$I$28)/3</f>
        <v>237.21</v>
      </c>
    </row>
    <row r="31" spans="2:5">
      <c r="B31" s="65"/>
      <c r="C31" s="14" t="s">
        <v>103</v>
      </c>
      <c r="D31" s="26">
        <f>(D27*D28)/60*D30</f>
        <v>3.9535</v>
      </c>
      <c r="E31" s="26">
        <f>(E27*E28)/60*E30</f>
        <v>0</v>
      </c>
    </row>
    <row r="32" spans="2:5">
      <c r="B32" s="65"/>
      <c r="C32" s="66" t="s">
        <v>78</v>
      </c>
      <c r="D32" s="66"/>
      <c r="E32" s="66"/>
    </row>
    <row r="33" spans="2:5">
      <c r="B33" s="65"/>
      <c r="C33" s="14" t="s">
        <v>70</v>
      </c>
      <c r="D33" s="23">
        <v>1</v>
      </c>
      <c r="E33" s="23">
        <v>0</v>
      </c>
    </row>
    <row r="34" spans="2:5">
      <c r="B34" s="65"/>
      <c r="C34" s="14" t="s">
        <v>69</v>
      </c>
      <c r="D34" s="24">
        <v>5</v>
      </c>
      <c r="E34" s="24">
        <v>5</v>
      </c>
    </row>
    <row r="35" spans="2:5">
      <c r="B35" s="65"/>
      <c r="C35" s="14" t="s">
        <v>73</v>
      </c>
      <c r="D35" s="25">
        <f>D33*((D34/60)/1)</f>
        <v>8.3333333333333329E-2</v>
      </c>
      <c r="E35" s="25">
        <f>E33*((E34/60)/1)</f>
        <v>0</v>
      </c>
    </row>
    <row r="36" spans="2:5">
      <c r="B36" s="65"/>
      <c r="C36" s="14" t="s">
        <v>71</v>
      </c>
      <c r="D36" s="26">
        <f>('Individual Tests'!$J$17+'Individual Tests'!$J$28+'Individual Tests'!$J$39)/3</f>
        <v>720.69333333333327</v>
      </c>
      <c r="E36" s="26">
        <f>('Individual Tests'!$J$17+'Individual Tests'!$J$28+'Individual Tests'!$J$39)/3</f>
        <v>720.69333333333327</v>
      </c>
    </row>
    <row r="37" spans="2:5">
      <c r="B37" s="65"/>
      <c r="C37" s="14" t="s">
        <v>103</v>
      </c>
      <c r="D37" s="26">
        <f>(D33*D34)/60*D36</f>
        <v>60.057777777777773</v>
      </c>
      <c r="E37" s="26">
        <f>(E33*E34)/60*E36</f>
        <v>0</v>
      </c>
    </row>
    <row r="38" spans="2:5">
      <c r="B38" s="65"/>
      <c r="C38" s="66" t="s">
        <v>79</v>
      </c>
      <c r="D38" s="66"/>
      <c r="E38" s="66"/>
    </row>
    <row r="39" spans="2:5">
      <c r="B39" s="65"/>
      <c r="C39" s="14" t="s">
        <v>68</v>
      </c>
      <c r="D39" s="24">
        <f>60-(D27*D28+D33*D34+D21*D22)</f>
        <v>53.666666666666664</v>
      </c>
      <c r="E39" s="24">
        <f>60-(E27*E28+E33*E34)</f>
        <v>60</v>
      </c>
    </row>
    <row r="40" spans="2:5">
      <c r="B40" s="65"/>
      <c r="C40" s="14" t="s">
        <v>73</v>
      </c>
      <c r="D40" s="25">
        <f>D39/60</f>
        <v>0.89444444444444438</v>
      </c>
      <c r="E40" s="25">
        <f>E39/60</f>
        <v>1</v>
      </c>
    </row>
    <row r="41" spans="2:5">
      <c r="B41" s="65"/>
      <c r="C41" s="14" t="s">
        <v>80</v>
      </c>
      <c r="D41" s="26">
        <f>('Individual Tests'!$K$17+'Individual Tests'!$K$28+'Individual Tests'!$K$39)/3</f>
        <v>18.723333333333333</v>
      </c>
      <c r="E41" s="26">
        <f>('Individual Tests'!$K$17+'Individual Tests'!$K$28+'Individual Tests'!$K$39)/3</f>
        <v>18.723333333333333</v>
      </c>
    </row>
    <row r="42" spans="2:5">
      <c r="B42" s="65"/>
      <c r="C42" s="14" t="s">
        <v>103</v>
      </c>
      <c r="D42" s="26">
        <f>D39/60*D41</f>
        <v>16.74698148148148</v>
      </c>
      <c r="E42" s="26">
        <f>E39/60*E41</f>
        <v>18.723333333333333</v>
      </c>
    </row>
    <row r="43" spans="2:5">
      <c r="B43" s="18"/>
      <c r="C43" s="16"/>
      <c r="D43" s="17"/>
      <c r="E43" s="18"/>
    </row>
    <row r="44" spans="2:5">
      <c r="B44" s="65" t="s">
        <v>83</v>
      </c>
      <c r="C44" s="14" t="s">
        <v>70</v>
      </c>
      <c r="D44" s="23">
        <v>5</v>
      </c>
      <c r="E44" s="23">
        <v>1</v>
      </c>
    </row>
    <row r="45" spans="2:5">
      <c r="B45" s="65"/>
      <c r="C45" s="14" t="s">
        <v>69</v>
      </c>
      <c r="D45" s="24">
        <v>2</v>
      </c>
      <c r="E45" s="24">
        <v>2</v>
      </c>
    </row>
    <row r="46" spans="2:5">
      <c r="B46" s="65"/>
      <c r="C46" s="14" t="s">
        <v>73</v>
      </c>
      <c r="D46" s="25">
        <f>D44*((D45/60)/1)</f>
        <v>0.16666666666666666</v>
      </c>
      <c r="E46" s="25">
        <f>E44*((E45/60)/1)</f>
        <v>3.3333333333333333E-2</v>
      </c>
    </row>
    <row r="47" spans="2:5">
      <c r="B47" s="65"/>
      <c r="C47" s="14" t="s">
        <v>71</v>
      </c>
      <c r="D47" s="26">
        <f>('Individual Tests'!$L$17+'Individual Tests'!$L$28+'Individual Tests'!$L$39)/3</f>
        <v>58.52</v>
      </c>
      <c r="E47" s="26">
        <f>('Individual Tests'!$L$17+'Individual Tests'!$L$28+'Individual Tests'!$L$39)/3</f>
        <v>58.52</v>
      </c>
    </row>
    <row r="48" spans="2:5">
      <c r="B48" s="65"/>
      <c r="C48" s="14" t="s">
        <v>72</v>
      </c>
      <c r="D48" s="26">
        <f>('Individual Tests'!$M$17+'Individual Tests'!$M$28+'Individual Tests'!$M$39)/3</f>
        <v>1.9966666666666668</v>
      </c>
      <c r="E48" s="26">
        <f>('Individual Tests'!$M$17+'Individual Tests'!$M$28+'Individual Tests'!$M$39)/3</f>
        <v>1.9966666666666668</v>
      </c>
    </row>
    <row r="49" spans="2:5">
      <c r="B49" s="65"/>
      <c r="C49" s="14" t="s">
        <v>103</v>
      </c>
      <c r="D49" s="26">
        <f>(D44*D45*D47+(60-(D44*D45))*D48)/60</f>
        <v>11.417222222222223</v>
      </c>
      <c r="E49" s="26">
        <f>(E44*E45*E47+(60-(E44*E45))*E48)/60</f>
        <v>3.8807777777777783</v>
      </c>
    </row>
    <row r="50" spans="2:5">
      <c r="B50" s="18"/>
      <c r="C50" s="16"/>
      <c r="D50" s="17"/>
      <c r="E50" s="18"/>
    </row>
    <row r="51" spans="2:5">
      <c r="B51" s="65" t="s">
        <v>87</v>
      </c>
      <c r="C51" s="14" t="s">
        <v>70</v>
      </c>
      <c r="D51" s="23">
        <v>1</v>
      </c>
      <c r="E51" s="23">
        <v>2</v>
      </c>
    </row>
    <row r="52" spans="2:5">
      <c r="B52" s="65"/>
      <c r="C52" s="14" t="s">
        <v>69</v>
      </c>
      <c r="D52" s="24">
        <v>60</v>
      </c>
      <c r="E52" s="24">
        <v>5</v>
      </c>
    </row>
    <row r="53" spans="2:5">
      <c r="B53" s="65"/>
      <c r="C53" s="14" t="s">
        <v>73</v>
      </c>
      <c r="D53" s="25">
        <f>D51*((D52/60)/1)</f>
        <v>1</v>
      </c>
      <c r="E53" s="25">
        <f>E51*((E52/60)/1)</f>
        <v>0.16666666666666666</v>
      </c>
    </row>
    <row r="54" spans="2:5">
      <c r="B54" s="65"/>
      <c r="C54" s="14" t="s">
        <v>71</v>
      </c>
      <c r="D54" s="26">
        <f>('Individual Tests'!$N$17+'Individual Tests'!$N$28+'Individual Tests'!$N$39)/3</f>
        <v>187.51</v>
      </c>
      <c r="E54" s="26">
        <f>('Individual Tests'!$N$17+'Individual Tests'!$N$28+'Individual Tests'!$N$39)/3</f>
        <v>187.51</v>
      </c>
    </row>
    <row r="55" spans="2:5">
      <c r="B55" s="65"/>
      <c r="C55" s="14" t="s">
        <v>72</v>
      </c>
      <c r="D55" s="26">
        <f>'Individual Tests'!$O$17</f>
        <v>7</v>
      </c>
      <c r="E55" s="26">
        <f>'Individual Tests'!$O$17</f>
        <v>7</v>
      </c>
    </row>
    <row r="56" spans="2:5">
      <c r="B56" s="65"/>
      <c r="C56" s="14" t="s">
        <v>103</v>
      </c>
      <c r="D56" s="26">
        <f>(D51*D52*D54+(60-(D51*D52))*D55)/60</f>
        <v>187.50999999999996</v>
      </c>
      <c r="E56" s="26">
        <f>(E51*E52*E54+(60-(E51*E52))*E55)/60</f>
        <v>37.085000000000001</v>
      </c>
    </row>
    <row r="57" spans="2:5">
      <c r="B57" s="64"/>
      <c r="C57" s="64"/>
      <c r="D57" s="64"/>
      <c r="E57" s="64"/>
    </row>
    <row r="58" spans="2:5">
      <c r="B58" s="64"/>
      <c r="C58" s="64"/>
      <c r="D58" s="64"/>
      <c r="E58" s="64"/>
    </row>
    <row r="59" spans="2:5">
      <c r="B59" s="64" t="s">
        <v>88</v>
      </c>
      <c r="C59" s="64"/>
      <c r="D59" s="29">
        <f>SUM(D11,D18,D25,D31,D37,D42,D49,D56)</f>
        <v>300.41199999999998</v>
      </c>
      <c r="E59" s="30">
        <f>SUM(E11,E18,E25,E31,E37,E42,E49,E56)</f>
        <v>79.436351851851853</v>
      </c>
    </row>
    <row r="60" spans="2:5">
      <c r="B60" s="64"/>
      <c r="C60" s="64"/>
      <c r="D60" s="64"/>
      <c r="E60" s="64"/>
    </row>
    <row r="61" spans="2:5">
      <c r="B61" s="64" t="s">
        <v>88</v>
      </c>
      <c r="C61" s="64"/>
      <c r="D61" s="63">
        <f>(D59*D5+E59*E5)</f>
        <v>200.97295833333334</v>
      </c>
      <c r="E61" s="63"/>
    </row>
    <row r="62" spans="2:5">
      <c r="B62" s="64" t="s">
        <v>89</v>
      </c>
      <c r="C62" s="64"/>
      <c r="D62" s="63">
        <f>(D59*D5+E59*E5)*24</f>
        <v>4823.3510000000006</v>
      </c>
      <c r="E62" s="63"/>
    </row>
    <row r="63" spans="2:5">
      <c r="B63" s="62"/>
      <c r="C63" s="62"/>
      <c r="D63" s="62"/>
      <c r="E63" s="62"/>
    </row>
  </sheetData>
  <mergeCells count="21">
    <mergeCell ref="B57:E58"/>
    <mergeCell ref="B1:E2"/>
    <mergeCell ref="B44:B49"/>
    <mergeCell ref="B51:B56"/>
    <mergeCell ref="C20:E20"/>
    <mergeCell ref="C26:E26"/>
    <mergeCell ref="C32:E32"/>
    <mergeCell ref="C38:E38"/>
    <mergeCell ref="B19:D19"/>
    <mergeCell ref="B20:B42"/>
    <mergeCell ref="B4:B5"/>
    <mergeCell ref="B6:B11"/>
    <mergeCell ref="B12:D12"/>
    <mergeCell ref="B13:B18"/>
    <mergeCell ref="B63:E63"/>
    <mergeCell ref="D62:E62"/>
    <mergeCell ref="B62:C62"/>
    <mergeCell ref="B59:C59"/>
    <mergeCell ref="B60:E60"/>
    <mergeCell ref="B61:C61"/>
    <mergeCell ref="D61:E61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0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A95D-B866-45CF-B17D-EE4C61534CAF}">
  <sheetPr>
    <pageSetUpPr fitToPage="1"/>
  </sheetPr>
  <dimension ref="B1:G10"/>
  <sheetViews>
    <sheetView workbookViewId="0">
      <selection activeCell="D7" sqref="D7"/>
    </sheetView>
  </sheetViews>
  <sheetFormatPr defaultRowHeight="14.4"/>
  <cols>
    <col min="1" max="1" width="8.88671875" customWidth="1"/>
    <col min="2" max="2" width="16.21875" bestFit="1" customWidth="1"/>
    <col min="3" max="5" width="19.33203125" customWidth="1"/>
    <col min="6" max="6" width="18.88671875" customWidth="1"/>
    <col min="7" max="7" width="28" customWidth="1"/>
  </cols>
  <sheetData>
    <row r="1" spans="2:7" ht="14.4" customHeight="1">
      <c r="B1" s="44" t="s">
        <v>96</v>
      </c>
      <c r="C1" s="45"/>
      <c r="D1" s="45"/>
      <c r="E1" s="45"/>
      <c r="F1" s="45"/>
      <c r="G1" s="46"/>
    </row>
    <row r="2" spans="2:7" ht="14.4" customHeight="1">
      <c r="B2" s="47"/>
      <c r="C2" s="48"/>
      <c r="D2" s="48"/>
      <c r="E2" s="48"/>
      <c r="F2" s="48"/>
      <c r="G2" s="49"/>
    </row>
    <row r="3" spans="2:7">
      <c r="B3" s="15"/>
      <c r="C3" s="15"/>
      <c r="D3" s="15"/>
      <c r="E3" s="15"/>
      <c r="F3" s="15"/>
      <c r="G3" s="15"/>
    </row>
    <row r="4" spans="2:7">
      <c r="B4" s="36" t="s">
        <v>90</v>
      </c>
      <c r="C4" s="36" t="s">
        <v>92</v>
      </c>
      <c r="D4" s="36" t="s">
        <v>95</v>
      </c>
      <c r="E4" s="36" t="s">
        <v>116</v>
      </c>
      <c r="F4" s="36" t="s">
        <v>91</v>
      </c>
      <c r="G4" s="36" t="s">
        <v>93</v>
      </c>
    </row>
    <row r="5" spans="2:7">
      <c r="B5" s="68" t="s">
        <v>117</v>
      </c>
      <c r="C5" s="37">
        <v>3.7</v>
      </c>
      <c r="D5" s="37">
        <v>2000</v>
      </c>
      <c r="E5" s="40">
        <v>22.33</v>
      </c>
      <c r="F5" s="37">
        <f>C5*D5</f>
        <v>7400</v>
      </c>
      <c r="G5" s="38">
        <f>F5/'Consumption per Mode and Hour'!$D$62</f>
        <v>1.5342030882678865</v>
      </c>
    </row>
    <row r="6" spans="2:7">
      <c r="B6" s="69"/>
      <c r="C6" s="37">
        <v>3.7</v>
      </c>
      <c r="D6" s="37">
        <v>5200</v>
      </c>
      <c r="E6" s="40">
        <v>23.46</v>
      </c>
      <c r="F6" s="37">
        <f>C6*D6</f>
        <v>19240</v>
      </c>
      <c r="G6" s="38">
        <f>F6/'Consumption per Mode and Hour'!$D$62</f>
        <v>3.9889280294965053</v>
      </c>
    </row>
    <row r="7" spans="2:7">
      <c r="B7" s="69"/>
      <c r="C7" s="37">
        <v>3.7</v>
      </c>
      <c r="D7" s="37">
        <v>7800</v>
      </c>
      <c r="E7" s="40">
        <v>30.05</v>
      </c>
      <c r="F7" s="37">
        <f>C7*D7</f>
        <v>28860</v>
      </c>
      <c r="G7" s="38">
        <f>F7/'Consumption per Mode and Hour'!$D$62</f>
        <v>5.9833920442447575</v>
      </c>
    </row>
    <row r="8" spans="2:7">
      <c r="B8" s="69"/>
      <c r="C8" s="37">
        <v>3.7</v>
      </c>
      <c r="D8" s="37">
        <v>10400</v>
      </c>
      <c r="E8" s="40">
        <v>36.880000000000003</v>
      </c>
      <c r="F8" s="37">
        <f>C8*D8</f>
        <v>38480</v>
      </c>
      <c r="G8" s="38">
        <f>F8/'Consumption per Mode and Hour'!$D$62</f>
        <v>7.9778560589930105</v>
      </c>
    </row>
    <row r="9" spans="2:7">
      <c r="B9" s="70"/>
      <c r="C9" s="39">
        <v>5</v>
      </c>
      <c r="D9" s="37">
        <v>20000</v>
      </c>
      <c r="E9" s="40">
        <v>27.7</v>
      </c>
      <c r="F9" s="37">
        <f>C9*D9</f>
        <v>100000</v>
      </c>
      <c r="G9" s="38">
        <f>F9/'Consumption per Mode and Hour'!$D$62</f>
        <v>20.73247416578225</v>
      </c>
    </row>
    <row r="10" spans="2:7">
      <c r="B10" s="15"/>
      <c r="C10" s="15"/>
      <c r="D10" s="15"/>
      <c r="E10" s="15"/>
      <c r="F10" s="15"/>
      <c r="G10" s="15"/>
    </row>
  </sheetData>
  <mergeCells count="2">
    <mergeCell ref="B1:G2"/>
    <mergeCell ref="B5:B9"/>
  </mergeCells>
  <pageMargins left="0.7" right="0.7" top="0.75" bottom="0.75" header="0.3" footer="0.3"/>
  <pageSetup scale="6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90D8D-6B37-4F9F-A409-6EC39EA6A0B5}">
  <dimension ref="B2:R46"/>
  <sheetViews>
    <sheetView topLeftCell="A25" workbookViewId="0">
      <selection activeCell="E1" sqref="E1:J1048576"/>
    </sheetView>
  </sheetViews>
  <sheetFormatPr defaultRowHeight="14.4"/>
  <cols>
    <col min="2" max="2" width="16.44140625" bestFit="1" customWidth="1"/>
    <col min="3" max="3" width="28.21875" bestFit="1" customWidth="1"/>
    <col min="4" max="16" width="7.88671875" bestFit="1" customWidth="1"/>
    <col min="18" max="18" width="9.44140625" bestFit="1" customWidth="1"/>
  </cols>
  <sheetData>
    <row r="2" spans="2:18">
      <c r="B2" s="75" t="s">
        <v>67</v>
      </c>
      <c r="C2" s="76"/>
      <c r="D2" s="76" t="s">
        <v>66</v>
      </c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2:18">
      <c r="B3" s="75"/>
      <c r="C3" s="76"/>
      <c r="D3" s="12" t="s">
        <v>52</v>
      </c>
      <c r="E3" s="12" t="s">
        <v>54</v>
      </c>
      <c r="F3" s="12" t="s">
        <v>55</v>
      </c>
      <c r="G3" s="12" t="s">
        <v>56</v>
      </c>
      <c r="H3" s="12" t="s">
        <v>57</v>
      </c>
      <c r="I3" s="12" t="s">
        <v>58</v>
      </c>
      <c r="J3" s="12" t="s">
        <v>59</v>
      </c>
      <c r="K3" s="12" t="s">
        <v>60</v>
      </c>
      <c r="L3" s="12" t="s">
        <v>61</v>
      </c>
      <c r="M3" s="12" t="s">
        <v>62</v>
      </c>
      <c r="N3" s="12" t="s">
        <v>63</v>
      </c>
      <c r="O3" s="12" t="s">
        <v>64</v>
      </c>
      <c r="P3" s="12" t="s">
        <v>65</v>
      </c>
      <c r="R3" s="3" t="e" cm="1">
        <f t="array" ref="R3">SUM(D9:P9+D16:P16+D23:P23+D29:P29+D35:P35+D39:P39+D46:P46)+134*12</f>
        <v>#VALUE!</v>
      </c>
    </row>
    <row r="4" spans="2:18">
      <c r="B4" s="71" t="s">
        <v>53</v>
      </c>
      <c r="C4" s="4" t="s">
        <v>70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</row>
    <row r="5" spans="2:18">
      <c r="B5" s="71"/>
      <c r="C5" s="4" t="s">
        <v>69</v>
      </c>
      <c r="D5" s="9">
        <f t="shared" ref="D5:P5" si="0">10/60</f>
        <v>0.16666666666666666</v>
      </c>
      <c r="E5" s="8">
        <f t="shared" si="0"/>
        <v>0.16666666666666666</v>
      </c>
      <c r="F5" s="8">
        <f t="shared" si="0"/>
        <v>0.16666666666666666</v>
      </c>
      <c r="G5" s="8">
        <f t="shared" si="0"/>
        <v>0.16666666666666666</v>
      </c>
      <c r="H5" s="8">
        <f t="shared" si="0"/>
        <v>0.16666666666666666</v>
      </c>
      <c r="I5" s="8">
        <f t="shared" si="0"/>
        <v>0.16666666666666666</v>
      </c>
      <c r="J5" s="8">
        <f t="shared" si="0"/>
        <v>0.16666666666666666</v>
      </c>
      <c r="K5" s="8">
        <f t="shared" si="0"/>
        <v>0.16666666666666666</v>
      </c>
      <c r="L5" s="8">
        <f t="shared" si="0"/>
        <v>0.16666666666666666</v>
      </c>
      <c r="M5" s="8">
        <f t="shared" si="0"/>
        <v>0.16666666666666666</v>
      </c>
      <c r="N5" s="8">
        <f t="shared" si="0"/>
        <v>0.16666666666666666</v>
      </c>
      <c r="O5" s="8">
        <f t="shared" si="0"/>
        <v>0.16666666666666666</v>
      </c>
      <c r="P5" s="8">
        <f t="shared" si="0"/>
        <v>0.16666666666666666</v>
      </c>
    </row>
    <row r="6" spans="2:18">
      <c r="B6" s="71"/>
      <c r="C6" s="4" t="s">
        <v>73</v>
      </c>
      <c r="D6" s="6">
        <f t="shared" ref="D6:P6" si="1">D4*((D5/60)/1)</f>
        <v>5.5555555555555549E-3</v>
      </c>
      <c r="E6" s="6">
        <f t="shared" si="1"/>
        <v>5.5555555555555549E-3</v>
      </c>
      <c r="F6" s="6">
        <f t="shared" si="1"/>
        <v>5.5555555555555549E-3</v>
      </c>
      <c r="G6" s="6">
        <f t="shared" si="1"/>
        <v>5.5555555555555549E-3</v>
      </c>
      <c r="H6" s="6">
        <f t="shared" si="1"/>
        <v>5.5555555555555549E-3</v>
      </c>
      <c r="I6" s="6">
        <f t="shared" si="1"/>
        <v>5.5555555555555549E-3</v>
      </c>
      <c r="J6" s="6">
        <f t="shared" si="1"/>
        <v>5.5555555555555549E-3</v>
      </c>
      <c r="K6" s="6">
        <f t="shared" si="1"/>
        <v>5.5555555555555549E-3</v>
      </c>
      <c r="L6" s="6">
        <f t="shared" si="1"/>
        <v>5.5555555555555549E-3</v>
      </c>
      <c r="M6" s="6">
        <f t="shared" si="1"/>
        <v>5.5555555555555549E-3</v>
      </c>
      <c r="N6" s="6">
        <f t="shared" si="1"/>
        <v>5.5555555555555549E-3</v>
      </c>
      <c r="O6" s="6">
        <f t="shared" si="1"/>
        <v>5.5555555555555549E-3</v>
      </c>
      <c r="P6" s="6">
        <f t="shared" si="1"/>
        <v>5.5555555555555549E-3</v>
      </c>
    </row>
    <row r="7" spans="2:18">
      <c r="B7" s="71"/>
      <c r="C7" s="4" t="s">
        <v>71</v>
      </c>
      <c r="D7" s="7">
        <f>('Individual Tests'!$E$17+'Individual Tests'!$E$28+'Individual Tests'!$E$39)/3</f>
        <v>7.586666666666666</v>
      </c>
      <c r="E7" s="7">
        <f>('Individual Tests'!$E$17+'Individual Tests'!$E$28+'Individual Tests'!$E$39)/3</f>
        <v>7.586666666666666</v>
      </c>
      <c r="F7" s="7">
        <f>('Individual Tests'!$E$17+'Individual Tests'!$E$28+'Individual Tests'!$E$39)/3</f>
        <v>7.586666666666666</v>
      </c>
      <c r="G7" s="7">
        <f>('Individual Tests'!$E$17+'Individual Tests'!$E$28+'Individual Tests'!$E$39)/3</f>
        <v>7.586666666666666</v>
      </c>
      <c r="H7" s="7">
        <f>('Individual Tests'!$E$17+'Individual Tests'!$E$28+'Individual Tests'!$E$39)/3</f>
        <v>7.586666666666666</v>
      </c>
      <c r="I7" s="7">
        <f>('Individual Tests'!$E$17+'Individual Tests'!$E$28+'Individual Tests'!$E$39)/3</f>
        <v>7.586666666666666</v>
      </c>
      <c r="J7" s="7">
        <f>('Individual Tests'!$E$17+'Individual Tests'!$E$28+'Individual Tests'!$E$39)/3</f>
        <v>7.586666666666666</v>
      </c>
      <c r="K7" s="7">
        <f>('Individual Tests'!$E$17+'Individual Tests'!$E$28+'Individual Tests'!$E$39)/3</f>
        <v>7.586666666666666</v>
      </c>
      <c r="L7" s="7">
        <f>('Individual Tests'!$E$17+'Individual Tests'!$E$28+'Individual Tests'!$E$39)/3</f>
        <v>7.586666666666666</v>
      </c>
      <c r="M7" s="7">
        <f>('Individual Tests'!$E$17+'Individual Tests'!$E$28+'Individual Tests'!$E$39)/3</f>
        <v>7.586666666666666</v>
      </c>
      <c r="N7" s="7">
        <f>('Individual Tests'!$E$17+'Individual Tests'!$E$28+'Individual Tests'!$E$39)/3</f>
        <v>7.586666666666666</v>
      </c>
      <c r="O7" s="7">
        <f>('Individual Tests'!$E$17+'Individual Tests'!$E$28+'Individual Tests'!$E$39)/3</f>
        <v>7.586666666666666</v>
      </c>
      <c r="P7" s="7">
        <f>('Individual Tests'!$E$17+'Individual Tests'!$E$28+'Individual Tests'!$E$39)/3</f>
        <v>7.586666666666666</v>
      </c>
    </row>
    <row r="8" spans="2:18">
      <c r="B8" s="71"/>
      <c r="C8" s="4" t="s">
        <v>72</v>
      </c>
      <c r="D8" s="4" t="e">
        <f>('Individual Tests'!$F$17+'Individual Tests'!$F$28+'Individual Tests'!$F$39)/3</f>
        <v>#VALUE!</v>
      </c>
      <c r="E8" s="4" t="e">
        <f>('Individual Tests'!$F$17+'Individual Tests'!$F$28+'Individual Tests'!$F$39)/3</f>
        <v>#VALUE!</v>
      </c>
      <c r="F8" s="4" t="e">
        <f>('Individual Tests'!$F$17+'Individual Tests'!$F$28+'Individual Tests'!$F$39)/3</f>
        <v>#VALUE!</v>
      </c>
      <c r="G8" s="4" t="e">
        <f>('Individual Tests'!$F$17+'Individual Tests'!$F$28+'Individual Tests'!$F$39)/3</f>
        <v>#VALUE!</v>
      </c>
      <c r="H8" s="4" t="e">
        <f>('Individual Tests'!$F$17+'Individual Tests'!$F$28+'Individual Tests'!$F$39)/3</f>
        <v>#VALUE!</v>
      </c>
      <c r="I8" s="4" t="e">
        <f>('Individual Tests'!$F$17+'Individual Tests'!$F$28+'Individual Tests'!$F$39)/3</f>
        <v>#VALUE!</v>
      </c>
      <c r="J8" s="4" t="e">
        <f>('Individual Tests'!$F$17+'Individual Tests'!$F$28+'Individual Tests'!$F$39)/3</f>
        <v>#VALUE!</v>
      </c>
      <c r="K8" s="4" t="e">
        <f>('Individual Tests'!$F$17+'Individual Tests'!$F$28+'Individual Tests'!$F$39)/3</f>
        <v>#VALUE!</v>
      </c>
      <c r="L8" s="4" t="e">
        <f>('Individual Tests'!$F$17+'Individual Tests'!$F$28+'Individual Tests'!$F$39)/3</f>
        <v>#VALUE!</v>
      </c>
      <c r="M8" s="4" t="e">
        <f>('Individual Tests'!$F$17+'Individual Tests'!$F$28+'Individual Tests'!$F$39)/3</f>
        <v>#VALUE!</v>
      </c>
      <c r="N8" s="4" t="e">
        <f>('Individual Tests'!$F$17+'Individual Tests'!$F$28+'Individual Tests'!$F$39)/3</f>
        <v>#VALUE!</v>
      </c>
      <c r="O8" s="4" t="e">
        <f>('Individual Tests'!$F$17+'Individual Tests'!$F$28+'Individual Tests'!$F$39)/3</f>
        <v>#VALUE!</v>
      </c>
      <c r="P8" s="4" t="e">
        <f>('Individual Tests'!$F$17+'Individual Tests'!$F$28+'Individual Tests'!$F$39)/3</f>
        <v>#VALUE!</v>
      </c>
    </row>
    <row r="9" spans="2:18">
      <c r="B9" s="71"/>
      <c r="C9" s="4" t="s">
        <v>18</v>
      </c>
      <c r="D9" s="8" t="e">
        <f t="shared" ref="D9:P9" si="2">(D4*D5*D7+(60-(D4*D5))*D8)/60</f>
        <v>#VALUE!</v>
      </c>
      <c r="E9" s="8" t="e">
        <f t="shared" si="2"/>
        <v>#VALUE!</v>
      </c>
      <c r="F9" s="8" t="e">
        <f t="shared" si="2"/>
        <v>#VALUE!</v>
      </c>
      <c r="G9" s="8" t="e">
        <f t="shared" si="2"/>
        <v>#VALUE!</v>
      </c>
      <c r="H9" s="8" t="e">
        <f t="shared" si="2"/>
        <v>#VALUE!</v>
      </c>
      <c r="I9" s="8" t="e">
        <f t="shared" si="2"/>
        <v>#VALUE!</v>
      </c>
      <c r="J9" s="8" t="e">
        <f t="shared" si="2"/>
        <v>#VALUE!</v>
      </c>
      <c r="K9" s="8" t="e">
        <f t="shared" si="2"/>
        <v>#VALUE!</v>
      </c>
      <c r="L9" s="8" t="e">
        <f t="shared" si="2"/>
        <v>#VALUE!</v>
      </c>
      <c r="M9" s="8" t="e">
        <f t="shared" si="2"/>
        <v>#VALUE!</v>
      </c>
      <c r="N9" s="8" t="e">
        <f t="shared" si="2"/>
        <v>#VALUE!</v>
      </c>
      <c r="O9" s="8" t="e">
        <f t="shared" si="2"/>
        <v>#VALUE!</v>
      </c>
      <c r="P9" s="8" t="e">
        <f t="shared" si="2"/>
        <v>#VALUE!</v>
      </c>
    </row>
    <row r="10" spans="2:18">
      <c r="B10" s="77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9"/>
    </row>
    <row r="11" spans="2:18">
      <c r="B11" s="72" t="s">
        <v>75</v>
      </c>
      <c r="C11" s="4" t="s">
        <v>70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</row>
    <row r="12" spans="2:18">
      <c r="B12" s="73"/>
      <c r="C12" s="4" t="s">
        <v>69</v>
      </c>
      <c r="D12" s="5">
        <v>60</v>
      </c>
      <c r="E12" s="5">
        <v>60</v>
      </c>
      <c r="F12" s="5">
        <v>60</v>
      </c>
      <c r="G12" s="5">
        <v>60</v>
      </c>
      <c r="H12" s="5">
        <v>60</v>
      </c>
      <c r="I12" s="5">
        <v>60</v>
      </c>
      <c r="J12" s="5">
        <v>60</v>
      </c>
      <c r="K12" s="5">
        <v>60</v>
      </c>
      <c r="L12" s="5">
        <v>60</v>
      </c>
      <c r="M12" s="5">
        <v>60</v>
      </c>
      <c r="N12" s="5">
        <v>60</v>
      </c>
      <c r="O12" s="5">
        <v>60</v>
      </c>
      <c r="P12" s="5">
        <v>60</v>
      </c>
    </row>
    <row r="13" spans="2:18">
      <c r="B13" s="73"/>
      <c r="C13" s="4" t="s">
        <v>73</v>
      </c>
      <c r="D13" s="6">
        <f t="shared" ref="D13:P13" si="3">D11*((D12/60)/1)</f>
        <v>1</v>
      </c>
      <c r="E13" s="6">
        <f t="shared" si="3"/>
        <v>1</v>
      </c>
      <c r="F13" s="6">
        <f t="shared" si="3"/>
        <v>1</v>
      </c>
      <c r="G13" s="6">
        <f t="shared" si="3"/>
        <v>1</v>
      </c>
      <c r="H13" s="6">
        <f t="shared" si="3"/>
        <v>1</v>
      </c>
      <c r="I13" s="6">
        <f t="shared" si="3"/>
        <v>1</v>
      </c>
      <c r="J13" s="6">
        <f t="shared" si="3"/>
        <v>1</v>
      </c>
      <c r="K13" s="6">
        <f t="shared" si="3"/>
        <v>1</v>
      </c>
      <c r="L13" s="6">
        <f t="shared" si="3"/>
        <v>1</v>
      </c>
      <c r="M13" s="6">
        <f t="shared" si="3"/>
        <v>1</v>
      </c>
      <c r="N13" s="6">
        <f t="shared" si="3"/>
        <v>1</v>
      </c>
      <c r="O13" s="6">
        <f t="shared" si="3"/>
        <v>1</v>
      </c>
      <c r="P13" s="6">
        <f t="shared" si="3"/>
        <v>1</v>
      </c>
    </row>
    <row r="14" spans="2:18">
      <c r="B14" s="73"/>
      <c r="C14" s="4" t="s">
        <v>71</v>
      </c>
      <c r="D14" s="7">
        <f>('Individual Tests'!$G$17+'Individual Tests'!$G$28+'Individual Tests'!$G$39)/3</f>
        <v>18.349999999999998</v>
      </c>
      <c r="E14" s="7">
        <f>('Individual Tests'!$G$17+'Individual Tests'!$G$28+'Individual Tests'!$G$39)/3</f>
        <v>18.349999999999998</v>
      </c>
      <c r="F14" s="7">
        <f>('Individual Tests'!$G$17+'Individual Tests'!$G$28+'Individual Tests'!$G$39)/3</f>
        <v>18.349999999999998</v>
      </c>
      <c r="G14" s="7">
        <f>('Individual Tests'!$G$17+'Individual Tests'!$G$28+'Individual Tests'!$G$39)/3</f>
        <v>18.349999999999998</v>
      </c>
      <c r="H14" s="7">
        <f>('Individual Tests'!$G$17+'Individual Tests'!$G$28+'Individual Tests'!$G$39)/3</f>
        <v>18.349999999999998</v>
      </c>
      <c r="I14" s="7">
        <f>('Individual Tests'!$G$17+'Individual Tests'!$G$28+'Individual Tests'!$G$39)/3</f>
        <v>18.349999999999998</v>
      </c>
      <c r="J14" s="7">
        <f>('Individual Tests'!$G$17+'Individual Tests'!$G$28+'Individual Tests'!$G$39)/3</f>
        <v>18.349999999999998</v>
      </c>
      <c r="K14" s="7">
        <f>('Individual Tests'!$G$17+'Individual Tests'!$G$28+'Individual Tests'!$G$39)/3</f>
        <v>18.349999999999998</v>
      </c>
      <c r="L14" s="7">
        <f>('Individual Tests'!$G$17+'Individual Tests'!$G$28+'Individual Tests'!$G$39)/3</f>
        <v>18.349999999999998</v>
      </c>
      <c r="M14" s="7">
        <f>('Individual Tests'!$G$17+'Individual Tests'!$G$28+'Individual Tests'!$G$39)/3</f>
        <v>18.349999999999998</v>
      </c>
      <c r="N14" s="7">
        <f>('Individual Tests'!$G$17+'Individual Tests'!$G$28+'Individual Tests'!$G$39)/3</f>
        <v>18.349999999999998</v>
      </c>
      <c r="O14" s="7">
        <f>('Individual Tests'!$G$17+'Individual Tests'!$G$28+'Individual Tests'!$G$39)/3</f>
        <v>18.349999999999998</v>
      </c>
      <c r="P14" s="7">
        <f>('Individual Tests'!$G$17+'Individual Tests'!$G$28+'Individual Tests'!$G$39)/3</f>
        <v>18.349999999999998</v>
      </c>
    </row>
    <row r="15" spans="2:18">
      <c r="B15" s="73"/>
      <c r="C15" s="4" t="s">
        <v>72</v>
      </c>
      <c r="D15" s="4" t="e">
        <f>('Individual Tests'!$F$17+'Individual Tests'!$F$28+'Individual Tests'!$F$39)/3</f>
        <v>#VALUE!</v>
      </c>
      <c r="E15" s="4" t="e">
        <f>('Individual Tests'!$F$17+'Individual Tests'!$F$28+'Individual Tests'!$F$39)/3</f>
        <v>#VALUE!</v>
      </c>
      <c r="F15" s="4" t="e">
        <f>('Individual Tests'!$F$17+'Individual Tests'!$F$28+'Individual Tests'!$F$39)/3</f>
        <v>#VALUE!</v>
      </c>
      <c r="G15" s="4" t="e">
        <f>('Individual Tests'!$F$17+'Individual Tests'!$F$28+'Individual Tests'!$F$39)/3</f>
        <v>#VALUE!</v>
      </c>
      <c r="H15" s="4" t="e">
        <f>('Individual Tests'!$F$17+'Individual Tests'!$F$28+'Individual Tests'!$F$39)/3</f>
        <v>#VALUE!</v>
      </c>
      <c r="I15" s="4" t="e">
        <f>('Individual Tests'!$F$17+'Individual Tests'!$F$28+'Individual Tests'!$F$39)/3</f>
        <v>#VALUE!</v>
      </c>
      <c r="J15" s="4" t="e">
        <f>('Individual Tests'!$F$17+'Individual Tests'!$F$28+'Individual Tests'!$F$39)/3</f>
        <v>#VALUE!</v>
      </c>
      <c r="K15" s="4" t="e">
        <f>('Individual Tests'!$F$17+'Individual Tests'!$F$28+'Individual Tests'!$F$39)/3</f>
        <v>#VALUE!</v>
      </c>
      <c r="L15" s="4" t="e">
        <f>('Individual Tests'!$F$17+'Individual Tests'!$F$28+'Individual Tests'!$F$39)/3</f>
        <v>#VALUE!</v>
      </c>
      <c r="M15" s="4" t="e">
        <f>('Individual Tests'!$F$17+'Individual Tests'!$F$28+'Individual Tests'!$F$39)/3</f>
        <v>#VALUE!</v>
      </c>
      <c r="N15" s="4" t="e">
        <f>('Individual Tests'!$F$17+'Individual Tests'!$F$28+'Individual Tests'!$F$39)/3</f>
        <v>#VALUE!</v>
      </c>
      <c r="O15" s="4" t="e">
        <f>('Individual Tests'!$F$17+'Individual Tests'!$F$28+'Individual Tests'!$F$39)/3</f>
        <v>#VALUE!</v>
      </c>
      <c r="P15" s="4" t="e">
        <f>('Individual Tests'!$F$17+'Individual Tests'!$F$28+'Individual Tests'!$F$39)/3</f>
        <v>#VALUE!</v>
      </c>
    </row>
    <row r="16" spans="2:18">
      <c r="B16" s="74"/>
      <c r="C16" s="4" t="s">
        <v>18</v>
      </c>
      <c r="D16" s="8" t="e">
        <f t="shared" ref="D16:P16" si="4">(D11*D12*D14+(60-(D11*D12))*D15)/60</f>
        <v>#VALUE!</v>
      </c>
      <c r="E16" s="8" t="e">
        <f t="shared" si="4"/>
        <v>#VALUE!</v>
      </c>
      <c r="F16" s="8" t="e">
        <f t="shared" si="4"/>
        <v>#VALUE!</v>
      </c>
      <c r="G16" s="8" t="e">
        <f t="shared" si="4"/>
        <v>#VALUE!</v>
      </c>
      <c r="H16" s="8" t="e">
        <f t="shared" si="4"/>
        <v>#VALUE!</v>
      </c>
      <c r="I16" s="8" t="e">
        <f t="shared" si="4"/>
        <v>#VALUE!</v>
      </c>
      <c r="J16" s="8" t="e">
        <f t="shared" si="4"/>
        <v>#VALUE!</v>
      </c>
      <c r="K16" s="8" t="e">
        <f t="shared" si="4"/>
        <v>#VALUE!</v>
      </c>
      <c r="L16" s="8" t="e">
        <f t="shared" si="4"/>
        <v>#VALUE!</v>
      </c>
      <c r="M16" s="8" t="e">
        <f t="shared" si="4"/>
        <v>#VALUE!</v>
      </c>
      <c r="N16" s="8" t="e">
        <f t="shared" si="4"/>
        <v>#VALUE!</v>
      </c>
      <c r="O16" s="8" t="e">
        <f t="shared" si="4"/>
        <v>#VALUE!</v>
      </c>
      <c r="P16" s="8" t="e">
        <f t="shared" si="4"/>
        <v>#VALUE!</v>
      </c>
    </row>
    <row r="17" spans="2:16">
      <c r="B17" s="77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9"/>
    </row>
    <row r="18" spans="2:16">
      <c r="B18" s="71" t="s">
        <v>76</v>
      </c>
      <c r="C18" s="80" t="s">
        <v>82</v>
      </c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2"/>
    </row>
    <row r="19" spans="2:16">
      <c r="B19" s="71"/>
      <c r="C19" s="4" t="s">
        <v>70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2</v>
      </c>
      <c r="J19" s="4">
        <v>2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>
        <v>2</v>
      </c>
    </row>
    <row r="20" spans="2:16">
      <c r="B20" s="71"/>
      <c r="C20" s="4" t="s">
        <v>69</v>
      </c>
      <c r="D20" s="5">
        <f>20/60</f>
        <v>0.33333333333333331</v>
      </c>
      <c r="E20" s="5">
        <f t="shared" ref="E20:P20" si="5">20/60</f>
        <v>0.33333333333333331</v>
      </c>
      <c r="F20" s="5">
        <f t="shared" si="5"/>
        <v>0.33333333333333331</v>
      </c>
      <c r="G20" s="5">
        <f t="shared" si="5"/>
        <v>0.33333333333333331</v>
      </c>
      <c r="H20" s="5">
        <f t="shared" si="5"/>
        <v>0.33333333333333331</v>
      </c>
      <c r="I20" s="5">
        <f t="shared" si="5"/>
        <v>0.33333333333333331</v>
      </c>
      <c r="J20" s="5">
        <f t="shared" si="5"/>
        <v>0.33333333333333331</v>
      </c>
      <c r="K20" s="5">
        <f t="shared" si="5"/>
        <v>0.33333333333333331</v>
      </c>
      <c r="L20" s="5">
        <f t="shared" si="5"/>
        <v>0.33333333333333331</v>
      </c>
      <c r="M20" s="5">
        <f t="shared" si="5"/>
        <v>0.33333333333333331</v>
      </c>
      <c r="N20" s="5">
        <f t="shared" si="5"/>
        <v>0.33333333333333331</v>
      </c>
      <c r="O20" s="5">
        <f t="shared" si="5"/>
        <v>0.33333333333333331</v>
      </c>
      <c r="P20" s="5">
        <f t="shared" si="5"/>
        <v>0.33333333333333331</v>
      </c>
    </row>
    <row r="21" spans="2:16">
      <c r="B21" s="71"/>
      <c r="C21" s="4" t="s">
        <v>73</v>
      </c>
      <c r="D21" s="6">
        <f>D19*((D20/60)/1)</f>
        <v>1.111111111111111E-2</v>
      </c>
      <c r="E21" s="6">
        <f t="shared" ref="E21:P21" si="6">E19*((E20/60)/1)</f>
        <v>1.111111111111111E-2</v>
      </c>
      <c r="F21" s="6">
        <f t="shared" si="6"/>
        <v>1.111111111111111E-2</v>
      </c>
      <c r="G21" s="6">
        <f t="shared" si="6"/>
        <v>1.111111111111111E-2</v>
      </c>
      <c r="H21" s="6">
        <f t="shared" si="6"/>
        <v>1.111111111111111E-2</v>
      </c>
      <c r="I21" s="6">
        <f t="shared" si="6"/>
        <v>1.111111111111111E-2</v>
      </c>
      <c r="J21" s="6">
        <f t="shared" si="6"/>
        <v>1.111111111111111E-2</v>
      </c>
      <c r="K21" s="6">
        <f t="shared" si="6"/>
        <v>1.111111111111111E-2</v>
      </c>
      <c r="L21" s="6">
        <f t="shared" si="6"/>
        <v>1.111111111111111E-2</v>
      </c>
      <c r="M21" s="6">
        <f t="shared" si="6"/>
        <v>1.111111111111111E-2</v>
      </c>
      <c r="N21" s="6">
        <f t="shared" si="6"/>
        <v>1.111111111111111E-2</v>
      </c>
      <c r="O21" s="6">
        <f t="shared" si="6"/>
        <v>1.111111111111111E-2</v>
      </c>
      <c r="P21" s="6">
        <f t="shared" si="6"/>
        <v>1.111111111111111E-2</v>
      </c>
    </row>
    <row r="22" spans="2:16">
      <c r="B22" s="71"/>
      <c r="C22" s="4" t="s">
        <v>71</v>
      </c>
      <c r="D22" s="7">
        <f>('Individual Tests'!$H$17+'Individual Tests'!$H$28+'Individual Tests'!$H$39)/3</f>
        <v>173.16666666666666</v>
      </c>
      <c r="E22" s="7">
        <f>('Individual Tests'!$H$17+'Individual Tests'!$H$28+'Individual Tests'!$H$39)/3</f>
        <v>173.16666666666666</v>
      </c>
      <c r="F22" s="7">
        <f>('Individual Tests'!$H$17+'Individual Tests'!$H$28+'Individual Tests'!$H$39)/3</f>
        <v>173.16666666666666</v>
      </c>
      <c r="G22" s="7">
        <f>('Individual Tests'!$H$17+'Individual Tests'!$H$28+'Individual Tests'!$H$39)/3</f>
        <v>173.16666666666666</v>
      </c>
      <c r="H22" s="7">
        <f>('Individual Tests'!$H$17+'Individual Tests'!$H$28+'Individual Tests'!$H$39)/3</f>
        <v>173.16666666666666</v>
      </c>
      <c r="I22" s="7">
        <f>('Individual Tests'!$H$17+'Individual Tests'!$H$28+'Individual Tests'!$H$39)/3</f>
        <v>173.16666666666666</v>
      </c>
      <c r="J22" s="7">
        <f>('Individual Tests'!$H$17+'Individual Tests'!$H$28+'Individual Tests'!$H$39)/3</f>
        <v>173.16666666666666</v>
      </c>
      <c r="K22" s="7">
        <f>('Individual Tests'!$H$17+'Individual Tests'!$H$28+'Individual Tests'!$H$39)/3</f>
        <v>173.16666666666666</v>
      </c>
      <c r="L22" s="7">
        <f>('Individual Tests'!$H$17+'Individual Tests'!$H$28+'Individual Tests'!$H$39)/3</f>
        <v>173.16666666666666</v>
      </c>
      <c r="M22" s="7">
        <f>('Individual Tests'!$H$17+'Individual Tests'!$H$28+'Individual Tests'!$H$39)/3</f>
        <v>173.16666666666666</v>
      </c>
      <c r="N22" s="7">
        <f>('Individual Tests'!$H$17+'Individual Tests'!$H$28+'Individual Tests'!$H$39)/3</f>
        <v>173.16666666666666</v>
      </c>
      <c r="O22" s="7">
        <f>('Individual Tests'!$H$17+'Individual Tests'!$H$28+'Individual Tests'!$H$39)/3</f>
        <v>173.16666666666666</v>
      </c>
      <c r="P22" s="7">
        <f>('Individual Tests'!$H$17+'Individual Tests'!$H$28+'Individual Tests'!$H$39)/3</f>
        <v>173.16666666666666</v>
      </c>
    </row>
    <row r="23" spans="2:16">
      <c r="B23" s="71"/>
      <c r="C23" s="4" t="s">
        <v>18</v>
      </c>
      <c r="D23" s="8">
        <f>(D19*D20)/60*D22</f>
        <v>1.9240740740740738</v>
      </c>
      <c r="E23" s="8">
        <f t="shared" ref="E23:P23" si="7">(E19*E20)/60*E22</f>
        <v>1.9240740740740738</v>
      </c>
      <c r="F23" s="8">
        <f t="shared" si="7"/>
        <v>1.9240740740740738</v>
      </c>
      <c r="G23" s="8">
        <f t="shared" si="7"/>
        <v>1.9240740740740738</v>
      </c>
      <c r="H23" s="8">
        <f t="shared" si="7"/>
        <v>1.9240740740740738</v>
      </c>
      <c r="I23" s="8">
        <f t="shared" si="7"/>
        <v>1.9240740740740738</v>
      </c>
      <c r="J23" s="8">
        <f t="shared" si="7"/>
        <v>1.9240740740740738</v>
      </c>
      <c r="K23" s="8">
        <f t="shared" si="7"/>
        <v>1.9240740740740738</v>
      </c>
      <c r="L23" s="8">
        <f t="shared" si="7"/>
        <v>1.9240740740740738</v>
      </c>
      <c r="M23" s="8">
        <f t="shared" si="7"/>
        <v>1.9240740740740738</v>
      </c>
      <c r="N23" s="8">
        <f t="shared" si="7"/>
        <v>1.9240740740740738</v>
      </c>
      <c r="O23" s="8">
        <f t="shared" si="7"/>
        <v>1.9240740740740738</v>
      </c>
      <c r="P23" s="8">
        <f t="shared" si="7"/>
        <v>1.9240740740740738</v>
      </c>
    </row>
    <row r="24" spans="2:16">
      <c r="B24" s="71"/>
      <c r="C24" s="80" t="s">
        <v>77</v>
      </c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2:16">
      <c r="B25" s="71"/>
      <c r="C25" s="4" t="s">
        <v>70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</row>
    <row r="26" spans="2:16">
      <c r="B26" s="71"/>
      <c r="C26" s="4" t="s">
        <v>69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</row>
    <row r="27" spans="2:16">
      <c r="B27" s="71"/>
      <c r="C27" s="4" t="s">
        <v>73</v>
      </c>
      <c r="D27" s="6">
        <f t="shared" ref="D27:P27" si="8">D25*((D26/60)/1)</f>
        <v>1.6666666666666666E-2</v>
      </c>
      <c r="E27" s="6">
        <f t="shared" si="8"/>
        <v>1.6666666666666666E-2</v>
      </c>
      <c r="F27" s="6">
        <f t="shared" si="8"/>
        <v>1.6666666666666666E-2</v>
      </c>
      <c r="G27" s="6">
        <f t="shared" si="8"/>
        <v>1.6666666666666666E-2</v>
      </c>
      <c r="H27" s="6">
        <f t="shared" si="8"/>
        <v>1.6666666666666666E-2</v>
      </c>
      <c r="I27" s="6">
        <f t="shared" si="8"/>
        <v>1.6666666666666666E-2</v>
      </c>
      <c r="J27" s="6">
        <f t="shared" si="8"/>
        <v>1.6666666666666666E-2</v>
      </c>
      <c r="K27" s="6">
        <f t="shared" si="8"/>
        <v>1.6666666666666666E-2</v>
      </c>
      <c r="L27" s="6">
        <f t="shared" si="8"/>
        <v>1.6666666666666666E-2</v>
      </c>
      <c r="M27" s="6">
        <f t="shared" si="8"/>
        <v>1.6666666666666666E-2</v>
      </c>
      <c r="N27" s="6">
        <f t="shared" si="8"/>
        <v>1.6666666666666666E-2</v>
      </c>
      <c r="O27" s="6">
        <f t="shared" si="8"/>
        <v>1.6666666666666666E-2</v>
      </c>
      <c r="P27" s="6">
        <f t="shared" si="8"/>
        <v>1.6666666666666666E-2</v>
      </c>
    </row>
    <row r="28" spans="2:16">
      <c r="B28" s="71"/>
      <c r="C28" s="4" t="s">
        <v>71</v>
      </c>
      <c r="D28" s="7">
        <f>('Individual Tests'!$I$17+'Individual Tests'!$I$39+'Individual Tests'!$I$28)/3</f>
        <v>237.21</v>
      </c>
      <c r="E28" s="7">
        <f>('Individual Tests'!$I$17+'Individual Tests'!$I$39+'Individual Tests'!$I$28)/3</f>
        <v>237.21</v>
      </c>
      <c r="F28" s="7">
        <f>('Individual Tests'!$I$17+'Individual Tests'!$I$39+'Individual Tests'!$I$28)/3</f>
        <v>237.21</v>
      </c>
      <c r="G28" s="7">
        <f>('Individual Tests'!$I$17+'Individual Tests'!$I$39+'Individual Tests'!$I$28)/3</f>
        <v>237.21</v>
      </c>
      <c r="H28" s="7">
        <f>('Individual Tests'!$I$17+'Individual Tests'!$I$39+'Individual Tests'!$I$28)/3</f>
        <v>237.21</v>
      </c>
      <c r="I28" s="7">
        <f>('Individual Tests'!$I$17+'Individual Tests'!$I$39+'Individual Tests'!$I$28)/3</f>
        <v>237.21</v>
      </c>
      <c r="J28" s="7">
        <f>('Individual Tests'!$I$17+'Individual Tests'!$I$39+'Individual Tests'!$I$28)/3</f>
        <v>237.21</v>
      </c>
      <c r="K28" s="7">
        <f>('Individual Tests'!$I$17+'Individual Tests'!$I$39+'Individual Tests'!$I$28)/3</f>
        <v>237.21</v>
      </c>
      <c r="L28" s="7">
        <f>('Individual Tests'!$I$17+'Individual Tests'!$I$39+'Individual Tests'!$I$28)/3</f>
        <v>237.21</v>
      </c>
      <c r="M28" s="7">
        <f>('Individual Tests'!$I$17+'Individual Tests'!$I$39+'Individual Tests'!$I$28)/3</f>
        <v>237.21</v>
      </c>
      <c r="N28" s="7">
        <f>('Individual Tests'!$I$17+'Individual Tests'!$I$39+'Individual Tests'!$I$28)/3</f>
        <v>237.21</v>
      </c>
      <c r="O28" s="7">
        <f>('Individual Tests'!$I$17+'Individual Tests'!$I$39+'Individual Tests'!$I$28)/3</f>
        <v>237.21</v>
      </c>
      <c r="P28" s="7">
        <f>('Individual Tests'!$I$17+'Individual Tests'!$I$39+'Individual Tests'!$I$28)/3</f>
        <v>237.21</v>
      </c>
    </row>
    <row r="29" spans="2:16">
      <c r="B29" s="71"/>
      <c r="C29" s="4" t="s">
        <v>18</v>
      </c>
      <c r="D29" s="8">
        <f t="shared" ref="D29:P29" si="9">(D25*D26)/60*D28</f>
        <v>3.9535</v>
      </c>
      <c r="E29" s="8">
        <f t="shared" si="9"/>
        <v>3.9535</v>
      </c>
      <c r="F29" s="8">
        <f t="shared" si="9"/>
        <v>3.9535</v>
      </c>
      <c r="G29" s="8">
        <f t="shared" si="9"/>
        <v>3.9535</v>
      </c>
      <c r="H29" s="8">
        <f t="shared" si="9"/>
        <v>3.9535</v>
      </c>
      <c r="I29" s="8">
        <f t="shared" si="9"/>
        <v>3.9535</v>
      </c>
      <c r="J29" s="8">
        <f t="shared" si="9"/>
        <v>3.9535</v>
      </c>
      <c r="K29" s="8">
        <f t="shared" si="9"/>
        <v>3.9535</v>
      </c>
      <c r="L29" s="8">
        <f t="shared" si="9"/>
        <v>3.9535</v>
      </c>
      <c r="M29" s="8">
        <f t="shared" si="9"/>
        <v>3.9535</v>
      </c>
      <c r="N29" s="8">
        <f t="shared" si="9"/>
        <v>3.9535</v>
      </c>
      <c r="O29" s="8">
        <f t="shared" si="9"/>
        <v>3.9535</v>
      </c>
      <c r="P29" s="8">
        <f t="shared" si="9"/>
        <v>3.9535</v>
      </c>
    </row>
    <row r="30" spans="2:16">
      <c r="B30" s="71"/>
      <c r="C30" s="80" t="s">
        <v>78</v>
      </c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2"/>
    </row>
    <row r="31" spans="2:16">
      <c r="B31" s="71"/>
      <c r="C31" s="4" t="s">
        <v>70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</row>
    <row r="32" spans="2:16">
      <c r="B32" s="71"/>
      <c r="C32" s="4" t="s">
        <v>69</v>
      </c>
      <c r="D32" s="5">
        <v>5</v>
      </c>
      <c r="E32" s="5">
        <v>5</v>
      </c>
      <c r="F32" s="5">
        <v>5</v>
      </c>
      <c r="G32" s="5">
        <v>5</v>
      </c>
      <c r="H32" s="5">
        <v>5</v>
      </c>
      <c r="I32" s="5">
        <v>5</v>
      </c>
      <c r="J32" s="5">
        <v>5</v>
      </c>
      <c r="K32" s="5">
        <v>5</v>
      </c>
      <c r="L32" s="5">
        <v>5</v>
      </c>
      <c r="M32" s="5">
        <v>5</v>
      </c>
      <c r="N32" s="5">
        <v>5</v>
      </c>
      <c r="O32" s="5">
        <v>5</v>
      </c>
      <c r="P32" s="5">
        <v>5</v>
      </c>
    </row>
    <row r="33" spans="2:16">
      <c r="B33" s="71"/>
      <c r="C33" s="4" t="s">
        <v>73</v>
      </c>
      <c r="D33" s="6">
        <f t="shared" ref="D33:P33" si="10">D31*((D32/60)/1)</f>
        <v>8.3333333333333329E-2</v>
      </c>
      <c r="E33" s="6">
        <f t="shared" si="10"/>
        <v>8.3333333333333329E-2</v>
      </c>
      <c r="F33" s="6">
        <f t="shared" si="10"/>
        <v>8.3333333333333329E-2</v>
      </c>
      <c r="G33" s="6">
        <f t="shared" si="10"/>
        <v>8.3333333333333329E-2</v>
      </c>
      <c r="H33" s="6">
        <f t="shared" si="10"/>
        <v>8.3333333333333329E-2</v>
      </c>
      <c r="I33" s="6">
        <f t="shared" si="10"/>
        <v>8.3333333333333329E-2</v>
      </c>
      <c r="J33" s="6">
        <f t="shared" si="10"/>
        <v>8.3333333333333329E-2</v>
      </c>
      <c r="K33" s="6">
        <f t="shared" si="10"/>
        <v>8.3333333333333329E-2</v>
      </c>
      <c r="L33" s="6">
        <f t="shared" si="10"/>
        <v>8.3333333333333329E-2</v>
      </c>
      <c r="M33" s="6">
        <f t="shared" si="10"/>
        <v>8.3333333333333329E-2</v>
      </c>
      <c r="N33" s="6">
        <f t="shared" si="10"/>
        <v>8.3333333333333329E-2</v>
      </c>
      <c r="O33" s="6">
        <f t="shared" si="10"/>
        <v>8.3333333333333329E-2</v>
      </c>
      <c r="P33" s="6">
        <f t="shared" si="10"/>
        <v>8.3333333333333329E-2</v>
      </c>
    </row>
    <row r="34" spans="2:16">
      <c r="B34" s="71"/>
      <c r="C34" s="4" t="s">
        <v>71</v>
      </c>
      <c r="D34" s="7">
        <f>('Individual Tests'!$J$17+'Individual Tests'!$J$28+'Individual Tests'!$J$39)/3</f>
        <v>720.69333333333327</v>
      </c>
      <c r="E34" s="7">
        <f>('Individual Tests'!$J$17+'Individual Tests'!$J$28+'Individual Tests'!$J$39)/3</f>
        <v>720.69333333333327</v>
      </c>
      <c r="F34" s="7">
        <f>('Individual Tests'!$J$17+'Individual Tests'!$J$28+'Individual Tests'!$J$39)/3</f>
        <v>720.69333333333327</v>
      </c>
      <c r="G34" s="7">
        <f>('Individual Tests'!$J$17+'Individual Tests'!$J$28+'Individual Tests'!$J$39)/3</f>
        <v>720.69333333333327</v>
      </c>
      <c r="H34" s="7">
        <f>('Individual Tests'!$J$17+'Individual Tests'!$J$28+'Individual Tests'!$J$39)/3</f>
        <v>720.69333333333327</v>
      </c>
      <c r="I34" s="7">
        <f>('Individual Tests'!$J$17+'Individual Tests'!$J$28+'Individual Tests'!$J$39)/3</f>
        <v>720.69333333333327</v>
      </c>
      <c r="J34" s="7">
        <f>('Individual Tests'!$J$17+'Individual Tests'!$J$28+'Individual Tests'!$J$39)/3</f>
        <v>720.69333333333327</v>
      </c>
      <c r="K34" s="7">
        <f>('Individual Tests'!$J$17+'Individual Tests'!$J$28+'Individual Tests'!$J$39)/3</f>
        <v>720.69333333333327</v>
      </c>
      <c r="L34" s="7">
        <f>('Individual Tests'!$J$17+'Individual Tests'!$J$28+'Individual Tests'!$J$39)/3</f>
        <v>720.69333333333327</v>
      </c>
      <c r="M34" s="7">
        <f>('Individual Tests'!$J$17+'Individual Tests'!$J$28+'Individual Tests'!$J$39)/3</f>
        <v>720.69333333333327</v>
      </c>
      <c r="N34" s="7">
        <f>('Individual Tests'!$J$17+'Individual Tests'!$J$28+'Individual Tests'!$J$39)/3</f>
        <v>720.69333333333327</v>
      </c>
      <c r="O34" s="7">
        <f>('Individual Tests'!$J$17+'Individual Tests'!$J$28+'Individual Tests'!$J$39)/3</f>
        <v>720.69333333333327</v>
      </c>
      <c r="P34" s="7">
        <f>('Individual Tests'!$J$17+'Individual Tests'!$J$28+'Individual Tests'!$J$39)/3</f>
        <v>720.69333333333327</v>
      </c>
    </row>
    <row r="35" spans="2:16">
      <c r="B35" s="71"/>
      <c r="C35" s="4" t="s">
        <v>18</v>
      </c>
      <c r="D35" s="8">
        <f t="shared" ref="D35:P35" si="11">(D31*D32)/60*D34</f>
        <v>60.057777777777773</v>
      </c>
      <c r="E35" s="8">
        <f t="shared" si="11"/>
        <v>60.057777777777773</v>
      </c>
      <c r="F35" s="8">
        <f t="shared" si="11"/>
        <v>60.057777777777773</v>
      </c>
      <c r="G35" s="8">
        <f t="shared" si="11"/>
        <v>60.057777777777773</v>
      </c>
      <c r="H35" s="8">
        <f t="shared" si="11"/>
        <v>60.057777777777773</v>
      </c>
      <c r="I35" s="8">
        <f t="shared" si="11"/>
        <v>60.057777777777773</v>
      </c>
      <c r="J35" s="8">
        <f t="shared" si="11"/>
        <v>60.057777777777773</v>
      </c>
      <c r="K35" s="8">
        <f t="shared" si="11"/>
        <v>60.057777777777773</v>
      </c>
      <c r="L35" s="8">
        <f t="shared" si="11"/>
        <v>60.057777777777773</v>
      </c>
      <c r="M35" s="8">
        <f t="shared" si="11"/>
        <v>60.057777777777773</v>
      </c>
      <c r="N35" s="8">
        <f t="shared" si="11"/>
        <v>60.057777777777773</v>
      </c>
      <c r="O35" s="8">
        <f t="shared" si="11"/>
        <v>60.057777777777773</v>
      </c>
      <c r="P35" s="8">
        <f t="shared" si="11"/>
        <v>60.057777777777773</v>
      </c>
    </row>
    <row r="36" spans="2:16">
      <c r="B36" s="71"/>
      <c r="C36" s="80" t="s">
        <v>79</v>
      </c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2"/>
    </row>
    <row r="37" spans="2:16">
      <c r="B37" s="71"/>
      <c r="C37" s="10" t="s">
        <v>68</v>
      </c>
      <c r="D37" s="11">
        <f>60-(D25*D26+D31*D32)</f>
        <v>54</v>
      </c>
      <c r="E37" s="11">
        <f t="shared" ref="E37:P37" si="12">60-(E25*E26+E31*E32)</f>
        <v>54</v>
      </c>
      <c r="F37" s="11">
        <f t="shared" si="12"/>
        <v>54</v>
      </c>
      <c r="G37" s="11">
        <f t="shared" si="12"/>
        <v>54</v>
      </c>
      <c r="H37" s="11">
        <f t="shared" si="12"/>
        <v>54</v>
      </c>
      <c r="I37" s="11">
        <f t="shared" si="12"/>
        <v>54</v>
      </c>
      <c r="J37" s="11">
        <f t="shared" si="12"/>
        <v>54</v>
      </c>
      <c r="K37" s="11">
        <f t="shared" si="12"/>
        <v>54</v>
      </c>
      <c r="L37" s="11">
        <f t="shared" si="12"/>
        <v>54</v>
      </c>
      <c r="M37" s="11">
        <f t="shared" si="12"/>
        <v>54</v>
      </c>
      <c r="N37" s="11">
        <f t="shared" si="12"/>
        <v>54</v>
      </c>
      <c r="O37" s="11">
        <f t="shared" si="12"/>
        <v>54</v>
      </c>
      <c r="P37" s="11">
        <f t="shared" si="12"/>
        <v>54</v>
      </c>
    </row>
    <row r="38" spans="2:16">
      <c r="B38" s="71"/>
      <c r="C38" s="4" t="s">
        <v>80</v>
      </c>
      <c r="D38" s="9">
        <f>('Individual Tests'!$K$17+'Individual Tests'!$K$28+'Individual Tests'!$K$39)/3</f>
        <v>18.723333333333333</v>
      </c>
      <c r="E38" s="9">
        <f>('Individual Tests'!$K$17+'Individual Tests'!$K$28+'Individual Tests'!$K$39)/3</f>
        <v>18.723333333333333</v>
      </c>
      <c r="F38" s="9">
        <f>('Individual Tests'!$K$17+'Individual Tests'!$K$28+'Individual Tests'!$K$39)/3</f>
        <v>18.723333333333333</v>
      </c>
      <c r="G38" s="9">
        <f>('Individual Tests'!$K$17+'Individual Tests'!$K$28+'Individual Tests'!$K$39)/3</f>
        <v>18.723333333333333</v>
      </c>
      <c r="H38" s="9">
        <f>('Individual Tests'!$K$17+'Individual Tests'!$K$28+'Individual Tests'!$K$39)/3</f>
        <v>18.723333333333333</v>
      </c>
      <c r="I38" s="9">
        <f>('Individual Tests'!$K$17+'Individual Tests'!$K$28+'Individual Tests'!$K$39)/3</f>
        <v>18.723333333333333</v>
      </c>
      <c r="J38" s="9">
        <f>('Individual Tests'!$K$17+'Individual Tests'!$K$28+'Individual Tests'!$K$39)/3</f>
        <v>18.723333333333333</v>
      </c>
      <c r="K38" s="9">
        <f>('Individual Tests'!$K$17+'Individual Tests'!$K$28+'Individual Tests'!$K$39)/3</f>
        <v>18.723333333333333</v>
      </c>
      <c r="L38" s="9">
        <f>('Individual Tests'!$K$17+'Individual Tests'!$K$28+'Individual Tests'!$K$39)/3</f>
        <v>18.723333333333333</v>
      </c>
      <c r="M38" s="9">
        <f>('Individual Tests'!$K$17+'Individual Tests'!$K$28+'Individual Tests'!$K$39)/3</f>
        <v>18.723333333333333</v>
      </c>
      <c r="N38" s="9">
        <f>('Individual Tests'!$K$17+'Individual Tests'!$K$28+'Individual Tests'!$K$39)/3</f>
        <v>18.723333333333333</v>
      </c>
      <c r="O38" s="9">
        <f>('Individual Tests'!$K$17+'Individual Tests'!$K$28+'Individual Tests'!$K$39)/3</f>
        <v>18.723333333333333</v>
      </c>
      <c r="P38" s="9">
        <f>('Individual Tests'!$K$17+'Individual Tests'!$K$28+'Individual Tests'!$K$39)/3</f>
        <v>18.723333333333333</v>
      </c>
    </row>
    <row r="39" spans="2:16">
      <c r="B39" s="71"/>
      <c r="C39" s="4" t="s">
        <v>18</v>
      </c>
      <c r="D39" s="4">
        <f>D37/60*D38</f>
        <v>16.850999999999999</v>
      </c>
      <c r="E39" s="4">
        <f t="shared" ref="E39:P39" si="13">E37/60*E38</f>
        <v>16.850999999999999</v>
      </c>
      <c r="F39" s="4">
        <f t="shared" si="13"/>
        <v>16.850999999999999</v>
      </c>
      <c r="G39" s="4">
        <f t="shared" si="13"/>
        <v>16.850999999999999</v>
      </c>
      <c r="H39" s="4">
        <f t="shared" si="13"/>
        <v>16.850999999999999</v>
      </c>
      <c r="I39" s="4">
        <f t="shared" si="13"/>
        <v>16.850999999999999</v>
      </c>
      <c r="J39" s="4">
        <f t="shared" si="13"/>
        <v>16.850999999999999</v>
      </c>
      <c r="K39" s="4">
        <f t="shared" si="13"/>
        <v>16.850999999999999</v>
      </c>
      <c r="L39" s="4">
        <f t="shared" si="13"/>
        <v>16.850999999999999</v>
      </c>
      <c r="M39" s="4">
        <f t="shared" si="13"/>
        <v>16.850999999999999</v>
      </c>
      <c r="N39" s="4">
        <f t="shared" si="13"/>
        <v>16.850999999999999</v>
      </c>
      <c r="O39" s="4">
        <f t="shared" si="13"/>
        <v>16.850999999999999</v>
      </c>
      <c r="P39" s="4">
        <f t="shared" si="13"/>
        <v>16.850999999999999</v>
      </c>
    </row>
    <row r="41" spans="2:16">
      <c r="B41" s="72" t="s">
        <v>83</v>
      </c>
      <c r="C41" s="4" t="s">
        <v>70</v>
      </c>
      <c r="D41" s="4">
        <v>5</v>
      </c>
      <c r="E41" s="4">
        <v>5</v>
      </c>
      <c r="F41" s="4">
        <v>5</v>
      </c>
      <c r="G41" s="4">
        <v>5</v>
      </c>
      <c r="H41" s="4">
        <v>5</v>
      </c>
      <c r="I41" s="4">
        <v>5</v>
      </c>
      <c r="J41" s="4">
        <v>5</v>
      </c>
      <c r="K41" s="4">
        <v>5</v>
      </c>
      <c r="L41" s="4">
        <v>5</v>
      </c>
      <c r="M41" s="4">
        <v>5</v>
      </c>
      <c r="N41" s="4">
        <v>5</v>
      </c>
      <c r="O41" s="4">
        <v>5</v>
      </c>
      <c r="P41" s="4">
        <v>5</v>
      </c>
    </row>
    <row r="42" spans="2:16">
      <c r="B42" s="73"/>
      <c r="C42" s="4" t="s">
        <v>69</v>
      </c>
      <c r="D42" s="5">
        <v>2</v>
      </c>
      <c r="E42" s="5">
        <v>2</v>
      </c>
      <c r="F42" s="5">
        <v>2</v>
      </c>
      <c r="G42" s="5">
        <v>2</v>
      </c>
      <c r="H42" s="5">
        <v>2</v>
      </c>
      <c r="I42" s="5">
        <v>2</v>
      </c>
      <c r="J42" s="5">
        <v>2</v>
      </c>
      <c r="K42" s="5">
        <v>2</v>
      </c>
      <c r="L42" s="5">
        <v>2</v>
      </c>
      <c r="M42" s="5">
        <v>2</v>
      </c>
      <c r="N42" s="5">
        <v>2</v>
      </c>
      <c r="O42" s="5">
        <v>2</v>
      </c>
      <c r="P42" s="5">
        <v>2</v>
      </c>
    </row>
    <row r="43" spans="2:16">
      <c r="B43" s="73"/>
      <c r="C43" s="4" t="s">
        <v>73</v>
      </c>
      <c r="D43" s="6">
        <f t="shared" ref="D43:P43" si="14">D41*((D42/60)/1)</f>
        <v>0.16666666666666666</v>
      </c>
      <c r="E43" s="6">
        <f t="shared" si="14"/>
        <v>0.16666666666666666</v>
      </c>
      <c r="F43" s="6">
        <f t="shared" si="14"/>
        <v>0.16666666666666666</v>
      </c>
      <c r="G43" s="6">
        <f t="shared" si="14"/>
        <v>0.16666666666666666</v>
      </c>
      <c r="H43" s="6">
        <f t="shared" si="14"/>
        <v>0.16666666666666666</v>
      </c>
      <c r="I43" s="6">
        <f t="shared" si="14"/>
        <v>0.16666666666666666</v>
      </c>
      <c r="J43" s="6">
        <f t="shared" si="14"/>
        <v>0.16666666666666666</v>
      </c>
      <c r="K43" s="6">
        <f t="shared" si="14"/>
        <v>0.16666666666666666</v>
      </c>
      <c r="L43" s="6">
        <f t="shared" si="14"/>
        <v>0.16666666666666666</v>
      </c>
      <c r="M43" s="6">
        <f t="shared" si="14"/>
        <v>0.16666666666666666</v>
      </c>
      <c r="N43" s="6">
        <f t="shared" si="14"/>
        <v>0.16666666666666666</v>
      </c>
      <c r="O43" s="6">
        <f t="shared" si="14"/>
        <v>0.16666666666666666</v>
      </c>
      <c r="P43" s="6">
        <f t="shared" si="14"/>
        <v>0.16666666666666666</v>
      </c>
    </row>
    <row r="44" spans="2:16">
      <c r="B44" s="73"/>
      <c r="C44" s="4" t="s">
        <v>71</v>
      </c>
      <c r="D44" s="7">
        <f>('Individual Tests'!$L$17+'Individual Tests'!$L$28+'Individual Tests'!$L$39)/3</f>
        <v>58.52</v>
      </c>
      <c r="E44" s="7">
        <f>('Individual Tests'!$L$17+'Individual Tests'!$L$28+'Individual Tests'!$L$39)/3</f>
        <v>58.52</v>
      </c>
      <c r="F44" s="7">
        <f>('Individual Tests'!$L$17+'Individual Tests'!$L$28+'Individual Tests'!$L$39)/3</f>
        <v>58.52</v>
      </c>
      <c r="G44" s="7">
        <f>('Individual Tests'!$L$17+'Individual Tests'!$L$28+'Individual Tests'!$L$39)/3</f>
        <v>58.52</v>
      </c>
      <c r="H44" s="7">
        <f>('Individual Tests'!$L$17+'Individual Tests'!$L$28+'Individual Tests'!$L$39)/3</f>
        <v>58.52</v>
      </c>
      <c r="I44" s="7">
        <f>('Individual Tests'!$L$17+'Individual Tests'!$L$28+'Individual Tests'!$L$39)/3</f>
        <v>58.52</v>
      </c>
      <c r="J44" s="7">
        <f>('Individual Tests'!$L$17+'Individual Tests'!$L$28+'Individual Tests'!$L$39)/3</f>
        <v>58.52</v>
      </c>
      <c r="K44" s="7">
        <f>('Individual Tests'!$L$17+'Individual Tests'!$L$28+'Individual Tests'!$L$39)/3</f>
        <v>58.52</v>
      </c>
      <c r="L44" s="7">
        <f>('Individual Tests'!$L$17+'Individual Tests'!$L$28+'Individual Tests'!$L$39)/3</f>
        <v>58.52</v>
      </c>
      <c r="M44" s="7">
        <f>('Individual Tests'!$L$17+'Individual Tests'!$L$28+'Individual Tests'!$L$39)/3</f>
        <v>58.52</v>
      </c>
      <c r="N44" s="7">
        <f>('Individual Tests'!$L$17+'Individual Tests'!$L$28+'Individual Tests'!$L$39)/3</f>
        <v>58.52</v>
      </c>
      <c r="O44" s="7">
        <f>('Individual Tests'!$L$17+'Individual Tests'!$L$28+'Individual Tests'!$L$39)/3</f>
        <v>58.52</v>
      </c>
      <c r="P44" s="7">
        <f>('Individual Tests'!$L$17+'Individual Tests'!$L$28+'Individual Tests'!$L$39)/3</f>
        <v>58.52</v>
      </c>
    </row>
    <row r="45" spans="2:16">
      <c r="B45" s="73"/>
      <c r="C45" s="4" t="s">
        <v>72</v>
      </c>
      <c r="D45" s="4">
        <f>('Individual Tests'!$M$17+'Individual Tests'!$M$28+'Individual Tests'!$M$39)/3</f>
        <v>1.9966666666666668</v>
      </c>
      <c r="E45" s="4">
        <f>('Individual Tests'!$M$17+'Individual Tests'!$M$28+'Individual Tests'!$M$39)/3</f>
        <v>1.9966666666666668</v>
      </c>
      <c r="F45" s="4">
        <f>('Individual Tests'!$M$17+'Individual Tests'!$M$28+'Individual Tests'!$M$39)/3</f>
        <v>1.9966666666666668</v>
      </c>
      <c r="G45" s="4">
        <f>('Individual Tests'!$M$17+'Individual Tests'!$M$28+'Individual Tests'!$M$39)/3</f>
        <v>1.9966666666666668</v>
      </c>
      <c r="H45" s="4">
        <f>('Individual Tests'!$M$17+'Individual Tests'!$M$28+'Individual Tests'!$M$39)/3</f>
        <v>1.9966666666666668</v>
      </c>
      <c r="I45" s="4">
        <f>('Individual Tests'!$M$17+'Individual Tests'!$M$28+'Individual Tests'!$M$39)/3</f>
        <v>1.9966666666666668</v>
      </c>
      <c r="J45" s="4">
        <f>('Individual Tests'!$M$17+'Individual Tests'!$M$28+'Individual Tests'!$M$39)/3</f>
        <v>1.9966666666666668</v>
      </c>
      <c r="K45" s="4">
        <f>('Individual Tests'!$M$17+'Individual Tests'!$M$28+'Individual Tests'!$M$39)/3</f>
        <v>1.9966666666666668</v>
      </c>
      <c r="L45" s="4">
        <f>('Individual Tests'!$M$17+'Individual Tests'!$M$28+'Individual Tests'!$M$39)/3</f>
        <v>1.9966666666666668</v>
      </c>
      <c r="M45" s="4">
        <f>('Individual Tests'!$M$17+'Individual Tests'!$M$28+'Individual Tests'!$M$39)/3</f>
        <v>1.9966666666666668</v>
      </c>
      <c r="N45" s="4">
        <f>('Individual Tests'!$M$17+'Individual Tests'!$M$28+'Individual Tests'!$M$39)/3</f>
        <v>1.9966666666666668</v>
      </c>
      <c r="O45" s="4">
        <f>('Individual Tests'!$M$17+'Individual Tests'!$M$28+'Individual Tests'!$M$39)/3</f>
        <v>1.9966666666666668</v>
      </c>
      <c r="P45" s="4">
        <f>('Individual Tests'!$M$17+'Individual Tests'!$M$28+'Individual Tests'!$M$39)/3</f>
        <v>1.9966666666666668</v>
      </c>
    </row>
    <row r="46" spans="2:16">
      <c r="B46" s="74"/>
      <c r="C46" s="4" t="s">
        <v>18</v>
      </c>
      <c r="D46" s="8">
        <f>(D41*D42*D44+(60-(D41*D42))*D45)/60</f>
        <v>11.417222222222223</v>
      </c>
      <c r="E46" s="8">
        <f t="shared" ref="E46:P46" si="15">(E41*E42*E44+(60-(E41*E42))*E45)/60</f>
        <v>11.417222222222223</v>
      </c>
      <c r="F46" s="8">
        <f t="shared" si="15"/>
        <v>11.417222222222223</v>
      </c>
      <c r="G46" s="8">
        <f t="shared" si="15"/>
        <v>11.417222222222223</v>
      </c>
      <c r="H46" s="8">
        <f t="shared" si="15"/>
        <v>11.417222222222223</v>
      </c>
      <c r="I46" s="8">
        <f t="shared" si="15"/>
        <v>11.417222222222223</v>
      </c>
      <c r="J46" s="8">
        <f t="shared" si="15"/>
        <v>11.417222222222223</v>
      </c>
      <c r="K46" s="8">
        <f t="shared" si="15"/>
        <v>11.417222222222223</v>
      </c>
      <c r="L46" s="8">
        <f t="shared" si="15"/>
        <v>11.417222222222223</v>
      </c>
      <c r="M46" s="8">
        <f t="shared" si="15"/>
        <v>11.417222222222223</v>
      </c>
      <c r="N46" s="8">
        <f t="shared" si="15"/>
        <v>11.417222222222223</v>
      </c>
      <c r="O46" s="8">
        <f t="shared" si="15"/>
        <v>11.417222222222223</v>
      </c>
      <c r="P46" s="8">
        <f t="shared" si="15"/>
        <v>11.417222222222223</v>
      </c>
    </row>
  </sheetData>
  <mergeCells count="13">
    <mergeCell ref="B18:B39"/>
    <mergeCell ref="B41:B46"/>
    <mergeCell ref="B2:B3"/>
    <mergeCell ref="C2:C3"/>
    <mergeCell ref="B17:P17"/>
    <mergeCell ref="C24:P24"/>
    <mergeCell ref="C30:P30"/>
    <mergeCell ref="C36:P36"/>
    <mergeCell ref="C18:P18"/>
    <mergeCell ref="D2:P2"/>
    <mergeCell ref="B4:B9"/>
    <mergeCell ref="B10:P10"/>
    <mergeCell ref="B11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5</vt:i4>
      </vt:variant>
      <vt:variant>
        <vt:lpstr>Intervalos com Nome</vt:lpstr>
      </vt:variant>
      <vt:variant>
        <vt:i4>1</vt:i4>
      </vt:variant>
    </vt:vector>
  </HeadingPairs>
  <TitlesOfParts>
    <vt:vector size="6" baseType="lpstr">
      <vt:lpstr>Individual Tests</vt:lpstr>
      <vt:lpstr>Use Case</vt:lpstr>
      <vt:lpstr>Consumption per Mode and Hour</vt:lpstr>
      <vt:lpstr>Expected Battery Life</vt:lpstr>
      <vt:lpstr>Folha2</vt:lpstr>
      <vt:lpstr>'Consumption per Mode and Hour'!Área_de_Impressão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Ribeiro Jorge (HC/EPM2-ES)</dc:creator>
  <cp:lastModifiedBy>Jorge Ribeiro</cp:lastModifiedBy>
  <cp:lastPrinted>2024-05-30T10:19:53Z</cp:lastPrinted>
  <dcterms:created xsi:type="dcterms:W3CDTF">2024-03-19T08:42:34Z</dcterms:created>
  <dcterms:modified xsi:type="dcterms:W3CDTF">2024-05-30T11:11:19Z</dcterms:modified>
</cp:coreProperties>
</file>