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ft\Downloads\master thesis graphs\"/>
    </mc:Choice>
  </mc:AlternateContent>
  <bookViews>
    <workbookView xWindow="0" yWindow="495" windowWidth="28800" windowHeight="16215" activeTab="7"/>
  </bookViews>
  <sheets>
    <sheet name="Moisture contained" sheetId="3" r:id="rId1"/>
    <sheet name="Sequential batch leaching test " sheetId="1" r:id="rId2"/>
    <sheet name="Liquid-solid chemical eq." sheetId="2" r:id="rId3"/>
    <sheet name="AFTER DRY" sheetId="6" r:id="rId4"/>
    <sheet name="Dilution_factor" sheetId="7" r:id="rId5"/>
    <sheet name="time leaching " sheetId="14" r:id="rId6"/>
    <sheet name="EC,pH 60 samples" sheetId="8" r:id="rId7"/>
    <sheet name="ALk" sheetId="10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3" l="1"/>
  <c r="B11" i="3"/>
  <c r="E2" i="3"/>
  <c r="M19" i="14" l="1"/>
  <c r="Q19" i="14"/>
  <c r="M20" i="14"/>
  <c r="Q20" i="14"/>
  <c r="M21" i="14"/>
  <c r="Q21" i="14"/>
  <c r="M22" i="14"/>
  <c r="Q22" i="14"/>
  <c r="M23" i="14"/>
  <c r="Q23" i="14"/>
  <c r="M24" i="14"/>
  <c r="Q24" i="14"/>
  <c r="M25" i="14"/>
  <c r="Q25" i="14"/>
  <c r="M26" i="14"/>
  <c r="Q26" i="14"/>
  <c r="M27" i="14"/>
  <c r="Q27" i="14"/>
  <c r="M28" i="14"/>
  <c r="Q28" i="14"/>
  <c r="M29" i="14"/>
  <c r="Q29" i="14"/>
  <c r="M30" i="14"/>
  <c r="Q30" i="14"/>
  <c r="L31" i="14"/>
  <c r="L32" i="14" s="1"/>
  <c r="M32" i="14" s="1"/>
  <c r="G9" i="14" s="1"/>
  <c r="P31" i="14"/>
  <c r="Q31" i="14" s="1"/>
  <c r="C4" i="14" l="1"/>
  <c r="B9" i="14"/>
  <c r="M31" i="14"/>
  <c r="P32" i="14"/>
  <c r="Q32" i="14" s="1"/>
  <c r="D13" i="14" s="1"/>
  <c r="H17" i="14" l="1"/>
  <c r="F19" i="14"/>
  <c r="G20" i="14"/>
  <c r="H21" i="14"/>
  <c r="D18" i="14"/>
  <c r="G19" i="14"/>
  <c r="H20" i="14"/>
  <c r="E18" i="14"/>
  <c r="H19" i="14"/>
  <c r="F18" i="14"/>
  <c r="D17" i="14"/>
  <c r="G18" i="14"/>
  <c r="D21" i="14"/>
  <c r="E17" i="14"/>
  <c r="H18" i="14"/>
  <c r="D20" i="14"/>
  <c r="E21" i="14"/>
  <c r="F17" i="14"/>
  <c r="D19" i="14"/>
  <c r="E20" i="14"/>
  <c r="F21" i="14"/>
  <c r="G17" i="14"/>
  <c r="E19" i="14"/>
  <c r="F20" i="14"/>
  <c r="G21" i="14"/>
  <c r="Q49" i="6" l="1"/>
  <c r="H49" i="6"/>
  <c r="I71" i="6"/>
  <c r="I72" i="6"/>
  <c r="Q75" i="6"/>
  <c r="R75" i="6" s="1"/>
  <c r="Q74" i="6"/>
  <c r="Q73" i="6"/>
  <c r="R73" i="6" s="1"/>
  <c r="Q72" i="6"/>
  <c r="Q71" i="6"/>
  <c r="Q70" i="6"/>
  <c r="R70" i="6" s="1"/>
  <c r="Q69" i="6"/>
  <c r="Q68" i="6"/>
  <c r="Q67" i="6"/>
  <c r="R67" i="6" s="1"/>
  <c r="Q66" i="6"/>
  <c r="Q65" i="6"/>
  <c r="R65" i="6" s="1"/>
  <c r="Q64" i="6"/>
  <c r="R74" i="6"/>
  <c r="R72" i="6"/>
  <c r="R71" i="6"/>
  <c r="R69" i="6"/>
  <c r="R68" i="6"/>
  <c r="R66" i="6"/>
  <c r="R64" i="6"/>
  <c r="D101" i="3" l="1"/>
  <c r="D100" i="3"/>
  <c r="E100" i="3" s="1"/>
  <c r="D99" i="3"/>
  <c r="D98" i="3"/>
  <c r="E98" i="3" s="1"/>
  <c r="D97" i="3"/>
  <c r="D96" i="3"/>
  <c r="E96" i="3" s="1"/>
  <c r="D95" i="3"/>
  <c r="D94" i="3"/>
  <c r="D93" i="3"/>
  <c r="E93" i="3" s="1"/>
  <c r="I82" i="6"/>
  <c r="I81" i="6"/>
  <c r="I80" i="6"/>
  <c r="I79" i="6"/>
  <c r="I78" i="6"/>
  <c r="I77" i="6"/>
  <c r="I76" i="6"/>
  <c r="I75" i="6"/>
  <c r="I74" i="6"/>
  <c r="I73" i="6"/>
  <c r="C21" i="3"/>
  <c r="C19" i="3"/>
  <c r="B17" i="3"/>
  <c r="S10" i="8" l="1"/>
  <c r="P58" i="10"/>
  <c r="P61" i="10"/>
  <c r="P67" i="10"/>
  <c r="P55" i="10"/>
  <c r="P51" i="10"/>
  <c r="P42" i="10"/>
  <c r="P45" i="10"/>
  <c r="P48" i="10"/>
  <c r="P39" i="10"/>
  <c r="P35" i="10"/>
  <c r="P26" i="10"/>
  <c r="P29" i="10"/>
  <c r="P32" i="10"/>
  <c r="P23" i="10"/>
  <c r="P10" i="10"/>
  <c r="P13" i="10"/>
  <c r="P16" i="10"/>
  <c r="P19" i="10"/>
  <c r="P7" i="10"/>
  <c r="O58" i="10"/>
  <c r="O61" i="10"/>
  <c r="O67" i="10"/>
  <c r="O55" i="10"/>
  <c r="O42" i="10"/>
  <c r="O45" i="10"/>
  <c r="O48" i="10"/>
  <c r="O51" i="10"/>
  <c r="O39" i="10"/>
  <c r="O23" i="10"/>
  <c r="O32" i="10"/>
  <c r="O35" i="10"/>
  <c r="O26" i="10"/>
  <c r="O29" i="10"/>
  <c r="O10" i="10"/>
  <c r="O13" i="10"/>
  <c r="O16" i="10"/>
  <c r="O19" i="10"/>
  <c r="O7" i="10"/>
  <c r="K67" i="10" a="1"/>
  <c r="K67" i="10" s="1"/>
  <c r="K61" i="10" a="1"/>
  <c r="K61" i="10" s="1"/>
  <c r="K58" i="10" a="1"/>
  <c r="K58" i="10" s="1"/>
  <c r="K55" i="10" a="1"/>
  <c r="K55" i="10" s="1"/>
  <c r="K51" i="10" a="1"/>
  <c r="K51" i="10" s="1"/>
  <c r="K48" i="10" a="1"/>
  <c r="K48" i="10" s="1"/>
  <c r="K45" i="10" a="1"/>
  <c r="K45" i="10" s="1"/>
  <c r="K42" i="10" a="1"/>
  <c r="K42" i="10" s="1"/>
  <c r="K39" i="10" a="1"/>
  <c r="K39" i="10" s="1"/>
  <c r="K6" i="10"/>
  <c r="K35" i="10" a="1"/>
  <c r="K35" i="10" s="1"/>
  <c r="K32" i="10" a="1"/>
  <c r="K32" i="10" s="1"/>
  <c r="K29" i="10" a="1"/>
  <c r="K29" i="10" s="1"/>
  <c r="K26" i="10" a="1"/>
  <c r="K26" i="10" s="1"/>
  <c r="K23" i="10" a="1"/>
  <c r="K23" i="10" s="1"/>
  <c r="K19" i="10" a="1"/>
  <c r="K19" i="10" s="1"/>
  <c r="K16" i="10" a="1"/>
  <c r="K16" i="10" s="1"/>
  <c r="K13" i="10" a="1"/>
  <c r="K13" i="10" s="1"/>
  <c r="K10" i="10" a="1"/>
  <c r="K10" i="10" s="1"/>
  <c r="K7" i="10" a="1"/>
  <c r="K7" i="10" s="1"/>
  <c r="N5" i="2"/>
  <c r="R15" i="6" l="1"/>
  <c r="P3" i="6"/>
  <c r="Q3" i="6"/>
  <c r="J60" i="6"/>
  <c r="N60" i="6" s="1"/>
  <c r="Q60" i="6" s="1"/>
  <c r="R60" i="6" s="1"/>
  <c r="S60" i="6" s="1"/>
  <c r="I60" i="6"/>
  <c r="M60" i="6" s="1"/>
  <c r="O60" i="6" s="1"/>
  <c r="P60" i="6" s="1"/>
  <c r="H60" i="6"/>
  <c r="J59" i="6"/>
  <c r="N59" i="6" s="1"/>
  <c r="Q59" i="6" s="1"/>
  <c r="R59" i="6" s="1"/>
  <c r="S59" i="6" s="1"/>
  <c r="I59" i="6"/>
  <c r="M59" i="6" s="1"/>
  <c r="O59" i="6" s="1"/>
  <c r="P59" i="6" s="1"/>
  <c r="H59" i="6"/>
  <c r="J58" i="6"/>
  <c r="N58" i="6" s="1"/>
  <c r="Q58" i="6" s="1"/>
  <c r="R58" i="6" s="1"/>
  <c r="S58" i="6" s="1"/>
  <c r="I58" i="6"/>
  <c r="M58" i="6" s="1"/>
  <c r="O58" i="6" s="1"/>
  <c r="P58" i="6" s="1"/>
  <c r="H58" i="6"/>
  <c r="J57" i="6"/>
  <c r="N57" i="6" s="1"/>
  <c r="Q57" i="6" s="1"/>
  <c r="R57" i="6" s="1"/>
  <c r="S57" i="6" s="1"/>
  <c r="I57" i="6"/>
  <c r="M57" i="6" s="1"/>
  <c r="O57" i="6" s="1"/>
  <c r="P57" i="6" s="1"/>
  <c r="H57" i="6"/>
  <c r="J56" i="6"/>
  <c r="N56" i="6" s="1"/>
  <c r="Q56" i="6" s="1"/>
  <c r="R56" i="6" s="1"/>
  <c r="S56" i="6" s="1"/>
  <c r="I56" i="6"/>
  <c r="M56" i="6" s="1"/>
  <c r="O56" i="6" s="1"/>
  <c r="P56" i="6" s="1"/>
  <c r="H56" i="6"/>
  <c r="J55" i="6"/>
  <c r="N55" i="6" s="1"/>
  <c r="Q55" i="6" s="1"/>
  <c r="R55" i="6" s="1"/>
  <c r="S55" i="6" s="1"/>
  <c r="I55" i="6"/>
  <c r="M55" i="6" s="1"/>
  <c r="O55" i="6" s="1"/>
  <c r="H55" i="6"/>
  <c r="J54" i="6"/>
  <c r="N54" i="6" s="1"/>
  <c r="Q54" i="6" s="1"/>
  <c r="R54" i="6" s="1"/>
  <c r="S54" i="6" s="1"/>
  <c r="I54" i="6"/>
  <c r="H54" i="6"/>
  <c r="J53" i="6"/>
  <c r="N53" i="6" s="1"/>
  <c r="Q53" i="6" s="1"/>
  <c r="R53" i="6" s="1"/>
  <c r="S53" i="6" s="1"/>
  <c r="I53" i="6"/>
  <c r="M53" i="6" s="1"/>
  <c r="H53" i="6"/>
  <c r="J52" i="6"/>
  <c r="N52" i="6" s="1"/>
  <c r="Q52" i="6" s="1"/>
  <c r="R52" i="6" s="1"/>
  <c r="S52" i="6" s="1"/>
  <c r="I52" i="6"/>
  <c r="M52" i="6" s="1"/>
  <c r="O52" i="6" s="1"/>
  <c r="P52" i="6" s="1"/>
  <c r="H52" i="6"/>
  <c r="J51" i="6"/>
  <c r="N51" i="6" s="1"/>
  <c r="Q51" i="6" s="1"/>
  <c r="R51" i="6" s="1"/>
  <c r="S51" i="6" s="1"/>
  <c r="I51" i="6"/>
  <c r="M51" i="6" s="1"/>
  <c r="O51" i="6" s="1"/>
  <c r="P51" i="6" s="1"/>
  <c r="H51" i="6"/>
  <c r="J50" i="6"/>
  <c r="N50" i="6" s="1"/>
  <c r="Q50" i="6" s="1"/>
  <c r="R50" i="6" s="1"/>
  <c r="S50" i="6" s="1"/>
  <c r="I50" i="6"/>
  <c r="M50" i="6" s="1"/>
  <c r="O50" i="6" s="1"/>
  <c r="P50" i="6" s="1"/>
  <c r="H50" i="6"/>
  <c r="J49" i="6"/>
  <c r="I49" i="6"/>
  <c r="M49" i="6" s="1"/>
  <c r="O49" i="6" s="1"/>
  <c r="P49" i="6" s="1"/>
  <c r="T51" i="8"/>
  <c r="H3" i="6"/>
  <c r="I16" i="3"/>
  <c r="T10" i="8"/>
  <c r="C144" i="8"/>
  <c r="C143" i="8"/>
  <c r="C142" i="8"/>
  <c r="C141" i="8"/>
  <c r="C140" i="8"/>
  <c r="C139" i="8"/>
  <c r="C138" i="8"/>
  <c r="C137" i="8"/>
  <c r="C136" i="8"/>
  <c r="H136" i="8" s="1"/>
  <c r="C135" i="8"/>
  <c r="C134" i="8"/>
  <c r="C133" i="8"/>
  <c r="H81" i="8"/>
  <c r="O116" i="8"/>
  <c r="N100" i="8" s="1"/>
  <c r="O100" i="8" s="1"/>
  <c r="O117" i="8"/>
  <c r="N101" i="8" s="1"/>
  <c r="O101" i="8" s="1"/>
  <c r="O118" i="8"/>
  <c r="N102" i="8" s="1"/>
  <c r="O102" i="8" s="1"/>
  <c r="O119" i="8"/>
  <c r="N103" i="8" s="1"/>
  <c r="O103" i="8" s="1"/>
  <c r="O120" i="8"/>
  <c r="N104" i="8" s="1"/>
  <c r="O104" i="8" s="1"/>
  <c r="O121" i="8"/>
  <c r="N105" i="8" s="1"/>
  <c r="O105" i="8" s="1"/>
  <c r="O122" i="8"/>
  <c r="N106" i="8" s="1"/>
  <c r="O106" i="8" s="1"/>
  <c r="O123" i="8"/>
  <c r="N107" i="8" s="1"/>
  <c r="O107" i="8" s="1"/>
  <c r="O124" i="8"/>
  <c r="N108" i="8" s="1"/>
  <c r="O108" i="8" s="1"/>
  <c r="O125" i="8"/>
  <c r="N109" i="8" s="1"/>
  <c r="O109" i="8" s="1"/>
  <c r="O126" i="8"/>
  <c r="N110" i="8" s="1"/>
  <c r="O110" i="8" s="1"/>
  <c r="O115" i="8"/>
  <c r="N99" i="8" s="1"/>
  <c r="O99" i="8" s="1"/>
  <c r="M116" i="8"/>
  <c r="L100" i="8" s="1"/>
  <c r="M100" i="8" s="1"/>
  <c r="M117" i="8"/>
  <c r="L101" i="8" s="1"/>
  <c r="M101" i="8" s="1"/>
  <c r="M118" i="8"/>
  <c r="L102" i="8" s="1"/>
  <c r="M102" i="8" s="1"/>
  <c r="M119" i="8"/>
  <c r="L103" i="8" s="1"/>
  <c r="M103" i="8" s="1"/>
  <c r="M120" i="8"/>
  <c r="L104" i="8" s="1"/>
  <c r="M104" i="8" s="1"/>
  <c r="M121" i="8"/>
  <c r="L105" i="8" s="1"/>
  <c r="M105" i="8" s="1"/>
  <c r="M122" i="8"/>
  <c r="L106" i="8" s="1"/>
  <c r="M106" i="8" s="1"/>
  <c r="M123" i="8"/>
  <c r="L107" i="8" s="1"/>
  <c r="M107" i="8" s="1"/>
  <c r="M124" i="8"/>
  <c r="L108" i="8" s="1"/>
  <c r="M108" i="8" s="1"/>
  <c r="M125" i="8"/>
  <c r="L109" i="8" s="1"/>
  <c r="M109" i="8" s="1"/>
  <c r="M126" i="8"/>
  <c r="L110" i="8" s="1"/>
  <c r="M110" i="8" s="1"/>
  <c r="M115" i="8"/>
  <c r="L99" i="8" s="1"/>
  <c r="M99" i="8" s="1"/>
  <c r="F116" i="8"/>
  <c r="F117" i="8"/>
  <c r="F118" i="8"/>
  <c r="F119" i="8"/>
  <c r="F120" i="8"/>
  <c r="F121" i="8"/>
  <c r="F122" i="8"/>
  <c r="F123" i="8"/>
  <c r="F124" i="8"/>
  <c r="F125" i="8"/>
  <c r="F126" i="8"/>
  <c r="F115" i="8"/>
  <c r="K115" i="8"/>
  <c r="K99" i="8" s="1"/>
  <c r="J81" i="8" s="1"/>
  <c r="J99" i="8"/>
  <c r="I116" i="8"/>
  <c r="I117" i="8"/>
  <c r="I118" i="8"/>
  <c r="I119" i="8"/>
  <c r="I120" i="8"/>
  <c r="I121" i="8"/>
  <c r="I122" i="8"/>
  <c r="I123" i="8"/>
  <c r="I124" i="8"/>
  <c r="I125" i="8"/>
  <c r="I126" i="8"/>
  <c r="I115" i="8"/>
  <c r="K116" i="8"/>
  <c r="J100" i="8" s="1"/>
  <c r="K117" i="8"/>
  <c r="K101" i="8" s="1"/>
  <c r="K118" i="8"/>
  <c r="K102" i="8" s="1"/>
  <c r="J84" i="8" s="1"/>
  <c r="K119" i="8"/>
  <c r="K103" i="8" s="1"/>
  <c r="J85" i="8" s="1"/>
  <c r="K120" i="8"/>
  <c r="J104" i="8" s="1"/>
  <c r="K121" i="8"/>
  <c r="K105" i="8" s="1"/>
  <c r="K122" i="8"/>
  <c r="J106" i="8" s="1"/>
  <c r="K123" i="8"/>
  <c r="K107" i="8" s="1"/>
  <c r="J89" i="8" s="1"/>
  <c r="K124" i="8"/>
  <c r="K108" i="8" s="1"/>
  <c r="J90" i="8" s="1"/>
  <c r="K125" i="8"/>
  <c r="K109" i="8" s="1"/>
  <c r="K126" i="8"/>
  <c r="K110" i="8" s="1"/>
  <c r="J92" i="8" s="1"/>
  <c r="G110" i="8"/>
  <c r="G109" i="8"/>
  <c r="G108" i="8"/>
  <c r="G107" i="8"/>
  <c r="G106" i="8"/>
  <c r="G105" i="8"/>
  <c r="G104" i="8"/>
  <c r="G103" i="8"/>
  <c r="G102" i="8"/>
  <c r="G101" i="8"/>
  <c r="G100" i="8"/>
  <c r="G99" i="8"/>
  <c r="H92" i="8"/>
  <c r="H91" i="8"/>
  <c r="H90" i="8"/>
  <c r="H89" i="8"/>
  <c r="H88" i="8"/>
  <c r="H87" i="8"/>
  <c r="H86" i="8"/>
  <c r="H85" i="8"/>
  <c r="H84" i="8"/>
  <c r="H83" i="8"/>
  <c r="H82" i="8"/>
  <c r="U26" i="8"/>
  <c r="S38" i="8"/>
  <c r="S35" i="8"/>
  <c r="S32" i="8"/>
  <c r="S29" i="8"/>
  <c r="S26" i="8"/>
  <c r="X70" i="8"/>
  <c r="W70" i="8"/>
  <c r="V70" i="8"/>
  <c r="U70" i="8"/>
  <c r="T70" i="8"/>
  <c r="S70" i="8"/>
  <c r="X67" i="8"/>
  <c r="W67" i="8"/>
  <c r="V67" i="8"/>
  <c r="U67" i="8"/>
  <c r="T67" i="8"/>
  <c r="S67" i="8"/>
  <c r="X64" i="8"/>
  <c r="W64" i="8"/>
  <c r="V64" i="8"/>
  <c r="U64" i="8"/>
  <c r="T64" i="8"/>
  <c r="S64" i="8"/>
  <c r="X61" i="8"/>
  <c r="W61" i="8"/>
  <c r="V61" i="8"/>
  <c r="U61" i="8"/>
  <c r="T61" i="8"/>
  <c r="S61" i="8"/>
  <c r="X58" i="8"/>
  <c r="W58" i="8"/>
  <c r="V58" i="8"/>
  <c r="U58" i="8"/>
  <c r="T58" i="8"/>
  <c r="S58" i="8"/>
  <c r="X54" i="8"/>
  <c r="W54" i="8"/>
  <c r="V54" i="8"/>
  <c r="U54" i="8"/>
  <c r="T54" i="8"/>
  <c r="S54" i="8"/>
  <c r="X51" i="8"/>
  <c r="W51" i="8"/>
  <c r="V51" i="8"/>
  <c r="U51" i="8"/>
  <c r="S51" i="8"/>
  <c r="X48" i="8"/>
  <c r="W48" i="8"/>
  <c r="V48" i="8"/>
  <c r="U48" i="8"/>
  <c r="T48" i="8"/>
  <c r="S48" i="8"/>
  <c r="X45" i="8"/>
  <c r="W45" i="8"/>
  <c r="V45" i="8"/>
  <c r="U45" i="8"/>
  <c r="T45" i="8"/>
  <c r="S45" i="8"/>
  <c r="X42" i="8"/>
  <c r="W42" i="8"/>
  <c r="V42" i="8"/>
  <c r="U42" i="8"/>
  <c r="T42" i="8"/>
  <c r="S42" i="8"/>
  <c r="X38" i="8"/>
  <c r="W38" i="8"/>
  <c r="V38" i="8"/>
  <c r="U38" i="8"/>
  <c r="T38" i="8"/>
  <c r="X35" i="8"/>
  <c r="W35" i="8"/>
  <c r="V35" i="8"/>
  <c r="U35" i="8"/>
  <c r="T35" i="8"/>
  <c r="X32" i="8"/>
  <c r="W32" i="8"/>
  <c r="V32" i="8"/>
  <c r="U32" i="8"/>
  <c r="T32" i="8"/>
  <c r="X29" i="8"/>
  <c r="W29" i="8"/>
  <c r="V29" i="8"/>
  <c r="U29" i="8"/>
  <c r="T29" i="8"/>
  <c r="X26" i="8"/>
  <c r="W26" i="8"/>
  <c r="V26" i="8"/>
  <c r="T26" i="8"/>
  <c r="X13" i="8"/>
  <c r="X16" i="8"/>
  <c r="X19" i="8"/>
  <c r="X22" i="8"/>
  <c r="X10" i="8"/>
  <c r="W22" i="8"/>
  <c r="W19" i="8"/>
  <c r="W16" i="8"/>
  <c r="W13" i="8"/>
  <c r="T110" i="8" s="1"/>
  <c r="W10" i="8"/>
  <c r="V13" i="8"/>
  <c r="V10" i="8"/>
  <c r="V16" i="8"/>
  <c r="V19" i="8"/>
  <c r="V22" i="8"/>
  <c r="U10" i="8"/>
  <c r="U22" i="8"/>
  <c r="U19" i="8"/>
  <c r="U16" i="8"/>
  <c r="U13" i="8"/>
  <c r="T13" i="8"/>
  <c r="T16" i="8"/>
  <c r="T19" i="8"/>
  <c r="T22" i="8"/>
  <c r="S19" i="8"/>
  <c r="T99" i="8" s="1"/>
  <c r="S16" i="8"/>
  <c r="S13" i="8"/>
  <c r="S22" i="8"/>
  <c r="T100" i="8" s="1"/>
  <c r="R4" i="6"/>
  <c r="R5" i="6"/>
  <c r="R6" i="6"/>
  <c r="R7" i="6"/>
  <c r="R8" i="6"/>
  <c r="R9" i="6"/>
  <c r="R10" i="6"/>
  <c r="R11" i="6"/>
  <c r="R12" i="6"/>
  <c r="R13" i="6"/>
  <c r="R14" i="6"/>
  <c r="O53" i="6" l="1"/>
  <c r="P53" i="6" s="1"/>
  <c r="M54" i="6"/>
  <c r="O54" i="6" s="1"/>
  <c r="P54" i="6" s="1"/>
  <c r="N49" i="6"/>
  <c r="R49" i="6" s="1"/>
  <c r="S49" i="6" s="1"/>
  <c r="S61" i="6" s="1"/>
  <c r="P55" i="6"/>
  <c r="U99" i="8"/>
  <c r="T97" i="8"/>
  <c r="U109" i="8"/>
  <c r="T98" i="8"/>
  <c r="H133" i="8"/>
  <c r="L81" i="8" a="1"/>
  <c r="L81" i="8" s="1"/>
  <c r="H99" i="8" a="1"/>
  <c r="H99" i="8" s="1"/>
  <c r="I99" i="8" s="1"/>
  <c r="T113" i="8"/>
  <c r="N90" i="8"/>
  <c r="H139" i="8"/>
  <c r="N81" i="8"/>
  <c r="U97" i="8"/>
  <c r="T111" i="8"/>
  <c r="T96" i="8"/>
  <c r="N84" i="8"/>
  <c r="M90" i="8"/>
  <c r="T118" i="8" s="1"/>
  <c r="U118" i="8" s="1"/>
  <c r="J108" i="8"/>
  <c r="U112" i="8"/>
  <c r="U98" i="8"/>
  <c r="T109" i="8"/>
  <c r="U111" i="8"/>
  <c r="T112" i="8"/>
  <c r="U110" i="8"/>
  <c r="N87" i="8"/>
  <c r="U100" i="8"/>
  <c r="U96" i="8"/>
  <c r="I139" i="8"/>
  <c r="I133" i="8"/>
  <c r="M81" i="8"/>
  <c r="T115" i="8" s="1"/>
  <c r="U115" i="8" s="1"/>
  <c r="U113" i="8"/>
  <c r="K106" i="8"/>
  <c r="J88" i="8" s="1"/>
  <c r="Q87" i="8" s="1"/>
  <c r="T125" i="8" s="1"/>
  <c r="H142" i="8"/>
  <c r="J83" i="8"/>
  <c r="R81" i="8" s="1"/>
  <c r="K81" i="8" a="1"/>
  <c r="K81" i="8" s="1"/>
  <c r="I136" i="8"/>
  <c r="I142" i="8"/>
  <c r="K100" i="8"/>
  <c r="J82" i="8" s="1"/>
  <c r="M87" i="8"/>
  <c r="T117" i="8" s="1"/>
  <c r="U117" i="8" s="1"/>
  <c r="J101" i="8"/>
  <c r="J109" i="8"/>
  <c r="M84" i="8"/>
  <c r="T116" i="8" s="1"/>
  <c r="U116" i="8" s="1"/>
  <c r="J91" i="8"/>
  <c r="Q90" i="8" s="1"/>
  <c r="T126" i="8" s="1"/>
  <c r="J87" i="8"/>
  <c r="K104" i="8"/>
  <c r="J86" i="8" s="1"/>
  <c r="R84" i="8" s="1"/>
  <c r="R87" i="8"/>
  <c r="Q81" i="8"/>
  <c r="T123" i="8" s="1"/>
  <c r="Q84" i="8"/>
  <c r="T124" i="8" s="1"/>
  <c r="I105" i="8"/>
  <c r="I110" i="8"/>
  <c r="I102" i="8"/>
  <c r="I103" i="8"/>
  <c r="I109" i="8"/>
  <c r="I108" i="8"/>
  <c r="J105" i="8"/>
  <c r="J102" i="8"/>
  <c r="J103" i="8"/>
  <c r="J107" i="8"/>
  <c r="J110" i="8"/>
  <c r="R3" i="6"/>
  <c r="O3" i="6"/>
  <c r="H4" i="6"/>
  <c r="H5" i="6"/>
  <c r="H6" i="6"/>
  <c r="H7" i="6"/>
  <c r="H8" i="6"/>
  <c r="H9" i="6"/>
  <c r="H10" i="6"/>
  <c r="H11" i="6"/>
  <c r="H12" i="6"/>
  <c r="H13" i="6"/>
  <c r="H14" i="6"/>
  <c r="I3" i="6"/>
  <c r="M3" i="6"/>
  <c r="I19" i="3"/>
  <c r="I20" i="3"/>
  <c r="B16" i="3"/>
  <c r="J26" i="3"/>
  <c r="K26" i="3" s="1"/>
  <c r="L26" i="3" s="1"/>
  <c r="M26" i="3" s="1"/>
  <c r="J27" i="3"/>
  <c r="J25" i="3"/>
  <c r="J23" i="3"/>
  <c r="K23" i="3" s="1"/>
  <c r="L23" i="3" s="1"/>
  <c r="M23" i="3" s="1"/>
  <c r="J24" i="3"/>
  <c r="J22" i="3"/>
  <c r="J21" i="3"/>
  <c r="K22" i="3"/>
  <c r="L22" i="3" s="1"/>
  <c r="M22" i="3" s="1"/>
  <c r="J20" i="3"/>
  <c r="J19" i="3"/>
  <c r="I17" i="3"/>
  <c r="K17" i="3" s="1"/>
  <c r="L17" i="3" s="1"/>
  <c r="M17" i="3" s="1"/>
  <c r="I18" i="3"/>
  <c r="I21" i="3"/>
  <c r="K21" i="3" s="1"/>
  <c r="L21" i="3" s="1"/>
  <c r="M21" i="3" s="1"/>
  <c r="I22" i="3"/>
  <c r="I23" i="3"/>
  <c r="I24" i="3"/>
  <c r="K24" i="3" s="1"/>
  <c r="L24" i="3" s="1"/>
  <c r="M24" i="3" s="1"/>
  <c r="I25" i="3"/>
  <c r="K25" i="3" s="1"/>
  <c r="L25" i="3" s="1"/>
  <c r="M25" i="3" s="1"/>
  <c r="I26" i="3"/>
  <c r="I27" i="3"/>
  <c r="K27" i="3" s="1"/>
  <c r="L27" i="3" s="1"/>
  <c r="M27" i="3" s="1"/>
  <c r="K16" i="3"/>
  <c r="L16" i="3" s="1"/>
  <c r="M16" i="3" s="1"/>
  <c r="B12" i="3"/>
  <c r="K18" i="3"/>
  <c r="L18" i="3" s="1"/>
  <c r="M18" i="3" s="1"/>
  <c r="I81" i="8" l="1"/>
  <c r="D133" i="8"/>
  <c r="E133" i="8" s="1"/>
  <c r="F133" i="8" s="1"/>
  <c r="I107" i="8"/>
  <c r="I89" i="8" s="1"/>
  <c r="I104" i="8"/>
  <c r="I100" i="8"/>
  <c r="I82" i="8" s="1"/>
  <c r="I106" i="8"/>
  <c r="D140" i="8" s="1"/>
  <c r="E140" i="8" s="1"/>
  <c r="F140" i="8" s="1"/>
  <c r="G140" i="8" s="1"/>
  <c r="I101" i="8"/>
  <c r="D135" i="8" s="1"/>
  <c r="E135" i="8" s="1"/>
  <c r="F135" i="8" s="1"/>
  <c r="G133" i="8"/>
  <c r="I91" i="8"/>
  <c r="D143" i="8"/>
  <c r="E143" i="8" s="1"/>
  <c r="F143" i="8" s="1"/>
  <c r="G143" i="8" s="1"/>
  <c r="I85" i="8"/>
  <c r="D137" i="8"/>
  <c r="E137" i="8" s="1"/>
  <c r="F137" i="8" s="1"/>
  <c r="G137" i="8" s="1"/>
  <c r="R90" i="8"/>
  <c r="D136" i="8"/>
  <c r="I84" i="8"/>
  <c r="D144" i="8"/>
  <c r="E144" i="8" s="1"/>
  <c r="F144" i="8" s="1"/>
  <c r="G144" i="8" s="1"/>
  <c r="I92" i="8"/>
  <c r="D141" i="8"/>
  <c r="E141" i="8" s="1"/>
  <c r="F141" i="8" s="1"/>
  <c r="G141" i="8" s="1"/>
  <c r="D138" i="8"/>
  <c r="E138" i="8" s="1"/>
  <c r="F138" i="8" s="1"/>
  <c r="G138" i="8" s="1"/>
  <c r="I86" i="8"/>
  <c r="D134" i="8"/>
  <c r="E134" i="8" s="1"/>
  <c r="F134" i="8" s="1"/>
  <c r="G134" i="8" s="1"/>
  <c r="D142" i="8"/>
  <c r="I90" i="8"/>
  <c r="I87" i="8"/>
  <c r="D139" i="8"/>
  <c r="S81" i="8"/>
  <c r="T127" i="8" s="1"/>
  <c r="T81" i="8"/>
  <c r="S84" i="8"/>
  <c r="T128" i="8" s="1"/>
  <c r="T84" i="8"/>
  <c r="S87" i="8"/>
  <c r="T129" i="8" s="1"/>
  <c r="T87" i="8"/>
  <c r="T90" i="8"/>
  <c r="S90" i="8"/>
  <c r="T130" i="8" s="1"/>
  <c r="K20" i="3"/>
  <c r="L20" i="3" s="1"/>
  <c r="M20" i="3" s="1"/>
  <c r="K19" i="3"/>
  <c r="L19" i="3" s="1"/>
  <c r="M19" i="3" s="1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G135" i="8" l="1"/>
  <c r="N133" i="8"/>
  <c r="L133" i="8"/>
  <c r="K133" i="8"/>
  <c r="I83" i="8"/>
  <c r="I88" i="8"/>
  <c r="O87" i="8" s="1"/>
  <c r="T121" i="8" s="1"/>
  <c r="U121" i="8" s="1"/>
  <c r="U125" i="8" s="1"/>
  <c r="U129" i="8" s="1"/>
  <c r="O90" i="8"/>
  <c r="T122" i="8" s="1"/>
  <c r="U122" i="8" s="1"/>
  <c r="U126" i="8" s="1"/>
  <c r="U130" i="8" s="1"/>
  <c r="M133" i="8"/>
  <c r="O133" i="8"/>
  <c r="K139" i="8"/>
  <c r="J139" i="8"/>
  <c r="E139" i="8"/>
  <c r="O81" i="8"/>
  <c r="T119" i="8" s="1"/>
  <c r="U119" i="8" s="1"/>
  <c r="U123" i="8" s="1"/>
  <c r="U127" i="8" s="1"/>
  <c r="P81" i="8"/>
  <c r="P87" i="8"/>
  <c r="P90" i="8"/>
  <c r="O84" i="8"/>
  <c r="T120" i="8" s="1"/>
  <c r="U120" i="8" s="1"/>
  <c r="U124" i="8" s="1"/>
  <c r="U128" i="8" s="1"/>
  <c r="P84" i="8"/>
  <c r="E142" i="8"/>
  <c r="K142" i="8"/>
  <c r="J142" i="8"/>
  <c r="E136" i="8"/>
  <c r="J136" i="8"/>
  <c r="K136" i="8"/>
  <c r="Q133" i="8"/>
  <c r="J133" i="8"/>
  <c r="P133" i="8"/>
  <c r="U87" i="8"/>
  <c r="T133" i="8" s="1"/>
  <c r="V87" i="8"/>
  <c r="U84" i="8"/>
  <c r="T132" i="8" s="1"/>
  <c r="V84" i="8"/>
  <c r="U81" i="8"/>
  <c r="T131" i="8" s="1"/>
  <c r="V81" i="8"/>
  <c r="U90" i="8"/>
  <c r="T134" i="8" s="1"/>
  <c r="V90" i="8"/>
  <c r="L14" i="6"/>
  <c r="N14" i="6" s="1"/>
  <c r="O14" i="6" s="1"/>
  <c r="I14" i="6"/>
  <c r="M14" i="6" s="1"/>
  <c r="P14" i="6" s="1"/>
  <c r="Q14" i="6" s="1"/>
  <c r="G14" i="6"/>
  <c r="L13" i="6"/>
  <c r="N13" i="6" s="1"/>
  <c r="O13" i="6" s="1"/>
  <c r="I13" i="6"/>
  <c r="M13" i="6" s="1"/>
  <c r="P13" i="6" s="1"/>
  <c r="Q13" i="6" s="1"/>
  <c r="G13" i="6"/>
  <c r="L12" i="6"/>
  <c r="N12" i="6" s="1"/>
  <c r="O12" i="6" s="1"/>
  <c r="I12" i="6"/>
  <c r="M12" i="6" s="1"/>
  <c r="P12" i="6" s="1"/>
  <c r="Q12" i="6" s="1"/>
  <c r="G12" i="6"/>
  <c r="L11" i="6"/>
  <c r="N11" i="6" s="1"/>
  <c r="O11" i="6" s="1"/>
  <c r="I11" i="6"/>
  <c r="M11" i="6" s="1"/>
  <c r="P11" i="6" s="1"/>
  <c r="Q11" i="6" s="1"/>
  <c r="G11" i="6"/>
  <c r="L10" i="6"/>
  <c r="N10" i="6" s="1"/>
  <c r="O10" i="6" s="1"/>
  <c r="I10" i="6"/>
  <c r="M10" i="6" s="1"/>
  <c r="P10" i="6" s="1"/>
  <c r="Q10" i="6" s="1"/>
  <c r="G10" i="6"/>
  <c r="L9" i="6"/>
  <c r="N9" i="6" s="1"/>
  <c r="O9" i="6" s="1"/>
  <c r="I9" i="6"/>
  <c r="M9" i="6" s="1"/>
  <c r="P9" i="6" s="1"/>
  <c r="Q9" i="6" s="1"/>
  <c r="G9" i="6"/>
  <c r="L8" i="6"/>
  <c r="N8" i="6" s="1"/>
  <c r="O8" i="6" s="1"/>
  <c r="I8" i="6"/>
  <c r="M8" i="6" s="1"/>
  <c r="P8" i="6" s="1"/>
  <c r="Q8" i="6" s="1"/>
  <c r="G8" i="6"/>
  <c r="L7" i="6"/>
  <c r="N7" i="6" s="1"/>
  <c r="O7" i="6" s="1"/>
  <c r="I7" i="6"/>
  <c r="M7" i="6" s="1"/>
  <c r="P7" i="6" s="1"/>
  <c r="Q7" i="6" s="1"/>
  <c r="G7" i="6"/>
  <c r="L6" i="6"/>
  <c r="N6" i="6" s="1"/>
  <c r="O6" i="6" s="1"/>
  <c r="I6" i="6"/>
  <c r="M6" i="6" s="1"/>
  <c r="P6" i="6" s="1"/>
  <c r="Q6" i="6" s="1"/>
  <c r="G6" i="6"/>
  <c r="L5" i="6"/>
  <c r="I5" i="6"/>
  <c r="M5" i="6" s="1"/>
  <c r="P5" i="6" s="1"/>
  <c r="Q5" i="6" s="1"/>
  <c r="G5" i="6"/>
  <c r="L4" i="6"/>
  <c r="I4" i="6"/>
  <c r="M4" i="6" s="1"/>
  <c r="P4" i="6" s="1"/>
  <c r="Q4" i="6" s="1"/>
  <c r="G4" i="6"/>
  <c r="L3" i="6"/>
  <c r="G3" i="6"/>
  <c r="H45" i="3"/>
  <c r="F45" i="3"/>
  <c r="H44" i="3"/>
  <c r="F44" i="3"/>
  <c r="H43" i="3"/>
  <c r="F43" i="3"/>
  <c r="H42" i="3"/>
  <c r="F42" i="3"/>
  <c r="H41" i="3"/>
  <c r="F41" i="3"/>
  <c r="H40" i="3"/>
  <c r="F40" i="3"/>
  <c r="H83" i="3"/>
  <c r="F83" i="3"/>
  <c r="H82" i="3"/>
  <c r="F82" i="3"/>
  <c r="H81" i="3"/>
  <c r="F81" i="3"/>
  <c r="H80" i="3"/>
  <c r="F80" i="3"/>
  <c r="H79" i="3"/>
  <c r="F79" i="3"/>
  <c r="H78" i="3"/>
  <c r="F78" i="3"/>
  <c r="K34" i="3"/>
  <c r="M34" i="3"/>
  <c r="N34" i="3" s="1"/>
  <c r="K35" i="3"/>
  <c r="M35" i="3" s="1"/>
  <c r="N35" i="3" s="1"/>
  <c r="K36" i="3"/>
  <c r="M36" i="3" s="1"/>
  <c r="N36" i="3" s="1"/>
  <c r="K37" i="3"/>
  <c r="M37" i="3" s="1"/>
  <c r="N37" i="3" s="1"/>
  <c r="K38" i="3"/>
  <c r="M38" i="3" s="1"/>
  <c r="N38" i="3" s="1"/>
  <c r="K39" i="3"/>
  <c r="M39" i="3" s="1"/>
  <c r="N39" i="3" s="1"/>
  <c r="K40" i="3"/>
  <c r="M40" i="3" s="1"/>
  <c r="N40" i="3" s="1"/>
  <c r="K41" i="3"/>
  <c r="M41" i="3" s="1"/>
  <c r="N41" i="3" s="1"/>
  <c r="K42" i="3"/>
  <c r="M42" i="3" s="1"/>
  <c r="N42" i="3" s="1"/>
  <c r="K43" i="3"/>
  <c r="M43" i="3" s="1"/>
  <c r="N43" i="3" s="1"/>
  <c r="K44" i="3"/>
  <c r="M44" i="3" s="1"/>
  <c r="N44" i="3" s="1"/>
  <c r="K45" i="3"/>
  <c r="M45" i="3" s="1"/>
  <c r="N45" i="3" s="1"/>
  <c r="U134" i="8" l="1"/>
  <c r="U132" i="8"/>
  <c r="M142" i="8"/>
  <c r="L142" i="8"/>
  <c r="F142" i="8"/>
  <c r="L136" i="8"/>
  <c r="F136" i="8"/>
  <c r="M136" i="8"/>
  <c r="M139" i="8"/>
  <c r="F139" i="8"/>
  <c r="L139" i="8"/>
  <c r="U133" i="8"/>
  <c r="U131" i="8"/>
  <c r="O4" i="6"/>
  <c r="N4" i="6"/>
  <c r="N5" i="6"/>
  <c r="O5" i="6" s="1"/>
  <c r="N3" i="6"/>
  <c r="H35" i="3"/>
  <c r="L35" i="3" s="1"/>
  <c r="O35" i="3" s="1"/>
  <c r="P35" i="3" s="1"/>
  <c r="H36" i="3"/>
  <c r="L36" i="3" s="1"/>
  <c r="O36" i="3" s="1"/>
  <c r="P36" i="3" s="1"/>
  <c r="H37" i="3"/>
  <c r="L37" i="3" s="1"/>
  <c r="O37" i="3" s="1"/>
  <c r="P37" i="3" s="1"/>
  <c r="H38" i="3"/>
  <c r="L38" i="3" s="1"/>
  <c r="O38" i="3" s="1"/>
  <c r="P38" i="3" s="1"/>
  <c r="H39" i="3"/>
  <c r="L39" i="3" s="1"/>
  <c r="O39" i="3" s="1"/>
  <c r="P39" i="3" s="1"/>
  <c r="L40" i="3"/>
  <c r="O40" i="3" s="1"/>
  <c r="P40" i="3" s="1"/>
  <c r="L41" i="3"/>
  <c r="O41" i="3" s="1"/>
  <c r="P41" i="3" s="1"/>
  <c r="L42" i="3"/>
  <c r="O42" i="3" s="1"/>
  <c r="P42" i="3" s="1"/>
  <c r="L43" i="3"/>
  <c r="O43" i="3" s="1"/>
  <c r="P43" i="3" s="1"/>
  <c r="L44" i="3"/>
  <c r="O44" i="3" s="1"/>
  <c r="P44" i="3" s="1"/>
  <c r="L45" i="3"/>
  <c r="O45" i="3" s="1"/>
  <c r="P45" i="3" s="1"/>
  <c r="H34" i="3"/>
  <c r="L34" i="3" s="1"/>
  <c r="O34" i="3" s="1"/>
  <c r="P34" i="3" s="1"/>
  <c r="F35" i="3"/>
  <c r="F36" i="3"/>
  <c r="F37" i="3"/>
  <c r="F38" i="3"/>
  <c r="F39" i="3"/>
  <c r="F34" i="3"/>
  <c r="C24" i="3"/>
  <c r="C22" i="3"/>
  <c r="G139" i="8" l="1"/>
  <c r="O139" i="8"/>
  <c r="N139" i="8"/>
  <c r="O136" i="8"/>
  <c r="N136" i="8"/>
  <c r="G136" i="8"/>
  <c r="G142" i="8"/>
  <c r="N142" i="8"/>
  <c r="O142" i="8"/>
  <c r="C26" i="3"/>
  <c r="C27" i="3"/>
  <c r="C25" i="3"/>
  <c r="C23" i="3"/>
  <c r="C20" i="3"/>
  <c r="B19" i="3"/>
  <c r="D19" i="3" s="1"/>
  <c r="E19" i="3" s="1"/>
  <c r="F19" i="3" s="1"/>
  <c r="B20" i="3"/>
  <c r="D20" i="3" s="1"/>
  <c r="E20" i="3" s="1"/>
  <c r="F20" i="3" s="1"/>
  <c r="B21" i="3"/>
  <c r="B22" i="3"/>
  <c r="D22" i="3" s="1"/>
  <c r="E22" i="3" s="1"/>
  <c r="F22" i="3" s="1"/>
  <c r="B23" i="3"/>
  <c r="D23" i="3" s="1"/>
  <c r="E23" i="3" s="1"/>
  <c r="F23" i="3" s="1"/>
  <c r="B24" i="3"/>
  <c r="D24" i="3" s="1"/>
  <c r="E24" i="3" s="1"/>
  <c r="F24" i="3" s="1"/>
  <c r="B25" i="3"/>
  <c r="B26" i="3"/>
  <c r="B27" i="3"/>
  <c r="D27" i="3" s="1"/>
  <c r="E27" i="3" s="1"/>
  <c r="F27" i="3" s="1"/>
  <c r="D17" i="3"/>
  <c r="E17" i="3" s="1"/>
  <c r="F17" i="3" s="1"/>
  <c r="B18" i="3"/>
  <c r="D18" i="3" s="1"/>
  <c r="E18" i="3" s="1"/>
  <c r="F18" i="3" s="1"/>
  <c r="D16" i="3"/>
  <c r="E16" i="3" s="1"/>
  <c r="Q142" i="8" l="1"/>
  <c r="P142" i="8"/>
  <c r="P136" i="8"/>
  <c r="Q136" i="8"/>
  <c r="P139" i="8"/>
  <c r="Q139" i="8"/>
  <c r="D25" i="3"/>
  <c r="E25" i="3" s="1"/>
  <c r="F25" i="3" s="1"/>
  <c r="D21" i="3"/>
  <c r="E21" i="3" s="1"/>
  <c r="F21" i="3" s="1"/>
  <c r="D26" i="3"/>
  <c r="E26" i="3" s="1"/>
  <c r="F26" i="3" s="1"/>
  <c r="D5" i="3"/>
  <c r="D6" i="3"/>
  <c r="D7" i="3"/>
  <c r="D8" i="3"/>
  <c r="D9" i="3"/>
  <c r="D10" i="3"/>
  <c r="E9" i="3" l="1"/>
  <c r="E7" i="3"/>
  <c r="E5" i="3"/>
  <c r="C14" i="1"/>
  <c r="B11" i="1"/>
  <c r="B14" i="1" s="1"/>
  <c r="B18" i="2" l="1"/>
  <c r="B17" i="2"/>
  <c r="B16" i="2"/>
  <c r="B15" i="2"/>
  <c r="B14" i="2"/>
  <c r="B13" i="2"/>
  <c r="B12" i="2"/>
  <c r="B11" i="2"/>
  <c r="D3" i="3"/>
  <c r="D4" i="3"/>
  <c r="D2" i="3"/>
  <c r="K69" i="10"/>
  <c r="K68" i="10"/>
  <c r="K62" i="10"/>
  <c r="K60" i="10"/>
  <c r="K59" i="10"/>
  <c r="K57" i="10"/>
  <c r="K56" i="10"/>
  <c r="K53" i="10"/>
  <c r="K52" i="10"/>
  <c r="K50" i="10"/>
  <c r="K49" i="10"/>
  <c r="K47" i="10"/>
  <c r="K46" i="10"/>
  <c r="K44" i="10"/>
  <c r="K43" i="10"/>
  <c r="K41" i="10"/>
  <c r="K40" i="10"/>
  <c r="K37" i="10"/>
  <c r="K36" i="10"/>
  <c r="K34" i="10"/>
  <c r="K33" i="10"/>
  <c r="K31" i="10"/>
  <c r="K30" i="10"/>
  <c r="K28" i="10"/>
  <c r="K27" i="10"/>
  <c r="K25" i="10"/>
  <c r="K24" i="10"/>
  <c r="K21" i="10"/>
  <c r="K20" i="10"/>
  <c r="K18" i="10"/>
  <c r="K17" i="10"/>
  <c r="K15" i="10"/>
  <c r="K14" i="10"/>
  <c r="K12" i="10"/>
  <c r="K11" i="10"/>
  <c r="K9" i="10"/>
  <c r="K8" i="10"/>
  <c r="H110" i="8"/>
  <c r="H109" i="8"/>
  <c r="H108" i="8"/>
  <c r="H107" i="8"/>
  <c r="H106" i="8"/>
  <c r="H105" i="8"/>
  <c r="H104" i="8"/>
  <c r="H103" i="8"/>
  <c r="H102" i="8"/>
  <c r="H101" i="8"/>
  <c r="H100" i="8"/>
  <c r="L92" i="8"/>
  <c r="L91" i="8"/>
  <c r="L90" i="8"/>
  <c r="L89" i="8"/>
  <c r="L88" i="8"/>
  <c r="L87" i="8"/>
  <c r="L86" i="8"/>
  <c r="L85" i="8"/>
  <c r="L84" i="8"/>
  <c r="L83" i="8"/>
  <c r="L82" i="8"/>
  <c r="K92" i="8"/>
  <c r="K91" i="8"/>
  <c r="K90" i="8"/>
  <c r="K89" i="8"/>
  <c r="K88" i="8"/>
  <c r="K87" i="8"/>
  <c r="K86" i="8"/>
  <c r="K85" i="8"/>
  <c r="K84" i="8"/>
  <c r="K83" i="8"/>
  <c r="K82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<sst xmlns="http://schemas.openxmlformats.org/spreadsheetml/2006/main" count="1543" uniqueCount="308">
  <si>
    <t xml:space="preserve">Sample </t>
  </si>
  <si>
    <t>BR1</t>
  </si>
  <si>
    <t>BR2</t>
  </si>
  <si>
    <t>BR3</t>
  </si>
  <si>
    <t>pH</t>
  </si>
  <si>
    <t>0,45µm</t>
  </si>
  <si>
    <t xml:space="preserve">filter </t>
  </si>
  <si>
    <t xml:space="preserve">week 1 </t>
  </si>
  <si>
    <t xml:space="preserve">week 2 </t>
  </si>
  <si>
    <t>week 3</t>
  </si>
  <si>
    <t xml:space="preserve">week 4 </t>
  </si>
  <si>
    <t xml:space="preserve">week 5 </t>
  </si>
  <si>
    <t xml:space="preserve">Steps </t>
  </si>
  <si>
    <t xml:space="preserve">1. </t>
  </si>
  <si>
    <t xml:space="preserve">Leaching step </t>
  </si>
  <si>
    <t xml:space="preserve">L/S </t>
  </si>
  <si>
    <t xml:space="preserve">L/S final </t>
  </si>
  <si>
    <t xml:space="preserve">Samples </t>
  </si>
  <si>
    <t xml:space="preserve">Water % </t>
  </si>
  <si>
    <t xml:space="preserve">Yuki Ex. </t>
  </si>
  <si>
    <t>L/S</t>
  </si>
  <si>
    <t xml:space="preserve">gr </t>
  </si>
  <si>
    <t>material</t>
  </si>
  <si>
    <t xml:space="preserve">water </t>
  </si>
  <si>
    <t xml:space="preserve">ml </t>
  </si>
  <si>
    <t xml:space="preserve">initial </t>
  </si>
  <si>
    <t xml:space="preserve">initial amount </t>
  </si>
  <si>
    <t>wet weight</t>
  </si>
  <si>
    <t xml:space="preserve">dry weight </t>
  </si>
  <si>
    <t>Pre Experiment</t>
  </si>
  <si>
    <t>Sample</t>
  </si>
  <si>
    <t>BR (wet)</t>
  </si>
  <si>
    <t>gr</t>
  </si>
  <si>
    <t xml:space="preserve">Açai seed </t>
  </si>
  <si>
    <t xml:space="preserve">Water H2O </t>
  </si>
  <si>
    <t xml:space="preserve">Total </t>
  </si>
  <si>
    <t xml:space="preserve">L/R </t>
  </si>
  <si>
    <t xml:space="preserve">Açai seed 1 </t>
  </si>
  <si>
    <t>Açai seed 2</t>
  </si>
  <si>
    <t>100 C</t>
  </si>
  <si>
    <t>Gyspsum 2 G-250</t>
  </si>
  <si>
    <t>Gyspum 1 G-250</t>
  </si>
  <si>
    <t>Soil 1 G-250</t>
  </si>
  <si>
    <t xml:space="preserve">Soil 2 G-250 </t>
  </si>
  <si>
    <t xml:space="preserve">2 grams anmendments </t>
  </si>
  <si>
    <t>Starts</t>
  </si>
  <si>
    <t>End</t>
  </si>
  <si>
    <t xml:space="preserve">5 grams BR </t>
  </si>
  <si>
    <t xml:space="preserve">Temperature </t>
  </si>
  <si>
    <t>Amount</t>
  </si>
  <si>
    <t>BRA2</t>
  </si>
  <si>
    <t xml:space="preserve">BRG2 </t>
  </si>
  <si>
    <t>BRA1</t>
  </si>
  <si>
    <t>BRA3</t>
  </si>
  <si>
    <t xml:space="preserve">BRG1 </t>
  </si>
  <si>
    <t xml:space="preserve">BRG3 </t>
  </si>
  <si>
    <t>BRS1</t>
  </si>
  <si>
    <t xml:space="preserve">BRS2 </t>
  </si>
  <si>
    <t xml:space="preserve">BRS3 </t>
  </si>
  <si>
    <t>Average %</t>
  </si>
  <si>
    <t xml:space="preserve">% of amount </t>
  </si>
  <si>
    <t>l/S</t>
  </si>
  <si>
    <t>BR (g)</t>
  </si>
  <si>
    <t>ANM (g)</t>
  </si>
  <si>
    <t>TOTAL (g)</t>
  </si>
  <si>
    <t xml:space="preserve">Water (g) </t>
  </si>
  <si>
    <t xml:space="preserve">Tube with cap </t>
  </si>
  <si>
    <t xml:space="preserve">Tube without cap </t>
  </si>
  <si>
    <t>TOTAL solid (g)</t>
  </si>
  <si>
    <t>TOTAL water (g)</t>
  </si>
  <si>
    <t>Tube without cap + Total Solid (g) AFTER DRY</t>
  </si>
  <si>
    <t>Tube with cap + Total Solid (g) AFTER DRY</t>
  </si>
  <si>
    <t>#</t>
  </si>
  <si>
    <t>EC microS/cm</t>
  </si>
  <si>
    <t>Celcius</t>
  </si>
  <si>
    <t>Alkalinity (mol)</t>
  </si>
  <si>
    <t>Alk meq/Kgw</t>
  </si>
  <si>
    <t>1WBR1</t>
  </si>
  <si>
    <t>1WBR2</t>
  </si>
  <si>
    <t>1WBR3</t>
  </si>
  <si>
    <t>1WBRA1</t>
  </si>
  <si>
    <t>1WBRA2</t>
  </si>
  <si>
    <t>1WBRA3</t>
  </si>
  <si>
    <t xml:space="preserve">1WBRS1 </t>
  </si>
  <si>
    <t xml:space="preserve">1WBRS2 </t>
  </si>
  <si>
    <t xml:space="preserve">1WBRS3 </t>
  </si>
  <si>
    <t>1WBRG1</t>
  </si>
  <si>
    <t xml:space="preserve">1WBRG2 </t>
  </si>
  <si>
    <t xml:space="preserve">1WBRG3 </t>
  </si>
  <si>
    <t>2WBR1</t>
  </si>
  <si>
    <t>2WBR2</t>
  </si>
  <si>
    <t>2WBR3</t>
  </si>
  <si>
    <t>2WBRA1</t>
  </si>
  <si>
    <t>2WBRA2</t>
  </si>
  <si>
    <t>2WBRA3</t>
  </si>
  <si>
    <t xml:space="preserve">2WBRS1 </t>
  </si>
  <si>
    <t xml:space="preserve">2WBRS2 </t>
  </si>
  <si>
    <t xml:space="preserve">2WBRS3 </t>
  </si>
  <si>
    <t>2WBRG1</t>
  </si>
  <si>
    <t xml:space="preserve">2WBRG2 </t>
  </si>
  <si>
    <t xml:space="preserve">2WBRG3 </t>
  </si>
  <si>
    <t>3WBR1</t>
  </si>
  <si>
    <t>3WBR2</t>
  </si>
  <si>
    <t>3WBR3</t>
  </si>
  <si>
    <t>3WBRA1</t>
  </si>
  <si>
    <t>3WBRA2</t>
  </si>
  <si>
    <t>3WBRA3</t>
  </si>
  <si>
    <t xml:space="preserve">3WBRS1 </t>
  </si>
  <si>
    <t xml:space="preserve">3WBRS2 </t>
  </si>
  <si>
    <t xml:space="preserve">3WBRS3 </t>
  </si>
  <si>
    <t>3WBRG1</t>
  </si>
  <si>
    <t xml:space="preserve">3WBRG2 </t>
  </si>
  <si>
    <t xml:space="preserve">3WBRG3 </t>
  </si>
  <si>
    <t>Invalid</t>
  </si>
  <si>
    <t>4WBR1</t>
  </si>
  <si>
    <t>4WBR2</t>
  </si>
  <si>
    <t>4WBR3</t>
  </si>
  <si>
    <t>4WBRA1</t>
  </si>
  <si>
    <t>4WBRA2</t>
  </si>
  <si>
    <t>4WBRA3</t>
  </si>
  <si>
    <t xml:space="preserve">4WBRS1 </t>
  </si>
  <si>
    <t xml:space="preserve">4WBRS2 </t>
  </si>
  <si>
    <t xml:space="preserve">4WBRS3 </t>
  </si>
  <si>
    <t>4WBRG1</t>
  </si>
  <si>
    <t xml:space="preserve">4WBRG2 </t>
  </si>
  <si>
    <t xml:space="preserve">4WBRG3 </t>
  </si>
  <si>
    <t>5WBR1</t>
  </si>
  <si>
    <t>5WBR2</t>
  </si>
  <si>
    <t>5WBR3</t>
  </si>
  <si>
    <t>5WBRA1</t>
  </si>
  <si>
    <t>5WBRA2</t>
  </si>
  <si>
    <t>5WBRA3</t>
  </si>
  <si>
    <t xml:space="preserve">5WBRS1 </t>
  </si>
  <si>
    <t xml:space="preserve">5WBRS2 </t>
  </si>
  <si>
    <t xml:space="preserve">5WBRS3 </t>
  </si>
  <si>
    <t>5WBRG1</t>
  </si>
  <si>
    <t xml:space="preserve">5WBRG2 </t>
  </si>
  <si>
    <t xml:space="preserve">5WBRG3 </t>
  </si>
  <si>
    <t xml:space="preserve">Tube with cap + Total Solid (g) BEFORE DRY </t>
  </si>
  <si>
    <t>Tube without cap + Total Solid (g) BEFORE DRY</t>
  </si>
  <si>
    <t xml:space="preserve">Solid lost after 5 weeks (g) without cap </t>
  </si>
  <si>
    <t xml:space="preserve">Soild lost after 5 weeks (g) with cap </t>
  </si>
  <si>
    <t xml:space="preserve">Soild  lost  after 5 weeks (g) with cap </t>
  </si>
  <si>
    <t>Remain of solid (g) with out cap</t>
  </si>
  <si>
    <t>loss of  solid (%) without cap</t>
  </si>
  <si>
    <t>Remain of solid (g) with cap</t>
  </si>
  <si>
    <t>loss of solid (%) with cap</t>
  </si>
  <si>
    <t>loss of solid (%) without cap</t>
  </si>
  <si>
    <t xml:space="preserve">Weight Sample (g) </t>
  </si>
  <si>
    <t>Total Weight (sample + HNO3 1%) (g)</t>
  </si>
  <si>
    <t xml:space="preserve">Dilution Factor </t>
  </si>
  <si>
    <t xml:space="preserve">dry wehgiht </t>
  </si>
  <si>
    <t>4-dic-2020</t>
  </si>
  <si>
    <t>Al (µg/L)</t>
  </si>
  <si>
    <t>/</t>
  </si>
  <si>
    <t>Average pH</t>
  </si>
  <si>
    <t>Standard Deviation pH</t>
  </si>
  <si>
    <t>Avergae EC</t>
  </si>
  <si>
    <t>Standard deviaton</t>
  </si>
  <si>
    <t>Average C</t>
  </si>
  <si>
    <t>Standard deviation C</t>
  </si>
  <si>
    <t xml:space="preserve">L s cumulative </t>
  </si>
  <si>
    <t xml:space="preserve">average week 1 </t>
  </si>
  <si>
    <t xml:space="preserve">    </t>
  </si>
  <si>
    <t xml:space="preserve">week 3 </t>
  </si>
  <si>
    <t>Leaching step</t>
  </si>
  <si>
    <t>S85:S87</t>
  </si>
  <si>
    <t>leaching step</t>
  </si>
  <si>
    <t xml:space="preserve">average ph </t>
  </si>
  <si>
    <t xml:space="preserve">average C </t>
  </si>
  <si>
    <t>dvst</t>
  </si>
  <si>
    <t xml:space="preserve">dvst </t>
  </si>
  <si>
    <t>week 5</t>
  </si>
  <si>
    <t>Total weight (g)</t>
  </si>
  <si>
    <t>Total water (g)</t>
  </si>
  <si>
    <t>STDEV 1</t>
  </si>
  <si>
    <t xml:space="preserve">average week 2 </t>
  </si>
  <si>
    <t>STDEV 2</t>
  </si>
  <si>
    <t>average week 3</t>
  </si>
  <si>
    <t>STDEV 3</t>
  </si>
  <si>
    <t>average week 4</t>
  </si>
  <si>
    <t>STDEV 4</t>
  </si>
  <si>
    <t>average week 5</t>
  </si>
  <si>
    <t>STDEV 5</t>
  </si>
  <si>
    <t>L/S ( per week)</t>
  </si>
  <si>
    <t>None</t>
  </si>
  <si>
    <t>Acai</t>
  </si>
  <si>
    <t>Soil</t>
  </si>
  <si>
    <t xml:space="preserve">Gypsum </t>
  </si>
  <si>
    <t>L/S (cumulative)</t>
  </si>
  <si>
    <t>10,05 ± 0,05</t>
  </si>
  <si>
    <t>10,02 ± 0,03</t>
  </si>
  <si>
    <t>10,03 ± 0,03</t>
  </si>
  <si>
    <t>10,09 ± 0,04</t>
  </si>
  <si>
    <t>10,02 ± 0,01</t>
  </si>
  <si>
    <t>10,07 ± 0,06</t>
  </si>
  <si>
    <t xml:space="preserve">Cumulative </t>
  </si>
  <si>
    <t>20,07 ± 0,05</t>
  </si>
  <si>
    <t>30,10 ± 0,03</t>
  </si>
  <si>
    <t>30,08 ± 0,15</t>
  </si>
  <si>
    <t>30,12 ± 0,03</t>
  </si>
  <si>
    <t>30,08 ± 0,05</t>
  </si>
  <si>
    <t>40,13 ± 0,03</t>
  </si>
  <si>
    <t>50,14 ± 0,27</t>
  </si>
  <si>
    <t>50,21 ± 0,04</t>
  </si>
  <si>
    <t>10,03 ± 0,01</t>
  </si>
  <si>
    <t>10,03 ± 0,04</t>
  </si>
  <si>
    <t>10,04 ± 0,09</t>
  </si>
  <si>
    <t>10,02 ± 0,02</t>
  </si>
  <si>
    <t>10,05 ± 0,04</t>
  </si>
  <si>
    <t>20,04 ± 0,07</t>
  </si>
  <si>
    <t>20,11 ± 0,04</t>
  </si>
  <si>
    <t>20,03 ± 0,02</t>
  </si>
  <si>
    <t>40,11 ± 0,24</t>
  </si>
  <si>
    <t>40,14 ± 0,04</t>
  </si>
  <si>
    <t>40,13 ± 0,09</t>
  </si>
  <si>
    <t>50,15 ± 0,05</t>
  </si>
  <si>
    <t>50,14 ± 0,10</t>
  </si>
  <si>
    <t xml:space="preserve">EC </t>
  </si>
  <si>
    <t>11,99 ± 0,02</t>
  </si>
  <si>
    <t>11,82 ± 0,01</t>
  </si>
  <si>
    <t>11,69 ± 0,03</t>
  </si>
  <si>
    <t>11,76 ± 0,01</t>
  </si>
  <si>
    <t>11,94 ± 0,02</t>
  </si>
  <si>
    <t>10,92 ± 0,02</t>
  </si>
  <si>
    <t>11,55 ± 0,02</t>
  </si>
  <si>
    <t>10,94 ± 0,01</t>
  </si>
  <si>
    <t>11,33 ± 0,02</t>
  </si>
  <si>
    <t>11,60 ± 0,02</t>
  </si>
  <si>
    <t>11,41 ± 0,02</t>
  </si>
  <si>
    <t>11,61 ± 0,02</t>
  </si>
  <si>
    <t>11,28 ± 0,03</t>
  </si>
  <si>
    <t>11,32 ± 0,10</t>
  </si>
  <si>
    <t>11,54 ± 0,01</t>
  </si>
  <si>
    <t>11,52 ± 0,02</t>
  </si>
  <si>
    <t>11,21 ± 0,03</t>
  </si>
  <si>
    <t>11,32 ± 0,01</t>
  </si>
  <si>
    <t>11,44 ± 0,08</t>
  </si>
  <si>
    <t>3290 ± 20,00</t>
  </si>
  <si>
    <t>2403 ± 35,12</t>
  </si>
  <si>
    <t>2923 ± 98,66</t>
  </si>
  <si>
    <t>4430 ± 43,59</t>
  </si>
  <si>
    <t>1762 ± 111,65</t>
  </si>
  <si>
    <t>1340 ± 32,62</t>
  </si>
  <si>
    <t>1638 ± 31,22</t>
  </si>
  <si>
    <t>3010 ± 85,44</t>
  </si>
  <si>
    <t>1241 ± 73,08</t>
  </si>
  <si>
    <t>896 ± 6,56</t>
  </si>
  <si>
    <t>1125 ± 11,27</t>
  </si>
  <si>
    <t>1130 ± 28,59</t>
  </si>
  <si>
    <t>953 ± 38,94</t>
  </si>
  <si>
    <t>688 ± 8,54</t>
  </si>
  <si>
    <t>835 ± 4,36</t>
  </si>
  <si>
    <t>919 ± 11,37</t>
  </si>
  <si>
    <t>777 ± 12,53</t>
  </si>
  <si>
    <t xml:space="preserve">580 ± 3,51 </t>
  </si>
  <si>
    <t>705 ± 10,69</t>
  </si>
  <si>
    <t>829 ± 11,53</t>
  </si>
  <si>
    <t>per week loss %</t>
  </si>
  <si>
    <t xml:space="preserve">days </t>
  </si>
  <si>
    <t xml:space="preserve">leachin step </t>
  </si>
  <si>
    <t xml:space="preserve">Days </t>
  </si>
  <si>
    <t>EC (mS/cm)</t>
  </si>
  <si>
    <t xml:space="preserve">Total average </t>
  </si>
  <si>
    <t xml:space="preserve">Matrial and methods </t>
  </si>
  <si>
    <t xml:space="preserve">Material and methods </t>
  </si>
  <si>
    <t>Results ?</t>
  </si>
  <si>
    <t>Jan</t>
  </si>
  <si>
    <t>Dic</t>
  </si>
  <si>
    <t>Amendment</t>
  </si>
  <si>
    <t>Average Alk</t>
  </si>
  <si>
    <t>STDEV Alk</t>
  </si>
  <si>
    <t>rr</t>
  </si>
  <si>
    <t xml:space="preserve"> % of infiltation </t>
  </si>
  <si>
    <t xml:space="preserve">4,6 % infiltatrion  </t>
  </si>
  <si>
    <t xml:space="preserve">Total sum </t>
  </si>
  <si>
    <t>Total sum</t>
  </si>
  <si>
    <t>Dec</t>
  </si>
  <si>
    <t>1,5 (m)</t>
  </si>
  <si>
    <t>1,25 (m)</t>
  </si>
  <si>
    <t>1 (m)</t>
  </si>
  <si>
    <t>0,5 (m)</t>
  </si>
  <si>
    <t>0,25 (m)</t>
  </si>
  <si>
    <t>Nov</t>
  </si>
  <si>
    <t>Leaching time (years)</t>
  </si>
  <si>
    <t>L/S (cummulative)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</si>
  <si>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</si>
  <si>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</si>
  <si>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</si>
  <si>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</si>
  <si>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</si>
  <si>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</si>
  <si>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</si>
  <si>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</si>
  <si>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</si>
  <si>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meter</t>
  </si>
  <si>
    <t>mm</t>
  </si>
  <si>
    <t xml:space="preserve">Average year rainfall Belém, Brazil </t>
  </si>
  <si>
    <t>years</t>
  </si>
  <si>
    <t>depth (m)</t>
  </si>
  <si>
    <t>Net infiltration I (meter/Year)</t>
  </si>
  <si>
    <t>sea eater at 15.000 microS/C,</t>
  </si>
  <si>
    <t>Water Density  w (T/m3)</t>
  </si>
  <si>
    <t>Dry bulk Density (T/m3)</t>
  </si>
  <si>
    <t>H (height of the deposit)</t>
  </si>
  <si>
    <t>Time (years)</t>
  </si>
  <si>
    <t xml:space="preserve">Time (years) </t>
  </si>
  <si>
    <t xml:space="preserve">Key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</si>
</sst>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7E6E6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7">
    <xf numFmtId="0" fontId="0" fillId="0" borderId="0" xfId="0"/>
    <xf numFmtId="1" fontId="1" fillId="0" borderId="0" xfId="0" applyNumberFormat="1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3" borderId="2" xfId="0" applyFill="1" applyBorder="1"/>
    <xf numFmtId="0" fontId="0" fillId="5" borderId="2" xfId="0" applyFill="1" applyBorder="1"/>
    <xf numFmtId="165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5" xfId="0" applyFill="1" applyBorder="1"/>
    <xf numFmtId="0" fontId="0" fillId="5" borderId="14" xfId="0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16" xfId="0" applyFill="1" applyBorder="1"/>
    <xf numFmtId="0" fontId="0" fillId="3" borderId="16" xfId="0" applyFill="1" applyBorder="1"/>
    <xf numFmtId="2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4" xfId="0" applyBorder="1"/>
    <xf numFmtId="0" fontId="0" fillId="0" borderId="1" xfId="0" applyBorder="1"/>
    <xf numFmtId="165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0" fillId="3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/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4" xfId="0" applyFill="1" applyBorder="1" applyAlignment="1">
      <alignment vertical="center"/>
    </xf>
    <xf numFmtId="0" fontId="3" fillId="8" borderId="0" xfId="0" applyFont="1" applyFill="1"/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/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" fontId="0" fillId="0" borderId="13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3" borderId="0" xfId="0" applyFill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2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2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4" fillId="9" borderId="1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2" fontId="0" fillId="5" borderId="2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2" fontId="0" fillId="5" borderId="5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2" fontId="0" fillId="5" borderId="3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2" fontId="0" fillId="7" borderId="5" xfId="0" applyNumberFormat="1" applyFill="1" applyBorder="1" applyAlignment="1">
      <alignment horizontal="center" vertical="center"/>
    </xf>
    <xf numFmtId="2" fontId="0" fillId="7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2" fillId="0" borderId="5" xfId="0" applyFont="1" applyBorder="1"/>
    <xf numFmtId="0" fontId="0" fillId="0" borderId="3" xfId="0" applyBorder="1"/>
    <xf numFmtId="2" fontId="0" fillId="0" borderId="5" xfId="0" applyNumberFormat="1" applyFont="1" applyFill="1" applyBorder="1" applyAlignment="1">
      <alignment horizontal="center"/>
    </xf>
    <xf numFmtId="2" fontId="0" fillId="0" borderId="3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/>
    <xf numFmtId="1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1" applyAlignment="1">
      <alignment vertical="center"/>
    </xf>
    <xf numFmtId="2" fontId="5" fillId="0" borderId="0" xfId="1" applyNumberFormat="1" applyFont="1" applyAlignment="1">
      <alignment horizontal="center"/>
    </xf>
    <xf numFmtId="2" fontId="2" fillId="0" borderId="16" xfId="1" applyNumberFormat="1" applyBorder="1" applyAlignment="1">
      <alignment horizontal="center"/>
    </xf>
    <xf numFmtId="0" fontId="2" fillId="0" borderId="14" xfId="1" applyBorder="1"/>
    <xf numFmtId="0" fontId="2" fillId="0" borderId="11" xfId="1" applyBorder="1" applyAlignment="1">
      <alignment vertical="center"/>
    </xf>
    <xf numFmtId="0" fontId="2" fillId="0" borderId="3" xfId="1" applyBorder="1"/>
    <xf numFmtId="2" fontId="2" fillId="0" borderId="9" xfId="1" applyNumberFormat="1" applyBorder="1" applyAlignment="1">
      <alignment horizontal="center"/>
    </xf>
    <xf numFmtId="2" fontId="2" fillId="0" borderId="3" xfId="1" applyNumberFormat="1" applyBorder="1" applyAlignment="1">
      <alignment horizontal="center"/>
    </xf>
    <xf numFmtId="2" fontId="2" fillId="0" borderId="7" xfId="1" applyNumberFormat="1" applyBorder="1" applyAlignment="1">
      <alignment horizontal="center" vertical="center"/>
    </xf>
    <xf numFmtId="0" fontId="2" fillId="0" borderId="2" xfId="1" applyBorder="1"/>
    <xf numFmtId="2" fontId="2" fillId="0" borderId="6" xfId="1" applyNumberFormat="1" applyBorder="1" applyAlignment="1">
      <alignment horizontal="center" vertical="center"/>
    </xf>
    <xf numFmtId="0" fontId="2" fillId="0" borderId="13" xfId="1" applyBorder="1"/>
    <xf numFmtId="2" fontId="2" fillId="0" borderId="5" xfId="1" applyNumberFormat="1" applyBorder="1" applyAlignment="1">
      <alignment horizontal="center"/>
    </xf>
    <xf numFmtId="0" fontId="2" fillId="0" borderId="7" xfId="1" applyBorder="1" applyAlignment="1">
      <alignment horizontal="center" vertical="center"/>
    </xf>
    <xf numFmtId="0" fontId="2" fillId="0" borderId="5" xfId="1" applyBorder="1" applyAlignment="1">
      <alignment vertical="center"/>
    </xf>
    <xf numFmtId="0" fontId="2" fillId="0" borderId="3" xfId="1" applyBorder="1" applyAlignment="1">
      <alignment horizontal="center" vertical="center"/>
    </xf>
    <xf numFmtId="0" fontId="2" fillId="0" borderId="10" xfId="1" applyBorder="1" applyAlignment="1">
      <alignment vertical="center"/>
    </xf>
    <xf numFmtId="0" fontId="2" fillId="0" borderId="5" xfId="1" applyBorder="1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  <xf numFmtId="1" fontId="2" fillId="0" borderId="9" xfId="1" applyNumberFormat="1" applyBorder="1" applyAlignment="1">
      <alignment horizontal="center"/>
    </xf>
    <xf numFmtId="1" fontId="2" fillId="0" borderId="8" xfId="1" applyNumberFormat="1" applyBorder="1" applyAlignment="1">
      <alignment horizontal="center"/>
    </xf>
    <xf numFmtId="1" fontId="2" fillId="0" borderId="11" xfId="1" applyNumberFormat="1" applyBorder="1" applyAlignment="1">
      <alignment horizontal="center"/>
    </xf>
    <xf numFmtId="1" fontId="2" fillId="0" borderId="3" xfId="1" applyNumberFormat="1" applyBorder="1" applyAlignment="1">
      <alignment horizontal="center" vertical="center"/>
    </xf>
    <xf numFmtId="0" fontId="2" fillId="0" borderId="11" xfId="1" applyBorder="1" applyAlignment="1">
      <alignment horizontal="center"/>
    </xf>
    <xf numFmtId="1" fontId="2" fillId="0" borderId="7" xfId="1" applyNumberFormat="1" applyBorder="1" applyAlignment="1">
      <alignment horizontal="center"/>
    </xf>
    <xf numFmtId="1" fontId="2" fillId="0" borderId="0" xfId="1" applyNumberFormat="1" applyAlignment="1">
      <alignment horizontal="center"/>
    </xf>
    <xf numFmtId="1" fontId="2" fillId="0" borderId="10" xfId="1" applyNumberFormat="1" applyBorder="1" applyAlignment="1">
      <alignment horizontal="center"/>
    </xf>
    <xf numFmtId="1" fontId="2" fillId="0" borderId="5" xfId="1" applyNumberFormat="1" applyBorder="1" applyAlignment="1">
      <alignment horizontal="center" vertical="center"/>
    </xf>
    <xf numFmtId="0" fontId="2" fillId="0" borderId="10" xfId="1" applyBorder="1" applyAlignment="1">
      <alignment horizontal="center"/>
    </xf>
    <xf numFmtId="2" fontId="2" fillId="0" borderId="2" xfId="1" applyNumberFormat="1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2" fillId="0" borderId="16" xfId="1" applyBorder="1" applyAlignment="1">
      <alignment horizontal="center"/>
    </xf>
    <xf numFmtId="0" fontId="2" fillId="0" borderId="1" xfId="1" applyBorder="1"/>
    <xf numFmtId="1" fontId="2" fillId="0" borderId="6" xfId="1" applyNumberFormat="1" applyBorder="1" applyAlignment="1">
      <alignment horizontal="center"/>
    </xf>
    <xf numFmtId="1" fontId="2" fillId="0" borderId="12" xfId="1" applyNumberFormat="1" applyBorder="1" applyAlignment="1">
      <alignment horizontal="center"/>
    </xf>
    <xf numFmtId="1" fontId="2" fillId="0" borderId="13" xfId="1" applyNumberFormat="1" applyBorder="1" applyAlignment="1">
      <alignment horizontal="center"/>
    </xf>
    <xf numFmtId="1" fontId="2" fillId="0" borderId="2" xfId="1" applyNumberFormat="1" applyBorder="1" applyAlignment="1">
      <alignment horizontal="center" vertical="center"/>
    </xf>
    <xf numFmtId="0" fontId="2" fillId="0" borderId="13" xfId="1" applyBorder="1" applyAlignment="1">
      <alignment horizontal="center"/>
    </xf>
    <xf numFmtId="0" fontId="2" fillId="7" borderId="9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2" fillId="0" borderId="8" xfId="1" applyBorder="1"/>
    <xf numFmtId="0" fontId="2" fillId="0" borderId="11" xfId="1" applyBorder="1"/>
    <xf numFmtId="0" fontId="2" fillId="0" borderId="5" xfId="1" applyBorder="1" applyAlignment="1">
      <alignment horizontal="center"/>
    </xf>
    <xf numFmtId="0" fontId="2" fillId="0" borderId="10" xfId="1" applyBorder="1"/>
    <xf numFmtId="0" fontId="2" fillId="0" borderId="2" xfId="1" applyBorder="1" applyAlignment="1">
      <alignment horizontal="center"/>
    </xf>
    <xf numFmtId="0" fontId="2" fillId="0" borderId="12" xfId="1" applyBorder="1"/>
    <xf numFmtId="2" fontId="2" fillId="0" borderId="0" xfId="1" applyNumberFormat="1"/>
    <xf numFmtId="0" fontId="2" fillId="0" borderId="8" xfId="1" applyBorder="1" applyAlignment="1">
      <alignment horizontal="center"/>
    </xf>
    <xf numFmtId="2" fontId="2" fillId="0" borderId="8" xfId="1" applyNumberFormat="1" applyBorder="1" applyAlignment="1">
      <alignment horizontal="center"/>
    </xf>
    <xf numFmtId="2" fontId="2" fillId="0" borderId="11" xfId="1" applyNumberFormat="1" applyBorder="1" applyAlignment="1">
      <alignment horizontal="center"/>
    </xf>
    <xf numFmtId="0" fontId="2" fillId="0" borderId="15" xfId="1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7" borderId="14" xfId="1" applyFill="1" applyBorder="1" applyAlignment="1">
      <alignment horizontal="center"/>
    </xf>
    <xf numFmtId="0" fontId="2" fillId="7" borderId="15" xfId="1" applyFill="1" applyBorder="1" applyAlignment="1">
      <alignment horizontal="center"/>
    </xf>
    <xf numFmtId="0" fontId="2" fillId="7" borderId="16" xfId="1" applyFill="1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7" borderId="13" xfId="1" applyFill="1" applyBorder="1" applyAlignment="1">
      <alignment horizontal="center" vertical="center"/>
    </xf>
    <xf numFmtId="0" fontId="2" fillId="7" borderId="11" xfId="1" applyFill="1" applyBorder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3" xfId="1" applyFill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'EC,pH 60 samples'!$T$10:$T$24</c:f>
                <c:numCache>
                  <c:formatCode>General</c:formatCode>
                  <c:ptCount val="15"/>
                  <c:pt idx="0">
                    <c:v>2.0816659994660883E-2</c:v>
                  </c:pt>
                  <c:pt idx="3">
                    <c:v>9.9999999999997868E-3</c:v>
                  </c:pt>
                  <c:pt idx="6">
                    <c:v>2.5166114784236238E-2</c:v>
                  </c:pt>
                  <c:pt idx="9">
                    <c:v>1.7320508075689429E-2</c:v>
                  </c:pt>
                  <c:pt idx="12">
                    <c:v>1.9999999999999574E-2</c:v>
                  </c:pt>
                </c:numCache>
              </c:numRef>
            </c:plus>
            <c:minus>
              <c:numRef>
                <c:f>'EC,pH 60 samples'!$T$10:$T$24</c:f>
                <c:numCache>
                  <c:formatCode>General</c:formatCode>
                  <c:ptCount val="15"/>
                  <c:pt idx="0">
                    <c:v>2.0816659994660883E-2</c:v>
                  </c:pt>
                  <c:pt idx="3">
                    <c:v>9.9999999999997868E-3</c:v>
                  </c:pt>
                  <c:pt idx="6">
                    <c:v>2.5166114784236238E-2</c:v>
                  </c:pt>
                  <c:pt idx="9">
                    <c:v>1.7320508075689429E-2</c:v>
                  </c:pt>
                  <c:pt idx="12">
                    <c:v>1.9999999999999574E-2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cat>
          <c:val>
            <c:numRef>
              <c:f>'EC,pH 60 samples'!$S$10:$S$24</c:f>
              <c:numCache>
                <c:formatCode>0.00</c:formatCode>
                <c:ptCount val="15"/>
                <c:pt idx="0">
                  <c:v>11.986666666666666</c:v>
                </c:pt>
                <c:pt idx="3">
                  <c:v>11.82</c:v>
                </c:pt>
                <c:pt idx="6">
                  <c:v>11.693333333333333</c:v>
                </c:pt>
                <c:pt idx="9">
                  <c:v>11.61</c:v>
                </c:pt>
                <c:pt idx="12">
                  <c:v>11.520000000000001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6-4F40-A15C-7F708350BECA}"/>
            </c:ext>
          </c:extLst>
        </c:ser>
        <c:ser>
          <c:idx val="1"/>
          <c:order val="1"/>
          <c:tx>
            <c:v>acai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'EC,pH 60 samples'!$T$26:$T$40</c:f>
                <c:numCache>
                  <c:formatCode>General</c:formatCode>
                  <c:ptCount val="15"/>
                  <c:pt idx="0">
                    <c:v>5.7735026918961348E-3</c:v>
                  </c:pt>
                  <c:pt idx="3">
                    <c:v>2.0816659994661878E-2</c:v>
                  </c:pt>
                  <c:pt idx="6">
                    <c:v>1.527525231651914E-2</c:v>
                  </c:pt>
                  <c:pt idx="9">
                    <c:v>3.0550504633039058E-2</c:v>
                  </c:pt>
                  <c:pt idx="12">
                    <c:v>3.4641016151377831E-2</c:v>
                  </c:pt>
                </c:numCache>
              </c:numRef>
            </c:plus>
            <c:minus>
              <c:numRef>
                <c:f>'EC,pH 60 samples'!$T$26:$T$40</c:f>
                <c:numCache>
                  <c:formatCode>General</c:formatCode>
                  <c:ptCount val="15"/>
                  <c:pt idx="0">
                    <c:v>5.7735026918961348E-3</c:v>
                  </c:pt>
                  <c:pt idx="3">
                    <c:v>2.0816659994661878E-2</c:v>
                  </c:pt>
                  <c:pt idx="6">
                    <c:v>1.527525231651914E-2</c:v>
                  </c:pt>
                  <c:pt idx="9">
                    <c:v>3.0550504633039058E-2</c:v>
                  </c:pt>
                  <c:pt idx="12">
                    <c:v>3.4641016151377831E-2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'EC,pH 60 samples'!$S$26:$S$40</c:f>
              <c:numCache>
                <c:formatCode>0.00</c:formatCode>
                <c:ptCount val="15"/>
                <c:pt idx="0">
                  <c:v>11.763333333333334</c:v>
                </c:pt>
                <c:pt idx="3">
                  <c:v>11.546666666666667</c:v>
                </c:pt>
                <c:pt idx="6">
                  <c:v>11.333333333333334</c:v>
                </c:pt>
                <c:pt idx="9">
                  <c:v>11.283333333333333</c:v>
                </c:pt>
                <c:pt idx="12">
                  <c:v>11.21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46-4F40-A15C-7F708350BECA}"/>
            </c:ext>
          </c:extLst>
        </c:ser>
        <c:ser>
          <c:idx val="2"/>
          <c:order val="2"/>
          <c:tx>
            <c:v>Soil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'EC,pH 60 samples'!$T$42:$T$56</c:f>
                <c:numCache>
                  <c:formatCode>General</c:formatCode>
                  <c:ptCount val="15"/>
                  <c:pt idx="0">
                    <c:v>2.3094010767585563E-2</c:v>
                  </c:pt>
                  <c:pt idx="3">
                    <c:v>9.9999999999997868E-3</c:v>
                  </c:pt>
                  <c:pt idx="6">
                    <c:v>2.0816659994660883E-2</c:v>
                  </c:pt>
                  <c:pt idx="9">
                    <c:v>9.8488578017960668E-2</c:v>
                  </c:pt>
                  <c:pt idx="12">
                    <c:v>5.7735026918961348E-3</c:v>
                  </c:pt>
                </c:numCache>
              </c:numRef>
            </c:plus>
            <c:minus>
              <c:numRef>
                <c:f>'EC,pH 60 samples'!$T$42:$T$56</c:f>
                <c:numCache>
                  <c:formatCode>General</c:formatCode>
                  <c:ptCount val="15"/>
                  <c:pt idx="0">
                    <c:v>2.3094010767585563E-2</c:v>
                  </c:pt>
                  <c:pt idx="3">
                    <c:v>9.9999999999997868E-3</c:v>
                  </c:pt>
                  <c:pt idx="6">
                    <c:v>2.0816659994660883E-2</c:v>
                  </c:pt>
                  <c:pt idx="9">
                    <c:v>9.8488578017960668E-2</c:v>
                  </c:pt>
                  <c:pt idx="12">
                    <c:v>5.7735026918961348E-3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'EC,pH 60 samples'!$S$42:$S$56</c:f>
              <c:numCache>
                <c:formatCode>0.00</c:formatCode>
                <c:ptCount val="15"/>
                <c:pt idx="0">
                  <c:v>11.943333333333333</c:v>
                </c:pt>
                <c:pt idx="3">
                  <c:v>11.76</c:v>
                </c:pt>
                <c:pt idx="6">
                  <c:v>11.603333333333332</c:v>
                </c:pt>
                <c:pt idx="9">
                  <c:v>11.32</c:v>
                </c:pt>
                <c:pt idx="12">
                  <c:v>11.323333333333332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46-4F40-A15C-7F708350BECA}"/>
            </c:ext>
          </c:extLst>
        </c:ser>
        <c:ser>
          <c:idx val="3"/>
          <c:order val="3"/>
          <c:tx>
            <c:v>Gypsum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'EC,pH 60 samples'!$T$58:$T$72</c:f>
                <c:numCache>
                  <c:formatCode>General</c:formatCode>
                  <c:ptCount val="15"/>
                  <c:pt idx="0">
                    <c:v>1.527525231651914E-2</c:v>
                  </c:pt>
                  <c:pt idx="3">
                    <c:v>9.9999999999997868E-3</c:v>
                  </c:pt>
                  <c:pt idx="6">
                    <c:v>1.9999999999999574E-2</c:v>
                  </c:pt>
                  <c:pt idx="9">
                    <c:v>1.1547005383793295E-2</c:v>
                  </c:pt>
                  <c:pt idx="12">
                    <c:v>7.571877794400407E-2</c:v>
                  </c:pt>
                </c:numCache>
              </c:numRef>
            </c:plus>
            <c:minus>
              <c:numRef>
                <c:f>'EC,pH 60 samples'!$T$58:$T$72</c:f>
                <c:numCache>
                  <c:formatCode>General</c:formatCode>
                  <c:ptCount val="15"/>
                  <c:pt idx="0">
                    <c:v>1.527525231651914E-2</c:v>
                  </c:pt>
                  <c:pt idx="3">
                    <c:v>9.9999999999997868E-3</c:v>
                  </c:pt>
                  <c:pt idx="6">
                    <c:v>1.9999999999999574E-2</c:v>
                  </c:pt>
                  <c:pt idx="9">
                    <c:v>1.1547005383793295E-2</c:v>
                  </c:pt>
                  <c:pt idx="12">
                    <c:v>7.571877794400407E-2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'EC,pH 60 samples'!$S$58:$S$72</c:f>
              <c:numCache>
                <c:formatCode>0.00</c:formatCode>
                <c:ptCount val="15"/>
                <c:pt idx="0">
                  <c:v>10.916666666666666</c:v>
                </c:pt>
                <c:pt idx="3">
                  <c:v>10.94</c:v>
                </c:pt>
                <c:pt idx="6">
                  <c:v>11.410000000000002</c:v>
                </c:pt>
                <c:pt idx="9">
                  <c:v>11.543333333333331</c:v>
                </c:pt>
                <c:pt idx="12">
                  <c:v>11.436666666666667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46-4F40-A15C-7F708350B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39"/>
        <c:axId val="864366480"/>
        <c:axId val="864318080"/>
      </c:barChart>
      <c:lineChart>
        <c:grouping val="standard"/>
        <c:varyColors val="0"/>
        <c:ser>
          <c:idx val="4"/>
          <c:order val="4"/>
          <c:tx>
            <c:v>temp</c:v>
          </c:tx>
          <c:spPr>
            <a:ln w="28575" cap="rnd" cmpd="dbl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samples'!$X$98:$X$112</c:f>
                <c:numCache>
                  <c:formatCode>General</c:formatCode>
                  <c:ptCount val="15"/>
                  <c:pt idx="0">
                    <c:v>0.68</c:v>
                  </c:pt>
                  <c:pt idx="3">
                    <c:v>0.36</c:v>
                  </c:pt>
                  <c:pt idx="6">
                    <c:v>0.41</c:v>
                  </c:pt>
                  <c:pt idx="9">
                    <c:v>0.3</c:v>
                  </c:pt>
                  <c:pt idx="12">
                    <c:v>0.38</c:v>
                  </c:pt>
                </c:numCache>
              </c:numRef>
            </c:plus>
            <c:minus>
              <c:numRef>
                <c:f>'EC,pH 60 samples'!$X$98:$X$112</c:f>
                <c:numCache>
                  <c:formatCode>General</c:formatCode>
                  <c:ptCount val="15"/>
                  <c:pt idx="0">
                    <c:v>0.68</c:v>
                  </c:pt>
                  <c:pt idx="3">
                    <c:v>0.36</c:v>
                  </c:pt>
                  <c:pt idx="6">
                    <c:v>0.41</c:v>
                  </c:pt>
                  <c:pt idx="9">
                    <c:v>0.3</c:v>
                  </c:pt>
                  <c:pt idx="12">
                    <c:v>0.38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cat>
          <c:val>
            <c:numRef>
              <c:f>'EC,pH 60 samples'!$W$98:$W$112</c:f>
              <c:numCache>
                <c:formatCode>0.00</c:formatCode>
                <c:ptCount val="15"/>
                <c:pt idx="0">
                  <c:v>27.87</c:v>
                </c:pt>
                <c:pt idx="3">
                  <c:v>29.91</c:v>
                </c:pt>
                <c:pt idx="6">
                  <c:v>30.16</c:v>
                </c:pt>
                <c:pt idx="9">
                  <c:v>29.6</c:v>
                </c:pt>
                <c:pt idx="12">
                  <c:v>30.45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55-DD4A-BA5E-43AA7FF55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682064"/>
        <c:axId val="436997136"/>
      </c:lineChart>
      <c:catAx>
        <c:axId val="86436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Leaching test week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18080"/>
        <c:crosses val="autoZero"/>
        <c:auto val="1"/>
        <c:lblAlgn val="ctr"/>
        <c:lblOffset val="100"/>
        <c:noMultiLvlLbl val="0"/>
      </c:catAx>
      <c:valAx>
        <c:axId val="864318080"/>
        <c:scaling>
          <c:orientation val="minMax"/>
          <c:max val="12.1"/>
          <c:min val="1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200">
                    <a:latin typeface="Arial" panose="020B0604020202020204" pitchFamily="34" charset="0"/>
                    <a:cs typeface="Arial" panose="020B0604020202020204" pitchFamily="34" charset="0"/>
                  </a:rPr>
                  <a:t>pH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nb-N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66480"/>
        <c:crosses val="autoZero"/>
        <c:crossBetween val="between"/>
      </c:valAx>
      <c:valAx>
        <c:axId val="436997136"/>
        <c:scaling>
          <c:orientation val="minMax"/>
          <c:max val="31"/>
          <c:min val="2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effectLst/>
                  </a:rPr>
                  <a:t>Temperature C˚</a:t>
                </a:r>
                <a:endParaRPr lang="en-NO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35682064"/>
        <c:crosses val="max"/>
        <c:crossBetween val="between"/>
      </c:valAx>
      <c:catAx>
        <c:axId val="435682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6997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008971510150771"/>
          <c:y val="1.5494537934859073E-2"/>
          <c:w val="0.38989467605957095"/>
          <c:h val="5.322692216662344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 Ev</a:t>
            </a:r>
            <a:r>
              <a:rPr lang="en-US" baseline="0"/>
              <a:t>  vs pH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'EC,pH 60 samples'!$T$10:$T$24</c:f>
                <c:numCache>
                  <c:formatCode>General</c:formatCode>
                  <c:ptCount val="15"/>
                  <c:pt idx="0">
                    <c:v>2.0816659994660883E-2</c:v>
                  </c:pt>
                  <c:pt idx="3">
                    <c:v>9.9999999999997868E-3</c:v>
                  </c:pt>
                  <c:pt idx="6">
                    <c:v>2.5166114784236238E-2</c:v>
                  </c:pt>
                  <c:pt idx="9">
                    <c:v>1.7320508075689429E-2</c:v>
                  </c:pt>
                  <c:pt idx="12">
                    <c:v>1.9999999999999574E-2</c:v>
                  </c:pt>
                </c:numCache>
              </c:numRef>
            </c:plus>
            <c:minus>
              <c:numRef>
                <c:f>'EC,pH 60 samples'!$T$10:$T$24</c:f>
                <c:numCache>
                  <c:formatCode>General</c:formatCode>
                  <c:ptCount val="15"/>
                  <c:pt idx="0">
                    <c:v>2.0816659994660883E-2</c:v>
                  </c:pt>
                  <c:pt idx="3">
                    <c:v>9.9999999999997868E-3</c:v>
                  </c:pt>
                  <c:pt idx="6">
                    <c:v>2.5166114784236238E-2</c:v>
                  </c:pt>
                  <c:pt idx="9">
                    <c:v>1.7320508075689429E-2</c:v>
                  </c:pt>
                  <c:pt idx="12">
                    <c:v>1.9999999999999574E-2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cat>
          <c:val>
            <c:numRef>
              <c:f>'EC,pH 60 samples'!$S$10:$S$24</c:f>
              <c:numCache>
                <c:formatCode>0.00</c:formatCode>
                <c:ptCount val="15"/>
                <c:pt idx="0">
                  <c:v>11.986666666666666</c:v>
                </c:pt>
                <c:pt idx="3">
                  <c:v>11.82</c:v>
                </c:pt>
                <c:pt idx="6">
                  <c:v>11.693333333333333</c:v>
                </c:pt>
                <c:pt idx="9">
                  <c:v>11.61</c:v>
                </c:pt>
                <c:pt idx="12">
                  <c:v>11.520000000000001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A-944A-974C-1D0D70E2A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64366480"/>
        <c:axId val="864318080"/>
      </c:barChart>
      <c:catAx>
        <c:axId val="86436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Leaching week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18080"/>
        <c:crosses val="autoZero"/>
        <c:auto val="1"/>
        <c:lblAlgn val="ctr"/>
        <c:lblOffset val="100"/>
        <c:noMultiLvlLbl val="0"/>
      </c:catAx>
      <c:valAx>
        <c:axId val="8643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6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Acai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D31-2D42-8036-30625BDCD55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D31-2D42-8036-30625BDCD55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D31-2D42-8036-30625BDCD55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D31-2D42-8036-30625BDCD550}"/>
              </c:ext>
            </c:extLst>
          </c:dPt>
          <c:cat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cat>
          <c:val>
            <c:numRef>
              <c:f>'EC,pH 60 samples'!$S$26:$S$40</c:f>
              <c:numCache>
                <c:formatCode>0.00</c:formatCode>
                <c:ptCount val="15"/>
                <c:pt idx="0">
                  <c:v>11.763333333333334</c:v>
                </c:pt>
                <c:pt idx="3">
                  <c:v>11.546666666666667</c:v>
                </c:pt>
                <c:pt idx="6">
                  <c:v>11.333333333333334</c:v>
                </c:pt>
                <c:pt idx="9">
                  <c:v>11.283333333333333</c:v>
                </c:pt>
                <c:pt idx="12">
                  <c:v>11.21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1-2D42-8036-30625BDCD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366480"/>
        <c:axId val="864318080"/>
      </c:barChart>
      <c:catAx>
        <c:axId val="86436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Leaching week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18080"/>
        <c:crosses val="autoZero"/>
        <c:auto val="1"/>
        <c:lblAlgn val="ctr"/>
        <c:lblOffset val="100"/>
        <c:noMultiLvlLbl val="0"/>
      </c:catAx>
      <c:valAx>
        <c:axId val="8643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6648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cat>
          <c:val>
            <c:numRef>
              <c:f>'EC,pH 60 samples'!$S$42:$S$56</c:f>
              <c:numCache>
                <c:formatCode>0.00</c:formatCode>
                <c:ptCount val="15"/>
                <c:pt idx="0">
                  <c:v>11.943333333333333</c:v>
                </c:pt>
                <c:pt idx="3">
                  <c:v>11.76</c:v>
                </c:pt>
                <c:pt idx="6">
                  <c:v>11.603333333333332</c:v>
                </c:pt>
                <c:pt idx="9">
                  <c:v>11.32</c:v>
                </c:pt>
                <c:pt idx="12">
                  <c:v>11.323333333333332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5-9E47-A484-EEC2CB99B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366480"/>
        <c:axId val="864318080"/>
      </c:barChart>
      <c:catAx>
        <c:axId val="86436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Leaching week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18080"/>
        <c:crosses val="autoZero"/>
        <c:auto val="1"/>
        <c:lblAlgn val="ctr"/>
        <c:lblOffset val="100"/>
        <c:noMultiLvlLbl val="0"/>
      </c:catAx>
      <c:valAx>
        <c:axId val="8643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6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Gypsum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cat>
          <c:val>
            <c:numRef>
              <c:f>'EC,pH 60 samples'!$S$58:$S$72</c:f>
              <c:numCache>
                <c:formatCode>0.00</c:formatCode>
                <c:ptCount val="15"/>
                <c:pt idx="0">
                  <c:v>10.916666666666666</c:v>
                </c:pt>
                <c:pt idx="3">
                  <c:v>10.94</c:v>
                </c:pt>
                <c:pt idx="6">
                  <c:v>11.410000000000002</c:v>
                </c:pt>
                <c:pt idx="9">
                  <c:v>11.543333333333331</c:v>
                </c:pt>
                <c:pt idx="12">
                  <c:v>11.436666666666667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B-BC4C-9449-8B2351123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366480"/>
        <c:axId val="864318080"/>
      </c:barChart>
      <c:catAx>
        <c:axId val="86436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Leaching week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18080"/>
        <c:crosses val="autoZero"/>
        <c:auto val="1"/>
        <c:lblAlgn val="ctr"/>
        <c:lblOffset val="100"/>
        <c:noMultiLvlLbl val="0"/>
      </c:catAx>
      <c:valAx>
        <c:axId val="8643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6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'EC,pH 60 samples'!$V$10:$V$24</c:f>
                <c:numCache>
                  <c:formatCode>General</c:formatCode>
                  <c:ptCount val="15"/>
                  <c:pt idx="0">
                    <c:v>20</c:v>
                  </c:pt>
                  <c:pt idx="3">
                    <c:v>111.64825718896526</c:v>
                  </c:pt>
                  <c:pt idx="6">
                    <c:v>73.082145562373853</c:v>
                  </c:pt>
                  <c:pt idx="9">
                    <c:v>38.93584466786357</c:v>
                  </c:pt>
                  <c:pt idx="12">
                    <c:v>12.529964086141668</c:v>
                  </c:pt>
                </c:numCache>
              </c:numRef>
            </c:plus>
            <c:minus>
              <c:numRef>
                <c:f>'EC,pH 60 samples'!$V$10:$V$24</c:f>
                <c:numCache>
                  <c:formatCode>General</c:formatCode>
                  <c:ptCount val="15"/>
                  <c:pt idx="0">
                    <c:v>20</c:v>
                  </c:pt>
                  <c:pt idx="3">
                    <c:v>111.64825718896526</c:v>
                  </c:pt>
                  <c:pt idx="6">
                    <c:v>73.082145562373853</c:v>
                  </c:pt>
                  <c:pt idx="9">
                    <c:v>38.93584466786357</c:v>
                  </c:pt>
                  <c:pt idx="12">
                    <c:v>12.529964086141668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'EC,pH 60 samples'!$N$58:$N$72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cat>
          <c:val>
            <c:numRef>
              <c:f>'EC,pH 60 samples'!$U$10:$U$24</c:f>
              <c:numCache>
                <c:formatCode>0</c:formatCode>
                <c:ptCount val="15"/>
                <c:pt idx="0">
                  <c:v>3290</c:v>
                </c:pt>
                <c:pt idx="3">
                  <c:v>1767.3333333333333</c:v>
                </c:pt>
                <c:pt idx="6">
                  <c:v>1241</c:v>
                </c:pt>
                <c:pt idx="9">
                  <c:v>953</c:v>
                </c:pt>
                <c:pt idx="12">
                  <c:v>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8-3741-973B-99903A3B370E}"/>
            </c:ext>
          </c:extLst>
        </c:ser>
        <c:ser>
          <c:idx val="1"/>
          <c:order val="1"/>
          <c:tx>
            <c:v>acai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'EC,pH 60 samples'!$V$26:$V$40</c:f>
                <c:numCache>
                  <c:formatCode>General</c:formatCode>
                  <c:ptCount val="15"/>
                  <c:pt idx="0">
                    <c:v>35.118845842842468</c:v>
                  </c:pt>
                  <c:pt idx="3">
                    <c:v>32.624121954978854</c:v>
                  </c:pt>
                  <c:pt idx="6">
                    <c:v>6.5574385243020004</c:v>
                  </c:pt>
                  <c:pt idx="9">
                    <c:v>8.5440037453175304</c:v>
                  </c:pt>
                  <c:pt idx="12">
                    <c:v>3.5118845842842461</c:v>
                  </c:pt>
                </c:numCache>
              </c:numRef>
            </c:plus>
            <c:minus>
              <c:numRef>
                <c:f>'EC,pH 60 samples'!$V$26:$V$40</c:f>
                <c:numCache>
                  <c:formatCode>General</c:formatCode>
                  <c:ptCount val="15"/>
                  <c:pt idx="0">
                    <c:v>35.118845842842468</c:v>
                  </c:pt>
                  <c:pt idx="3">
                    <c:v>32.624121954978854</c:v>
                  </c:pt>
                  <c:pt idx="6">
                    <c:v>6.5574385243020004</c:v>
                  </c:pt>
                  <c:pt idx="9">
                    <c:v>8.5440037453175304</c:v>
                  </c:pt>
                  <c:pt idx="12">
                    <c:v>3.5118845842842461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'EC,pH 60 samples'!$N$58:$N$72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cat>
          <c:val>
            <c:numRef>
              <c:f>'EC,pH 60 samples'!$U$26:$U$40</c:f>
              <c:numCache>
                <c:formatCode>0</c:formatCode>
                <c:ptCount val="15"/>
                <c:pt idx="0">
                  <c:v>2403.3333333333335</c:v>
                </c:pt>
                <c:pt idx="3">
                  <c:v>1340.3333333333333</c:v>
                </c:pt>
                <c:pt idx="6">
                  <c:v>896</c:v>
                </c:pt>
                <c:pt idx="9">
                  <c:v>688</c:v>
                </c:pt>
                <c:pt idx="12">
                  <c:v>580.33333333333337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8-3741-973B-99903A3B370E}"/>
            </c:ext>
          </c:extLst>
        </c:ser>
        <c:ser>
          <c:idx val="2"/>
          <c:order val="2"/>
          <c:tx>
            <c:v>Soil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'EC,pH 60 samples'!$V$42:$V$56</c:f>
                <c:numCache>
                  <c:formatCode>General</c:formatCode>
                  <c:ptCount val="15"/>
                  <c:pt idx="0">
                    <c:v>98.657657246324945</c:v>
                  </c:pt>
                  <c:pt idx="3">
                    <c:v>31.22498999199199</c:v>
                  </c:pt>
                  <c:pt idx="6">
                    <c:v>11.269427669584644</c:v>
                  </c:pt>
                  <c:pt idx="9">
                    <c:v>4.358898943540674</c:v>
                  </c:pt>
                  <c:pt idx="12">
                    <c:v>10.692676621563628</c:v>
                  </c:pt>
                </c:numCache>
              </c:numRef>
            </c:plus>
            <c:minus>
              <c:numRef>
                <c:f>'EC,pH 60 samples'!$V$42:$V$56</c:f>
                <c:numCache>
                  <c:formatCode>General</c:formatCode>
                  <c:ptCount val="15"/>
                  <c:pt idx="0">
                    <c:v>98.657657246324945</c:v>
                  </c:pt>
                  <c:pt idx="3">
                    <c:v>31.22498999199199</c:v>
                  </c:pt>
                  <c:pt idx="6">
                    <c:v>11.269427669584644</c:v>
                  </c:pt>
                  <c:pt idx="9">
                    <c:v>4.358898943540674</c:v>
                  </c:pt>
                  <c:pt idx="12">
                    <c:v>10.692676621563628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'EC,pH 60 samples'!$N$58:$N$72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cat>
          <c:val>
            <c:numRef>
              <c:f>'EC,pH 60 samples'!$U$42:$U$56</c:f>
              <c:numCache>
                <c:formatCode>0</c:formatCode>
                <c:ptCount val="15"/>
                <c:pt idx="0">
                  <c:v>2923.3333333333335</c:v>
                </c:pt>
                <c:pt idx="3">
                  <c:v>1638</c:v>
                </c:pt>
                <c:pt idx="6">
                  <c:v>1125</c:v>
                </c:pt>
                <c:pt idx="9">
                  <c:v>835</c:v>
                </c:pt>
                <c:pt idx="12">
                  <c:v>705.33333333333337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A8-3741-973B-99903A3B370E}"/>
            </c:ext>
          </c:extLst>
        </c:ser>
        <c:ser>
          <c:idx val="3"/>
          <c:order val="3"/>
          <c:tx>
            <c:v>Gypsum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'EC,pH 60 samples'!$V$58:$V$72</c:f>
                <c:numCache>
                  <c:formatCode>General</c:formatCode>
                  <c:ptCount val="15"/>
                  <c:pt idx="0">
                    <c:v>43.588989435406738</c:v>
                  </c:pt>
                  <c:pt idx="3">
                    <c:v>85.440037453175307</c:v>
                  </c:pt>
                  <c:pt idx="6">
                    <c:v>28.589042189855423</c:v>
                  </c:pt>
                  <c:pt idx="9">
                    <c:v>11.372481406154654</c:v>
                  </c:pt>
                  <c:pt idx="12">
                    <c:v>11.532562594670797</c:v>
                  </c:pt>
                </c:numCache>
              </c:numRef>
            </c:plus>
            <c:minus>
              <c:numRef>
                <c:f>'EC,pH 60 samples'!$V$58:$V$72</c:f>
                <c:numCache>
                  <c:formatCode>General</c:formatCode>
                  <c:ptCount val="15"/>
                  <c:pt idx="0">
                    <c:v>43.588989435406738</c:v>
                  </c:pt>
                  <c:pt idx="3">
                    <c:v>85.440037453175307</c:v>
                  </c:pt>
                  <c:pt idx="6">
                    <c:v>28.589042189855423</c:v>
                  </c:pt>
                  <c:pt idx="9">
                    <c:v>11.372481406154654</c:v>
                  </c:pt>
                  <c:pt idx="12">
                    <c:v>11.532562594670797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'EC,pH 60 samples'!$N$58:$N$72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cat>
          <c:val>
            <c:numRef>
              <c:f>'EC,pH 60 samples'!$U$58:$U$72</c:f>
              <c:numCache>
                <c:formatCode>0</c:formatCode>
                <c:ptCount val="15"/>
                <c:pt idx="0">
                  <c:v>4430</c:v>
                </c:pt>
                <c:pt idx="3">
                  <c:v>3010</c:v>
                </c:pt>
                <c:pt idx="6">
                  <c:v>1129.6666666666667</c:v>
                </c:pt>
                <c:pt idx="9">
                  <c:v>919.33333333333337</c:v>
                </c:pt>
                <c:pt idx="12">
                  <c:v>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A8-3741-973B-99903A3B3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39"/>
        <c:axId val="864366480"/>
        <c:axId val="864318080"/>
      </c:barChart>
      <c:catAx>
        <c:axId val="86436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Leaching test week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18080"/>
        <c:crosses val="autoZero"/>
        <c:auto val="1"/>
        <c:lblAlgn val="ctr"/>
        <c:lblOffset val="100"/>
        <c:noMultiLvlLbl val="0"/>
      </c:catAx>
      <c:valAx>
        <c:axId val="864318080"/>
        <c:scaling>
          <c:orientation val="minMax"/>
          <c:max val="45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200">
                    <a:latin typeface="Calibri" panose="020F0502020204030204" pitchFamily="34" charset="0"/>
                    <a:cs typeface="Calibri" panose="020F0502020204030204" pitchFamily="34" charset="0"/>
                  </a:rPr>
                  <a:t>EC </a:t>
                </a:r>
                <a:r>
                  <a:rPr lang="en-US" sz="1200">
                    <a:effectLst/>
                    <a:latin typeface="Calibri" panose="020F0502020204030204" pitchFamily="34" charset="0"/>
                    <a:cs typeface="Calibri" panose="020F0502020204030204" pitchFamily="34" charset="0"/>
                  </a:rPr>
                  <a:t>µ</a:t>
                </a:r>
                <a:r>
                  <a:rPr lang="en-GB" sz="1200">
                    <a:latin typeface="Calibri" panose="020F0502020204030204" pitchFamily="34" charset="0"/>
                    <a:cs typeface="Calibri" panose="020F0502020204030204" pitchFamily="34" charset="0"/>
                  </a:rPr>
                  <a:t>S/cm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nb-NO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6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000065241820303"/>
          <c:y val="7.2369640905478649E-2"/>
          <c:w val="0.39199461101568839"/>
          <c:h val="4.83761547332113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4032186665926"/>
          <c:y val="4.8407140820030281E-2"/>
          <c:w val="0.84292079348911098"/>
          <c:h val="0.84912362369567795"/>
        </c:manualLayout>
      </c:layout>
      <c:scatterChart>
        <c:scatterStyle val="lineMarker"/>
        <c:varyColors val="0"/>
        <c:ser>
          <c:idx val="0"/>
          <c:order val="0"/>
          <c:tx>
            <c:v>BR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samples'!$V$10:$V$24</c:f>
                <c:numCache>
                  <c:formatCode>General</c:formatCode>
                  <c:ptCount val="15"/>
                  <c:pt idx="0">
                    <c:v>20</c:v>
                  </c:pt>
                  <c:pt idx="3">
                    <c:v>111.64825718896526</c:v>
                  </c:pt>
                  <c:pt idx="6">
                    <c:v>73.082145562373853</c:v>
                  </c:pt>
                  <c:pt idx="9">
                    <c:v>38.93584466786357</c:v>
                  </c:pt>
                  <c:pt idx="12">
                    <c:v>12.529964086141668</c:v>
                  </c:pt>
                </c:numCache>
              </c:numRef>
            </c:plus>
            <c:minus>
              <c:numRef>
                <c:f>'EC,pH 60 samples'!$V$10:$V$24</c:f>
                <c:numCache>
                  <c:formatCode>General</c:formatCode>
                  <c:ptCount val="15"/>
                  <c:pt idx="0">
                    <c:v>20</c:v>
                  </c:pt>
                  <c:pt idx="3">
                    <c:v>111.64825718896526</c:v>
                  </c:pt>
                  <c:pt idx="6">
                    <c:v>73.082145562373853</c:v>
                  </c:pt>
                  <c:pt idx="9">
                    <c:v>38.93584466786357</c:v>
                  </c:pt>
                  <c:pt idx="12">
                    <c:v>12.529964086141668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'EC,pH 60 samples'!$N$58:$N$72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samples'!$U$10:$U$24</c:f>
              <c:numCache>
                <c:formatCode>0</c:formatCode>
                <c:ptCount val="15"/>
                <c:pt idx="0">
                  <c:v>3290</c:v>
                </c:pt>
                <c:pt idx="3">
                  <c:v>1767.3333333333333</c:v>
                </c:pt>
                <c:pt idx="6">
                  <c:v>1241</c:v>
                </c:pt>
                <c:pt idx="9">
                  <c:v>953</c:v>
                </c:pt>
                <c:pt idx="12">
                  <c:v>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6-6042-ADA9-63B371309FDA}"/>
            </c:ext>
          </c:extLst>
        </c:ser>
        <c:ser>
          <c:idx val="1"/>
          <c:order val="1"/>
          <c:tx>
            <c:v>Açai</c:v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samples'!$V$26:$V$40</c:f>
                <c:numCache>
                  <c:formatCode>General</c:formatCode>
                  <c:ptCount val="15"/>
                  <c:pt idx="0">
                    <c:v>35.118845842842468</c:v>
                  </c:pt>
                  <c:pt idx="3">
                    <c:v>32.624121954978854</c:v>
                  </c:pt>
                  <c:pt idx="6">
                    <c:v>6.5574385243020004</c:v>
                  </c:pt>
                  <c:pt idx="9">
                    <c:v>8.5440037453175304</c:v>
                  </c:pt>
                  <c:pt idx="12">
                    <c:v>3.5118845842842461</c:v>
                  </c:pt>
                </c:numCache>
              </c:numRef>
            </c:plus>
            <c:minus>
              <c:numRef>
                <c:f>'EC,pH 60 samples'!$V$26:$V$40</c:f>
                <c:numCache>
                  <c:formatCode>General</c:formatCode>
                  <c:ptCount val="15"/>
                  <c:pt idx="0">
                    <c:v>35.118845842842468</c:v>
                  </c:pt>
                  <c:pt idx="3">
                    <c:v>32.624121954978854</c:v>
                  </c:pt>
                  <c:pt idx="6">
                    <c:v>6.5574385243020004</c:v>
                  </c:pt>
                  <c:pt idx="9">
                    <c:v>8.5440037453175304</c:v>
                  </c:pt>
                  <c:pt idx="12">
                    <c:v>3.5118845842842461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'EC,pH 60 samples'!$N$58:$N$72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samples'!$U$26:$U$40</c:f>
              <c:numCache>
                <c:formatCode>0</c:formatCode>
                <c:ptCount val="15"/>
                <c:pt idx="0">
                  <c:v>2403.3333333333335</c:v>
                </c:pt>
                <c:pt idx="3">
                  <c:v>1340.3333333333333</c:v>
                </c:pt>
                <c:pt idx="6">
                  <c:v>896</c:v>
                </c:pt>
                <c:pt idx="9">
                  <c:v>688</c:v>
                </c:pt>
                <c:pt idx="12">
                  <c:v>580.33333333333337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F6-6042-ADA9-63B371309FDA}"/>
            </c:ext>
          </c:extLst>
        </c:ser>
        <c:ser>
          <c:idx val="2"/>
          <c:order val="2"/>
          <c:tx>
            <c:v>Soil</c:v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samples'!$V$42:$V$56</c:f>
                <c:numCache>
                  <c:formatCode>General</c:formatCode>
                  <c:ptCount val="15"/>
                  <c:pt idx="0">
                    <c:v>98.657657246324945</c:v>
                  </c:pt>
                  <c:pt idx="3">
                    <c:v>31.22498999199199</c:v>
                  </c:pt>
                  <c:pt idx="6">
                    <c:v>11.269427669584644</c:v>
                  </c:pt>
                  <c:pt idx="9">
                    <c:v>4.358898943540674</c:v>
                  </c:pt>
                  <c:pt idx="12">
                    <c:v>10.692676621563628</c:v>
                  </c:pt>
                </c:numCache>
              </c:numRef>
            </c:plus>
            <c:minus>
              <c:numRef>
                <c:f>'EC,pH 60 samples'!$V$42:$V$56</c:f>
                <c:numCache>
                  <c:formatCode>General</c:formatCode>
                  <c:ptCount val="15"/>
                  <c:pt idx="0">
                    <c:v>98.657657246324945</c:v>
                  </c:pt>
                  <c:pt idx="3">
                    <c:v>31.22498999199199</c:v>
                  </c:pt>
                  <c:pt idx="6">
                    <c:v>11.269427669584644</c:v>
                  </c:pt>
                  <c:pt idx="9">
                    <c:v>4.358898943540674</c:v>
                  </c:pt>
                  <c:pt idx="12">
                    <c:v>10.692676621563628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'EC,pH 60 samples'!$N$58:$N$72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samples'!$U$42:$U$56</c:f>
              <c:numCache>
                <c:formatCode>0</c:formatCode>
                <c:ptCount val="15"/>
                <c:pt idx="0">
                  <c:v>2923.3333333333335</c:v>
                </c:pt>
                <c:pt idx="3">
                  <c:v>1638</c:v>
                </c:pt>
                <c:pt idx="6">
                  <c:v>1125</c:v>
                </c:pt>
                <c:pt idx="9">
                  <c:v>835</c:v>
                </c:pt>
                <c:pt idx="12">
                  <c:v>705.33333333333337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F6-6042-ADA9-63B371309FDA}"/>
            </c:ext>
          </c:extLst>
        </c:ser>
        <c:ser>
          <c:idx val="3"/>
          <c:order val="3"/>
          <c:tx>
            <c:v>Gypsum</c:v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samples'!$V$58:$V$72</c:f>
                <c:numCache>
                  <c:formatCode>General</c:formatCode>
                  <c:ptCount val="15"/>
                  <c:pt idx="0">
                    <c:v>43.588989435406738</c:v>
                  </c:pt>
                  <c:pt idx="3">
                    <c:v>85.440037453175307</c:v>
                  </c:pt>
                  <c:pt idx="6">
                    <c:v>28.589042189855423</c:v>
                  </c:pt>
                  <c:pt idx="9">
                    <c:v>11.372481406154654</c:v>
                  </c:pt>
                  <c:pt idx="12">
                    <c:v>11.532562594670797</c:v>
                  </c:pt>
                </c:numCache>
              </c:numRef>
            </c:plus>
            <c:minus>
              <c:numRef>
                <c:f>'EC,pH 60 samples'!$V$58:$V$72</c:f>
                <c:numCache>
                  <c:formatCode>General</c:formatCode>
                  <c:ptCount val="15"/>
                  <c:pt idx="0">
                    <c:v>43.588989435406738</c:v>
                  </c:pt>
                  <c:pt idx="3">
                    <c:v>85.440037453175307</c:v>
                  </c:pt>
                  <c:pt idx="6">
                    <c:v>28.589042189855423</c:v>
                  </c:pt>
                  <c:pt idx="9">
                    <c:v>11.372481406154654</c:v>
                  </c:pt>
                  <c:pt idx="12">
                    <c:v>11.532562594670797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'EC,pH 60 samples'!$N$58:$N$72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samples'!$U$58:$U$72</c:f>
              <c:numCache>
                <c:formatCode>0</c:formatCode>
                <c:ptCount val="15"/>
                <c:pt idx="0">
                  <c:v>4430</c:v>
                </c:pt>
                <c:pt idx="3">
                  <c:v>3010</c:v>
                </c:pt>
                <c:pt idx="6">
                  <c:v>1129.6666666666667</c:v>
                </c:pt>
                <c:pt idx="9">
                  <c:v>919.33333333333337</c:v>
                </c:pt>
                <c:pt idx="12">
                  <c:v>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F6-6042-ADA9-63B371309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366480"/>
        <c:axId val="864318080"/>
      </c:scatterChart>
      <c:valAx>
        <c:axId val="864366480"/>
        <c:scaling>
          <c:orientation val="minMax"/>
          <c:max val="52"/>
          <c:min val="9.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L/S (cumulative)</a:t>
                </a:r>
                <a:endParaRPr lang="en-N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nb-NO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864318080"/>
        <c:crosses val="autoZero"/>
        <c:crossBetween val="midCat"/>
        <c:majorUnit val="10"/>
      </c:valAx>
      <c:valAx>
        <c:axId val="864318080"/>
        <c:scaling>
          <c:orientation val="minMax"/>
          <c:max val="4500"/>
          <c:min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EC </a:t>
                </a:r>
                <a:r>
                  <a:rPr lang="en-US"/>
                  <a:t>µ</a:t>
                </a:r>
                <a:r>
                  <a:rPr lang="en-GB"/>
                  <a:t>S/cm</a:t>
                </a:r>
                <a:endParaRPr lang="en-N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nb-NO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86436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163335343395573"/>
          <c:y val="3.8572413116533255E-2"/>
          <c:w val="0.25252374966506269"/>
          <c:h val="0.1990140065174657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nb-NO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BR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</c:marker>
          <c:dPt>
            <c:idx val="9"/>
            <c:bubble3D val="0"/>
            <c:spPr>
              <a:ln w="158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BF5-EE43-8976-54BE7A085A66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'EC,pH 60 samples'!$V$10:$V$24</c:f>
                <c:numCache>
                  <c:formatCode>General</c:formatCode>
                  <c:ptCount val="15"/>
                  <c:pt idx="0">
                    <c:v>20</c:v>
                  </c:pt>
                  <c:pt idx="3">
                    <c:v>111.64825718896526</c:v>
                  </c:pt>
                  <c:pt idx="6">
                    <c:v>73.082145562373853</c:v>
                  </c:pt>
                  <c:pt idx="9">
                    <c:v>38.93584466786357</c:v>
                  </c:pt>
                  <c:pt idx="12">
                    <c:v>12.529964086141668</c:v>
                  </c:pt>
                </c:numCache>
              </c:numRef>
            </c:plus>
            <c:minus>
              <c:numRef>
                <c:f>'EC,pH 60 samples'!$V$10:$V$24</c:f>
                <c:numCache>
                  <c:formatCode>General</c:formatCode>
                  <c:ptCount val="15"/>
                  <c:pt idx="0">
                    <c:v>20</c:v>
                  </c:pt>
                  <c:pt idx="3">
                    <c:v>111.64825718896526</c:v>
                  </c:pt>
                  <c:pt idx="6">
                    <c:v>73.082145562373853</c:v>
                  </c:pt>
                  <c:pt idx="9">
                    <c:v>38.93584466786357</c:v>
                  </c:pt>
                  <c:pt idx="12">
                    <c:v>12.529964086141668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samples'!$U$10:$U$24</c:f>
              <c:numCache>
                <c:formatCode>0</c:formatCode>
                <c:ptCount val="15"/>
                <c:pt idx="0">
                  <c:v>3290</c:v>
                </c:pt>
                <c:pt idx="3">
                  <c:v>1767.3333333333333</c:v>
                </c:pt>
                <c:pt idx="6">
                  <c:v>1241</c:v>
                </c:pt>
                <c:pt idx="9">
                  <c:v>953</c:v>
                </c:pt>
                <c:pt idx="12">
                  <c:v>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BF5-EE43-8976-54BE7A085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366480"/>
        <c:axId val="864318080"/>
      </c:scatterChart>
      <c:scatterChart>
        <c:scatterStyle val="lineMarker"/>
        <c:varyColors val="0"/>
        <c:ser>
          <c:idx val="1"/>
          <c:order val="1"/>
          <c:tx>
            <c:v>pH</c:v>
          </c:tx>
          <c:spPr>
            <a:ln w="158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samples'!$T$10:$T$24</c:f>
                <c:numCache>
                  <c:formatCode>General</c:formatCode>
                  <c:ptCount val="15"/>
                  <c:pt idx="0">
                    <c:v>2.0816659994660883E-2</c:v>
                  </c:pt>
                  <c:pt idx="3">
                    <c:v>9.9999999999997868E-3</c:v>
                  </c:pt>
                  <c:pt idx="6">
                    <c:v>2.5166114784236238E-2</c:v>
                  </c:pt>
                  <c:pt idx="9">
                    <c:v>1.7320508075689429E-2</c:v>
                  </c:pt>
                  <c:pt idx="12">
                    <c:v>1.9999999999999574E-2</c:v>
                  </c:pt>
                </c:numCache>
              </c:numRef>
            </c:plus>
            <c:minus>
              <c:numRef>
                <c:f>'EC,pH 60 samples'!$T$10:$T$24</c:f>
                <c:numCache>
                  <c:formatCode>General</c:formatCode>
                  <c:ptCount val="15"/>
                  <c:pt idx="0">
                    <c:v>2.0816659994660883E-2</c:v>
                  </c:pt>
                  <c:pt idx="3">
                    <c:v>9.9999999999997868E-3</c:v>
                  </c:pt>
                  <c:pt idx="6">
                    <c:v>2.5166114784236238E-2</c:v>
                  </c:pt>
                  <c:pt idx="9">
                    <c:v>1.7320508075689429E-2</c:v>
                  </c:pt>
                  <c:pt idx="12">
                    <c:v>1.9999999999999574E-2</c:v>
                  </c:pt>
                </c:numCache>
              </c:numRef>
            </c:minus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samples'!$S$10:$S$24</c:f>
              <c:numCache>
                <c:formatCode>0.00</c:formatCode>
                <c:ptCount val="15"/>
                <c:pt idx="0">
                  <c:v>11.986666666666666</c:v>
                </c:pt>
                <c:pt idx="3">
                  <c:v>11.82</c:v>
                </c:pt>
                <c:pt idx="6">
                  <c:v>11.693333333333333</c:v>
                </c:pt>
                <c:pt idx="9">
                  <c:v>11.61</c:v>
                </c:pt>
                <c:pt idx="12">
                  <c:v>11.520000000000001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F5-EE43-8976-54BE7A085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793983"/>
        <c:axId val="2121288895"/>
      </c:scatterChart>
      <c:valAx>
        <c:axId val="86436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L/S</a:t>
                </a:r>
                <a:r>
                  <a:rPr lang="en-GB" sz="1200" baseline="0">
                    <a:solidFill>
                      <a:schemeClr val="tx1"/>
                    </a:solidFill>
                  </a:rPr>
                  <a:t> (cumulative)</a:t>
                </a:r>
                <a:endParaRPr lang="en-GB" sz="12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18080"/>
        <c:crosses val="autoZero"/>
        <c:crossBetween val="midCat"/>
      </c:valAx>
      <c:valAx>
        <c:axId val="8643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solidFill>
                      <a:schemeClr val="tx1"/>
                    </a:solidFill>
                    <a:effectLst/>
                  </a:rPr>
                  <a:t>EC </a:t>
                </a:r>
                <a:r>
                  <a:rPr lang="en-US" sz="1200" b="0" i="0" baseline="0">
                    <a:solidFill>
                      <a:schemeClr val="tx1"/>
                    </a:solidFill>
                    <a:effectLst/>
                  </a:rPr>
                  <a:t>m</a:t>
                </a:r>
                <a:r>
                  <a:rPr lang="en-GB" sz="1200" b="0" i="0" baseline="0">
                    <a:solidFill>
                      <a:schemeClr val="tx1"/>
                    </a:solidFill>
                    <a:effectLst/>
                  </a:rPr>
                  <a:t>S/cm</a:t>
                </a:r>
                <a:endParaRPr lang="en-NO" sz="1200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66480"/>
        <c:crosses val="autoZero"/>
        <c:crossBetween val="midCat"/>
      </c:valAx>
      <c:valAx>
        <c:axId val="2121288895"/>
        <c:scaling>
          <c:orientation val="minMax"/>
          <c:max val="12"/>
          <c:min val="10.8"/>
        </c:scaling>
        <c:delete val="0"/>
        <c:axPos val="r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GB" sz="1200" b="0"/>
                  <a:t>pH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" sourceLinked="1"/>
        <c:majorTickMark val="in"/>
        <c:minorTickMark val="none"/>
        <c:tickLblPos val="nextTo"/>
        <c:spPr>
          <a:solidFill>
            <a:schemeClr val="bg1"/>
          </a:solidFill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900"/>
            </a:pPr>
            <a:endParaRPr lang="nb-NO"/>
          </a:p>
        </c:txPr>
        <c:crossAx val="2138793983"/>
        <c:crosses val="max"/>
        <c:crossBetween val="midCat"/>
      </c:valAx>
      <c:valAx>
        <c:axId val="21387939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12888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2722227556008237"/>
          <c:y val="0.10685799888927805"/>
          <c:w val="0.15279719817928206"/>
          <c:h val="9.48950694000915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span"/>
    <c:showDLblsOverMax val="0"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Acai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</c:v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samples'!$V$26:$V$40</c:f>
                <c:numCache>
                  <c:formatCode>General</c:formatCode>
                  <c:ptCount val="15"/>
                  <c:pt idx="0">
                    <c:v>35.118845842842468</c:v>
                  </c:pt>
                  <c:pt idx="3">
                    <c:v>32.624121954978854</c:v>
                  </c:pt>
                  <c:pt idx="6">
                    <c:v>6.5574385243020004</c:v>
                  </c:pt>
                  <c:pt idx="9">
                    <c:v>8.5440037453175304</c:v>
                  </c:pt>
                  <c:pt idx="12">
                    <c:v>3.5118845842842461</c:v>
                  </c:pt>
                </c:numCache>
              </c:numRef>
            </c:plus>
            <c:minus>
              <c:numRef>
                <c:f>'EC,pH 60 samples'!$V$10:$V$24</c:f>
                <c:numCache>
                  <c:formatCode>General</c:formatCode>
                  <c:ptCount val="15"/>
                  <c:pt idx="0">
                    <c:v>20</c:v>
                  </c:pt>
                  <c:pt idx="3">
                    <c:v>111.64825718896526</c:v>
                  </c:pt>
                  <c:pt idx="6">
                    <c:v>73.082145562373853</c:v>
                  </c:pt>
                  <c:pt idx="9">
                    <c:v>38.93584466786357</c:v>
                  </c:pt>
                  <c:pt idx="12">
                    <c:v>12.529964086141668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samples'!$U$26:$U$40</c:f>
              <c:numCache>
                <c:formatCode>0</c:formatCode>
                <c:ptCount val="15"/>
                <c:pt idx="0">
                  <c:v>2403.3333333333335</c:v>
                </c:pt>
                <c:pt idx="3">
                  <c:v>1340.3333333333333</c:v>
                </c:pt>
                <c:pt idx="6">
                  <c:v>896</c:v>
                </c:pt>
                <c:pt idx="9">
                  <c:v>688</c:v>
                </c:pt>
                <c:pt idx="12">
                  <c:v>580.33333333333337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B0-2B44-9E93-F4C26094B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366480"/>
        <c:axId val="864318080"/>
      </c:scatterChart>
      <c:scatterChart>
        <c:scatterStyle val="lineMarker"/>
        <c:varyColors val="0"/>
        <c:ser>
          <c:idx val="1"/>
          <c:order val="1"/>
          <c:tx>
            <c:v>pH</c:v>
          </c:tx>
          <c:spPr>
            <a:ln w="15875">
              <a:solidFill>
                <a:schemeClr val="tx1"/>
              </a:solidFill>
              <a:prstDash val="sysDot"/>
            </a:ln>
          </c:spPr>
          <c:marker>
            <c:symbol val="squar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samples'!$T$26:$T$40</c:f>
                <c:numCache>
                  <c:formatCode>General</c:formatCode>
                  <c:ptCount val="15"/>
                  <c:pt idx="0">
                    <c:v>5.7735026918961348E-3</c:v>
                  </c:pt>
                  <c:pt idx="3">
                    <c:v>2.0816659994661878E-2</c:v>
                  </c:pt>
                  <c:pt idx="6">
                    <c:v>1.527525231651914E-2</c:v>
                  </c:pt>
                  <c:pt idx="9">
                    <c:v>3.0550504633039058E-2</c:v>
                  </c:pt>
                  <c:pt idx="12">
                    <c:v>3.4641016151377831E-2</c:v>
                  </c:pt>
                </c:numCache>
              </c:numRef>
            </c:plus>
            <c:minus>
              <c:numRef>
                <c:f>'EC,pH 60 samples'!$T$26:$T$40</c:f>
                <c:numCache>
                  <c:formatCode>General</c:formatCode>
                  <c:ptCount val="15"/>
                  <c:pt idx="0">
                    <c:v>5.7735026918961348E-3</c:v>
                  </c:pt>
                  <c:pt idx="3">
                    <c:v>2.0816659994661878E-2</c:v>
                  </c:pt>
                  <c:pt idx="6">
                    <c:v>1.527525231651914E-2</c:v>
                  </c:pt>
                  <c:pt idx="9">
                    <c:v>3.0550504633039058E-2</c:v>
                  </c:pt>
                  <c:pt idx="12">
                    <c:v>3.4641016151377831E-2</c:v>
                  </c:pt>
                </c:numCache>
              </c:numRef>
            </c:minus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samples'!$S$26:$S$40</c:f>
              <c:numCache>
                <c:formatCode>0.00</c:formatCode>
                <c:ptCount val="15"/>
                <c:pt idx="0">
                  <c:v>11.763333333333334</c:v>
                </c:pt>
                <c:pt idx="3">
                  <c:v>11.546666666666667</c:v>
                </c:pt>
                <c:pt idx="6">
                  <c:v>11.333333333333334</c:v>
                </c:pt>
                <c:pt idx="9">
                  <c:v>11.283333333333333</c:v>
                </c:pt>
                <c:pt idx="12">
                  <c:v>11.21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B0-2B44-9E93-F4C26094B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793983"/>
        <c:axId val="2121288895"/>
      </c:scatterChart>
      <c:valAx>
        <c:axId val="86436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L/S</a:t>
                </a:r>
                <a:r>
                  <a:rPr lang="en-GB" sz="1200" baseline="0">
                    <a:solidFill>
                      <a:schemeClr val="tx1"/>
                    </a:solidFill>
                  </a:rPr>
                  <a:t> (cumulative)</a:t>
                </a:r>
                <a:endParaRPr lang="en-GB" sz="12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18080"/>
        <c:crosses val="autoZero"/>
        <c:crossBetween val="midCat"/>
      </c:valAx>
      <c:valAx>
        <c:axId val="8643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solidFill>
                      <a:schemeClr val="tx1"/>
                    </a:solidFill>
                    <a:effectLst/>
                  </a:rPr>
                  <a:t>EC </a:t>
                </a:r>
                <a:r>
                  <a:rPr lang="en-US" sz="1200" b="0" i="0" baseline="0">
                    <a:solidFill>
                      <a:schemeClr val="tx1"/>
                    </a:solidFill>
                    <a:effectLst/>
                  </a:rPr>
                  <a:t>m</a:t>
                </a:r>
                <a:r>
                  <a:rPr lang="en-GB" sz="1200" b="0" i="0" baseline="0">
                    <a:solidFill>
                      <a:schemeClr val="tx1"/>
                    </a:solidFill>
                    <a:effectLst/>
                  </a:rPr>
                  <a:t>S/cm</a:t>
                </a:r>
                <a:endParaRPr lang="en-NO" sz="1200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66480"/>
        <c:crosses val="autoZero"/>
        <c:crossBetween val="midCat"/>
      </c:valAx>
      <c:valAx>
        <c:axId val="2121288895"/>
        <c:scaling>
          <c:orientation val="minMax"/>
          <c:max val="12"/>
          <c:min val="10.8"/>
        </c:scaling>
        <c:delete val="0"/>
        <c:axPos val="r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GB" sz="1200" b="0"/>
                  <a:t>pH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" sourceLinked="1"/>
        <c:majorTickMark val="in"/>
        <c:minorTickMark val="none"/>
        <c:tickLblPos val="nextTo"/>
        <c:spPr>
          <a:solidFill>
            <a:schemeClr val="bg1"/>
          </a:solidFill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900"/>
            </a:pPr>
            <a:endParaRPr lang="nb-NO"/>
          </a:p>
        </c:txPr>
        <c:crossAx val="2138793983"/>
        <c:crosses val="max"/>
        <c:crossBetween val="midCat"/>
      </c:valAx>
      <c:valAx>
        <c:axId val="21387939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12888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2722227556008237"/>
          <c:y val="0.10685799888927805"/>
          <c:w val="0.15279719817928206"/>
          <c:h val="9.48950694000915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span"/>
    <c:showDLblsOverMax val="0"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Soil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samples'!$V$42:$V$56</c:f>
                <c:numCache>
                  <c:formatCode>General</c:formatCode>
                  <c:ptCount val="15"/>
                  <c:pt idx="0">
                    <c:v>98.657657246324945</c:v>
                  </c:pt>
                  <c:pt idx="3">
                    <c:v>31.22498999199199</c:v>
                  </c:pt>
                  <c:pt idx="6">
                    <c:v>11.269427669584644</c:v>
                  </c:pt>
                  <c:pt idx="9">
                    <c:v>4.358898943540674</c:v>
                  </c:pt>
                  <c:pt idx="12">
                    <c:v>10.692676621563628</c:v>
                  </c:pt>
                </c:numCache>
              </c:numRef>
            </c:plus>
            <c:minus>
              <c:numRef>
                <c:f>'EC,pH 60 samples'!$V$42:$V$56</c:f>
                <c:numCache>
                  <c:formatCode>General</c:formatCode>
                  <c:ptCount val="15"/>
                  <c:pt idx="0">
                    <c:v>98.657657246324945</c:v>
                  </c:pt>
                  <c:pt idx="3">
                    <c:v>31.22498999199199</c:v>
                  </c:pt>
                  <c:pt idx="6">
                    <c:v>11.269427669584644</c:v>
                  </c:pt>
                  <c:pt idx="9">
                    <c:v>4.358898943540674</c:v>
                  </c:pt>
                  <c:pt idx="12">
                    <c:v>10.692676621563628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samples'!$U$42:$U$56</c:f>
              <c:numCache>
                <c:formatCode>0</c:formatCode>
                <c:ptCount val="15"/>
                <c:pt idx="0">
                  <c:v>2923.3333333333335</c:v>
                </c:pt>
                <c:pt idx="3">
                  <c:v>1638</c:v>
                </c:pt>
                <c:pt idx="6">
                  <c:v>1125</c:v>
                </c:pt>
                <c:pt idx="9">
                  <c:v>835</c:v>
                </c:pt>
                <c:pt idx="12">
                  <c:v>705.33333333333337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1D-1345-9835-70CCCBEEF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366480"/>
        <c:axId val="864318080"/>
      </c:scatterChart>
      <c:scatterChart>
        <c:scatterStyle val="lineMarker"/>
        <c:varyColors val="0"/>
        <c:ser>
          <c:idx val="1"/>
          <c:order val="1"/>
          <c:tx>
            <c:v>pH</c:v>
          </c:tx>
          <c:spPr>
            <a:ln w="15875">
              <a:solidFill>
                <a:schemeClr val="tx1"/>
              </a:solidFill>
              <a:prstDash val="sysDot"/>
            </a:ln>
          </c:spPr>
          <c:marker>
            <c:symbol val="squar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samples'!$T$42:$T$56</c:f>
                <c:numCache>
                  <c:formatCode>General</c:formatCode>
                  <c:ptCount val="15"/>
                  <c:pt idx="0">
                    <c:v>2.3094010767585563E-2</c:v>
                  </c:pt>
                  <c:pt idx="3">
                    <c:v>9.9999999999997868E-3</c:v>
                  </c:pt>
                  <c:pt idx="6">
                    <c:v>2.0816659994660883E-2</c:v>
                  </c:pt>
                  <c:pt idx="9">
                    <c:v>9.8488578017960668E-2</c:v>
                  </c:pt>
                  <c:pt idx="12">
                    <c:v>5.7735026918961348E-3</c:v>
                  </c:pt>
                </c:numCache>
              </c:numRef>
            </c:plus>
            <c:minus>
              <c:numRef>
                <c:f>'EC,pH 60 samples'!$T$42:$T$56</c:f>
                <c:numCache>
                  <c:formatCode>General</c:formatCode>
                  <c:ptCount val="15"/>
                  <c:pt idx="0">
                    <c:v>2.3094010767585563E-2</c:v>
                  </c:pt>
                  <c:pt idx="3">
                    <c:v>9.9999999999997868E-3</c:v>
                  </c:pt>
                  <c:pt idx="6">
                    <c:v>2.0816659994660883E-2</c:v>
                  </c:pt>
                  <c:pt idx="9">
                    <c:v>9.8488578017960668E-2</c:v>
                  </c:pt>
                  <c:pt idx="12">
                    <c:v>5.7735026918961348E-3</c:v>
                  </c:pt>
                </c:numCache>
              </c:numRef>
            </c:minus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samples'!$S$42:$S$56</c:f>
              <c:numCache>
                <c:formatCode>0.00</c:formatCode>
                <c:ptCount val="15"/>
                <c:pt idx="0">
                  <c:v>11.943333333333333</c:v>
                </c:pt>
                <c:pt idx="3">
                  <c:v>11.76</c:v>
                </c:pt>
                <c:pt idx="6">
                  <c:v>11.603333333333332</c:v>
                </c:pt>
                <c:pt idx="9">
                  <c:v>11.32</c:v>
                </c:pt>
                <c:pt idx="12">
                  <c:v>11.323333333333332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1D-1345-9835-70CCCBEEF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793983"/>
        <c:axId val="2121288895"/>
      </c:scatterChart>
      <c:valAx>
        <c:axId val="86436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L/S</a:t>
                </a:r>
                <a:r>
                  <a:rPr lang="en-GB" sz="1200" baseline="0">
                    <a:solidFill>
                      <a:schemeClr val="tx1"/>
                    </a:solidFill>
                  </a:rPr>
                  <a:t> (cumulative)</a:t>
                </a:r>
                <a:endParaRPr lang="en-GB" sz="12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18080"/>
        <c:crosses val="autoZero"/>
        <c:crossBetween val="midCat"/>
      </c:valAx>
      <c:valAx>
        <c:axId val="8643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solidFill>
                      <a:schemeClr val="tx1"/>
                    </a:solidFill>
                    <a:effectLst/>
                  </a:rPr>
                  <a:t>EC </a:t>
                </a:r>
                <a:r>
                  <a:rPr lang="en-US" sz="1200" b="0" i="0" baseline="0">
                    <a:solidFill>
                      <a:schemeClr val="tx1"/>
                    </a:solidFill>
                    <a:effectLst/>
                  </a:rPr>
                  <a:t>m</a:t>
                </a:r>
                <a:r>
                  <a:rPr lang="en-GB" sz="1200" b="0" i="0" baseline="0">
                    <a:solidFill>
                      <a:schemeClr val="tx1"/>
                    </a:solidFill>
                    <a:effectLst/>
                  </a:rPr>
                  <a:t>S/cm</a:t>
                </a:r>
                <a:endParaRPr lang="en-NO" sz="1200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66480"/>
        <c:crosses val="autoZero"/>
        <c:crossBetween val="midCat"/>
      </c:valAx>
      <c:valAx>
        <c:axId val="2121288895"/>
        <c:scaling>
          <c:orientation val="minMax"/>
          <c:max val="12"/>
          <c:min val="10.8"/>
        </c:scaling>
        <c:delete val="0"/>
        <c:axPos val="r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GB" sz="1200" b="0"/>
                  <a:t>pH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" sourceLinked="1"/>
        <c:majorTickMark val="in"/>
        <c:minorTickMark val="none"/>
        <c:tickLblPos val="nextTo"/>
        <c:spPr>
          <a:solidFill>
            <a:schemeClr val="bg1"/>
          </a:solidFill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900"/>
            </a:pPr>
            <a:endParaRPr lang="nb-NO"/>
          </a:p>
        </c:txPr>
        <c:crossAx val="2138793983"/>
        <c:crosses val="max"/>
        <c:crossBetween val="midCat"/>
      </c:valAx>
      <c:valAx>
        <c:axId val="21387939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12888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2722227556008237"/>
          <c:y val="0.10685799888927805"/>
          <c:w val="0.15279719817928206"/>
          <c:h val="9.48950694000915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span"/>
    <c:showDLblsOverMax val="0"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Gypsum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</c:v>
          </c:tx>
          <c:spPr>
            <a:ln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samples'!$V$58:$V$72</c:f>
                <c:numCache>
                  <c:formatCode>General</c:formatCode>
                  <c:ptCount val="15"/>
                  <c:pt idx="0">
                    <c:v>43.588989435406738</c:v>
                  </c:pt>
                  <c:pt idx="3">
                    <c:v>85.440037453175307</c:v>
                  </c:pt>
                  <c:pt idx="6">
                    <c:v>28.589042189855423</c:v>
                  </c:pt>
                  <c:pt idx="9">
                    <c:v>11.372481406154654</c:v>
                  </c:pt>
                  <c:pt idx="12">
                    <c:v>11.532562594670797</c:v>
                  </c:pt>
                </c:numCache>
              </c:numRef>
            </c:plus>
            <c:minus>
              <c:numRef>
                <c:f>'EC,pH 60 samples'!$V$58:$V$72</c:f>
                <c:numCache>
                  <c:formatCode>General</c:formatCode>
                  <c:ptCount val="15"/>
                  <c:pt idx="0">
                    <c:v>43.588989435406738</c:v>
                  </c:pt>
                  <c:pt idx="3">
                    <c:v>85.440037453175307</c:v>
                  </c:pt>
                  <c:pt idx="6">
                    <c:v>28.589042189855423</c:v>
                  </c:pt>
                  <c:pt idx="9">
                    <c:v>11.372481406154654</c:v>
                  </c:pt>
                  <c:pt idx="12">
                    <c:v>11.532562594670797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samples'!$U$58:$U$72</c:f>
              <c:numCache>
                <c:formatCode>0</c:formatCode>
                <c:ptCount val="15"/>
                <c:pt idx="0">
                  <c:v>4430</c:v>
                </c:pt>
                <c:pt idx="3">
                  <c:v>3010</c:v>
                </c:pt>
                <c:pt idx="6">
                  <c:v>1129.6666666666667</c:v>
                </c:pt>
                <c:pt idx="9">
                  <c:v>919.33333333333337</c:v>
                </c:pt>
                <c:pt idx="12">
                  <c:v>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48-6748-A12B-46A730E08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366480"/>
        <c:axId val="864318080"/>
      </c:scatterChart>
      <c:scatterChart>
        <c:scatterStyle val="lineMarker"/>
        <c:varyColors val="0"/>
        <c:ser>
          <c:idx val="1"/>
          <c:order val="1"/>
          <c:tx>
            <c:v>pH</c:v>
          </c:tx>
          <c:spPr>
            <a:ln w="15875">
              <a:solidFill>
                <a:schemeClr val="tx1"/>
              </a:solidFill>
              <a:prstDash val="sysDot"/>
            </a:ln>
          </c:spPr>
          <c:marker>
            <c:symbol val="squar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samples'!$T$58:$T$72</c:f>
                <c:numCache>
                  <c:formatCode>General</c:formatCode>
                  <c:ptCount val="15"/>
                  <c:pt idx="0">
                    <c:v>1.527525231651914E-2</c:v>
                  </c:pt>
                  <c:pt idx="3">
                    <c:v>9.9999999999997868E-3</c:v>
                  </c:pt>
                  <c:pt idx="6">
                    <c:v>1.9999999999999574E-2</c:v>
                  </c:pt>
                  <c:pt idx="9">
                    <c:v>1.1547005383793295E-2</c:v>
                  </c:pt>
                  <c:pt idx="12">
                    <c:v>7.571877794400407E-2</c:v>
                  </c:pt>
                </c:numCache>
              </c:numRef>
            </c:plus>
            <c:minus>
              <c:numRef>
                <c:f>'EC,pH 60 samples'!$T$58:$T$72</c:f>
                <c:numCache>
                  <c:formatCode>General</c:formatCode>
                  <c:ptCount val="15"/>
                  <c:pt idx="0">
                    <c:v>1.527525231651914E-2</c:v>
                  </c:pt>
                  <c:pt idx="3">
                    <c:v>9.9999999999997868E-3</c:v>
                  </c:pt>
                  <c:pt idx="6">
                    <c:v>1.9999999999999574E-2</c:v>
                  </c:pt>
                  <c:pt idx="9">
                    <c:v>1.1547005383793295E-2</c:v>
                  </c:pt>
                  <c:pt idx="12">
                    <c:v>7.571877794400407E-2</c:v>
                  </c:pt>
                </c:numCache>
              </c:numRef>
            </c:minus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samples'!$S$58:$S$72</c:f>
              <c:numCache>
                <c:formatCode>0.00</c:formatCode>
                <c:ptCount val="15"/>
                <c:pt idx="0">
                  <c:v>10.916666666666666</c:v>
                </c:pt>
                <c:pt idx="3">
                  <c:v>10.94</c:v>
                </c:pt>
                <c:pt idx="6">
                  <c:v>11.410000000000002</c:v>
                </c:pt>
                <c:pt idx="9">
                  <c:v>11.543333333333331</c:v>
                </c:pt>
                <c:pt idx="12">
                  <c:v>11.436666666666667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48-6748-A12B-46A730E08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793983"/>
        <c:axId val="2121288895"/>
      </c:scatterChart>
      <c:valAx>
        <c:axId val="86436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L/S</a:t>
                </a:r>
                <a:r>
                  <a:rPr lang="en-GB" sz="1200" baseline="0">
                    <a:solidFill>
                      <a:schemeClr val="tx1"/>
                    </a:solidFill>
                  </a:rPr>
                  <a:t> (cumulative)</a:t>
                </a:r>
                <a:endParaRPr lang="en-GB" sz="12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18080"/>
        <c:crosses val="autoZero"/>
        <c:crossBetween val="midCat"/>
      </c:valAx>
      <c:valAx>
        <c:axId val="8643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solidFill>
                      <a:schemeClr val="tx1"/>
                    </a:solidFill>
                    <a:effectLst/>
                  </a:rPr>
                  <a:t>EC </a:t>
                </a:r>
                <a:r>
                  <a:rPr lang="en-US" sz="1200" b="0" i="0" baseline="0">
                    <a:solidFill>
                      <a:schemeClr val="tx1"/>
                    </a:solidFill>
                    <a:effectLst/>
                  </a:rPr>
                  <a:t>m</a:t>
                </a:r>
                <a:r>
                  <a:rPr lang="en-GB" sz="1200" b="0" i="0" baseline="0">
                    <a:solidFill>
                      <a:schemeClr val="tx1"/>
                    </a:solidFill>
                    <a:effectLst/>
                  </a:rPr>
                  <a:t>S/cm</a:t>
                </a:r>
                <a:endParaRPr lang="en-NO" sz="1200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66480"/>
        <c:crosses val="autoZero"/>
        <c:crossBetween val="midCat"/>
      </c:valAx>
      <c:valAx>
        <c:axId val="2121288895"/>
        <c:scaling>
          <c:orientation val="minMax"/>
          <c:max val="12"/>
          <c:min val="10.8"/>
        </c:scaling>
        <c:delete val="0"/>
        <c:axPos val="r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GB" sz="1200" b="0"/>
                  <a:t>pH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" sourceLinked="1"/>
        <c:majorTickMark val="in"/>
        <c:minorTickMark val="none"/>
        <c:tickLblPos val="nextTo"/>
        <c:spPr>
          <a:solidFill>
            <a:schemeClr val="bg1"/>
          </a:solidFill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sz="900"/>
            </a:pPr>
            <a:endParaRPr lang="nb-NO"/>
          </a:p>
        </c:txPr>
        <c:crossAx val="2138793983"/>
        <c:crosses val="max"/>
        <c:crossBetween val="midCat"/>
      </c:valAx>
      <c:valAx>
        <c:axId val="21387939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12888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2722227556008237"/>
          <c:y val="0.10685799888927805"/>
          <c:w val="0.15279719817928206"/>
          <c:h val="9.48950694000915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span"/>
    <c:showDLblsOverMax val="0"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157002281822799"/>
          <c:y val="5.1606303471898755E-2"/>
          <c:w val="0.6577550499299043"/>
          <c:h val="0.76994445386418209"/>
        </c:manualLayout>
      </c:layout>
      <c:scatterChart>
        <c:scatterStyle val="lineMarker"/>
        <c:varyColors val="0"/>
        <c:ser>
          <c:idx val="0"/>
          <c:order val="0"/>
          <c:tx>
            <c:v>BR</c:v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samples'!$T$10:$T$24</c:f>
                <c:numCache>
                  <c:formatCode>General</c:formatCode>
                  <c:ptCount val="15"/>
                  <c:pt idx="0">
                    <c:v>2.0816659994660883E-2</c:v>
                  </c:pt>
                  <c:pt idx="3">
                    <c:v>9.9999999999997868E-3</c:v>
                  </c:pt>
                  <c:pt idx="6">
                    <c:v>2.5166114784236238E-2</c:v>
                  </c:pt>
                  <c:pt idx="9">
                    <c:v>1.7320508075689429E-2</c:v>
                  </c:pt>
                  <c:pt idx="12">
                    <c:v>1.9999999999999574E-2</c:v>
                  </c:pt>
                </c:numCache>
              </c:numRef>
            </c:plus>
            <c:minus>
              <c:numRef>
                <c:f>'EC,pH 60 samples'!$T$10:$T$24</c:f>
                <c:numCache>
                  <c:formatCode>General</c:formatCode>
                  <c:ptCount val="15"/>
                  <c:pt idx="0">
                    <c:v>2.0816659994660883E-2</c:v>
                  </c:pt>
                  <c:pt idx="3">
                    <c:v>9.9999999999997868E-3</c:v>
                  </c:pt>
                  <c:pt idx="6">
                    <c:v>2.5166114784236238E-2</c:v>
                  </c:pt>
                  <c:pt idx="9">
                    <c:v>1.7320508075689429E-2</c:v>
                  </c:pt>
                  <c:pt idx="12">
                    <c:v>1.9999999999999574E-2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samples'!$S$10:$S$24</c:f>
              <c:numCache>
                <c:formatCode>0.00</c:formatCode>
                <c:ptCount val="15"/>
                <c:pt idx="0">
                  <c:v>11.986666666666666</c:v>
                </c:pt>
                <c:pt idx="3">
                  <c:v>11.82</c:v>
                </c:pt>
                <c:pt idx="6">
                  <c:v>11.693333333333333</c:v>
                </c:pt>
                <c:pt idx="9">
                  <c:v>11.61</c:v>
                </c:pt>
                <c:pt idx="12">
                  <c:v>11.520000000000001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21-544B-8BD9-AEF767436ABD}"/>
            </c:ext>
          </c:extLst>
        </c:ser>
        <c:ser>
          <c:idx val="1"/>
          <c:order val="1"/>
          <c:tx>
            <c:v>Açai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samples'!$T$26:$T$40</c:f>
                <c:numCache>
                  <c:formatCode>General</c:formatCode>
                  <c:ptCount val="15"/>
                  <c:pt idx="0">
                    <c:v>5.7735026918961348E-3</c:v>
                  </c:pt>
                  <c:pt idx="3">
                    <c:v>2.0816659994661878E-2</c:v>
                  </c:pt>
                  <c:pt idx="6">
                    <c:v>1.527525231651914E-2</c:v>
                  </c:pt>
                  <c:pt idx="9">
                    <c:v>3.0550504633039058E-2</c:v>
                  </c:pt>
                  <c:pt idx="12">
                    <c:v>3.4641016151377831E-2</c:v>
                  </c:pt>
                </c:numCache>
              </c:numRef>
            </c:plus>
            <c:minus>
              <c:numRef>
                <c:f>'EC,pH 60 samples'!$T$26:$T$40</c:f>
                <c:numCache>
                  <c:formatCode>General</c:formatCode>
                  <c:ptCount val="15"/>
                  <c:pt idx="0">
                    <c:v>5.7735026918961348E-3</c:v>
                  </c:pt>
                  <c:pt idx="3">
                    <c:v>2.0816659994661878E-2</c:v>
                  </c:pt>
                  <c:pt idx="6">
                    <c:v>1.527525231651914E-2</c:v>
                  </c:pt>
                  <c:pt idx="9">
                    <c:v>3.0550504633039058E-2</c:v>
                  </c:pt>
                  <c:pt idx="12">
                    <c:v>3.4641016151377831E-2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samples'!$S$26:$S$40</c:f>
              <c:numCache>
                <c:formatCode>0.00</c:formatCode>
                <c:ptCount val="15"/>
                <c:pt idx="0">
                  <c:v>11.763333333333334</c:v>
                </c:pt>
                <c:pt idx="3">
                  <c:v>11.546666666666667</c:v>
                </c:pt>
                <c:pt idx="6">
                  <c:v>11.333333333333334</c:v>
                </c:pt>
                <c:pt idx="9">
                  <c:v>11.283333333333333</c:v>
                </c:pt>
                <c:pt idx="12">
                  <c:v>11.21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21-544B-8BD9-AEF767436ABD}"/>
            </c:ext>
          </c:extLst>
        </c:ser>
        <c:ser>
          <c:idx val="2"/>
          <c:order val="2"/>
          <c:tx>
            <c:v>Soil</c:v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samples'!$T$42:$T$56</c:f>
                <c:numCache>
                  <c:formatCode>General</c:formatCode>
                  <c:ptCount val="15"/>
                  <c:pt idx="0">
                    <c:v>2.3094010767585563E-2</c:v>
                  </c:pt>
                  <c:pt idx="3">
                    <c:v>9.9999999999997868E-3</c:v>
                  </c:pt>
                  <c:pt idx="6">
                    <c:v>2.0816659994660883E-2</c:v>
                  </c:pt>
                  <c:pt idx="9">
                    <c:v>9.8488578017960668E-2</c:v>
                  </c:pt>
                  <c:pt idx="12">
                    <c:v>5.7735026918961348E-3</c:v>
                  </c:pt>
                </c:numCache>
              </c:numRef>
            </c:plus>
            <c:minus>
              <c:numRef>
                <c:f>'EC,pH 60 samples'!$T$42:$T$56</c:f>
                <c:numCache>
                  <c:formatCode>General</c:formatCode>
                  <c:ptCount val="15"/>
                  <c:pt idx="0">
                    <c:v>2.3094010767585563E-2</c:v>
                  </c:pt>
                  <c:pt idx="3">
                    <c:v>9.9999999999997868E-3</c:v>
                  </c:pt>
                  <c:pt idx="6">
                    <c:v>2.0816659994660883E-2</c:v>
                  </c:pt>
                  <c:pt idx="9">
                    <c:v>9.8488578017960668E-2</c:v>
                  </c:pt>
                  <c:pt idx="12">
                    <c:v>5.7735026918961348E-3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samples'!$S$42:$S$56</c:f>
              <c:numCache>
                <c:formatCode>0.00</c:formatCode>
                <c:ptCount val="15"/>
                <c:pt idx="0">
                  <c:v>11.943333333333333</c:v>
                </c:pt>
                <c:pt idx="3">
                  <c:v>11.76</c:v>
                </c:pt>
                <c:pt idx="6">
                  <c:v>11.603333333333332</c:v>
                </c:pt>
                <c:pt idx="9">
                  <c:v>11.32</c:v>
                </c:pt>
                <c:pt idx="12">
                  <c:v>11.323333333333332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21-544B-8BD9-AEF767436ABD}"/>
            </c:ext>
          </c:extLst>
        </c:ser>
        <c:ser>
          <c:idx val="3"/>
          <c:order val="3"/>
          <c:tx>
            <c:v>Gypsum</c:v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samples'!$T$58:$T$72</c:f>
                <c:numCache>
                  <c:formatCode>General</c:formatCode>
                  <c:ptCount val="15"/>
                  <c:pt idx="0">
                    <c:v>1.527525231651914E-2</c:v>
                  </c:pt>
                  <c:pt idx="3">
                    <c:v>9.9999999999997868E-3</c:v>
                  </c:pt>
                  <c:pt idx="6">
                    <c:v>1.9999999999999574E-2</c:v>
                  </c:pt>
                  <c:pt idx="9">
                    <c:v>1.1547005383793295E-2</c:v>
                  </c:pt>
                  <c:pt idx="12">
                    <c:v>7.571877794400407E-2</c:v>
                  </c:pt>
                </c:numCache>
              </c:numRef>
            </c:plus>
            <c:minus>
              <c:numRef>
                <c:f>'EC,pH 60 samples'!$T$58:$T$72</c:f>
                <c:numCache>
                  <c:formatCode>General</c:formatCode>
                  <c:ptCount val="15"/>
                  <c:pt idx="0">
                    <c:v>1.527525231651914E-2</c:v>
                  </c:pt>
                  <c:pt idx="3">
                    <c:v>9.9999999999997868E-3</c:v>
                  </c:pt>
                  <c:pt idx="6">
                    <c:v>1.9999999999999574E-2</c:v>
                  </c:pt>
                  <c:pt idx="9">
                    <c:v>1.1547005383793295E-2</c:v>
                  </c:pt>
                  <c:pt idx="12">
                    <c:v>7.571877794400407E-2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samples'!$S$58:$S$72</c:f>
              <c:numCache>
                <c:formatCode>0.00</c:formatCode>
                <c:ptCount val="15"/>
                <c:pt idx="0">
                  <c:v>10.916666666666666</c:v>
                </c:pt>
                <c:pt idx="3">
                  <c:v>10.94</c:v>
                </c:pt>
                <c:pt idx="6">
                  <c:v>11.410000000000002</c:v>
                </c:pt>
                <c:pt idx="9">
                  <c:v>11.543333333333331</c:v>
                </c:pt>
                <c:pt idx="12">
                  <c:v>11.436666666666667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21-544B-8BD9-AEF767436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366480"/>
        <c:axId val="864318080"/>
      </c:scatterChart>
      <c:scatterChart>
        <c:scatterStyle val="lineMarker"/>
        <c:varyColors val="0"/>
        <c:ser>
          <c:idx val="4"/>
          <c:order val="4"/>
          <c:tx>
            <c:v>temp</c:v>
          </c:tx>
          <c:spPr>
            <a:ln w="28575" cap="rnd" cmpd="dbl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plus"/>
            <c:size val="5"/>
            <c:spPr>
              <a:solidFill>
                <a:schemeClr val="tx1"/>
              </a:solidFill>
              <a:ln w="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samples'!$X$98:$X$112</c:f>
                <c:numCache>
                  <c:formatCode>General</c:formatCode>
                  <c:ptCount val="15"/>
                  <c:pt idx="0">
                    <c:v>0.68</c:v>
                  </c:pt>
                  <c:pt idx="3">
                    <c:v>0.36</c:v>
                  </c:pt>
                  <c:pt idx="6">
                    <c:v>0.41</c:v>
                  </c:pt>
                  <c:pt idx="9">
                    <c:v>0.3</c:v>
                  </c:pt>
                  <c:pt idx="12">
                    <c:v>0.38</c:v>
                  </c:pt>
                </c:numCache>
              </c:numRef>
            </c:plus>
            <c:minus>
              <c:numRef>
                <c:f>'EC,pH 60 samples'!$X$98:$X$112</c:f>
                <c:numCache>
                  <c:formatCode>General</c:formatCode>
                  <c:ptCount val="15"/>
                  <c:pt idx="0">
                    <c:v>0.68</c:v>
                  </c:pt>
                  <c:pt idx="3">
                    <c:v>0.36</c:v>
                  </c:pt>
                  <c:pt idx="6">
                    <c:v>0.41</c:v>
                  </c:pt>
                  <c:pt idx="9">
                    <c:v>0.3</c:v>
                  </c:pt>
                  <c:pt idx="12">
                    <c:v>0.38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samples'!$W$98:$W$112</c:f>
              <c:numCache>
                <c:formatCode>0.00</c:formatCode>
                <c:ptCount val="15"/>
                <c:pt idx="0">
                  <c:v>27.87</c:v>
                </c:pt>
                <c:pt idx="3">
                  <c:v>29.91</c:v>
                </c:pt>
                <c:pt idx="6">
                  <c:v>30.16</c:v>
                </c:pt>
                <c:pt idx="9">
                  <c:v>29.6</c:v>
                </c:pt>
                <c:pt idx="12">
                  <c:v>30.45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21-544B-8BD9-AEF767436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461823"/>
        <c:axId val="1375754927"/>
      </c:scatterChart>
      <c:valAx>
        <c:axId val="86436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Leaching test week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18080"/>
        <c:crosses val="autoZero"/>
        <c:crossBetween val="midCat"/>
      </c:valAx>
      <c:valAx>
        <c:axId val="8643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64366480"/>
        <c:crosses val="autoZero"/>
        <c:crossBetween val="midCat"/>
      </c:valAx>
      <c:valAx>
        <c:axId val="1375754927"/>
        <c:scaling>
          <c:orientation val="minMax"/>
          <c:max val="32"/>
          <c:min val="2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C˚</a:t>
                </a:r>
                <a:endParaRPr lang="en-N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15461823"/>
        <c:crosses val="max"/>
        <c:crossBetween val="midCat"/>
      </c:valAx>
      <c:valAx>
        <c:axId val="14154618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5754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254522868133785"/>
          <c:y val="4.6984666598602502E-2"/>
          <c:w val="0.46249470374579138"/>
          <c:h val="7.555775269786781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span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600">
          <a:solidFill>
            <a:schemeClr val="tx1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4032186665926"/>
          <c:y val="4.8407140820030281E-2"/>
          <c:w val="0.84292079348911098"/>
          <c:h val="0.84912362369567795"/>
        </c:manualLayout>
      </c:layout>
      <c:scatterChart>
        <c:scatterStyle val="lineMarker"/>
        <c:varyColors val="0"/>
        <c:ser>
          <c:idx val="0"/>
          <c:order val="0"/>
          <c:tx>
            <c:v>BR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samples'!$T$10:$T$24</c:f>
                <c:numCache>
                  <c:formatCode>General</c:formatCode>
                  <c:ptCount val="15"/>
                  <c:pt idx="0">
                    <c:v>2.0816659994660883E-2</c:v>
                  </c:pt>
                  <c:pt idx="3">
                    <c:v>9.9999999999997868E-3</c:v>
                  </c:pt>
                  <c:pt idx="6">
                    <c:v>2.5166114784236238E-2</c:v>
                  </c:pt>
                  <c:pt idx="9">
                    <c:v>1.7320508075689429E-2</c:v>
                  </c:pt>
                  <c:pt idx="12">
                    <c:v>1.9999999999999574E-2</c:v>
                  </c:pt>
                </c:numCache>
              </c:numRef>
            </c:plus>
            <c:minus>
              <c:numRef>
                <c:f>'EC,pH 60 samples'!$T$10:$T$24</c:f>
                <c:numCache>
                  <c:formatCode>General</c:formatCode>
                  <c:ptCount val="15"/>
                  <c:pt idx="0">
                    <c:v>2.0816659994660883E-2</c:v>
                  </c:pt>
                  <c:pt idx="3">
                    <c:v>9.9999999999997868E-3</c:v>
                  </c:pt>
                  <c:pt idx="6">
                    <c:v>2.5166114784236238E-2</c:v>
                  </c:pt>
                  <c:pt idx="9">
                    <c:v>1.7320508075689429E-2</c:v>
                  </c:pt>
                  <c:pt idx="12">
                    <c:v>1.9999999999999574E-2</c:v>
                  </c:pt>
                </c:numCache>
              </c:numRef>
            </c:minus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samples'!$S$10:$S$24</c:f>
              <c:numCache>
                <c:formatCode>0.00</c:formatCode>
                <c:ptCount val="15"/>
                <c:pt idx="0">
                  <c:v>11.986666666666666</c:v>
                </c:pt>
                <c:pt idx="3">
                  <c:v>11.82</c:v>
                </c:pt>
                <c:pt idx="6">
                  <c:v>11.693333333333333</c:v>
                </c:pt>
                <c:pt idx="9">
                  <c:v>11.61</c:v>
                </c:pt>
                <c:pt idx="12">
                  <c:v>11.520000000000001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EF-354C-B155-3EA6DA50DD19}"/>
            </c:ext>
          </c:extLst>
        </c:ser>
        <c:ser>
          <c:idx val="1"/>
          <c:order val="1"/>
          <c:tx>
            <c:v>Açai</c:v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samples'!$T$26:$T$40</c:f>
                <c:numCache>
                  <c:formatCode>General</c:formatCode>
                  <c:ptCount val="15"/>
                  <c:pt idx="0">
                    <c:v>5.7735026918961348E-3</c:v>
                  </c:pt>
                  <c:pt idx="3">
                    <c:v>2.0816659994661878E-2</c:v>
                  </c:pt>
                  <c:pt idx="6">
                    <c:v>1.527525231651914E-2</c:v>
                  </c:pt>
                  <c:pt idx="9">
                    <c:v>3.0550504633039058E-2</c:v>
                  </c:pt>
                  <c:pt idx="12">
                    <c:v>3.4641016151377831E-2</c:v>
                  </c:pt>
                </c:numCache>
              </c:numRef>
            </c:plus>
            <c:minus>
              <c:numRef>
                <c:f>'EC,pH 60 samples'!$T$26:$T$40</c:f>
                <c:numCache>
                  <c:formatCode>General</c:formatCode>
                  <c:ptCount val="15"/>
                  <c:pt idx="0">
                    <c:v>5.7735026918961348E-3</c:v>
                  </c:pt>
                  <c:pt idx="3">
                    <c:v>2.0816659994661878E-2</c:v>
                  </c:pt>
                  <c:pt idx="6">
                    <c:v>1.527525231651914E-2</c:v>
                  </c:pt>
                  <c:pt idx="9">
                    <c:v>3.0550504633039058E-2</c:v>
                  </c:pt>
                  <c:pt idx="12">
                    <c:v>3.4641016151377831E-2</c:v>
                  </c:pt>
                </c:numCache>
              </c:numRef>
            </c:minus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samples'!$S$26:$S$40</c:f>
              <c:numCache>
                <c:formatCode>0.00</c:formatCode>
                <c:ptCount val="15"/>
                <c:pt idx="0">
                  <c:v>11.763333333333334</c:v>
                </c:pt>
                <c:pt idx="3">
                  <c:v>11.546666666666667</c:v>
                </c:pt>
                <c:pt idx="6">
                  <c:v>11.333333333333334</c:v>
                </c:pt>
                <c:pt idx="9">
                  <c:v>11.283333333333333</c:v>
                </c:pt>
                <c:pt idx="12">
                  <c:v>11.21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EF-354C-B155-3EA6DA50DD19}"/>
            </c:ext>
          </c:extLst>
        </c:ser>
        <c:ser>
          <c:idx val="2"/>
          <c:order val="2"/>
          <c:tx>
            <c:v>Soil</c:v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samples'!$T$42:$T$56</c:f>
                <c:numCache>
                  <c:formatCode>General</c:formatCode>
                  <c:ptCount val="15"/>
                  <c:pt idx="0">
                    <c:v>2.3094010767585563E-2</c:v>
                  </c:pt>
                  <c:pt idx="3">
                    <c:v>9.9999999999997868E-3</c:v>
                  </c:pt>
                  <c:pt idx="6">
                    <c:v>2.0816659994660883E-2</c:v>
                  </c:pt>
                  <c:pt idx="9">
                    <c:v>9.8488578017960668E-2</c:v>
                  </c:pt>
                  <c:pt idx="12">
                    <c:v>5.7735026918961348E-3</c:v>
                  </c:pt>
                </c:numCache>
              </c:numRef>
            </c:plus>
            <c:minus>
              <c:numRef>
                <c:f>'EC,pH 60 samples'!$T$42:$T$56</c:f>
                <c:numCache>
                  <c:formatCode>General</c:formatCode>
                  <c:ptCount val="15"/>
                  <c:pt idx="0">
                    <c:v>2.3094010767585563E-2</c:v>
                  </c:pt>
                  <c:pt idx="3">
                    <c:v>9.9999999999997868E-3</c:v>
                  </c:pt>
                  <c:pt idx="6">
                    <c:v>2.0816659994660883E-2</c:v>
                  </c:pt>
                  <c:pt idx="9">
                    <c:v>9.8488578017960668E-2</c:v>
                  </c:pt>
                  <c:pt idx="12">
                    <c:v>5.7735026918961348E-3</c:v>
                  </c:pt>
                </c:numCache>
              </c:numRef>
            </c:minus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samples'!$S$42:$S$56</c:f>
              <c:numCache>
                <c:formatCode>0.00</c:formatCode>
                <c:ptCount val="15"/>
                <c:pt idx="0">
                  <c:v>11.943333333333333</c:v>
                </c:pt>
                <c:pt idx="3">
                  <c:v>11.76</c:v>
                </c:pt>
                <c:pt idx="6">
                  <c:v>11.603333333333332</c:v>
                </c:pt>
                <c:pt idx="9">
                  <c:v>11.32</c:v>
                </c:pt>
                <c:pt idx="12">
                  <c:v>11.323333333333332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BEF-354C-B155-3EA6DA50DD19}"/>
            </c:ext>
          </c:extLst>
        </c:ser>
        <c:ser>
          <c:idx val="3"/>
          <c:order val="3"/>
          <c:tx>
            <c:v>Gypsum</c:v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'EC,pH 60 samples'!$T$58:$T$72</c:f>
                <c:numCache>
                  <c:formatCode>General</c:formatCode>
                  <c:ptCount val="15"/>
                  <c:pt idx="0">
                    <c:v>1.527525231651914E-2</c:v>
                  </c:pt>
                  <c:pt idx="3">
                    <c:v>9.9999999999997868E-3</c:v>
                  </c:pt>
                  <c:pt idx="6">
                    <c:v>1.9999999999999574E-2</c:v>
                  </c:pt>
                  <c:pt idx="9">
                    <c:v>1.1547005383793295E-2</c:v>
                  </c:pt>
                  <c:pt idx="12">
                    <c:v>7.571877794400407E-2</c:v>
                  </c:pt>
                </c:numCache>
              </c:numRef>
            </c:plus>
            <c:minus>
              <c:numRef>
                <c:f>'EC,pH 60 samples'!$T$58:$T$72</c:f>
                <c:numCache>
                  <c:formatCode>General</c:formatCode>
                  <c:ptCount val="15"/>
                  <c:pt idx="0">
                    <c:v>1.527525231651914E-2</c:v>
                  </c:pt>
                  <c:pt idx="3">
                    <c:v>9.9999999999997868E-3</c:v>
                  </c:pt>
                  <c:pt idx="6">
                    <c:v>1.9999999999999574E-2</c:v>
                  </c:pt>
                  <c:pt idx="9">
                    <c:v>1.1547005383793295E-2</c:v>
                  </c:pt>
                  <c:pt idx="12">
                    <c:v>7.571877794400407E-2</c:v>
                  </c:pt>
                </c:numCache>
              </c:numRef>
            </c:minus>
          </c:errBars>
          <c:xVal>
            <c:numRef>
              <c:f>'EC,pH 60 samples'!$N$10:$N$24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'EC,pH 60 samples'!$S$58:$S$72</c:f>
              <c:numCache>
                <c:formatCode>0.00</c:formatCode>
                <c:ptCount val="15"/>
                <c:pt idx="0">
                  <c:v>10.916666666666666</c:v>
                </c:pt>
                <c:pt idx="3">
                  <c:v>10.94</c:v>
                </c:pt>
                <c:pt idx="6">
                  <c:v>11.410000000000002</c:v>
                </c:pt>
                <c:pt idx="9">
                  <c:v>11.543333333333331</c:v>
                </c:pt>
                <c:pt idx="12">
                  <c:v>11.436666666666667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BEF-354C-B155-3EA6DA50D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366480"/>
        <c:axId val="864318080"/>
      </c:scatterChart>
      <c:valAx>
        <c:axId val="864366480"/>
        <c:scaling>
          <c:orientation val="minMax"/>
          <c:max val="52"/>
          <c:min val="9.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L/S (cumulative)</a:t>
                </a:r>
                <a:endParaRPr lang="en-N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864318080"/>
        <c:crosses val="autoZero"/>
        <c:crossBetween val="midCat"/>
        <c:majorUnit val="10"/>
      </c:valAx>
      <c:valAx>
        <c:axId val="864318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pH</a:t>
                </a:r>
                <a:endParaRPr lang="en-N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86436648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71163335343395573"/>
          <c:y val="3.8572413116533255E-2"/>
          <c:w val="0.25252374966506269"/>
          <c:h val="0.1990140065174657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nb-NO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43250336951126E-2"/>
          <c:y val="5.1606303471898755E-2"/>
          <c:w val="0.80904087114254108"/>
          <c:h val="0.82763032807867853"/>
        </c:manualLayout>
      </c:layout>
      <c:scatterChart>
        <c:scatterStyle val="lineMarker"/>
        <c:varyColors val="0"/>
        <c:ser>
          <c:idx val="0"/>
          <c:order val="0"/>
          <c:tx>
            <c:v>BR</c:v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ALk!$P$7:$P$21</c:f>
                <c:numCache>
                  <c:formatCode>General</c:formatCode>
                  <c:ptCount val="15"/>
                  <c:pt idx="0">
                    <c:v>1.9051859051896685</c:v>
                  </c:pt>
                  <c:pt idx="3">
                    <c:v>1.6180646876232565</c:v>
                  </c:pt>
                  <c:pt idx="6">
                    <c:v>2.5166114784236238E-2</c:v>
                  </c:pt>
                  <c:pt idx="9">
                    <c:v>1.7320508075689429E-2</c:v>
                  </c:pt>
                  <c:pt idx="12">
                    <c:v>1.9999999999999574E-2</c:v>
                  </c:pt>
                </c:numCache>
              </c:numRef>
            </c:plus>
            <c:minus>
              <c:numRef>
                <c:f>ALk!$P$7:$P$21</c:f>
                <c:numCache>
                  <c:formatCode>General</c:formatCode>
                  <c:ptCount val="15"/>
                  <c:pt idx="0">
                    <c:v>1.9051859051896685</c:v>
                  </c:pt>
                  <c:pt idx="3">
                    <c:v>1.6180646876232565</c:v>
                  </c:pt>
                  <c:pt idx="6">
                    <c:v>2.5166114784236238E-2</c:v>
                  </c:pt>
                  <c:pt idx="9">
                    <c:v>1.7320508075689429E-2</c:v>
                  </c:pt>
                  <c:pt idx="12">
                    <c:v>1.9999999999999574E-2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ALk!$I$7:$I$21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ALk!$O$7:$O$21</c:f>
              <c:numCache>
                <c:formatCode>0.00</c:formatCode>
                <c:ptCount val="15"/>
                <c:pt idx="0">
                  <c:v>13.986666666666666</c:v>
                </c:pt>
                <c:pt idx="3">
                  <c:v>8.2533333333333321</c:v>
                </c:pt>
                <c:pt idx="6">
                  <c:v>11.693333333333333</c:v>
                </c:pt>
                <c:pt idx="9">
                  <c:v>11.61</c:v>
                </c:pt>
                <c:pt idx="12">
                  <c:v>11.520000000000001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4C-8F40-872B-3708B5FB84A6}"/>
            </c:ext>
          </c:extLst>
        </c:ser>
        <c:ser>
          <c:idx val="1"/>
          <c:order val="1"/>
          <c:tx>
            <c:v>Açai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ALk!$P$23:$P$37</c:f>
                <c:numCache>
                  <c:formatCode>General</c:formatCode>
                  <c:ptCount val="15"/>
                  <c:pt idx="0">
                    <c:v>0.39677869566464041</c:v>
                  </c:pt>
                  <c:pt idx="3">
                    <c:v>0.14047538337136997</c:v>
                  </c:pt>
                  <c:pt idx="6">
                    <c:v>1.6118622769951527</c:v>
                  </c:pt>
                  <c:pt idx="9">
                    <c:v>1.8624983221468947</c:v>
                  </c:pt>
                  <c:pt idx="12">
                    <c:v>4.0414518843273739E-2</c:v>
                  </c:pt>
                </c:numCache>
              </c:numRef>
            </c:plus>
            <c:minus>
              <c:numRef>
                <c:f>ALk!$P$23:$P$37</c:f>
                <c:numCache>
                  <c:formatCode>General</c:formatCode>
                  <c:ptCount val="15"/>
                  <c:pt idx="0">
                    <c:v>0.39677869566464041</c:v>
                  </c:pt>
                  <c:pt idx="3">
                    <c:v>0.14047538337136997</c:v>
                  </c:pt>
                  <c:pt idx="6">
                    <c:v>1.6118622769951527</c:v>
                  </c:pt>
                  <c:pt idx="9">
                    <c:v>1.8624983221468947</c:v>
                  </c:pt>
                  <c:pt idx="12">
                    <c:v>4.0414518843273739E-2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ALk!$I$7:$I$21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ALk!$O$23:$O$37</c:f>
              <c:numCache>
                <c:formatCode>0.00</c:formatCode>
                <c:ptCount val="15"/>
                <c:pt idx="0">
                  <c:v>6.416666666666667</c:v>
                </c:pt>
                <c:pt idx="3">
                  <c:v>4.1533333333333333</c:v>
                </c:pt>
                <c:pt idx="6">
                  <c:v>4.3</c:v>
                </c:pt>
                <c:pt idx="9">
                  <c:v>5.1499999999999995</c:v>
                </c:pt>
                <c:pt idx="12">
                  <c:v>1.9933333333333332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4C-8F40-872B-3708B5FB84A6}"/>
            </c:ext>
          </c:extLst>
        </c:ser>
        <c:ser>
          <c:idx val="2"/>
          <c:order val="2"/>
          <c:tx>
            <c:v>Soil</c:v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ALk!$P$39:$P$53</c:f>
                <c:numCache>
                  <c:formatCode>General</c:formatCode>
                  <c:ptCount val="15"/>
                  <c:pt idx="0">
                    <c:v>2.7015612769902742</c:v>
                  </c:pt>
                  <c:pt idx="3">
                    <c:v>0.23180451534284946</c:v>
                  </c:pt>
                  <c:pt idx="6">
                    <c:v>2.0816659994660883E-2</c:v>
                  </c:pt>
                  <c:pt idx="9">
                    <c:v>3.5118845842842389E-2</c:v>
                  </c:pt>
                  <c:pt idx="12">
                    <c:v>0.13527749258468683</c:v>
                  </c:pt>
                </c:numCache>
              </c:numRef>
            </c:plus>
            <c:minus>
              <c:numRef>
                <c:f>ALk!$P$39:$P$53</c:f>
                <c:numCache>
                  <c:formatCode>General</c:formatCode>
                  <c:ptCount val="15"/>
                  <c:pt idx="0">
                    <c:v>2.7015612769902742</c:v>
                  </c:pt>
                  <c:pt idx="3">
                    <c:v>0.23180451534284946</c:v>
                  </c:pt>
                  <c:pt idx="6">
                    <c:v>2.0816659994660883E-2</c:v>
                  </c:pt>
                  <c:pt idx="9">
                    <c:v>3.5118845842842389E-2</c:v>
                  </c:pt>
                  <c:pt idx="12">
                    <c:v>0.13527749258468683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ALk!$I$7:$I$21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ALk!$O$39:$O$53</c:f>
              <c:numCache>
                <c:formatCode>0.00</c:formatCode>
                <c:ptCount val="15"/>
                <c:pt idx="0">
                  <c:v>10.483333333333333</c:v>
                </c:pt>
                <c:pt idx="3">
                  <c:v>6.5366666666666662</c:v>
                </c:pt>
                <c:pt idx="6">
                  <c:v>11.603333333333332</c:v>
                </c:pt>
                <c:pt idx="9">
                  <c:v>3.2733333333333334</c:v>
                </c:pt>
                <c:pt idx="12">
                  <c:v>2.92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4C-8F40-872B-3708B5FB84A6}"/>
            </c:ext>
          </c:extLst>
        </c:ser>
        <c:ser>
          <c:idx val="3"/>
          <c:order val="3"/>
          <c:tx>
            <c:v>Gypsum</c:v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ALk!$P$55:$P$69</c:f>
                <c:numCache>
                  <c:formatCode>General</c:formatCode>
                  <c:ptCount val="15"/>
                  <c:pt idx="0">
                    <c:v>0.4508140784551134</c:v>
                  </c:pt>
                  <c:pt idx="3">
                    <c:v>0.12767145334803701</c:v>
                  </c:pt>
                  <c:pt idx="6">
                    <c:v>0.17677669529663692</c:v>
                  </c:pt>
                  <c:pt idx="12">
                    <c:v>0.19553345834749958</c:v>
                  </c:pt>
                </c:numCache>
              </c:numRef>
            </c:plus>
            <c:minus>
              <c:numRef>
                <c:f>ALk!$P$55:$P$69</c:f>
                <c:numCache>
                  <c:formatCode>General</c:formatCode>
                  <c:ptCount val="15"/>
                  <c:pt idx="0">
                    <c:v>0.4508140784551134</c:v>
                  </c:pt>
                  <c:pt idx="3">
                    <c:v>0.12767145334803701</c:v>
                  </c:pt>
                  <c:pt idx="6">
                    <c:v>0.17677669529663692</c:v>
                  </c:pt>
                  <c:pt idx="12">
                    <c:v>0.19553345834749958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ALk!$I$7:$I$21</c:f>
              <c:numCache>
                <c:formatCode>General</c:formatCode>
                <c:ptCount val="15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</c:numCache>
            </c:numRef>
          </c:xVal>
          <c:yVal>
            <c:numRef>
              <c:f>ALk!$O$55:$O$69</c:f>
              <c:numCache>
                <c:formatCode>0.00</c:formatCode>
                <c:ptCount val="15"/>
                <c:pt idx="0">
                  <c:v>0.8666666666666667</c:v>
                </c:pt>
                <c:pt idx="3">
                  <c:v>0.19000000000000003</c:v>
                </c:pt>
                <c:pt idx="6">
                  <c:v>0.185</c:v>
                </c:pt>
                <c:pt idx="12">
                  <c:v>2.2333333333333329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4C-8F40-872B-3708B5FB8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366480"/>
        <c:axId val="864318080"/>
      </c:scatterChart>
      <c:valAx>
        <c:axId val="86436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L/S</a:t>
                </a:r>
                <a:r>
                  <a:rPr lang="en-GB" baseline="0"/>
                  <a:t> (cumulative)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864318080"/>
        <c:crosses val="autoZero"/>
        <c:crossBetween val="midCat"/>
      </c:valAx>
      <c:valAx>
        <c:axId val="8643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Alk meq/Kgw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nb-N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86436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847560070331029"/>
          <c:y val="7.2439940222783161E-2"/>
          <c:w val="0.75618915337910242"/>
          <c:h val="4.961058967265833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nb-NO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830384</xdr:colOff>
      <xdr:row>21</xdr:row>
      <xdr:rowOff>39077</xdr:rowOff>
    </xdr:from>
    <xdr:ext cx="1757976" cy="970493"/>
    <xdr:pic>
      <xdr:nvPicPr>
        <xdr:cNvPr id="2" name="Picture 1">
          <a:extLst>
            <a:ext uri="{FF2B5EF4-FFF2-40B4-BE49-F238E27FC236}">
              <a16:creationId xmlns:a16="http://schemas.microsoft.com/office/drawing/2014/main" id="{820AB8D9-B1C0-7D45-9B4C-8ECAF7459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384" y="4039577"/>
          <a:ext cx="1757976" cy="97049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392284</xdr:colOff>
      <xdr:row>49</xdr:row>
      <xdr:rowOff>127711</xdr:rowOff>
    </xdr:from>
    <xdr:to>
      <xdr:col>37</xdr:col>
      <xdr:colOff>328788</xdr:colOff>
      <xdr:row>77</xdr:row>
      <xdr:rowOff>63501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341722</xdr:colOff>
      <xdr:row>4</xdr:row>
      <xdr:rowOff>21865</xdr:rowOff>
    </xdr:from>
    <xdr:to>
      <xdr:col>31</xdr:col>
      <xdr:colOff>438085</xdr:colOff>
      <xdr:row>25</xdr:row>
      <xdr:rowOff>161500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58394</xdr:colOff>
      <xdr:row>4</xdr:row>
      <xdr:rowOff>113908</xdr:rowOff>
    </xdr:from>
    <xdr:to>
      <xdr:col>39</xdr:col>
      <xdr:colOff>730839</xdr:colOff>
      <xdr:row>26</xdr:row>
      <xdr:rowOff>44058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393700</xdr:colOff>
      <xdr:row>26</xdr:row>
      <xdr:rowOff>76200</xdr:rowOff>
    </xdr:from>
    <xdr:to>
      <xdr:col>32</xdr:col>
      <xdr:colOff>241300</xdr:colOff>
      <xdr:row>48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241300</xdr:colOff>
      <xdr:row>26</xdr:row>
      <xdr:rowOff>88900</xdr:rowOff>
    </xdr:from>
    <xdr:to>
      <xdr:col>40</xdr:col>
      <xdr:colOff>88900</xdr:colOff>
      <xdr:row>48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294922</xdr:colOff>
      <xdr:row>76</xdr:row>
      <xdr:rowOff>166511</xdr:rowOff>
    </xdr:from>
    <xdr:to>
      <xdr:col>37</xdr:col>
      <xdr:colOff>231426</xdr:colOff>
      <xdr:row>107</xdr:row>
      <xdr:rowOff>57856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22</xdr:col>
      <xdr:colOff>50800</xdr:colOff>
      <xdr:row>134</xdr:row>
      <xdr:rowOff>68119</xdr:rowOff>
    </xdr:from>
    <xdr:ext cx="137281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SpPr txBox="1"/>
          </xdr:nvSpPr>
          <xdr:spPr>
            <a:xfrm>
              <a:off x="23684345" y="27915755"/>
              <a:ext cx="137281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DFF7C22-07C5-7348-B9B1-3531EAD4E523}"/>
                </a:ext>
              </a:extLst>
            </xdr:cNvPr>
            <xdr:cNvSpPr txBox="1"/>
          </xdr:nvSpPr>
          <xdr:spPr>
            <a:xfrm>
              <a:off x="23684345" y="27915755"/>
              <a:ext cx="137281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46</xdr:col>
      <xdr:colOff>344308</xdr:colOff>
      <xdr:row>89</xdr:row>
      <xdr:rowOff>162033</xdr:rowOff>
    </xdr:from>
    <xdr:to>
      <xdr:col>53</xdr:col>
      <xdr:colOff>272099</xdr:colOff>
      <xdr:row>113</xdr:row>
      <xdr:rowOff>81479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422718</xdr:colOff>
      <xdr:row>4</xdr:row>
      <xdr:rowOff>56752</xdr:rowOff>
    </xdr:from>
    <xdr:to>
      <xdr:col>49</xdr:col>
      <xdr:colOff>634386</xdr:colOff>
      <xdr:row>26</xdr:row>
      <xdr:rowOff>176292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49</xdr:col>
      <xdr:colOff>641364</xdr:colOff>
      <xdr:row>4</xdr:row>
      <xdr:rowOff>61791</xdr:rowOff>
    </xdr:from>
    <xdr:to>
      <xdr:col>59</xdr:col>
      <xdr:colOff>21485</xdr:colOff>
      <xdr:row>26</xdr:row>
      <xdr:rowOff>132347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427934</xdr:colOff>
      <xdr:row>26</xdr:row>
      <xdr:rowOff>138041</xdr:rowOff>
    </xdr:from>
    <xdr:to>
      <xdr:col>49</xdr:col>
      <xdr:colOff>639602</xdr:colOff>
      <xdr:row>49</xdr:row>
      <xdr:rowOff>52741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49</xdr:col>
      <xdr:colOff>638292</xdr:colOff>
      <xdr:row>26</xdr:row>
      <xdr:rowOff>133350</xdr:rowOff>
    </xdr:from>
    <xdr:to>
      <xdr:col>59</xdr:col>
      <xdr:colOff>22191</xdr:colOff>
      <xdr:row>49</xdr:row>
      <xdr:rowOff>48050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42</xdr:col>
      <xdr:colOff>93134</xdr:colOff>
      <xdr:row>54</xdr:row>
      <xdr:rowOff>141514</xdr:rowOff>
    </xdr:from>
    <xdr:to>
      <xdr:col>48</xdr:col>
      <xdr:colOff>740833</xdr:colOff>
      <xdr:row>77</xdr:row>
      <xdr:rowOff>169334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54</xdr:col>
      <xdr:colOff>0</xdr:colOff>
      <xdr:row>65</xdr:row>
      <xdr:rowOff>0</xdr:rowOff>
    </xdr:from>
    <xdr:to>
      <xdr:col>60</xdr:col>
      <xdr:colOff>752021</xdr:colOff>
      <xdr:row>88</xdr:row>
      <xdr:rowOff>117112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431800</xdr:colOff>
      <xdr:row>4</xdr:row>
      <xdr:rowOff>127000</xdr:rowOff>
    </xdr:from>
    <xdr:to>
      <xdr:col>33</xdr:col>
      <xdr:colOff>355600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BEEC7-D275-7E4F-9874-2DB184286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zoomScale="75" zoomScaleNormal="110" workbookViewId="0">
      <selection activeCell="C49" sqref="C49"/>
    </sheetView>
  </sheetViews>
  <sheetFormatPr defaultColWidth="11" defaultRowHeight="15.75" x14ac:dyDescent="0.25"/>
  <cols>
    <col min="1" max="1" width="20" bestFit="1" customWidth="1"/>
    <col min="2" max="2" width="14.625" customWidth="1"/>
    <col min="3" max="3" width="15.875" bestFit="1" customWidth="1"/>
    <col min="4" max="4" width="19.625" customWidth="1"/>
    <col min="5" max="5" width="16" bestFit="1" customWidth="1"/>
    <col min="6" max="6" width="15" bestFit="1" customWidth="1"/>
    <col min="7" max="7" width="43.125" customWidth="1"/>
    <col min="8" max="8" width="38.875" customWidth="1"/>
    <col min="9" max="9" width="37" customWidth="1"/>
    <col min="10" max="10" width="36.5" bestFit="1" customWidth="1"/>
    <col min="11" max="11" width="36.875" customWidth="1"/>
    <col min="12" max="12" width="34.375" bestFit="1" customWidth="1"/>
    <col min="13" max="13" width="30.125" customWidth="1"/>
    <col min="14" max="14" width="26.625" customWidth="1"/>
    <col min="15" max="15" width="26.125" bestFit="1" customWidth="1"/>
    <col min="16" max="16" width="23.375" bestFit="1" customWidth="1"/>
  </cols>
  <sheetData>
    <row r="1" spans="1:13" ht="16.5" thickBot="1" x14ac:dyDescent="0.3">
      <c r="A1" s="8" t="s">
        <v>17</v>
      </c>
      <c r="B1" s="9" t="s">
        <v>27</v>
      </c>
      <c r="C1" s="9" t="s">
        <v>28</v>
      </c>
      <c r="D1" s="9" t="s">
        <v>18</v>
      </c>
      <c r="E1" s="17" t="s">
        <v>59</v>
      </c>
      <c r="F1" s="17" t="s">
        <v>60</v>
      </c>
      <c r="G1" s="9" t="s">
        <v>45</v>
      </c>
      <c r="H1" s="9" t="s">
        <v>46</v>
      </c>
      <c r="I1" s="9" t="s">
        <v>49</v>
      </c>
      <c r="J1" s="9" t="s">
        <v>48</v>
      </c>
    </row>
    <row r="2" spans="1:13" ht="16.5" thickTop="1" x14ac:dyDescent="0.25">
      <c r="A2" t="s">
        <v>1</v>
      </c>
      <c r="B2" s="2">
        <v>14.055</v>
      </c>
      <c r="C2" s="2">
        <v>12.987</v>
      </c>
      <c r="D2" s="13">
        <f>((B2-C2)/C2)*100</f>
        <v>8.2236082236082204</v>
      </c>
      <c r="E2" s="256">
        <f>(D2+D4+D3)/3</f>
        <v>8.2181840447667938</v>
      </c>
      <c r="F2" s="255">
        <v>1.0822000000000001</v>
      </c>
      <c r="G2" s="252">
        <v>44103</v>
      </c>
      <c r="H2" s="11">
        <v>44104</v>
      </c>
      <c r="I2" s="10" t="s">
        <v>47</v>
      </c>
      <c r="J2" s="10" t="s">
        <v>39</v>
      </c>
    </row>
    <row r="3" spans="1:13" x14ac:dyDescent="0.25">
      <c r="A3" t="s">
        <v>2</v>
      </c>
      <c r="B3" s="2">
        <v>14.132</v>
      </c>
      <c r="C3" s="2">
        <v>13.055999999999999</v>
      </c>
      <c r="D3" s="13">
        <f t="shared" ref="D3:D10" si="0">((B3-C3)/C3)*100</f>
        <v>8.2414215686274552</v>
      </c>
      <c r="E3" s="256"/>
      <c r="F3" s="255"/>
      <c r="G3" s="252"/>
      <c r="H3" s="11"/>
      <c r="I3" s="10"/>
      <c r="J3" s="10"/>
    </row>
    <row r="4" spans="1:13" x14ac:dyDescent="0.25">
      <c r="A4" t="s">
        <v>3</v>
      </c>
      <c r="B4" s="2">
        <v>14.042999999999999</v>
      </c>
      <c r="C4" s="2">
        <v>12.98</v>
      </c>
      <c r="D4" s="13">
        <f t="shared" si="0"/>
        <v>8.1895223420647056</v>
      </c>
      <c r="E4" s="256"/>
      <c r="F4" s="255"/>
      <c r="G4" s="252"/>
      <c r="H4" s="11"/>
      <c r="I4" s="10"/>
      <c r="J4" s="10"/>
    </row>
    <row r="5" spans="1:13" x14ac:dyDescent="0.25">
      <c r="A5" t="s">
        <v>37</v>
      </c>
      <c r="B5" s="2">
        <v>10.819000000000001</v>
      </c>
      <c r="C5" s="4">
        <v>10.254</v>
      </c>
      <c r="D5" s="13">
        <f t="shared" si="0"/>
        <v>5.5100448605422407</v>
      </c>
      <c r="E5" s="256">
        <f>(D5+D6)/2</f>
        <v>5.5647785278320985</v>
      </c>
      <c r="F5" s="255">
        <v>1.0556000000000001</v>
      </c>
      <c r="G5" s="252">
        <v>44109</v>
      </c>
      <c r="H5" s="11">
        <v>44110</v>
      </c>
      <c r="I5" s="10" t="s">
        <v>44</v>
      </c>
      <c r="J5" s="10" t="s">
        <v>39</v>
      </c>
    </row>
    <row r="6" spans="1:13" x14ac:dyDescent="0.25">
      <c r="A6" s="7" t="s">
        <v>38</v>
      </c>
      <c r="B6" s="2">
        <v>10.826000000000001</v>
      </c>
      <c r="C6" s="4">
        <v>10.25</v>
      </c>
      <c r="D6" s="13">
        <f t="shared" si="0"/>
        <v>5.6195121951219562</v>
      </c>
      <c r="E6" s="256"/>
      <c r="F6" s="255"/>
      <c r="G6" s="252"/>
      <c r="H6" s="10"/>
      <c r="I6" s="10"/>
      <c r="J6" s="10"/>
    </row>
    <row r="7" spans="1:13" x14ac:dyDescent="0.25">
      <c r="A7" t="s">
        <v>41</v>
      </c>
      <c r="B7" s="2">
        <v>10.7</v>
      </c>
      <c r="C7" s="4">
        <v>10.446</v>
      </c>
      <c r="D7" s="13">
        <f t="shared" si="0"/>
        <v>2.4315527474631398</v>
      </c>
      <c r="E7" s="256">
        <f>(D7+D8)/2</f>
        <v>2.4734887610120664</v>
      </c>
      <c r="F7" s="255">
        <v>1.0246999999999999</v>
      </c>
      <c r="G7" s="252"/>
      <c r="H7" s="10"/>
      <c r="I7" s="10"/>
      <c r="J7" s="10"/>
    </row>
    <row r="8" spans="1:13" x14ac:dyDescent="0.25">
      <c r="A8" t="s">
        <v>40</v>
      </c>
      <c r="B8" s="2">
        <v>10.8</v>
      </c>
      <c r="C8" s="4">
        <v>10.535</v>
      </c>
      <c r="D8" s="13">
        <f t="shared" si="0"/>
        <v>2.5154247745609926</v>
      </c>
      <c r="E8" s="256"/>
      <c r="F8" s="255"/>
      <c r="G8" s="252"/>
      <c r="H8" s="10"/>
      <c r="I8" s="10"/>
      <c r="J8" s="10"/>
    </row>
    <row r="9" spans="1:13" x14ac:dyDescent="0.25">
      <c r="A9" t="s">
        <v>42</v>
      </c>
      <c r="B9" s="2">
        <v>10.79</v>
      </c>
      <c r="C9" s="12">
        <v>10.61</v>
      </c>
      <c r="D9" s="13">
        <f t="shared" si="0"/>
        <v>1.6965127238454263</v>
      </c>
      <c r="E9" s="256">
        <f>(D9+D10)/2</f>
        <v>1.7453290720265824</v>
      </c>
      <c r="F9" s="255">
        <v>1.075</v>
      </c>
      <c r="G9" s="252"/>
      <c r="H9" s="10"/>
      <c r="I9" s="10"/>
      <c r="J9" s="10"/>
    </row>
    <row r="10" spans="1:13" x14ac:dyDescent="0.25">
      <c r="A10" t="s">
        <v>43</v>
      </c>
      <c r="B10" s="2">
        <v>10.78</v>
      </c>
      <c r="C10" s="12">
        <v>10.59</v>
      </c>
      <c r="D10" s="13">
        <f t="shared" si="0"/>
        <v>1.7941454202077385</v>
      </c>
      <c r="E10" s="256"/>
      <c r="F10" s="255"/>
      <c r="G10" s="252"/>
      <c r="H10" s="10"/>
      <c r="I10" s="10"/>
      <c r="J10" s="10"/>
    </row>
    <row r="11" spans="1:13" x14ac:dyDescent="0.25">
      <c r="A11" s="94" t="s">
        <v>151</v>
      </c>
      <c r="B11" s="94">
        <f>B2/F2</f>
        <v>12.987433006837922</v>
      </c>
    </row>
    <row r="12" spans="1:13" x14ac:dyDescent="0.25">
      <c r="B12">
        <f>B5/F5</f>
        <v>10.249147404319817</v>
      </c>
      <c r="C12" s="1"/>
      <c r="G12">
        <f>B2/B11</f>
        <v>1.0822000000000001</v>
      </c>
    </row>
    <row r="13" spans="1:13" x14ac:dyDescent="0.25">
      <c r="C13" s="19">
        <v>0.1</v>
      </c>
    </row>
    <row r="14" spans="1:13" x14ac:dyDescent="0.25">
      <c r="B14">
        <v>3.6</v>
      </c>
      <c r="C14">
        <v>0.4</v>
      </c>
      <c r="H14" s="94" t="s">
        <v>28</v>
      </c>
      <c r="I14" s="94"/>
      <c r="J14" s="94"/>
      <c r="K14" s="94"/>
    </row>
    <row r="15" spans="1:13" x14ac:dyDescent="0.25">
      <c r="A15" s="174" t="s">
        <v>0</v>
      </c>
      <c r="B15" s="175" t="s">
        <v>62</v>
      </c>
      <c r="C15" s="175" t="s">
        <v>63</v>
      </c>
      <c r="D15" s="175" t="s">
        <v>64</v>
      </c>
      <c r="E15" s="175" t="s">
        <v>65</v>
      </c>
      <c r="F15" s="176" t="s">
        <v>61</v>
      </c>
      <c r="H15" s="95" t="s">
        <v>0</v>
      </c>
      <c r="I15" s="94" t="s">
        <v>62</v>
      </c>
      <c r="J15" s="94" t="s">
        <v>63</v>
      </c>
      <c r="K15" s="94" t="s">
        <v>64</v>
      </c>
      <c r="L15" t="s">
        <v>65</v>
      </c>
      <c r="M15" t="s">
        <v>61</v>
      </c>
    </row>
    <row r="16" spans="1:13" x14ac:dyDescent="0.25">
      <c r="A16" s="168" t="s">
        <v>1</v>
      </c>
      <c r="B16" s="170">
        <f>$B$14*$F$2</f>
        <v>3.8959200000000003</v>
      </c>
      <c r="C16" s="170"/>
      <c r="D16" s="170">
        <f>B16+C16</f>
        <v>3.8959200000000003</v>
      </c>
      <c r="E16" s="170">
        <f>10*D16</f>
        <v>38.959200000000003</v>
      </c>
      <c r="F16" s="177">
        <v>10</v>
      </c>
      <c r="H16" s="96" t="s">
        <v>1</v>
      </c>
      <c r="I16" s="97">
        <f>($B$14*$F$2)/$F$2</f>
        <v>3.6</v>
      </c>
      <c r="J16" s="97"/>
      <c r="K16" s="97">
        <f>I16+J16</f>
        <v>3.6</v>
      </c>
      <c r="L16">
        <f t="shared" ref="L16:L27" si="1">10*K16</f>
        <v>36</v>
      </c>
      <c r="M16" s="29">
        <f>L16/K16</f>
        <v>10</v>
      </c>
    </row>
    <row r="17" spans="1:13" x14ac:dyDescent="0.25">
      <c r="A17" s="168" t="s">
        <v>2</v>
      </c>
      <c r="B17" s="170">
        <f>$B$14*$F$2</f>
        <v>3.8959200000000003</v>
      </c>
      <c r="C17" s="170"/>
      <c r="D17" s="170">
        <f t="shared" ref="D17:D27" si="2">B17+C17</f>
        <v>3.8959200000000003</v>
      </c>
      <c r="E17" s="170">
        <f t="shared" ref="E17:E27" si="3">10*D17</f>
        <v>38.959200000000003</v>
      </c>
      <c r="F17" s="172">
        <f t="shared" ref="F17:F27" si="4">E17/D17</f>
        <v>10</v>
      </c>
      <c r="H17" s="96" t="s">
        <v>2</v>
      </c>
      <c r="I17" s="97">
        <f t="shared" ref="I17:I27" si="5">($B$14*$F$2)/$F$2</f>
        <v>3.6</v>
      </c>
      <c r="J17" s="97"/>
      <c r="K17" s="97">
        <f>I17+J17</f>
        <v>3.6</v>
      </c>
      <c r="L17">
        <f t="shared" si="1"/>
        <v>36</v>
      </c>
      <c r="M17" s="29">
        <f t="shared" ref="M17:M27" si="6">L17/K17</f>
        <v>10</v>
      </c>
    </row>
    <row r="18" spans="1:13" x14ac:dyDescent="0.25">
      <c r="A18" s="168" t="s">
        <v>3</v>
      </c>
      <c r="B18" s="170">
        <f t="shared" ref="B18:B27" si="7">$B$14*$F$2</f>
        <v>3.8959200000000003</v>
      </c>
      <c r="C18" s="170"/>
      <c r="D18" s="170">
        <f>B18+C18</f>
        <v>3.8959200000000003</v>
      </c>
      <c r="E18" s="170">
        <f t="shared" si="3"/>
        <v>38.959200000000003</v>
      </c>
      <c r="F18" s="172">
        <f t="shared" si="4"/>
        <v>10</v>
      </c>
      <c r="H18" s="96" t="s">
        <v>3</v>
      </c>
      <c r="I18" s="97">
        <f t="shared" si="5"/>
        <v>3.6</v>
      </c>
      <c r="J18" s="97"/>
      <c r="K18" s="97">
        <f>I18+J18</f>
        <v>3.6</v>
      </c>
      <c r="L18">
        <f t="shared" si="1"/>
        <v>36</v>
      </c>
      <c r="M18" s="29">
        <f t="shared" si="6"/>
        <v>10</v>
      </c>
    </row>
    <row r="19" spans="1:13" x14ac:dyDescent="0.25">
      <c r="A19" s="168" t="s">
        <v>52</v>
      </c>
      <c r="B19" s="170">
        <f t="shared" si="7"/>
        <v>3.8959200000000003</v>
      </c>
      <c r="C19" s="170">
        <f>$C$14*$F$5</f>
        <v>0.42224000000000006</v>
      </c>
      <c r="D19" s="170">
        <f t="shared" si="2"/>
        <v>4.3181600000000007</v>
      </c>
      <c r="E19" s="170">
        <f>10*D19</f>
        <v>43.181600000000003</v>
      </c>
      <c r="F19" s="172">
        <f t="shared" si="4"/>
        <v>10</v>
      </c>
      <c r="H19" s="96" t="s">
        <v>52</v>
      </c>
      <c r="I19" s="97">
        <f>($B$14*$F$2)/$F$2</f>
        <v>3.6</v>
      </c>
      <c r="J19" s="97">
        <f>($C$14*$F$5)/$F$5</f>
        <v>0.4</v>
      </c>
      <c r="K19" s="97">
        <f t="shared" ref="K19:K27" si="8">I19+J19</f>
        <v>4</v>
      </c>
      <c r="L19">
        <f t="shared" si="1"/>
        <v>40</v>
      </c>
      <c r="M19" s="29">
        <f t="shared" si="6"/>
        <v>10</v>
      </c>
    </row>
    <row r="20" spans="1:13" x14ac:dyDescent="0.25">
      <c r="A20" s="168" t="s">
        <v>50</v>
      </c>
      <c r="B20" s="170">
        <f t="shared" si="7"/>
        <v>3.8959200000000003</v>
      </c>
      <c r="C20" s="170">
        <f>$C$14*$F$5</f>
        <v>0.42224000000000006</v>
      </c>
      <c r="D20" s="170">
        <f t="shared" si="2"/>
        <v>4.3181600000000007</v>
      </c>
      <c r="E20" s="170">
        <f t="shared" si="3"/>
        <v>43.181600000000003</v>
      </c>
      <c r="F20" s="172">
        <f t="shared" si="4"/>
        <v>10</v>
      </c>
      <c r="H20" s="96" t="s">
        <v>50</v>
      </c>
      <c r="I20" s="97">
        <f t="shared" si="5"/>
        <v>3.6</v>
      </c>
      <c r="J20" s="97">
        <f>($C$14*$F$5)/$F$5</f>
        <v>0.4</v>
      </c>
      <c r="K20" s="97">
        <f t="shared" si="8"/>
        <v>4</v>
      </c>
      <c r="L20">
        <f t="shared" si="1"/>
        <v>40</v>
      </c>
      <c r="M20" s="29">
        <f t="shared" si="6"/>
        <v>10</v>
      </c>
    </row>
    <row r="21" spans="1:13" x14ac:dyDescent="0.25">
      <c r="A21" s="168" t="s">
        <v>53</v>
      </c>
      <c r="B21" s="170">
        <f t="shared" si="7"/>
        <v>3.8959200000000003</v>
      </c>
      <c r="C21" s="170">
        <f>$C$14*$F$5</f>
        <v>0.42224000000000006</v>
      </c>
      <c r="D21" s="170">
        <f t="shared" si="2"/>
        <v>4.3181600000000007</v>
      </c>
      <c r="E21" s="170">
        <f t="shared" si="3"/>
        <v>43.181600000000003</v>
      </c>
      <c r="F21" s="172">
        <f t="shared" si="4"/>
        <v>10</v>
      </c>
      <c r="H21" s="96" t="s">
        <v>53</v>
      </c>
      <c r="I21" s="97">
        <f t="shared" si="5"/>
        <v>3.6</v>
      </c>
      <c r="J21" s="97">
        <f>($C$14*$F$5)/$F$5</f>
        <v>0.4</v>
      </c>
      <c r="K21" s="97">
        <f t="shared" si="8"/>
        <v>4</v>
      </c>
      <c r="L21">
        <f t="shared" si="1"/>
        <v>40</v>
      </c>
      <c r="M21" s="29">
        <f t="shared" si="6"/>
        <v>10</v>
      </c>
    </row>
    <row r="22" spans="1:13" x14ac:dyDescent="0.25">
      <c r="A22" s="168" t="s">
        <v>54</v>
      </c>
      <c r="B22" s="170">
        <f t="shared" si="7"/>
        <v>3.8959200000000003</v>
      </c>
      <c r="C22" s="170">
        <f>$C$14*$F$7</f>
        <v>0.40988000000000002</v>
      </c>
      <c r="D22" s="170">
        <f t="shared" si="2"/>
        <v>4.3058000000000005</v>
      </c>
      <c r="E22" s="170">
        <f t="shared" si="3"/>
        <v>43.058000000000007</v>
      </c>
      <c r="F22" s="172">
        <f t="shared" si="4"/>
        <v>10</v>
      </c>
      <c r="H22" s="96" t="s">
        <v>54</v>
      </c>
      <c r="I22" s="97">
        <f t="shared" si="5"/>
        <v>3.6</v>
      </c>
      <c r="J22" s="97">
        <f>($C$14*$F$7)/$F$7</f>
        <v>0.4</v>
      </c>
      <c r="K22" s="97">
        <f t="shared" si="8"/>
        <v>4</v>
      </c>
      <c r="L22">
        <f t="shared" si="1"/>
        <v>40</v>
      </c>
      <c r="M22" s="29">
        <f t="shared" si="6"/>
        <v>10</v>
      </c>
    </row>
    <row r="23" spans="1:13" x14ac:dyDescent="0.25">
      <c r="A23" s="168" t="s">
        <v>51</v>
      </c>
      <c r="B23" s="170">
        <f t="shared" si="7"/>
        <v>3.8959200000000003</v>
      </c>
      <c r="C23" s="170">
        <f>$C$14*$F$7</f>
        <v>0.40988000000000002</v>
      </c>
      <c r="D23" s="170">
        <f t="shared" si="2"/>
        <v>4.3058000000000005</v>
      </c>
      <c r="E23" s="170">
        <f t="shared" si="3"/>
        <v>43.058000000000007</v>
      </c>
      <c r="F23" s="172">
        <f t="shared" si="4"/>
        <v>10</v>
      </c>
      <c r="H23" s="96" t="s">
        <v>51</v>
      </c>
      <c r="I23" s="97">
        <f t="shared" si="5"/>
        <v>3.6</v>
      </c>
      <c r="J23" s="97">
        <f>($C$14*$F$7)/$F$7</f>
        <v>0.4</v>
      </c>
      <c r="K23" s="97">
        <f t="shared" si="8"/>
        <v>4</v>
      </c>
      <c r="L23">
        <f t="shared" si="1"/>
        <v>40</v>
      </c>
      <c r="M23" s="29">
        <f t="shared" si="6"/>
        <v>10</v>
      </c>
    </row>
    <row r="24" spans="1:13" x14ac:dyDescent="0.25">
      <c r="A24" s="168" t="s">
        <v>55</v>
      </c>
      <c r="B24" s="170">
        <f t="shared" si="7"/>
        <v>3.8959200000000003</v>
      </c>
      <c r="C24" s="170">
        <f>$C$14*$F$7</f>
        <v>0.40988000000000002</v>
      </c>
      <c r="D24" s="170">
        <f t="shared" si="2"/>
        <v>4.3058000000000005</v>
      </c>
      <c r="E24" s="170">
        <f>10*D24</f>
        <v>43.058000000000007</v>
      </c>
      <c r="F24" s="172">
        <f t="shared" si="4"/>
        <v>10</v>
      </c>
      <c r="H24" s="96" t="s">
        <v>55</v>
      </c>
      <c r="I24" s="97">
        <f t="shared" si="5"/>
        <v>3.6</v>
      </c>
      <c r="J24" s="97">
        <f>($C$14*$F$7)/$F$7</f>
        <v>0.4</v>
      </c>
      <c r="K24" s="97">
        <f t="shared" si="8"/>
        <v>4</v>
      </c>
      <c r="L24">
        <f t="shared" si="1"/>
        <v>40</v>
      </c>
      <c r="M24" s="29">
        <f t="shared" si="6"/>
        <v>10</v>
      </c>
    </row>
    <row r="25" spans="1:13" x14ac:dyDescent="0.25">
      <c r="A25" s="168" t="s">
        <v>56</v>
      </c>
      <c r="B25" s="170">
        <f t="shared" si="7"/>
        <v>3.8959200000000003</v>
      </c>
      <c r="C25" s="170">
        <f>$C$14*$F$9</f>
        <v>0.43</v>
      </c>
      <c r="D25" s="170">
        <f t="shared" si="2"/>
        <v>4.32592</v>
      </c>
      <c r="E25" s="170">
        <f t="shared" si="3"/>
        <v>43.2592</v>
      </c>
      <c r="F25" s="172">
        <f t="shared" si="4"/>
        <v>10</v>
      </c>
      <c r="H25" s="96" t="s">
        <v>56</v>
      </c>
      <c r="I25" s="97">
        <f t="shared" si="5"/>
        <v>3.6</v>
      </c>
      <c r="J25" s="97">
        <f>($C$14*$F$9)/$F$9</f>
        <v>0.4</v>
      </c>
      <c r="K25" s="97">
        <f t="shared" si="8"/>
        <v>4</v>
      </c>
      <c r="L25">
        <f t="shared" si="1"/>
        <v>40</v>
      </c>
      <c r="M25" s="29">
        <f t="shared" si="6"/>
        <v>10</v>
      </c>
    </row>
    <row r="26" spans="1:13" x14ac:dyDescent="0.25">
      <c r="A26" s="168" t="s">
        <v>57</v>
      </c>
      <c r="B26" s="170">
        <f t="shared" si="7"/>
        <v>3.8959200000000003</v>
      </c>
      <c r="C26" s="170">
        <f>$C$14*$F$9</f>
        <v>0.43</v>
      </c>
      <c r="D26" s="170">
        <f t="shared" si="2"/>
        <v>4.32592</v>
      </c>
      <c r="E26" s="170">
        <f t="shared" si="3"/>
        <v>43.2592</v>
      </c>
      <c r="F26" s="172">
        <f t="shared" si="4"/>
        <v>10</v>
      </c>
      <c r="H26" s="96" t="s">
        <v>57</v>
      </c>
      <c r="I26" s="97">
        <f t="shared" si="5"/>
        <v>3.6</v>
      </c>
      <c r="J26" s="97">
        <f>($C$14*$F$9)/$F$9</f>
        <v>0.4</v>
      </c>
      <c r="K26" s="97">
        <f t="shared" si="8"/>
        <v>4</v>
      </c>
      <c r="L26">
        <f t="shared" si="1"/>
        <v>40</v>
      </c>
      <c r="M26" s="29">
        <f t="shared" si="6"/>
        <v>10</v>
      </c>
    </row>
    <row r="27" spans="1:13" x14ac:dyDescent="0.25">
      <c r="A27" s="169" t="s">
        <v>58</v>
      </c>
      <c r="B27" s="171">
        <f t="shared" si="7"/>
        <v>3.8959200000000003</v>
      </c>
      <c r="C27" s="171">
        <f>$C$14*$F$9</f>
        <v>0.43</v>
      </c>
      <c r="D27" s="171">
        <f t="shared" si="2"/>
        <v>4.32592</v>
      </c>
      <c r="E27" s="171">
        <f t="shared" si="3"/>
        <v>43.2592</v>
      </c>
      <c r="F27" s="173">
        <f t="shared" si="4"/>
        <v>10</v>
      </c>
      <c r="H27" s="98" t="s">
        <v>58</v>
      </c>
      <c r="I27" s="97">
        <f t="shared" si="5"/>
        <v>3.6</v>
      </c>
      <c r="J27" s="97">
        <f>($C$14*$F$9)/$F$9</f>
        <v>0.4</v>
      </c>
      <c r="K27" s="97">
        <f t="shared" si="8"/>
        <v>4</v>
      </c>
      <c r="L27">
        <f t="shared" si="1"/>
        <v>40</v>
      </c>
      <c r="M27" s="29">
        <f t="shared" si="6"/>
        <v>10</v>
      </c>
    </row>
    <row r="29" spans="1:13" x14ac:dyDescent="0.25">
      <c r="A29" s="18"/>
    </row>
    <row r="30" spans="1:13" x14ac:dyDescent="0.25">
      <c r="A30" s="18"/>
    </row>
    <row r="33" spans="1:16" x14ac:dyDescent="0.25">
      <c r="A33" s="23" t="s">
        <v>0</v>
      </c>
      <c r="B33" s="33" t="s">
        <v>66</v>
      </c>
      <c r="C33" s="34" t="s">
        <v>67</v>
      </c>
      <c r="D33" s="66" t="s">
        <v>68</v>
      </c>
      <c r="E33" s="67" t="s">
        <v>69</v>
      </c>
      <c r="F33" s="52" t="s">
        <v>20</v>
      </c>
      <c r="G33" s="56" t="s">
        <v>139</v>
      </c>
      <c r="H33" s="55" t="s">
        <v>138</v>
      </c>
      <c r="I33" s="53" t="s">
        <v>70</v>
      </c>
      <c r="J33" s="41" t="s">
        <v>71</v>
      </c>
      <c r="K33" s="54" t="s">
        <v>140</v>
      </c>
      <c r="L33" s="55" t="s">
        <v>142</v>
      </c>
      <c r="M33" s="56" t="s">
        <v>143</v>
      </c>
      <c r="N33" s="57" t="s">
        <v>144</v>
      </c>
      <c r="O33" s="41" t="s">
        <v>145</v>
      </c>
      <c r="P33" s="58" t="s">
        <v>146</v>
      </c>
    </row>
    <row r="34" spans="1:16" x14ac:dyDescent="0.25">
      <c r="A34" s="21" t="s">
        <v>1</v>
      </c>
      <c r="B34" s="59">
        <v>13.3605</v>
      </c>
      <c r="C34" s="60">
        <v>10.3462</v>
      </c>
      <c r="D34" s="24">
        <v>3.8959200000000003</v>
      </c>
      <c r="E34" s="59">
        <v>39.090800000000002</v>
      </c>
      <c r="F34" s="59">
        <f t="shared" ref="F34:F39" si="9">E34/D34</f>
        <v>10.033778927698721</v>
      </c>
      <c r="G34" s="24">
        <v>14.267200000000001</v>
      </c>
      <c r="H34" s="46">
        <f t="shared" ref="H34:H39" si="10">D34+B34</f>
        <v>17.256419999999999</v>
      </c>
      <c r="I34" s="31">
        <v>13.440899999999999</v>
      </c>
      <c r="J34" s="48">
        <v>16.456299999999999</v>
      </c>
      <c r="K34" s="38">
        <f>G34-I34</f>
        <v>0.82630000000000159</v>
      </c>
      <c r="L34" s="46">
        <f>H34-J34</f>
        <v>0.80011999999999972</v>
      </c>
      <c r="M34" s="46">
        <f>D34-K34</f>
        <v>3.0696199999999987</v>
      </c>
      <c r="N34" s="32">
        <f>100-((M34*100)/D34)</f>
        <v>21.209367748824448</v>
      </c>
      <c r="O34" s="24">
        <f>D34-L34</f>
        <v>3.0958000000000006</v>
      </c>
      <c r="P34" s="46">
        <f>100-((O34*100)/D34)</f>
        <v>20.537382697796659</v>
      </c>
    </row>
    <row r="35" spans="1:16" x14ac:dyDescent="0.25">
      <c r="A35" s="21" t="s">
        <v>2</v>
      </c>
      <c r="B35" s="61">
        <v>13.462999999999999</v>
      </c>
      <c r="C35" s="62">
        <v>10.466100000000001</v>
      </c>
      <c r="D35" s="24">
        <v>3.8959199999999998</v>
      </c>
      <c r="E35" s="61">
        <v>39.010899999999999</v>
      </c>
      <c r="F35" s="61">
        <f t="shared" si="9"/>
        <v>10.013270293024497</v>
      </c>
      <c r="G35" s="24">
        <v>14.366199999999999</v>
      </c>
      <c r="H35" s="46">
        <f t="shared" si="10"/>
        <v>17.358919999999998</v>
      </c>
      <c r="I35" s="31">
        <v>13.545</v>
      </c>
      <c r="J35" s="49">
        <v>16.541399999999999</v>
      </c>
      <c r="K35" s="38">
        <f t="shared" ref="K35:K45" si="11">G35-I35</f>
        <v>0.82119999999999926</v>
      </c>
      <c r="L35" s="46">
        <f t="shared" ref="L35:L45" si="12">H35-J35</f>
        <v>0.81751999999999825</v>
      </c>
      <c r="M35" s="46">
        <f t="shared" ref="M35:M45" si="13">D35-K35</f>
        <v>3.0747200000000006</v>
      </c>
      <c r="N35" s="32">
        <f>100-((M35*100)/D35)</f>
        <v>21.078461570052767</v>
      </c>
      <c r="O35" s="24">
        <f t="shared" ref="O35:O45" si="14">D35-L35</f>
        <v>3.0784000000000016</v>
      </c>
      <c r="P35" s="46">
        <f t="shared" ref="P35:P45" si="15">100-((O35*100)/D35)</f>
        <v>20.984003778311632</v>
      </c>
    </row>
    <row r="36" spans="1:16" x14ac:dyDescent="0.25">
      <c r="A36" s="21" t="s">
        <v>3</v>
      </c>
      <c r="B36" s="61">
        <v>13.6952</v>
      </c>
      <c r="C36" s="62">
        <v>10.589600000000001</v>
      </c>
      <c r="D36" s="24">
        <v>3.8959200000000003</v>
      </c>
      <c r="E36" s="61">
        <v>39.401499999999999</v>
      </c>
      <c r="F36" s="61">
        <f t="shared" si="9"/>
        <v>10.113529025236657</v>
      </c>
      <c r="G36" s="24">
        <v>14.484500000000001</v>
      </c>
      <c r="H36" s="46">
        <f t="shared" si="10"/>
        <v>17.59112</v>
      </c>
      <c r="I36" s="31">
        <v>13.663600000000001</v>
      </c>
      <c r="J36" s="49">
        <v>16.752300000000002</v>
      </c>
      <c r="K36" s="38">
        <f t="shared" si="11"/>
        <v>0.82089999999999996</v>
      </c>
      <c r="L36" s="46">
        <f t="shared" si="12"/>
        <v>0.83881999999999834</v>
      </c>
      <c r="M36" s="46">
        <f t="shared" si="13"/>
        <v>3.0750200000000003</v>
      </c>
      <c r="N36" s="32">
        <f t="shared" ref="N36:N44" si="16">100-((M36*100)/D36)</f>
        <v>21.07076120659562</v>
      </c>
      <c r="O36" s="24">
        <f t="shared" si="14"/>
        <v>3.0571000000000019</v>
      </c>
      <c r="P36" s="46">
        <f t="shared" si="15"/>
        <v>21.530729583769642</v>
      </c>
    </row>
    <row r="37" spans="1:16" x14ac:dyDescent="0.25">
      <c r="A37" s="69" t="s">
        <v>52</v>
      </c>
      <c r="B37" s="59">
        <v>13.49</v>
      </c>
      <c r="C37" s="60">
        <v>10.5</v>
      </c>
      <c r="D37" s="70">
        <v>4.3181600000000007</v>
      </c>
      <c r="E37" s="59">
        <v>43.170099999999998</v>
      </c>
      <c r="F37" s="59">
        <f t="shared" si="9"/>
        <v>9.997336828649237</v>
      </c>
      <c r="G37" s="70">
        <v>14.8171</v>
      </c>
      <c r="H37" s="45">
        <f t="shared" si="10"/>
        <v>17.808160000000001</v>
      </c>
      <c r="I37" s="71">
        <v>13.8269</v>
      </c>
      <c r="J37" s="48">
        <v>16.814299999999999</v>
      </c>
      <c r="K37" s="50">
        <f t="shared" si="11"/>
        <v>0.99019999999999975</v>
      </c>
      <c r="L37" s="45">
        <f t="shared" si="12"/>
        <v>0.99386000000000152</v>
      </c>
      <c r="M37" s="45">
        <f t="shared" si="13"/>
        <v>3.3279600000000009</v>
      </c>
      <c r="N37" s="51">
        <f t="shared" si="16"/>
        <v>22.93106323063526</v>
      </c>
      <c r="O37" s="70">
        <f t="shared" si="14"/>
        <v>3.3242999999999991</v>
      </c>
      <c r="P37" s="45">
        <f t="shared" si="15"/>
        <v>23.015821553624733</v>
      </c>
    </row>
    <row r="38" spans="1:16" x14ac:dyDescent="0.25">
      <c r="A38" s="21" t="s">
        <v>50</v>
      </c>
      <c r="B38" s="61">
        <v>13.39</v>
      </c>
      <c r="C38" s="62">
        <v>10.31</v>
      </c>
      <c r="D38" s="24">
        <v>4.3181600000000007</v>
      </c>
      <c r="E38" s="61">
        <v>43.430999999999997</v>
      </c>
      <c r="F38" s="61">
        <f t="shared" si="9"/>
        <v>10.057756081293883</v>
      </c>
      <c r="G38" s="24">
        <v>14.6534</v>
      </c>
      <c r="H38" s="46">
        <f t="shared" si="10"/>
        <v>17.708159999999999</v>
      </c>
      <c r="I38" s="73">
        <v>13.625</v>
      </c>
      <c r="J38" s="49">
        <v>16.704499999999999</v>
      </c>
      <c r="K38" s="38">
        <f t="shared" si="11"/>
        <v>1.0283999999999995</v>
      </c>
      <c r="L38" s="46">
        <f t="shared" si="12"/>
        <v>1.00366</v>
      </c>
      <c r="M38" s="46">
        <f t="shared" si="13"/>
        <v>3.2897600000000011</v>
      </c>
      <c r="N38" s="32">
        <f t="shared" si="16"/>
        <v>23.815699279322658</v>
      </c>
      <c r="O38" s="24">
        <f t="shared" si="14"/>
        <v>3.3145000000000007</v>
      </c>
      <c r="P38" s="46">
        <f t="shared" si="15"/>
        <v>23.24277006873298</v>
      </c>
    </row>
    <row r="39" spans="1:16" x14ac:dyDescent="0.25">
      <c r="A39" s="22" t="s">
        <v>53</v>
      </c>
      <c r="B39" s="63">
        <v>13.41</v>
      </c>
      <c r="C39" s="64">
        <v>10.34</v>
      </c>
      <c r="D39" s="25">
        <v>4.3181600000000007</v>
      </c>
      <c r="E39" s="63">
        <v>43.217700000000001</v>
      </c>
      <c r="F39" s="63">
        <f t="shared" si="9"/>
        <v>10.008360042240213</v>
      </c>
      <c r="G39" s="25">
        <v>14.6547</v>
      </c>
      <c r="H39" s="47">
        <f t="shared" si="10"/>
        <v>17.728160000000003</v>
      </c>
      <c r="I39" s="74">
        <v>13.6609</v>
      </c>
      <c r="J39" s="76">
        <v>16.727799999999998</v>
      </c>
      <c r="K39" s="39">
        <f t="shared" si="11"/>
        <v>0.99380000000000024</v>
      </c>
      <c r="L39" s="47">
        <f t="shared" si="12"/>
        <v>1.0003600000000041</v>
      </c>
      <c r="M39" s="47">
        <f t="shared" si="13"/>
        <v>3.3243600000000004</v>
      </c>
      <c r="N39" s="37">
        <f t="shared" si="16"/>
        <v>23.014432072919945</v>
      </c>
      <c r="O39" s="25">
        <f t="shared" si="14"/>
        <v>3.3177999999999965</v>
      </c>
      <c r="P39" s="47">
        <f t="shared" si="15"/>
        <v>23.16634862997212</v>
      </c>
    </row>
    <row r="40" spans="1:16" x14ac:dyDescent="0.25">
      <c r="A40" s="69" t="s">
        <v>56</v>
      </c>
      <c r="B40" s="59">
        <v>13.503500000000001</v>
      </c>
      <c r="C40" s="60">
        <v>10.417400000000001</v>
      </c>
      <c r="D40" s="70">
        <v>4.32592</v>
      </c>
      <c r="E40" s="59">
        <v>43.302199999999999</v>
      </c>
      <c r="F40" s="59">
        <f t="shared" ref="F40:F45" si="17">E40/D40</f>
        <v>10.009940082109701</v>
      </c>
      <c r="G40" s="70">
        <v>14.754799999999999</v>
      </c>
      <c r="H40" s="45">
        <f t="shared" ref="H40:H45" si="18">D40+B40</f>
        <v>17.829419999999999</v>
      </c>
      <c r="I40" s="71">
        <v>13.9879</v>
      </c>
      <c r="J40" s="48">
        <v>17.0777</v>
      </c>
      <c r="K40" s="50">
        <f t="shared" si="11"/>
        <v>0.76689999999999969</v>
      </c>
      <c r="L40" s="45">
        <f t="shared" si="12"/>
        <v>0.75171999999999883</v>
      </c>
      <c r="M40" s="45">
        <f t="shared" si="13"/>
        <v>3.5590200000000003</v>
      </c>
      <c r="N40" s="51">
        <f t="shared" si="16"/>
        <v>17.728020860302536</v>
      </c>
      <c r="O40" s="70">
        <f t="shared" si="14"/>
        <v>3.5742000000000012</v>
      </c>
      <c r="P40" s="45">
        <f t="shared" si="15"/>
        <v>17.377112845360031</v>
      </c>
    </row>
    <row r="41" spans="1:16" x14ac:dyDescent="0.25">
      <c r="A41" s="21" t="s">
        <v>57</v>
      </c>
      <c r="B41" s="61">
        <v>13.5229</v>
      </c>
      <c r="C41" s="62">
        <v>10.464600000000001</v>
      </c>
      <c r="D41" s="24">
        <v>4.32592</v>
      </c>
      <c r="E41" s="61">
        <v>43.364899999999999</v>
      </c>
      <c r="F41" s="61">
        <f t="shared" si="17"/>
        <v>10.024434108813848</v>
      </c>
      <c r="G41" s="24">
        <v>14.7921</v>
      </c>
      <c r="H41" s="46">
        <f t="shared" si="18"/>
        <v>17.84882</v>
      </c>
      <c r="I41" s="73">
        <v>14.035500000000001</v>
      </c>
      <c r="J41" s="49">
        <v>17.0989</v>
      </c>
      <c r="K41" s="38">
        <f t="shared" si="11"/>
        <v>0.75659999999999883</v>
      </c>
      <c r="L41" s="46">
        <f t="shared" si="12"/>
        <v>0.74991999999999948</v>
      </c>
      <c r="M41" s="46">
        <f t="shared" si="13"/>
        <v>3.5693200000000012</v>
      </c>
      <c r="N41" s="32">
        <f t="shared" si="16"/>
        <v>17.489921219070126</v>
      </c>
      <c r="O41" s="24">
        <f t="shared" si="14"/>
        <v>3.5760000000000005</v>
      </c>
      <c r="P41" s="46">
        <f t="shared" si="15"/>
        <v>17.335503199319447</v>
      </c>
    </row>
    <row r="42" spans="1:16" x14ac:dyDescent="0.25">
      <c r="A42" s="22" t="s">
        <v>58</v>
      </c>
      <c r="B42" s="63">
        <v>13.4999</v>
      </c>
      <c r="C42" s="64">
        <v>10.428599999999999</v>
      </c>
      <c r="D42" s="25">
        <v>4.32592</v>
      </c>
      <c r="E42" s="63">
        <v>43.310899999999997</v>
      </c>
      <c r="F42" s="63">
        <f t="shared" si="17"/>
        <v>10.011951215001664</v>
      </c>
      <c r="G42" s="25">
        <v>14.7593</v>
      </c>
      <c r="H42" s="47">
        <f t="shared" si="18"/>
        <v>17.82582</v>
      </c>
      <c r="I42" s="74">
        <v>14.0435</v>
      </c>
      <c r="J42" s="76">
        <v>17.1144</v>
      </c>
      <c r="K42" s="39">
        <f t="shared" si="11"/>
        <v>0.71579999999999977</v>
      </c>
      <c r="L42" s="47">
        <f t="shared" si="12"/>
        <v>0.71142000000000039</v>
      </c>
      <c r="M42" s="47">
        <f t="shared" si="13"/>
        <v>3.6101200000000002</v>
      </c>
      <c r="N42" s="37">
        <f t="shared" si="16"/>
        <v>16.546769242149651</v>
      </c>
      <c r="O42" s="25">
        <f t="shared" si="14"/>
        <v>3.6144999999999996</v>
      </c>
      <c r="P42" s="47">
        <f t="shared" si="15"/>
        <v>16.445519103450849</v>
      </c>
    </row>
    <row r="43" spans="1:16" x14ac:dyDescent="0.25">
      <c r="A43" s="21" t="s">
        <v>54</v>
      </c>
      <c r="B43" s="61">
        <v>13.350099999999999</v>
      </c>
      <c r="C43" s="62">
        <v>10.335100000000001</v>
      </c>
      <c r="D43" s="24">
        <v>4.3058000000000005</v>
      </c>
      <c r="E43" s="61">
        <v>43.16</v>
      </c>
      <c r="F43" s="61">
        <f t="shared" si="17"/>
        <v>10.02368897765804</v>
      </c>
      <c r="G43" s="24">
        <v>14.6486</v>
      </c>
      <c r="H43" s="46">
        <f t="shared" si="18"/>
        <v>17.655899999999999</v>
      </c>
      <c r="I43" s="31">
        <v>13.624499999999999</v>
      </c>
      <c r="J43" s="49">
        <v>16.640999999999998</v>
      </c>
      <c r="K43" s="38">
        <f t="shared" si="11"/>
        <v>1.0241000000000007</v>
      </c>
      <c r="L43" s="46">
        <f t="shared" si="12"/>
        <v>1.0149000000000008</v>
      </c>
      <c r="M43" s="46">
        <f t="shared" si="13"/>
        <v>3.2816999999999998</v>
      </c>
      <c r="N43" s="32">
        <f t="shared" si="16"/>
        <v>23.784198058432835</v>
      </c>
      <c r="O43" s="24">
        <f t="shared" si="14"/>
        <v>3.2908999999999997</v>
      </c>
      <c r="P43" s="46">
        <f t="shared" si="15"/>
        <v>23.570532769752447</v>
      </c>
    </row>
    <row r="44" spans="1:16" x14ac:dyDescent="0.25">
      <c r="A44" s="21" t="s">
        <v>51</v>
      </c>
      <c r="B44" s="61">
        <v>13.437200000000001</v>
      </c>
      <c r="C44" s="62">
        <v>10.4223</v>
      </c>
      <c r="D44" s="24">
        <v>4.3058000000000005</v>
      </c>
      <c r="E44" s="61">
        <v>43.1265</v>
      </c>
      <c r="F44" s="61">
        <f t="shared" si="17"/>
        <v>10.015908774211528</v>
      </c>
      <c r="G44" s="24">
        <v>14.736000000000001</v>
      </c>
      <c r="H44" s="46">
        <f t="shared" si="18"/>
        <v>17.743000000000002</v>
      </c>
      <c r="I44" s="31">
        <v>13.6783</v>
      </c>
      <c r="J44" s="49">
        <v>16.698399999999999</v>
      </c>
      <c r="K44" s="38">
        <f t="shared" si="11"/>
        <v>1.0577000000000005</v>
      </c>
      <c r="L44" s="46">
        <f t="shared" si="12"/>
        <v>1.0446000000000026</v>
      </c>
      <c r="M44" s="46">
        <f t="shared" si="13"/>
        <v>3.2481</v>
      </c>
      <c r="N44" s="32">
        <f t="shared" si="16"/>
        <v>24.564540851874227</v>
      </c>
      <c r="O44" s="24">
        <f t="shared" si="14"/>
        <v>3.2611999999999979</v>
      </c>
      <c r="P44" s="46">
        <f t="shared" si="15"/>
        <v>24.260300060383727</v>
      </c>
    </row>
    <row r="45" spans="1:16" x14ac:dyDescent="0.25">
      <c r="A45" s="22" t="s">
        <v>55</v>
      </c>
      <c r="B45" s="63">
        <v>13.48</v>
      </c>
      <c r="C45" s="64">
        <v>10.471299999999999</v>
      </c>
      <c r="D45" s="25">
        <v>4.3058000000000005</v>
      </c>
      <c r="E45" s="63">
        <v>43.101900000000001</v>
      </c>
      <c r="F45" s="63">
        <f t="shared" si="17"/>
        <v>10.010195550188117</v>
      </c>
      <c r="G45" s="25">
        <v>14.7895</v>
      </c>
      <c r="H45" s="47">
        <f t="shared" si="18"/>
        <v>17.785800000000002</v>
      </c>
      <c r="I45" s="25">
        <v>13.7744</v>
      </c>
      <c r="J45" s="63">
        <v>16.787800000000001</v>
      </c>
      <c r="K45" s="39">
        <f t="shared" si="11"/>
        <v>1.0151000000000003</v>
      </c>
      <c r="L45" s="47">
        <f t="shared" si="12"/>
        <v>0.99800000000000111</v>
      </c>
      <c r="M45" s="47">
        <f t="shared" si="13"/>
        <v>3.2907000000000002</v>
      </c>
      <c r="N45" s="37">
        <f>100-((M45*100)/D45)</f>
        <v>23.57517766733244</v>
      </c>
      <c r="O45" s="25">
        <f t="shared" si="14"/>
        <v>3.3077999999999994</v>
      </c>
      <c r="P45" s="47">
        <f t="shared" si="15"/>
        <v>23.178038924241747</v>
      </c>
    </row>
    <row r="48" spans="1:16" x14ac:dyDescent="0.25">
      <c r="F48" s="23" t="s">
        <v>0</v>
      </c>
      <c r="G48" s="54" t="s">
        <v>139</v>
      </c>
      <c r="H48" s="53" t="s">
        <v>70</v>
      </c>
      <c r="I48" s="53" t="s">
        <v>140</v>
      </c>
      <c r="J48" s="53" t="s">
        <v>143</v>
      </c>
      <c r="K48" s="57" t="s">
        <v>147</v>
      </c>
    </row>
    <row r="49" spans="6:11" x14ac:dyDescent="0.25">
      <c r="F49" s="14" t="s">
        <v>1</v>
      </c>
      <c r="G49" s="24">
        <v>14.267200000000001</v>
      </c>
      <c r="H49" s="48">
        <v>13.440899999999999</v>
      </c>
      <c r="I49" s="38">
        <v>0.82630000000000159</v>
      </c>
      <c r="J49" s="46">
        <v>3.0696199999999987</v>
      </c>
      <c r="K49" s="32">
        <v>21.209367748824448</v>
      </c>
    </row>
    <row r="50" spans="6:11" x14ac:dyDescent="0.25">
      <c r="F50" s="15" t="s">
        <v>2</v>
      </c>
      <c r="G50" s="24">
        <v>14.366199999999999</v>
      </c>
      <c r="H50" s="49">
        <v>13.545</v>
      </c>
      <c r="I50" s="38">
        <v>0.82119999999999926</v>
      </c>
      <c r="J50" s="46">
        <v>3.0747200000000006</v>
      </c>
      <c r="K50" s="32">
        <v>21.078461570052767</v>
      </c>
    </row>
    <row r="51" spans="6:11" x14ac:dyDescent="0.25">
      <c r="F51" s="15" t="s">
        <v>3</v>
      </c>
      <c r="G51" s="24">
        <v>14.484500000000001</v>
      </c>
      <c r="H51" s="49">
        <v>13.663600000000001</v>
      </c>
      <c r="I51" s="38">
        <v>0.82089999999999996</v>
      </c>
      <c r="J51" s="46">
        <v>3.0750200000000003</v>
      </c>
      <c r="K51" s="32">
        <v>21.07076120659562</v>
      </c>
    </row>
    <row r="52" spans="6:11" x14ac:dyDescent="0.25">
      <c r="F52" s="15" t="s">
        <v>52</v>
      </c>
      <c r="G52" s="24">
        <v>14.8171</v>
      </c>
      <c r="H52" s="49">
        <v>13.8269</v>
      </c>
      <c r="I52" s="38">
        <v>0.99019999999999975</v>
      </c>
      <c r="J52" s="46">
        <v>3.3279600000000009</v>
      </c>
      <c r="K52" s="32">
        <v>22.93106323063526</v>
      </c>
    </row>
    <row r="53" spans="6:11" x14ac:dyDescent="0.25">
      <c r="F53" s="15" t="s">
        <v>50</v>
      </c>
      <c r="G53" s="24">
        <v>14.6534</v>
      </c>
      <c r="H53" s="49">
        <v>13.625</v>
      </c>
      <c r="I53" s="38">
        <v>1.0283999999999995</v>
      </c>
      <c r="J53" s="46">
        <v>3.2897600000000011</v>
      </c>
      <c r="K53" s="32">
        <v>23.815699279322658</v>
      </c>
    </row>
    <row r="54" spans="6:11" x14ac:dyDescent="0.25">
      <c r="F54" s="15" t="s">
        <v>53</v>
      </c>
      <c r="G54" s="24">
        <v>14.6547</v>
      </c>
      <c r="H54" s="49">
        <v>13.6609</v>
      </c>
      <c r="I54" s="38">
        <v>0.99380000000000024</v>
      </c>
      <c r="J54" s="46">
        <v>3.3243600000000004</v>
      </c>
      <c r="K54" s="32">
        <v>23.014432072919945</v>
      </c>
    </row>
    <row r="55" spans="6:11" x14ac:dyDescent="0.25">
      <c r="F55" s="14" t="s">
        <v>56</v>
      </c>
      <c r="G55" s="70">
        <v>14.754799999999999</v>
      </c>
      <c r="H55" s="48">
        <v>13.9879</v>
      </c>
      <c r="I55" s="50">
        <v>0.76689999999999969</v>
      </c>
      <c r="J55" s="45">
        <v>3.5590200000000003</v>
      </c>
      <c r="K55" s="51">
        <v>17.728020860302536</v>
      </c>
    </row>
    <row r="56" spans="6:11" x14ac:dyDescent="0.25">
      <c r="F56" s="15" t="s">
        <v>57</v>
      </c>
      <c r="G56" s="24">
        <v>14.7921</v>
      </c>
      <c r="H56" s="49">
        <v>14.035500000000001</v>
      </c>
      <c r="I56" s="38">
        <v>0.75659999999999883</v>
      </c>
      <c r="J56" s="46">
        <v>3.5693200000000012</v>
      </c>
      <c r="K56" s="32">
        <v>17.489921219070126</v>
      </c>
    </row>
    <row r="57" spans="6:11" x14ac:dyDescent="0.25">
      <c r="F57" s="16" t="s">
        <v>58</v>
      </c>
      <c r="G57" s="25">
        <v>14.7593</v>
      </c>
      <c r="H57" s="76">
        <v>14.0435</v>
      </c>
      <c r="I57" s="39">
        <v>0.71579999999999977</v>
      </c>
      <c r="J57" s="47">
        <v>3.6101200000000002</v>
      </c>
      <c r="K57" s="37">
        <v>16.546769242149651</v>
      </c>
    </row>
    <row r="58" spans="6:11" x14ac:dyDescent="0.25">
      <c r="F58" s="14" t="s">
        <v>54</v>
      </c>
      <c r="G58" s="24">
        <v>14.6486</v>
      </c>
      <c r="H58" s="49">
        <v>13.624499999999999</v>
      </c>
      <c r="I58" s="38">
        <v>1.0241000000000007</v>
      </c>
      <c r="J58" s="46">
        <v>3.2816999999999998</v>
      </c>
      <c r="K58" s="32">
        <v>23.784198058432835</v>
      </c>
    </row>
    <row r="59" spans="6:11" x14ac:dyDescent="0.25">
      <c r="F59" s="15" t="s">
        <v>51</v>
      </c>
      <c r="G59" s="24">
        <v>14.736000000000001</v>
      </c>
      <c r="H59" s="49">
        <v>13.6783</v>
      </c>
      <c r="I59" s="38">
        <v>1.0577000000000005</v>
      </c>
      <c r="J59" s="46">
        <v>3.2481</v>
      </c>
      <c r="K59" s="32">
        <v>24.564540851874227</v>
      </c>
    </row>
    <row r="60" spans="6:11" x14ac:dyDescent="0.25">
      <c r="F60" s="16" t="s">
        <v>55</v>
      </c>
      <c r="G60" s="25">
        <v>14.7895</v>
      </c>
      <c r="H60" s="47">
        <v>13.7744</v>
      </c>
      <c r="I60" s="39">
        <v>1.0151000000000003</v>
      </c>
      <c r="J60" s="47">
        <v>3.2907000000000002</v>
      </c>
      <c r="K60" s="37">
        <v>23.57517766733244</v>
      </c>
    </row>
    <row r="62" spans="6:11" x14ac:dyDescent="0.25">
      <c r="F62" s="23" t="s">
        <v>0</v>
      </c>
      <c r="G62" s="40" t="s">
        <v>138</v>
      </c>
      <c r="H62" s="41" t="s">
        <v>71</v>
      </c>
      <c r="I62" s="42" t="s">
        <v>141</v>
      </c>
      <c r="J62" s="43" t="s">
        <v>145</v>
      </c>
      <c r="K62" s="44" t="s">
        <v>146</v>
      </c>
    </row>
    <row r="63" spans="6:11" x14ac:dyDescent="0.25">
      <c r="F63" s="14" t="s">
        <v>1</v>
      </c>
      <c r="G63" s="45">
        <v>17.256419999999999</v>
      </c>
      <c r="H63" s="31">
        <v>16.456299999999999</v>
      </c>
      <c r="I63" s="38">
        <v>0.80011999999999972</v>
      </c>
      <c r="J63" s="45">
        <v>3.0958000000000006</v>
      </c>
      <c r="K63" s="32">
        <v>20.537382697796659</v>
      </c>
    </row>
    <row r="64" spans="6:11" x14ac:dyDescent="0.25">
      <c r="F64" s="15" t="s">
        <v>2</v>
      </c>
      <c r="G64" s="46">
        <v>17.358919999999998</v>
      </c>
      <c r="H64" s="31">
        <v>16.541399999999999</v>
      </c>
      <c r="I64" s="38">
        <v>0.81751999999999825</v>
      </c>
      <c r="J64" s="46">
        <v>3.0784000000000016</v>
      </c>
      <c r="K64" s="32">
        <v>20.984003778311632</v>
      </c>
    </row>
    <row r="65" spans="1:11" x14ac:dyDescent="0.25">
      <c r="F65" s="15" t="s">
        <v>3</v>
      </c>
      <c r="G65" s="46">
        <v>17.59112</v>
      </c>
      <c r="H65" s="31">
        <v>16.752300000000002</v>
      </c>
      <c r="I65" s="38">
        <v>0.83881999999999834</v>
      </c>
      <c r="J65" s="46">
        <v>3.0571000000000019</v>
      </c>
      <c r="K65" s="32">
        <v>21.530729583769642</v>
      </c>
    </row>
    <row r="66" spans="1:11" x14ac:dyDescent="0.25">
      <c r="F66" s="15" t="s">
        <v>52</v>
      </c>
      <c r="G66" s="46">
        <v>17.808160000000001</v>
      </c>
      <c r="H66" s="31">
        <v>16.814299999999999</v>
      </c>
      <c r="I66" s="38">
        <v>0.99386000000000152</v>
      </c>
      <c r="J66" s="46">
        <v>3.3242999999999991</v>
      </c>
      <c r="K66" s="32">
        <v>23.015821553624733</v>
      </c>
    </row>
    <row r="67" spans="1:11" x14ac:dyDescent="0.25">
      <c r="F67" s="15" t="s">
        <v>50</v>
      </c>
      <c r="G67" s="46">
        <v>17.708159999999999</v>
      </c>
      <c r="H67" s="31">
        <v>16.704499999999999</v>
      </c>
      <c r="I67" s="38">
        <v>1.00366</v>
      </c>
      <c r="J67" s="46">
        <v>3.3145000000000007</v>
      </c>
      <c r="K67" s="32">
        <v>23.24277006873298</v>
      </c>
    </row>
    <row r="68" spans="1:11" x14ac:dyDescent="0.25">
      <c r="F68" s="15" t="s">
        <v>53</v>
      </c>
      <c r="G68" s="46">
        <v>17.728160000000003</v>
      </c>
      <c r="H68" s="31">
        <v>16.727799999999998</v>
      </c>
      <c r="I68" s="38">
        <v>1.0003600000000041</v>
      </c>
      <c r="J68" s="46">
        <v>3.3177999999999965</v>
      </c>
      <c r="K68" s="32">
        <v>23.16634862997212</v>
      </c>
    </row>
    <row r="69" spans="1:11" x14ac:dyDescent="0.25">
      <c r="F69" s="69" t="s">
        <v>56</v>
      </c>
      <c r="G69" s="45">
        <v>17.829419999999999</v>
      </c>
      <c r="H69" s="72">
        <v>17.0777</v>
      </c>
      <c r="I69" s="45">
        <v>0.75171999999999883</v>
      </c>
      <c r="J69" s="70">
        <v>3.5742000000000012</v>
      </c>
      <c r="K69" s="45">
        <v>17.377112845360031</v>
      </c>
    </row>
    <row r="70" spans="1:11" x14ac:dyDescent="0.25">
      <c r="F70" s="21" t="s">
        <v>57</v>
      </c>
      <c r="G70" s="46">
        <v>17.84882</v>
      </c>
      <c r="H70" s="31">
        <v>17.0989</v>
      </c>
      <c r="I70" s="46">
        <v>0.74991999999999948</v>
      </c>
      <c r="J70" s="24">
        <v>3.5760000000000005</v>
      </c>
      <c r="K70" s="46">
        <v>17.335503199319447</v>
      </c>
    </row>
    <row r="71" spans="1:11" x14ac:dyDescent="0.25">
      <c r="F71" s="22" t="s">
        <v>58</v>
      </c>
      <c r="G71" s="47">
        <v>17.82582</v>
      </c>
      <c r="H71" s="75">
        <v>17.1144</v>
      </c>
      <c r="I71" s="47">
        <v>0.71142000000000039</v>
      </c>
      <c r="J71" s="25">
        <v>3.6144999999999996</v>
      </c>
      <c r="K71" s="47">
        <v>16.445519103450849</v>
      </c>
    </row>
    <row r="72" spans="1:11" x14ac:dyDescent="0.25">
      <c r="F72" s="21" t="s">
        <v>54</v>
      </c>
      <c r="G72" s="46">
        <v>17.655899999999999</v>
      </c>
      <c r="H72" s="31">
        <v>16.640999999999998</v>
      </c>
      <c r="I72" s="46">
        <v>1.0149000000000008</v>
      </c>
      <c r="J72" s="24">
        <v>3.2908999999999997</v>
      </c>
      <c r="K72" s="46">
        <v>23.570532769752447</v>
      </c>
    </row>
    <row r="73" spans="1:11" x14ac:dyDescent="0.25">
      <c r="F73" s="21" t="s">
        <v>51</v>
      </c>
      <c r="G73" s="46">
        <v>17.743000000000002</v>
      </c>
      <c r="H73" s="31">
        <v>16.698399999999999</v>
      </c>
      <c r="I73" s="46">
        <v>1.0446000000000026</v>
      </c>
      <c r="J73" s="24">
        <v>3.2611999999999979</v>
      </c>
      <c r="K73" s="46">
        <v>24.260300060383727</v>
      </c>
    </row>
    <row r="74" spans="1:11" x14ac:dyDescent="0.25">
      <c r="F74" s="22" t="s">
        <v>55</v>
      </c>
      <c r="G74" s="47">
        <v>17.785800000000002</v>
      </c>
      <c r="H74" s="36">
        <v>16.787800000000001</v>
      </c>
      <c r="I74" s="47">
        <v>0.99800000000000111</v>
      </c>
      <c r="J74" s="25">
        <v>3.3077999999999994</v>
      </c>
      <c r="K74" s="47">
        <v>23.178038924241747</v>
      </c>
    </row>
    <row r="78" spans="1:11" x14ac:dyDescent="0.25">
      <c r="A78" s="21" t="s">
        <v>54</v>
      </c>
      <c r="B78" s="61">
        <v>13.350099999999999</v>
      </c>
      <c r="C78" s="62">
        <v>10.335100000000001</v>
      </c>
      <c r="D78" s="24">
        <v>4.3058000000000005</v>
      </c>
      <c r="E78" s="65">
        <v>43.16</v>
      </c>
      <c r="F78" s="65">
        <f t="shared" ref="F78:F83" si="19">E78/D78</f>
        <v>10.02368897765804</v>
      </c>
      <c r="G78" s="68">
        <v>14.6486</v>
      </c>
      <c r="H78" s="68">
        <f t="shared" ref="H78:H83" si="20">D78+B78</f>
        <v>17.655899999999999</v>
      </c>
    </row>
    <row r="79" spans="1:11" x14ac:dyDescent="0.25">
      <c r="A79" s="21" t="s">
        <v>51</v>
      </c>
      <c r="B79" s="61">
        <v>13.437200000000001</v>
      </c>
      <c r="C79" s="62">
        <v>10.4223</v>
      </c>
      <c r="D79" s="24">
        <v>4.3058000000000005</v>
      </c>
      <c r="E79" s="65">
        <v>43.1265</v>
      </c>
      <c r="F79" s="65">
        <f t="shared" si="19"/>
        <v>10.015908774211528</v>
      </c>
      <c r="G79" s="68">
        <v>14.736000000000001</v>
      </c>
      <c r="H79" s="68">
        <f t="shared" si="20"/>
        <v>17.743000000000002</v>
      </c>
    </row>
    <row r="80" spans="1:11" x14ac:dyDescent="0.25">
      <c r="A80" s="21" t="s">
        <v>55</v>
      </c>
      <c r="B80" s="61">
        <v>13.48</v>
      </c>
      <c r="C80" s="62">
        <v>10.471299999999999</v>
      </c>
      <c r="D80" s="24">
        <v>4.3058000000000005</v>
      </c>
      <c r="E80" s="65">
        <v>43.101900000000001</v>
      </c>
      <c r="F80" s="65">
        <f t="shared" si="19"/>
        <v>10.010195550188117</v>
      </c>
      <c r="G80" s="68">
        <v>14.7895</v>
      </c>
      <c r="H80" s="68">
        <f t="shared" si="20"/>
        <v>17.785800000000002</v>
      </c>
    </row>
    <row r="81" spans="1:10" x14ac:dyDescent="0.25">
      <c r="A81" s="21" t="s">
        <v>56</v>
      </c>
      <c r="B81" s="61">
        <v>13.503500000000001</v>
      </c>
      <c r="C81" s="62">
        <v>10.417400000000001</v>
      </c>
      <c r="D81" s="24">
        <v>4.32592</v>
      </c>
      <c r="E81" s="65">
        <v>43.302199999999999</v>
      </c>
      <c r="F81" s="65">
        <f t="shared" si="19"/>
        <v>10.009940082109701</v>
      </c>
      <c r="G81" s="68">
        <v>14.754799999999999</v>
      </c>
      <c r="H81" s="68">
        <f t="shared" si="20"/>
        <v>17.829419999999999</v>
      </c>
    </row>
    <row r="82" spans="1:10" x14ac:dyDescent="0.25">
      <c r="A82" s="21" t="s">
        <v>57</v>
      </c>
      <c r="B82" s="61">
        <v>13.5229</v>
      </c>
      <c r="C82" s="62">
        <v>10.464600000000001</v>
      </c>
      <c r="D82" s="24">
        <v>4.32592</v>
      </c>
      <c r="E82" s="65">
        <v>43.364899999999999</v>
      </c>
      <c r="F82" s="65">
        <f t="shared" si="19"/>
        <v>10.024434108813848</v>
      </c>
      <c r="G82" s="68">
        <v>14.7921</v>
      </c>
      <c r="H82" s="68">
        <f t="shared" si="20"/>
        <v>17.84882</v>
      </c>
    </row>
    <row r="83" spans="1:10" x14ac:dyDescent="0.25">
      <c r="A83" s="22" t="s">
        <v>58</v>
      </c>
      <c r="B83" s="63">
        <v>13.4999</v>
      </c>
      <c r="C83" s="64">
        <v>10.428599999999999</v>
      </c>
      <c r="D83" s="25">
        <v>4.32592</v>
      </c>
      <c r="E83" s="36">
        <v>43.310899999999997</v>
      </c>
      <c r="F83" s="36">
        <f t="shared" si="19"/>
        <v>10.011951215001664</v>
      </c>
      <c r="G83" s="35">
        <v>14.7593</v>
      </c>
      <c r="H83" s="35">
        <f t="shared" si="20"/>
        <v>17.82582</v>
      </c>
    </row>
    <row r="92" spans="1:10" ht="16.5" thickBot="1" x14ac:dyDescent="0.3">
      <c r="A92" s="181" t="s">
        <v>17</v>
      </c>
      <c r="B92" s="182" t="s">
        <v>27</v>
      </c>
      <c r="C92" s="182" t="s">
        <v>28</v>
      </c>
      <c r="D92" s="182" t="s">
        <v>18</v>
      </c>
      <c r="E92" s="182" t="s">
        <v>59</v>
      </c>
      <c r="F92" s="182" t="s">
        <v>60</v>
      </c>
      <c r="G92" s="9" t="s">
        <v>45</v>
      </c>
      <c r="H92" s="9" t="s">
        <v>46</v>
      </c>
      <c r="I92" s="9" t="s">
        <v>49</v>
      </c>
      <c r="J92" s="9" t="s">
        <v>48</v>
      </c>
    </row>
    <row r="93" spans="1:10" ht="16.5" thickTop="1" x14ac:dyDescent="0.25">
      <c r="A93" s="183" t="s">
        <v>1</v>
      </c>
      <c r="B93" s="24">
        <v>14.055</v>
      </c>
      <c r="C93" s="45">
        <v>12.987</v>
      </c>
      <c r="D93" s="45">
        <f>((B93-C93)/C93)*100</f>
        <v>8.2236082236082204</v>
      </c>
      <c r="E93" s="249">
        <f>(D93+D95+D94)/3</f>
        <v>8.2181840447667938</v>
      </c>
      <c r="F93" s="251">
        <v>1.0822000000000001</v>
      </c>
      <c r="G93" s="252">
        <v>44103</v>
      </c>
      <c r="H93" s="166">
        <v>44104</v>
      </c>
      <c r="I93" s="167" t="s">
        <v>47</v>
      </c>
      <c r="J93" s="167" t="s">
        <v>39</v>
      </c>
    </row>
    <row r="94" spans="1:10" x14ac:dyDescent="0.25">
      <c r="A94" s="184" t="s">
        <v>2</v>
      </c>
      <c r="B94" s="24">
        <v>14.132</v>
      </c>
      <c r="C94" s="46">
        <v>13.055999999999999</v>
      </c>
      <c r="D94" s="46">
        <f t="shared" ref="D94:D101" si="21">((B94-C94)/C94)*100</f>
        <v>8.2414215686274552</v>
      </c>
      <c r="E94" s="250"/>
      <c r="F94" s="251"/>
      <c r="G94" s="252"/>
      <c r="H94" s="166"/>
      <c r="I94" s="167"/>
      <c r="J94" s="167"/>
    </row>
    <row r="95" spans="1:10" x14ac:dyDescent="0.25">
      <c r="A95" s="184" t="s">
        <v>3</v>
      </c>
      <c r="B95" s="24">
        <v>14.042999999999999</v>
      </c>
      <c r="C95" s="46">
        <v>12.98</v>
      </c>
      <c r="D95" s="46">
        <f t="shared" si="21"/>
        <v>8.1895223420647056</v>
      </c>
      <c r="E95" s="250"/>
      <c r="F95" s="251"/>
      <c r="G95" s="252"/>
      <c r="H95" s="166"/>
      <c r="I95" s="167"/>
      <c r="J95" s="167"/>
    </row>
    <row r="96" spans="1:10" x14ac:dyDescent="0.25">
      <c r="A96" s="184" t="s">
        <v>37</v>
      </c>
      <c r="B96" s="24">
        <v>10.819000000000001</v>
      </c>
      <c r="C96" s="46">
        <v>10.254</v>
      </c>
      <c r="D96" s="46">
        <f t="shared" si="21"/>
        <v>5.5100448605422407</v>
      </c>
      <c r="E96" s="250">
        <f>(D96+D97)/2</f>
        <v>5.5647785278320985</v>
      </c>
      <c r="F96" s="251">
        <v>1.0556000000000001</v>
      </c>
      <c r="G96" s="252">
        <v>44109</v>
      </c>
      <c r="H96" s="166">
        <v>44110</v>
      </c>
      <c r="I96" s="167" t="s">
        <v>44</v>
      </c>
      <c r="J96" s="167" t="s">
        <v>39</v>
      </c>
    </row>
    <row r="97" spans="1:10" x14ac:dyDescent="0.25">
      <c r="A97" s="185" t="s">
        <v>38</v>
      </c>
      <c r="B97" s="24">
        <v>10.826000000000001</v>
      </c>
      <c r="C97" s="46">
        <v>10.25</v>
      </c>
      <c r="D97" s="46">
        <f t="shared" si="21"/>
        <v>5.6195121951219562</v>
      </c>
      <c r="E97" s="250"/>
      <c r="F97" s="251"/>
      <c r="G97" s="252"/>
      <c r="H97" s="167"/>
      <c r="I97" s="167"/>
      <c r="J97" s="167"/>
    </row>
    <row r="98" spans="1:10" x14ac:dyDescent="0.25">
      <c r="A98" s="184" t="s">
        <v>41</v>
      </c>
      <c r="B98" s="24">
        <v>10.7</v>
      </c>
      <c r="C98" s="46">
        <v>10.446</v>
      </c>
      <c r="D98" s="46">
        <f t="shared" si="21"/>
        <v>2.4315527474631398</v>
      </c>
      <c r="E98" s="250">
        <f>(D98+D99)/2</f>
        <v>2.4734887610120664</v>
      </c>
      <c r="F98" s="251">
        <v>1.0246999999999999</v>
      </c>
      <c r="G98" s="252"/>
      <c r="H98" s="167"/>
      <c r="I98" s="167"/>
      <c r="J98" s="167"/>
    </row>
    <row r="99" spans="1:10" x14ac:dyDescent="0.25">
      <c r="A99" s="184" t="s">
        <v>40</v>
      </c>
      <c r="B99" s="24">
        <v>10.8</v>
      </c>
      <c r="C99" s="46">
        <v>10.535</v>
      </c>
      <c r="D99" s="46">
        <f t="shared" si="21"/>
        <v>2.5154247745609926</v>
      </c>
      <c r="E99" s="250"/>
      <c r="F99" s="251"/>
      <c r="G99" s="252"/>
      <c r="H99" s="167"/>
      <c r="I99" s="167"/>
      <c r="J99" s="167"/>
    </row>
    <row r="100" spans="1:10" x14ac:dyDescent="0.25">
      <c r="A100" s="184" t="s">
        <v>42</v>
      </c>
      <c r="B100" s="24">
        <v>10.79</v>
      </c>
      <c r="C100" s="187">
        <v>10.61</v>
      </c>
      <c r="D100" s="46">
        <f t="shared" si="21"/>
        <v>1.6965127238454263</v>
      </c>
      <c r="E100" s="250">
        <f>(D100+D101)/2</f>
        <v>1.7453290720265824</v>
      </c>
      <c r="F100" s="251">
        <v>1.075</v>
      </c>
      <c r="G100" s="252"/>
      <c r="H100" s="167"/>
      <c r="I100" s="167"/>
      <c r="J100" s="167"/>
    </row>
    <row r="101" spans="1:10" x14ac:dyDescent="0.25">
      <c r="A101" s="186" t="s">
        <v>43</v>
      </c>
      <c r="B101" s="25">
        <v>10.78</v>
      </c>
      <c r="C101" s="188">
        <v>10.59</v>
      </c>
      <c r="D101" s="47">
        <f t="shared" si="21"/>
        <v>1.7941454202077385</v>
      </c>
      <c r="E101" s="253"/>
      <c r="F101" s="254"/>
      <c r="G101" s="252"/>
      <c r="H101" s="167"/>
      <c r="I101" s="167"/>
      <c r="J101" s="167"/>
    </row>
  </sheetData>
  <mergeCells count="20">
    <mergeCell ref="G2:G4"/>
    <mergeCell ref="F2:F4"/>
    <mergeCell ref="G5:G10"/>
    <mergeCell ref="E2:E4"/>
    <mergeCell ref="E5:E6"/>
    <mergeCell ref="E7:E8"/>
    <mergeCell ref="E9:E10"/>
    <mergeCell ref="F5:F6"/>
    <mergeCell ref="F7:F8"/>
    <mergeCell ref="F9:F10"/>
    <mergeCell ref="E93:E95"/>
    <mergeCell ref="F93:F95"/>
    <mergeCell ref="G93:G95"/>
    <mergeCell ref="E96:E97"/>
    <mergeCell ref="F96:F97"/>
    <mergeCell ref="G96:G101"/>
    <mergeCell ref="E98:E99"/>
    <mergeCell ref="F98:F99"/>
    <mergeCell ref="E100:E101"/>
    <mergeCell ref="F100:F101"/>
  </mergeCells>
  <pageMargins left="0.7" right="0.7" top="0.75" bottom="0.75" header="0.3" footer="0.3"/>
  <pageSetup paperSize="9" orientation="portrait" copies="0" r:id="rId1"/>
  <ignoredErrors>
    <ignoredError sqref="N35 N36:N45 O34:O4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10" workbookViewId="0">
      <selection activeCell="H17" sqref="H17"/>
    </sheetView>
  </sheetViews>
  <sheetFormatPr defaultColWidth="11" defaultRowHeight="15.75" x14ac:dyDescent="0.25"/>
  <cols>
    <col min="1" max="1" width="14.875" bestFit="1" customWidth="1"/>
  </cols>
  <sheetData>
    <row r="1" spans="1:3" x14ac:dyDescent="0.25">
      <c r="A1" t="s">
        <v>5</v>
      </c>
      <c r="B1" t="s">
        <v>6</v>
      </c>
    </row>
    <row r="4" spans="1:3" x14ac:dyDescent="0.25">
      <c r="A4" t="s">
        <v>12</v>
      </c>
      <c r="B4" t="s">
        <v>13</v>
      </c>
    </row>
    <row r="7" spans="1:3" x14ac:dyDescent="0.25">
      <c r="A7" t="s">
        <v>29</v>
      </c>
      <c r="B7" s="5">
        <v>44106</v>
      </c>
    </row>
    <row r="8" spans="1:3" x14ac:dyDescent="0.25">
      <c r="A8" t="s">
        <v>30</v>
      </c>
      <c r="B8" s="6" t="s">
        <v>32</v>
      </c>
    </row>
    <row r="9" spans="1:3" x14ac:dyDescent="0.25">
      <c r="A9" t="s">
        <v>31</v>
      </c>
      <c r="B9">
        <v>3.9024000000000001</v>
      </c>
    </row>
    <row r="10" spans="1:3" x14ac:dyDescent="0.25">
      <c r="A10" t="s">
        <v>33</v>
      </c>
      <c r="B10">
        <v>0.432</v>
      </c>
    </row>
    <row r="11" spans="1:3" x14ac:dyDescent="0.25">
      <c r="A11" t="s">
        <v>34</v>
      </c>
      <c r="B11">
        <f>B12-B10-B9</f>
        <v>39.708300000000001</v>
      </c>
    </row>
    <row r="12" spans="1:3" x14ac:dyDescent="0.25">
      <c r="A12" t="s">
        <v>35</v>
      </c>
      <c r="B12">
        <v>44.042700000000004</v>
      </c>
    </row>
    <row r="14" spans="1:3" x14ac:dyDescent="0.25">
      <c r="A14" t="s">
        <v>36</v>
      </c>
      <c r="B14">
        <f>B11/(B10+B9)</f>
        <v>9.1611987818383156</v>
      </c>
      <c r="C14">
        <f>B12/(B10+B9)</f>
        <v>10.161198781838316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zoomScale="64" zoomScaleNormal="78" workbookViewId="0">
      <selection activeCell="F38" sqref="F38"/>
    </sheetView>
  </sheetViews>
  <sheetFormatPr defaultColWidth="11" defaultRowHeight="15.75" x14ac:dyDescent="0.25"/>
  <cols>
    <col min="1" max="1" width="12.875" bestFit="1" customWidth="1"/>
    <col min="10" max="10" width="12.625" bestFit="1" customWidth="1"/>
    <col min="11" max="11" width="6.875" bestFit="1" customWidth="1"/>
    <col min="12" max="12" width="13.625" bestFit="1" customWidth="1"/>
    <col min="13" max="13" width="12.125" bestFit="1" customWidth="1"/>
  </cols>
  <sheetData>
    <row r="1" spans="1:14" x14ac:dyDescent="0.25">
      <c r="A1" t="s">
        <v>14</v>
      </c>
      <c r="B1" t="s">
        <v>15</v>
      </c>
      <c r="C1" t="s">
        <v>16</v>
      </c>
    </row>
    <row r="2" spans="1:14" x14ac:dyDescent="0.25">
      <c r="A2">
        <v>1</v>
      </c>
    </row>
    <row r="3" spans="1:14" x14ac:dyDescent="0.25">
      <c r="A3">
        <v>2</v>
      </c>
      <c r="G3" t="s">
        <v>72</v>
      </c>
      <c r="H3" s="26" t="s">
        <v>0</v>
      </c>
      <c r="I3" s="26" t="s">
        <v>4</v>
      </c>
      <c r="J3" s="26" t="s">
        <v>73</v>
      </c>
      <c r="K3" s="26" t="s">
        <v>74</v>
      </c>
      <c r="L3" s="26" t="s">
        <v>75</v>
      </c>
      <c r="M3" s="26" t="s">
        <v>76</v>
      </c>
    </row>
    <row r="4" spans="1:14" x14ac:dyDescent="0.25">
      <c r="A4">
        <v>3</v>
      </c>
      <c r="G4" s="4">
        <v>1</v>
      </c>
      <c r="H4" s="20" t="s">
        <v>77</v>
      </c>
      <c r="I4" s="20">
        <v>11.98</v>
      </c>
      <c r="J4" s="20">
        <v>3290</v>
      </c>
      <c r="K4" s="20">
        <v>24.4</v>
      </c>
      <c r="L4" s="20">
        <v>0.1</v>
      </c>
      <c r="M4" s="20">
        <v>16.14</v>
      </c>
    </row>
    <row r="5" spans="1:14" x14ac:dyDescent="0.25">
      <c r="A5">
        <v>4</v>
      </c>
      <c r="G5" s="4">
        <v>2</v>
      </c>
      <c r="H5" s="20" t="s">
        <v>78</v>
      </c>
      <c r="I5" s="3">
        <v>12.01</v>
      </c>
      <c r="J5" s="20">
        <v>3310</v>
      </c>
      <c r="K5" s="20">
        <v>27.5</v>
      </c>
      <c r="L5" s="20">
        <v>0.1</v>
      </c>
      <c r="M5" s="20">
        <v>13.3</v>
      </c>
      <c r="N5">
        <f>AVERAGE(M4:M6)</f>
        <v>13.986666666666666</v>
      </c>
    </row>
    <row r="6" spans="1:14" x14ac:dyDescent="0.25">
      <c r="A6">
        <v>5</v>
      </c>
      <c r="G6" s="4">
        <v>3</v>
      </c>
      <c r="H6" s="20" t="s">
        <v>79</v>
      </c>
      <c r="I6" s="3">
        <v>11.97</v>
      </c>
      <c r="J6" s="20">
        <v>3270</v>
      </c>
      <c r="K6" s="20">
        <v>26.3</v>
      </c>
      <c r="L6" s="20">
        <v>0.1</v>
      </c>
      <c r="M6" s="20">
        <v>12.52</v>
      </c>
    </row>
    <row r="7" spans="1:14" x14ac:dyDescent="0.25">
      <c r="G7" s="4">
        <v>4</v>
      </c>
      <c r="H7" s="20" t="s">
        <v>80</v>
      </c>
      <c r="I7" s="3">
        <v>11.77</v>
      </c>
      <c r="J7" s="20">
        <v>2440</v>
      </c>
      <c r="K7" s="20">
        <v>25.8</v>
      </c>
      <c r="L7" s="20">
        <v>0.1</v>
      </c>
      <c r="M7" s="20">
        <v>6.79</v>
      </c>
    </row>
    <row r="8" spans="1:14" x14ac:dyDescent="0.25">
      <c r="G8" s="4">
        <v>5</v>
      </c>
      <c r="H8" s="20" t="s">
        <v>81</v>
      </c>
      <c r="I8" s="3">
        <v>11.76</v>
      </c>
      <c r="J8" s="20">
        <v>2370</v>
      </c>
      <c r="K8" s="20">
        <v>25.6</v>
      </c>
      <c r="L8" s="20">
        <v>0.1</v>
      </c>
      <c r="M8" s="20">
        <v>6</v>
      </c>
    </row>
    <row r="9" spans="1:14" x14ac:dyDescent="0.25">
      <c r="A9" t="s">
        <v>19</v>
      </c>
      <c r="G9" s="4">
        <v>6</v>
      </c>
      <c r="H9" s="20" t="s">
        <v>82</v>
      </c>
      <c r="I9" s="3">
        <v>11.76</v>
      </c>
      <c r="J9" s="20">
        <v>2400</v>
      </c>
      <c r="K9" s="20">
        <v>25.8</v>
      </c>
      <c r="L9" s="20">
        <v>0.1</v>
      </c>
      <c r="M9" s="20">
        <v>6.46</v>
      </c>
    </row>
    <row r="10" spans="1:14" x14ac:dyDescent="0.25">
      <c r="B10" t="s">
        <v>20</v>
      </c>
      <c r="G10" s="4">
        <v>7</v>
      </c>
      <c r="H10" s="20" t="s">
        <v>83</v>
      </c>
      <c r="I10" s="3">
        <v>11.93</v>
      </c>
      <c r="J10" s="20">
        <v>2990</v>
      </c>
      <c r="K10" s="20">
        <v>29.3</v>
      </c>
      <c r="L10" s="20">
        <v>0.1</v>
      </c>
      <c r="M10" s="20">
        <v>13.36</v>
      </c>
    </row>
    <row r="11" spans="1:14" x14ac:dyDescent="0.25">
      <c r="A11">
        <v>1</v>
      </c>
      <c r="B11">
        <f>B22/B21</f>
        <v>2.1428571428571428</v>
      </c>
      <c r="G11" s="4">
        <v>8</v>
      </c>
      <c r="H11" s="20" t="s">
        <v>84</v>
      </c>
      <c r="I11" s="3">
        <v>11.97</v>
      </c>
      <c r="J11" s="20">
        <v>2970</v>
      </c>
      <c r="K11" s="20">
        <v>30.3</v>
      </c>
      <c r="L11" s="20">
        <v>0.1</v>
      </c>
      <c r="M11" s="20">
        <v>8</v>
      </c>
    </row>
    <row r="12" spans="1:14" x14ac:dyDescent="0.25">
      <c r="A12">
        <v>2</v>
      </c>
      <c r="B12">
        <f>(B22*2)/B21</f>
        <v>4.2857142857142856</v>
      </c>
      <c r="G12" s="4">
        <v>9</v>
      </c>
      <c r="H12" s="20" t="s">
        <v>85</v>
      </c>
      <c r="I12" s="3">
        <v>11.93</v>
      </c>
      <c r="J12" s="20">
        <v>2810</v>
      </c>
      <c r="K12" s="20">
        <v>30.1</v>
      </c>
      <c r="L12" s="20">
        <v>0.1</v>
      </c>
      <c r="M12" s="20">
        <v>10.09</v>
      </c>
    </row>
    <row r="13" spans="1:14" x14ac:dyDescent="0.25">
      <c r="A13">
        <v>3</v>
      </c>
      <c r="B13">
        <f>(B22*3)/B21</f>
        <v>6.4285714285714288</v>
      </c>
      <c r="G13" s="4">
        <v>10</v>
      </c>
      <c r="H13" s="20" t="s">
        <v>86</v>
      </c>
      <c r="I13" s="3">
        <v>10.93</v>
      </c>
      <c r="J13" s="20">
        <v>4450</v>
      </c>
      <c r="K13" s="20">
        <v>29.9</v>
      </c>
      <c r="L13" s="20">
        <v>1E-3</v>
      </c>
      <c r="M13" s="20">
        <v>0.38</v>
      </c>
    </row>
    <row r="14" spans="1:14" x14ac:dyDescent="0.25">
      <c r="A14">
        <v>4</v>
      </c>
      <c r="B14">
        <f>(B22*4)/B21</f>
        <v>8.5714285714285712</v>
      </c>
      <c r="G14" s="4">
        <v>11</v>
      </c>
      <c r="H14" s="20" t="s">
        <v>87</v>
      </c>
      <c r="I14" s="3">
        <v>10.92</v>
      </c>
      <c r="J14" s="20">
        <v>4380</v>
      </c>
      <c r="K14" s="20">
        <v>30.2</v>
      </c>
      <c r="L14" s="20">
        <v>1E-3</v>
      </c>
      <c r="M14" s="20">
        <v>0.95</v>
      </c>
    </row>
    <row r="15" spans="1:14" x14ac:dyDescent="0.25">
      <c r="A15">
        <v>5</v>
      </c>
      <c r="B15">
        <f>(B22*5)/B21</f>
        <v>10.714285714285714</v>
      </c>
      <c r="G15" s="4">
        <v>12</v>
      </c>
      <c r="H15" s="20" t="s">
        <v>88</v>
      </c>
      <c r="I15" s="3">
        <v>10.9</v>
      </c>
      <c r="J15" s="20">
        <v>4460</v>
      </c>
      <c r="K15" s="20">
        <v>29.2</v>
      </c>
      <c r="L15" s="20">
        <v>1E-3</v>
      </c>
      <c r="M15" s="20">
        <v>1.27</v>
      </c>
    </row>
    <row r="16" spans="1:14" x14ac:dyDescent="0.25">
      <c r="A16">
        <v>6</v>
      </c>
      <c r="B16">
        <f>(B22*6)/B21</f>
        <v>12.857142857142858</v>
      </c>
      <c r="G16" s="4">
        <v>13</v>
      </c>
      <c r="H16" s="20" t="s">
        <v>89</v>
      </c>
      <c r="I16" s="3">
        <v>11.82</v>
      </c>
      <c r="J16" s="20">
        <v>1896</v>
      </c>
      <c r="K16" s="20">
        <v>29.8</v>
      </c>
      <c r="L16" s="20">
        <v>0.1</v>
      </c>
      <c r="M16" s="20">
        <v>10.08</v>
      </c>
    </row>
    <row r="17" spans="1:13" x14ac:dyDescent="0.25">
      <c r="A17">
        <v>7</v>
      </c>
      <c r="B17">
        <f>(B22*7)/B21</f>
        <v>15</v>
      </c>
      <c r="G17" s="4">
        <v>14</v>
      </c>
      <c r="H17" s="20" t="s">
        <v>90</v>
      </c>
      <c r="I17" s="3">
        <v>11.81</v>
      </c>
      <c r="J17" s="20">
        <v>1710</v>
      </c>
      <c r="K17" s="20">
        <v>30.6</v>
      </c>
      <c r="L17" s="20">
        <v>0.1</v>
      </c>
      <c r="M17" s="20">
        <v>7.68</v>
      </c>
    </row>
    <row r="18" spans="1:13" x14ac:dyDescent="0.25">
      <c r="A18">
        <v>8</v>
      </c>
      <c r="B18">
        <f>(B22*8)/B21</f>
        <v>17.142857142857142</v>
      </c>
      <c r="G18" s="4">
        <v>15</v>
      </c>
      <c r="H18" s="20" t="s">
        <v>91</v>
      </c>
      <c r="I18" s="3">
        <v>11.83</v>
      </c>
      <c r="J18" s="20">
        <v>1696</v>
      </c>
      <c r="K18" s="20">
        <v>30.2</v>
      </c>
      <c r="L18" s="20">
        <v>0.1</v>
      </c>
      <c r="M18" s="20">
        <v>7</v>
      </c>
    </row>
    <row r="19" spans="1:13" x14ac:dyDescent="0.25">
      <c r="G19" s="4">
        <v>16</v>
      </c>
      <c r="H19" s="20" t="s">
        <v>92</v>
      </c>
      <c r="I19" s="3">
        <v>11.54</v>
      </c>
      <c r="J19" s="20">
        <v>1378</v>
      </c>
      <c r="K19" s="20">
        <v>30.1</v>
      </c>
      <c r="L19" s="20">
        <v>0.1</v>
      </c>
      <c r="M19" s="20">
        <v>4.3</v>
      </c>
    </row>
    <row r="20" spans="1:13" x14ac:dyDescent="0.25">
      <c r="G20" s="4">
        <v>17</v>
      </c>
      <c r="H20" s="20" t="s">
        <v>93</v>
      </c>
      <c r="I20" s="3">
        <v>11.53</v>
      </c>
      <c r="J20" s="20">
        <v>1321</v>
      </c>
      <c r="K20" s="20">
        <v>30.2</v>
      </c>
      <c r="L20" s="20">
        <v>0.1</v>
      </c>
      <c r="M20" s="20">
        <v>4.1399999999999997</v>
      </c>
    </row>
    <row r="21" spans="1:13" x14ac:dyDescent="0.25">
      <c r="A21" t="s">
        <v>26</v>
      </c>
      <c r="B21">
        <v>70</v>
      </c>
      <c r="C21" t="s">
        <v>21</v>
      </c>
      <c r="D21" t="s">
        <v>22</v>
      </c>
      <c r="G21" s="4">
        <v>18</v>
      </c>
      <c r="H21" s="20" t="s">
        <v>94</v>
      </c>
      <c r="I21" s="3">
        <v>11.57</v>
      </c>
      <c r="J21" s="20">
        <v>1322</v>
      </c>
      <c r="K21" s="20">
        <v>29.4</v>
      </c>
      <c r="L21" s="20">
        <v>0.1</v>
      </c>
      <c r="M21" s="20">
        <v>4.0199999999999996</v>
      </c>
    </row>
    <row r="22" spans="1:13" x14ac:dyDescent="0.25">
      <c r="A22" t="s">
        <v>25</v>
      </c>
      <c r="B22">
        <v>150</v>
      </c>
      <c r="C22" t="s">
        <v>24</v>
      </c>
      <c r="D22" t="s">
        <v>23</v>
      </c>
      <c r="G22" s="4">
        <v>19</v>
      </c>
      <c r="H22" s="20" t="s">
        <v>95</v>
      </c>
      <c r="I22" s="3">
        <v>11.76</v>
      </c>
      <c r="J22" s="20">
        <v>1648</v>
      </c>
      <c r="K22" s="20">
        <v>30.1</v>
      </c>
      <c r="L22" s="20">
        <v>0.1</v>
      </c>
      <c r="M22" s="20">
        <v>6.57</v>
      </c>
    </row>
    <row r="23" spans="1:13" x14ac:dyDescent="0.25">
      <c r="G23" s="4">
        <v>20</v>
      </c>
      <c r="H23" s="20" t="s">
        <v>96</v>
      </c>
      <c r="I23" s="3">
        <v>11.77</v>
      </c>
      <c r="J23" s="20">
        <v>1663</v>
      </c>
      <c r="K23" s="20">
        <v>30.4</v>
      </c>
      <c r="L23" s="20">
        <v>0.1</v>
      </c>
      <c r="M23" s="20">
        <v>6.75</v>
      </c>
    </row>
    <row r="24" spans="1:13" x14ac:dyDescent="0.25">
      <c r="G24" s="4">
        <v>21</v>
      </c>
      <c r="H24" s="20" t="s">
        <v>97</v>
      </c>
      <c r="I24" s="3">
        <v>11.75</v>
      </c>
      <c r="J24" s="20">
        <v>1603</v>
      </c>
      <c r="K24" s="20">
        <v>30</v>
      </c>
      <c r="L24" s="20">
        <v>0.1</v>
      </c>
      <c r="M24" s="20">
        <v>6.29</v>
      </c>
    </row>
    <row r="25" spans="1:13" x14ac:dyDescent="0.25">
      <c r="G25" s="4">
        <v>22</v>
      </c>
      <c r="H25" s="20" t="s">
        <v>98</v>
      </c>
      <c r="I25" s="3">
        <v>10.94</v>
      </c>
      <c r="J25" s="20">
        <v>2920</v>
      </c>
      <c r="K25" s="20">
        <v>29.6</v>
      </c>
      <c r="L25" s="20">
        <v>1E-3</v>
      </c>
      <c r="M25" s="20">
        <v>0.05</v>
      </c>
    </row>
    <row r="26" spans="1:13" x14ac:dyDescent="0.25">
      <c r="G26" s="4">
        <v>23</v>
      </c>
      <c r="H26" s="20" t="s">
        <v>99</v>
      </c>
      <c r="I26" s="3">
        <v>10.95</v>
      </c>
      <c r="J26" s="20">
        <v>3020</v>
      </c>
      <c r="K26" s="20">
        <v>29.6</v>
      </c>
      <c r="L26" s="20">
        <v>1E-3</v>
      </c>
      <c r="M26" s="20">
        <v>0.22</v>
      </c>
    </row>
    <row r="27" spans="1:13" x14ac:dyDescent="0.25">
      <c r="G27" s="4">
        <v>24</v>
      </c>
      <c r="H27" s="20" t="s">
        <v>100</v>
      </c>
      <c r="I27" s="3">
        <v>10.93</v>
      </c>
      <c r="J27" s="20">
        <v>3090</v>
      </c>
      <c r="K27" s="20">
        <v>28.9</v>
      </c>
      <c r="L27" s="20">
        <v>1E-3</v>
      </c>
      <c r="M27" s="20">
        <v>0.3</v>
      </c>
    </row>
    <row r="28" spans="1:13" x14ac:dyDescent="0.25">
      <c r="G28" s="4">
        <v>25</v>
      </c>
      <c r="H28" s="20" t="s">
        <v>101</v>
      </c>
      <c r="I28" s="3">
        <v>11.72</v>
      </c>
      <c r="J28" s="20">
        <v>1325</v>
      </c>
      <c r="K28" s="20">
        <v>30.2</v>
      </c>
      <c r="L28" s="20">
        <v>0.1</v>
      </c>
      <c r="M28" s="20">
        <v>7.74</v>
      </c>
    </row>
    <row r="29" spans="1:13" x14ac:dyDescent="0.25">
      <c r="G29" s="4">
        <v>26</v>
      </c>
      <c r="H29" s="20" t="s">
        <v>102</v>
      </c>
      <c r="I29" s="3">
        <v>11.69</v>
      </c>
      <c r="J29" s="20">
        <v>1206</v>
      </c>
      <c r="K29" s="20">
        <v>30.2</v>
      </c>
      <c r="L29" s="20">
        <v>0.1</v>
      </c>
      <c r="M29" s="20">
        <v>6.26</v>
      </c>
    </row>
    <row r="30" spans="1:13" x14ac:dyDescent="0.25">
      <c r="G30" s="4">
        <v>27</v>
      </c>
      <c r="H30" s="20" t="s">
        <v>103</v>
      </c>
      <c r="I30" s="3">
        <v>11.67</v>
      </c>
      <c r="J30" s="20">
        <v>1192</v>
      </c>
      <c r="K30" s="20">
        <v>29.7</v>
      </c>
      <c r="L30" s="20">
        <v>0.1</v>
      </c>
      <c r="M30" s="20">
        <v>5.85</v>
      </c>
    </row>
    <row r="31" spans="1:13" x14ac:dyDescent="0.25">
      <c r="G31" s="4">
        <v>28</v>
      </c>
      <c r="H31" s="20" t="s">
        <v>104</v>
      </c>
      <c r="I31" s="3">
        <v>11.35</v>
      </c>
      <c r="J31" s="20">
        <v>895</v>
      </c>
      <c r="K31" s="20">
        <v>29.8</v>
      </c>
      <c r="L31" s="20">
        <v>0.1</v>
      </c>
      <c r="M31" s="20">
        <v>6.1</v>
      </c>
    </row>
    <row r="32" spans="1:13" x14ac:dyDescent="0.25">
      <c r="G32" s="4">
        <v>29</v>
      </c>
      <c r="H32" s="20" t="s">
        <v>105</v>
      </c>
      <c r="I32" s="3">
        <v>11.33</v>
      </c>
      <c r="J32" s="20">
        <v>903</v>
      </c>
      <c r="K32" s="20">
        <v>29.6</v>
      </c>
      <c r="L32" s="20">
        <v>0.1</v>
      </c>
      <c r="M32" s="20">
        <v>3.81</v>
      </c>
    </row>
    <row r="33" spans="7:13" x14ac:dyDescent="0.25">
      <c r="G33" s="4">
        <v>30</v>
      </c>
      <c r="H33" s="20" t="s">
        <v>106</v>
      </c>
      <c r="I33" s="3">
        <v>11.32</v>
      </c>
      <c r="J33" s="20">
        <v>890</v>
      </c>
      <c r="K33" s="20">
        <v>28.9</v>
      </c>
      <c r="L33" s="20">
        <v>0.1</v>
      </c>
      <c r="M33" s="20">
        <v>2.99</v>
      </c>
    </row>
    <row r="34" spans="7:13" x14ac:dyDescent="0.25">
      <c r="G34" s="4">
        <v>31</v>
      </c>
      <c r="H34" s="20" t="s">
        <v>107</v>
      </c>
      <c r="I34" s="3">
        <v>11.58</v>
      </c>
      <c r="J34" s="20">
        <v>1138</v>
      </c>
      <c r="K34" s="20">
        <v>31.1</v>
      </c>
      <c r="L34" s="20">
        <v>0.1</v>
      </c>
      <c r="M34" s="20">
        <v>8.76</v>
      </c>
    </row>
    <row r="35" spans="7:13" x14ac:dyDescent="0.25">
      <c r="G35" s="4">
        <v>32</v>
      </c>
      <c r="H35" s="20" t="s">
        <v>108</v>
      </c>
      <c r="I35" s="3">
        <v>11.61</v>
      </c>
      <c r="J35" s="20">
        <v>1118</v>
      </c>
      <c r="K35" s="20">
        <v>31.4</v>
      </c>
      <c r="L35" s="20">
        <v>0.1</v>
      </c>
      <c r="M35" s="20">
        <v>4</v>
      </c>
    </row>
    <row r="36" spans="7:13" x14ac:dyDescent="0.25">
      <c r="G36" s="4">
        <v>33</v>
      </c>
      <c r="H36" s="20" t="s">
        <v>109</v>
      </c>
      <c r="I36" s="3">
        <v>11.62</v>
      </c>
      <c r="J36" s="20">
        <v>1119</v>
      </c>
      <c r="K36" s="20">
        <v>30.5</v>
      </c>
      <c r="L36" s="20">
        <v>0.1</v>
      </c>
      <c r="M36" s="20">
        <v>6</v>
      </c>
    </row>
    <row r="37" spans="7:13" x14ac:dyDescent="0.25">
      <c r="G37" s="4">
        <v>34</v>
      </c>
      <c r="H37" s="20" t="s">
        <v>110</v>
      </c>
      <c r="I37" s="3">
        <v>11.39</v>
      </c>
      <c r="J37" s="20">
        <v>1105</v>
      </c>
      <c r="K37" s="20">
        <v>30.3</v>
      </c>
      <c r="L37" s="20">
        <v>5.0000000000000001E-4</v>
      </c>
      <c r="M37" s="20">
        <v>0.06</v>
      </c>
    </row>
    <row r="38" spans="7:13" x14ac:dyDescent="0.25">
      <c r="G38" s="4">
        <v>35</v>
      </c>
      <c r="H38" s="20" t="s">
        <v>111</v>
      </c>
      <c r="I38" s="3">
        <v>11.43</v>
      </c>
      <c r="J38" s="20">
        <v>1123</v>
      </c>
      <c r="K38" s="20">
        <v>30.5</v>
      </c>
      <c r="L38" s="20">
        <v>5.0000000000000001E-4</v>
      </c>
      <c r="M38" s="20">
        <v>0.31</v>
      </c>
    </row>
    <row r="39" spans="7:13" x14ac:dyDescent="0.25">
      <c r="G39" s="4">
        <v>36</v>
      </c>
      <c r="H39" s="20" t="s">
        <v>112</v>
      </c>
      <c r="I39" s="3">
        <v>11.41</v>
      </c>
      <c r="J39" s="20">
        <v>1161</v>
      </c>
      <c r="K39" s="20">
        <v>29.7</v>
      </c>
      <c r="L39" s="20">
        <v>1E-3</v>
      </c>
      <c r="M39" s="20" t="s">
        <v>113</v>
      </c>
    </row>
    <row r="40" spans="7:13" x14ac:dyDescent="0.25">
      <c r="G40" s="4">
        <v>37</v>
      </c>
      <c r="H40" s="20" t="s">
        <v>114</v>
      </c>
      <c r="I40" s="3">
        <v>11.63</v>
      </c>
      <c r="J40" s="20">
        <v>997</v>
      </c>
      <c r="K40" s="20">
        <v>29.8</v>
      </c>
      <c r="L40" s="20">
        <v>0.1</v>
      </c>
      <c r="M40" s="20">
        <v>3</v>
      </c>
    </row>
    <row r="41" spans="7:13" x14ac:dyDescent="0.25">
      <c r="G41" s="4">
        <v>38</v>
      </c>
      <c r="H41" s="20" t="s">
        <v>115</v>
      </c>
      <c r="I41" s="3">
        <v>11.6</v>
      </c>
      <c r="J41" s="20">
        <v>939</v>
      </c>
      <c r="K41" s="20">
        <v>29.9</v>
      </c>
      <c r="L41" s="20">
        <v>0.1</v>
      </c>
      <c r="M41" s="20">
        <v>6.27</v>
      </c>
    </row>
    <row r="42" spans="7:13" x14ac:dyDescent="0.25">
      <c r="G42" s="4">
        <v>39</v>
      </c>
      <c r="H42" s="20" t="s">
        <v>116</v>
      </c>
      <c r="I42" s="3">
        <v>11.6</v>
      </c>
      <c r="J42" s="20">
        <v>923</v>
      </c>
      <c r="K42" s="20">
        <v>29.9</v>
      </c>
      <c r="L42" s="20">
        <v>0.1</v>
      </c>
      <c r="M42" s="20">
        <v>6.18</v>
      </c>
    </row>
    <row r="43" spans="7:13" x14ac:dyDescent="0.25">
      <c r="G43" s="4">
        <v>40</v>
      </c>
      <c r="H43" s="20" t="s">
        <v>117</v>
      </c>
      <c r="I43" s="3">
        <v>11.31</v>
      </c>
      <c r="J43" s="20">
        <v>689</v>
      </c>
      <c r="K43" s="20">
        <v>29.5</v>
      </c>
      <c r="L43" s="20">
        <v>0.01</v>
      </c>
      <c r="M43" s="20">
        <v>0.75</v>
      </c>
    </row>
    <row r="44" spans="7:13" x14ac:dyDescent="0.25">
      <c r="G44" s="4">
        <v>41</v>
      </c>
      <c r="H44" s="20" t="s">
        <v>118</v>
      </c>
      <c r="I44" s="3">
        <v>11.29</v>
      </c>
      <c r="J44" s="20">
        <v>679</v>
      </c>
      <c r="K44" s="20">
        <v>29.3</v>
      </c>
      <c r="L44" s="20">
        <v>0.01</v>
      </c>
      <c r="M44" s="20">
        <v>1.44</v>
      </c>
    </row>
    <row r="45" spans="7:13" x14ac:dyDescent="0.25">
      <c r="G45" s="4">
        <v>42</v>
      </c>
      <c r="H45" s="20" t="s">
        <v>119</v>
      </c>
      <c r="I45" s="3">
        <v>11.25</v>
      </c>
      <c r="J45" s="20">
        <v>696</v>
      </c>
      <c r="K45" s="20">
        <v>28.9</v>
      </c>
      <c r="L45" s="20">
        <v>0.01</v>
      </c>
      <c r="M45" s="20">
        <v>1.65</v>
      </c>
    </row>
    <row r="46" spans="7:13" x14ac:dyDescent="0.25">
      <c r="G46" s="4">
        <v>43</v>
      </c>
      <c r="H46" s="20" t="s">
        <v>120</v>
      </c>
      <c r="I46" s="3">
        <v>11.35</v>
      </c>
      <c r="J46" s="20">
        <v>832</v>
      </c>
      <c r="K46" s="20">
        <v>30.7</v>
      </c>
      <c r="L46" s="20">
        <v>0.01</v>
      </c>
      <c r="M46" s="20">
        <v>3.24</v>
      </c>
    </row>
    <row r="47" spans="7:13" x14ac:dyDescent="0.25">
      <c r="G47" s="4">
        <v>44</v>
      </c>
      <c r="H47" s="20" t="s">
        <v>121</v>
      </c>
      <c r="I47" s="3">
        <v>11.4</v>
      </c>
      <c r="J47" s="20">
        <v>840</v>
      </c>
      <c r="K47" s="20">
        <v>30.7</v>
      </c>
      <c r="L47" s="20">
        <v>0.01</v>
      </c>
      <c r="M47" s="20">
        <v>3.27</v>
      </c>
    </row>
    <row r="48" spans="7:13" x14ac:dyDescent="0.25">
      <c r="G48" s="4">
        <v>45</v>
      </c>
      <c r="H48" s="20" t="s">
        <v>122</v>
      </c>
      <c r="I48" s="3">
        <v>11.21</v>
      </c>
      <c r="J48" s="20">
        <v>833</v>
      </c>
      <c r="K48" s="20">
        <v>30.4</v>
      </c>
      <c r="L48" s="20">
        <v>0.01</v>
      </c>
      <c r="M48" s="20">
        <v>3.31</v>
      </c>
    </row>
    <row r="49" spans="7:13" x14ac:dyDescent="0.25">
      <c r="G49" s="4">
        <v>46</v>
      </c>
      <c r="H49" s="20" t="s">
        <v>123</v>
      </c>
      <c r="I49" s="3">
        <v>11.53</v>
      </c>
      <c r="J49" s="20">
        <v>910</v>
      </c>
      <c r="K49" s="20">
        <v>29.4</v>
      </c>
      <c r="L49" s="20">
        <v>5.0000000000000001E-4</v>
      </c>
      <c r="M49" s="20" t="s">
        <v>113</v>
      </c>
    </row>
    <row r="50" spans="7:13" x14ac:dyDescent="0.25">
      <c r="G50" s="4">
        <v>47</v>
      </c>
      <c r="H50" s="20" t="s">
        <v>124</v>
      </c>
      <c r="I50" s="3">
        <v>11.55</v>
      </c>
      <c r="J50" s="20">
        <v>932</v>
      </c>
      <c r="K50" s="20">
        <v>28.1</v>
      </c>
      <c r="L50" s="20">
        <v>5.0000000000000001E-4</v>
      </c>
      <c r="M50" s="20" t="s">
        <v>113</v>
      </c>
    </row>
    <row r="51" spans="7:13" x14ac:dyDescent="0.25">
      <c r="G51" s="4">
        <v>48</v>
      </c>
      <c r="H51" s="20" t="s">
        <v>125</v>
      </c>
      <c r="I51" s="3">
        <v>11.55</v>
      </c>
      <c r="J51" s="20">
        <v>916</v>
      </c>
      <c r="K51" s="20">
        <v>28.6</v>
      </c>
      <c r="L51" s="20">
        <v>5.0000000000000001E-4</v>
      </c>
      <c r="M51" s="20" t="s">
        <v>113</v>
      </c>
    </row>
    <row r="52" spans="7:13" x14ac:dyDescent="0.25">
      <c r="G52" s="4">
        <v>49</v>
      </c>
      <c r="H52" s="20" t="s">
        <v>126</v>
      </c>
      <c r="I52" s="3">
        <v>11.54</v>
      </c>
      <c r="J52" s="20">
        <v>790</v>
      </c>
      <c r="K52" s="20">
        <v>30.5</v>
      </c>
      <c r="L52" s="20">
        <v>0.01</v>
      </c>
      <c r="M52" s="20">
        <v>3.71</v>
      </c>
    </row>
    <row r="53" spans="7:13" x14ac:dyDescent="0.25">
      <c r="G53" s="4">
        <v>50</v>
      </c>
      <c r="H53" s="20" t="s">
        <v>127</v>
      </c>
      <c r="I53" s="3">
        <v>11.52</v>
      </c>
      <c r="J53" s="20">
        <v>776</v>
      </c>
      <c r="K53" s="20">
        <v>30.4</v>
      </c>
      <c r="L53" s="20">
        <v>0.01</v>
      </c>
      <c r="M53" s="27" t="s">
        <v>113</v>
      </c>
    </row>
    <row r="54" spans="7:13" x14ac:dyDescent="0.25">
      <c r="G54" s="4">
        <v>51</v>
      </c>
      <c r="H54" s="20" t="s">
        <v>128</v>
      </c>
      <c r="I54" s="3">
        <v>11.5</v>
      </c>
      <c r="J54" s="20">
        <v>765</v>
      </c>
      <c r="K54" s="20">
        <v>30.6</v>
      </c>
      <c r="L54" s="20">
        <v>0.01</v>
      </c>
      <c r="M54" s="20">
        <v>3.2</v>
      </c>
    </row>
    <row r="55" spans="7:13" x14ac:dyDescent="0.25">
      <c r="G55" s="4">
        <v>52</v>
      </c>
      <c r="H55" s="20" t="s">
        <v>129</v>
      </c>
      <c r="I55" s="3">
        <v>11.23</v>
      </c>
      <c r="J55" s="20">
        <v>580</v>
      </c>
      <c r="K55" s="20">
        <v>30.3</v>
      </c>
      <c r="L55" s="20">
        <v>0.01</v>
      </c>
      <c r="M55" s="20">
        <v>2.0299999999999998</v>
      </c>
    </row>
    <row r="56" spans="7:13" x14ac:dyDescent="0.25">
      <c r="G56" s="4">
        <v>53</v>
      </c>
      <c r="H56" s="20" t="s">
        <v>130</v>
      </c>
      <c r="I56" s="3">
        <v>11.23</v>
      </c>
      <c r="J56" s="20">
        <v>577</v>
      </c>
      <c r="K56" s="20">
        <v>30.2</v>
      </c>
      <c r="L56" s="20">
        <v>0.01</v>
      </c>
      <c r="M56" s="20">
        <v>1.95</v>
      </c>
    </row>
    <row r="57" spans="7:13" x14ac:dyDescent="0.25">
      <c r="G57" s="4">
        <v>54</v>
      </c>
      <c r="H57" s="20" t="s">
        <v>131</v>
      </c>
      <c r="I57" s="3">
        <v>11.17</v>
      </c>
      <c r="J57" s="20">
        <v>584</v>
      </c>
      <c r="K57" s="20">
        <v>29.4</v>
      </c>
      <c r="L57" s="20">
        <v>0.01</v>
      </c>
      <c r="M57" s="20">
        <v>2</v>
      </c>
    </row>
    <row r="58" spans="7:13" x14ac:dyDescent="0.25">
      <c r="G58" s="4">
        <v>55</v>
      </c>
      <c r="H58" s="20" t="s">
        <v>132</v>
      </c>
      <c r="I58" s="3">
        <v>11.32</v>
      </c>
      <c r="J58" s="20">
        <v>693</v>
      </c>
      <c r="K58" s="20">
        <v>31.3</v>
      </c>
      <c r="L58" s="20">
        <v>0.01</v>
      </c>
      <c r="M58" s="20">
        <v>3.06</v>
      </c>
    </row>
    <row r="59" spans="7:13" x14ac:dyDescent="0.25">
      <c r="G59" s="4">
        <v>56</v>
      </c>
      <c r="H59" s="20" t="s">
        <v>133</v>
      </c>
      <c r="I59" s="3">
        <v>11.32</v>
      </c>
      <c r="J59" s="20">
        <v>712</v>
      </c>
      <c r="K59" s="20">
        <v>30.9</v>
      </c>
      <c r="L59" s="20">
        <v>0.01</v>
      </c>
      <c r="M59" s="20">
        <v>2.79</v>
      </c>
    </row>
    <row r="60" spans="7:13" x14ac:dyDescent="0.25">
      <c r="G60" s="4">
        <v>57</v>
      </c>
      <c r="H60" s="20" t="s">
        <v>134</v>
      </c>
      <c r="I60" s="3">
        <v>11.33</v>
      </c>
      <c r="J60" s="20">
        <v>711</v>
      </c>
      <c r="K60" s="20">
        <v>30.7</v>
      </c>
      <c r="L60" s="20">
        <v>0.01</v>
      </c>
      <c r="M60" s="20">
        <v>2.91</v>
      </c>
    </row>
    <row r="61" spans="7:13" x14ac:dyDescent="0.25">
      <c r="G61" s="4">
        <v>58</v>
      </c>
      <c r="H61" s="20" t="s">
        <v>135</v>
      </c>
      <c r="I61" s="3">
        <v>11.35</v>
      </c>
      <c r="J61" s="20">
        <v>817</v>
      </c>
      <c r="K61" s="20">
        <v>31</v>
      </c>
      <c r="L61" s="20">
        <v>0.01</v>
      </c>
      <c r="M61" s="20">
        <v>2.0299999999999998</v>
      </c>
    </row>
    <row r="62" spans="7:13" x14ac:dyDescent="0.25">
      <c r="G62" s="4">
        <v>59</v>
      </c>
      <c r="H62" s="20" t="s">
        <v>136</v>
      </c>
      <c r="I62" s="3">
        <v>11.47</v>
      </c>
      <c r="J62" s="20">
        <v>830</v>
      </c>
      <c r="K62" s="20">
        <v>30.3</v>
      </c>
      <c r="L62" s="20">
        <v>0.01</v>
      </c>
      <c r="M62" s="20">
        <v>2.42</v>
      </c>
    </row>
    <row r="63" spans="7:13" x14ac:dyDescent="0.25">
      <c r="G63" s="4">
        <v>60</v>
      </c>
      <c r="H63" s="20" t="s">
        <v>137</v>
      </c>
      <c r="I63" s="3">
        <v>11.49</v>
      </c>
      <c r="J63" s="20">
        <v>840</v>
      </c>
      <c r="K63" s="20">
        <v>29.8</v>
      </c>
      <c r="L63" s="20">
        <v>0.01</v>
      </c>
      <c r="M63" s="20">
        <v>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32"/>
  <sheetViews>
    <sheetView topLeftCell="F1" zoomScale="75" zoomScaleNormal="80" workbookViewId="0">
      <selection activeCell="N26" sqref="N26"/>
    </sheetView>
  </sheetViews>
  <sheetFormatPr defaultColWidth="8.875" defaultRowHeight="15.75" x14ac:dyDescent="0.25"/>
  <cols>
    <col min="3" max="3" width="13.375" customWidth="1"/>
    <col min="4" max="4" width="16.375" bestFit="1" customWidth="1"/>
    <col min="5" max="5" width="16" bestFit="1" customWidth="1"/>
    <col min="6" max="6" width="15" bestFit="1" customWidth="1"/>
    <col min="7" max="7" width="38.5" bestFit="1" customWidth="1"/>
    <col min="8" max="8" width="41.125" bestFit="1" customWidth="1"/>
    <col min="9" max="9" width="39.625" customWidth="1"/>
    <col min="10" max="10" width="39.625" bestFit="1" customWidth="1"/>
    <col min="11" max="11" width="36.625" bestFit="1" customWidth="1"/>
    <col min="12" max="12" width="35.5" bestFit="1" customWidth="1"/>
    <col min="13" max="13" width="33.625" bestFit="1" customWidth="1"/>
    <col min="14" max="14" width="32.875" bestFit="1" customWidth="1"/>
    <col min="15" max="15" width="26.375" bestFit="1" customWidth="1"/>
    <col min="16" max="16" width="25.5" bestFit="1" customWidth="1"/>
    <col min="17" max="17" width="24.625" bestFit="1" customWidth="1"/>
    <col min="18" max="18" width="14.375" bestFit="1" customWidth="1"/>
  </cols>
  <sheetData>
    <row r="1" spans="2:18" x14ac:dyDescent="0.25">
      <c r="D1" t="s">
        <v>152</v>
      </c>
      <c r="P1" t="s">
        <v>268</v>
      </c>
    </row>
    <row r="2" spans="2:18" x14ac:dyDescent="0.25">
      <c r="B2" s="28" t="s">
        <v>0</v>
      </c>
      <c r="C2" s="77" t="s">
        <v>66</v>
      </c>
      <c r="D2" s="78" t="s">
        <v>67</v>
      </c>
      <c r="E2" s="99" t="s">
        <v>68</v>
      </c>
      <c r="F2" s="79" t="s">
        <v>69</v>
      </c>
      <c r="G2" s="80" t="s">
        <v>20</v>
      </c>
      <c r="H2" s="81" t="s">
        <v>139</v>
      </c>
      <c r="I2" s="82" t="s">
        <v>138</v>
      </c>
      <c r="J2" s="83" t="s">
        <v>70</v>
      </c>
      <c r="K2" s="84" t="s">
        <v>71</v>
      </c>
      <c r="L2" s="85" t="s">
        <v>140</v>
      </c>
      <c r="M2" s="82" t="s">
        <v>142</v>
      </c>
      <c r="N2" s="81" t="s">
        <v>143</v>
      </c>
      <c r="O2" s="86" t="s">
        <v>144</v>
      </c>
      <c r="P2" s="84" t="s">
        <v>145</v>
      </c>
      <c r="Q2" s="87" t="s">
        <v>146</v>
      </c>
      <c r="R2" s="114" t="s">
        <v>258</v>
      </c>
    </row>
    <row r="3" spans="2:18" x14ac:dyDescent="0.25">
      <c r="B3" s="21" t="s">
        <v>1</v>
      </c>
      <c r="C3" s="59">
        <v>13.3605</v>
      </c>
      <c r="D3" s="60">
        <v>10.3462</v>
      </c>
      <c r="E3" s="24">
        <v>3.6</v>
      </c>
      <c r="F3" s="59">
        <v>39.090800000000002</v>
      </c>
      <c r="G3" s="59">
        <f>F3/E3</f>
        <v>10.858555555555556</v>
      </c>
      <c r="H3" s="24">
        <f>D3+E3</f>
        <v>13.946199999999999</v>
      </c>
      <c r="I3" s="46">
        <f>E3+C3</f>
        <v>16.9605</v>
      </c>
      <c r="J3" s="31">
        <v>13.440899999999999</v>
      </c>
      <c r="K3" s="48">
        <v>16.456299999999999</v>
      </c>
      <c r="L3" s="38">
        <f>H3-J3</f>
        <v>0.50530000000000008</v>
      </c>
      <c r="M3" s="46">
        <f>I3-K3</f>
        <v>0.50420000000000087</v>
      </c>
      <c r="N3" s="46">
        <f>E3-L3</f>
        <v>3.0947</v>
      </c>
      <c r="O3" s="32">
        <f>100-((N3*100)/E3)</f>
        <v>14.036111111111111</v>
      </c>
      <c r="P3" s="24">
        <f>E3-M3</f>
        <v>3.0957999999999992</v>
      </c>
      <c r="Q3" s="46">
        <f>100-((P3*100)/E3)</f>
        <v>14.005555555555574</v>
      </c>
      <c r="R3" s="46">
        <f>Q3/5</f>
        <v>2.8011111111111147</v>
      </c>
    </row>
    <row r="4" spans="2:18" x14ac:dyDescent="0.25">
      <c r="B4" s="21" t="s">
        <v>2</v>
      </c>
      <c r="C4" s="61">
        <v>13.462999999999999</v>
      </c>
      <c r="D4" s="62">
        <v>10.466100000000001</v>
      </c>
      <c r="E4" s="24">
        <v>3.6</v>
      </c>
      <c r="F4" s="61">
        <v>39.010899999999999</v>
      </c>
      <c r="G4" s="61">
        <f t="shared" ref="G4:G14" si="0">F4/E4</f>
        <v>10.836361111111112</v>
      </c>
      <c r="H4" s="24">
        <f t="shared" ref="H4:H14" si="1">D4+E4</f>
        <v>14.0661</v>
      </c>
      <c r="I4" s="46">
        <f t="shared" ref="I4:I14" si="2">E4+C4</f>
        <v>17.062999999999999</v>
      </c>
      <c r="J4" s="31">
        <v>13.545</v>
      </c>
      <c r="K4" s="49">
        <v>16.541399999999999</v>
      </c>
      <c r="L4" s="38">
        <f t="shared" ref="L4:M14" si="3">H4-J4</f>
        <v>0.52110000000000056</v>
      </c>
      <c r="M4" s="46">
        <f t="shared" si="3"/>
        <v>0.5215999999999994</v>
      </c>
      <c r="N4" s="46">
        <f>E4-L4</f>
        <v>3.0788999999999995</v>
      </c>
      <c r="O4" s="32">
        <f>100-((N4*100)/E4)</f>
        <v>14.475000000000023</v>
      </c>
      <c r="P4" s="24">
        <f t="shared" ref="P4:P14" si="4">E4-M4</f>
        <v>3.0784000000000007</v>
      </c>
      <c r="Q4" s="46">
        <f t="shared" ref="Q4:Q14" si="5">100-((P4*100)/E4)</f>
        <v>14.488888888888866</v>
      </c>
      <c r="R4" s="46">
        <f t="shared" ref="R4:R14" si="6">Q4/5</f>
        <v>2.8977777777777733</v>
      </c>
    </row>
    <row r="5" spans="2:18" x14ac:dyDescent="0.25">
      <c r="B5" s="21" t="s">
        <v>3</v>
      </c>
      <c r="C5" s="61">
        <v>13.6952</v>
      </c>
      <c r="D5" s="62">
        <v>10.589600000000001</v>
      </c>
      <c r="E5" s="24">
        <v>3.6</v>
      </c>
      <c r="F5" s="61">
        <v>39.401499999999999</v>
      </c>
      <c r="G5" s="61">
        <f t="shared" si="0"/>
        <v>10.944861111111111</v>
      </c>
      <c r="H5" s="24">
        <f t="shared" si="1"/>
        <v>14.1896</v>
      </c>
      <c r="I5" s="46">
        <f t="shared" si="2"/>
        <v>17.295200000000001</v>
      </c>
      <c r="J5" s="31">
        <v>13.663600000000001</v>
      </c>
      <c r="K5" s="49">
        <v>16.752300000000002</v>
      </c>
      <c r="L5" s="38">
        <f t="shared" si="3"/>
        <v>0.5259999999999998</v>
      </c>
      <c r="M5" s="46">
        <f t="shared" si="3"/>
        <v>0.54289999999999949</v>
      </c>
      <c r="N5" s="46">
        <f>E5-L5</f>
        <v>3.0740000000000003</v>
      </c>
      <c r="O5" s="32">
        <f t="shared" ref="O5:O13" si="7">100-((N5*100)/E5)</f>
        <v>14.6111111111111</v>
      </c>
      <c r="P5" s="24">
        <f t="shared" si="4"/>
        <v>3.0571000000000006</v>
      </c>
      <c r="Q5" s="46">
        <f t="shared" si="5"/>
        <v>15.080555555555549</v>
      </c>
      <c r="R5" s="46">
        <f t="shared" si="6"/>
        <v>3.0161111111111096</v>
      </c>
    </row>
    <row r="6" spans="2:18" x14ac:dyDescent="0.25">
      <c r="B6" s="69" t="s">
        <v>52</v>
      </c>
      <c r="C6" s="59">
        <v>13.49</v>
      </c>
      <c r="D6" s="60">
        <v>10.5</v>
      </c>
      <c r="E6" s="70">
        <v>4</v>
      </c>
      <c r="F6" s="59">
        <v>43.170099999999998</v>
      </c>
      <c r="G6" s="59">
        <f t="shared" si="0"/>
        <v>10.792524999999999</v>
      </c>
      <c r="H6" s="24">
        <f t="shared" si="1"/>
        <v>14.5</v>
      </c>
      <c r="I6" s="45">
        <f t="shared" si="2"/>
        <v>17.490000000000002</v>
      </c>
      <c r="J6" s="71">
        <v>13.8269</v>
      </c>
      <c r="K6" s="48">
        <v>16.814299999999999</v>
      </c>
      <c r="L6" s="50">
        <f t="shared" si="3"/>
        <v>0.67309999999999981</v>
      </c>
      <c r="M6" s="45">
        <f t="shared" si="3"/>
        <v>0.67570000000000263</v>
      </c>
      <c r="N6" s="45">
        <f t="shared" ref="N6:N14" si="8">E6-L6</f>
        <v>3.3269000000000002</v>
      </c>
      <c r="O6" s="51">
        <f t="shared" si="7"/>
        <v>16.827500000000001</v>
      </c>
      <c r="P6" s="70">
        <f t="shared" si="4"/>
        <v>3.3242999999999974</v>
      </c>
      <c r="Q6" s="45">
        <f t="shared" si="5"/>
        <v>16.892500000000069</v>
      </c>
      <c r="R6" s="45">
        <f t="shared" si="6"/>
        <v>3.378500000000014</v>
      </c>
    </row>
    <row r="7" spans="2:18" x14ac:dyDescent="0.25">
      <c r="B7" s="21" t="s">
        <v>50</v>
      </c>
      <c r="C7" s="61">
        <v>13.39</v>
      </c>
      <c r="D7" s="62">
        <v>10.31</v>
      </c>
      <c r="E7" s="24">
        <v>4</v>
      </c>
      <c r="F7" s="61">
        <v>43.430999999999997</v>
      </c>
      <c r="G7" s="61">
        <f t="shared" si="0"/>
        <v>10.857749999999999</v>
      </c>
      <c r="H7" s="24">
        <f t="shared" si="1"/>
        <v>14.31</v>
      </c>
      <c r="I7" s="46">
        <f t="shared" si="2"/>
        <v>17.39</v>
      </c>
      <c r="J7" s="73">
        <v>13.625</v>
      </c>
      <c r="K7" s="49">
        <v>16.704499999999999</v>
      </c>
      <c r="L7" s="38">
        <f t="shared" si="3"/>
        <v>0.6850000000000005</v>
      </c>
      <c r="M7" s="46">
        <f t="shared" si="3"/>
        <v>0.68550000000000111</v>
      </c>
      <c r="N7" s="46">
        <f t="shared" si="8"/>
        <v>3.3149999999999995</v>
      </c>
      <c r="O7" s="32">
        <f t="shared" si="7"/>
        <v>17.125000000000014</v>
      </c>
      <c r="P7" s="24">
        <f t="shared" si="4"/>
        <v>3.3144999999999989</v>
      </c>
      <c r="Q7" s="46">
        <f t="shared" si="5"/>
        <v>17.137500000000031</v>
      </c>
      <c r="R7" s="46">
        <f t="shared" si="6"/>
        <v>3.4275000000000064</v>
      </c>
    </row>
    <row r="8" spans="2:18" x14ac:dyDescent="0.25">
      <c r="B8" s="22" t="s">
        <v>53</v>
      </c>
      <c r="C8" s="63">
        <v>13.41</v>
      </c>
      <c r="D8" s="64">
        <v>10.34</v>
      </c>
      <c r="E8" s="25">
        <v>4</v>
      </c>
      <c r="F8" s="63">
        <v>43.217700000000001</v>
      </c>
      <c r="G8" s="63">
        <f t="shared" si="0"/>
        <v>10.804425</v>
      </c>
      <c r="H8" s="24">
        <f t="shared" si="1"/>
        <v>14.34</v>
      </c>
      <c r="I8" s="47">
        <f t="shared" si="2"/>
        <v>17.41</v>
      </c>
      <c r="J8" s="74">
        <v>13.6609</v>
      </c>
      <c r="K8" s="76">
        <v>16.727799999999998</v>
      </c>
      <c r="L8" s="39">
        <f t="shared" si="3"/>
        <v>0.67910000000000004</v>
      </c>
      <c r="M8" s="47">
        <f t="shared" si="3"/>
        <v>0.68220000000000169</v>
      </c>
      <c r="N8" s="47">
        <f t="shared" si="8"/>
        <v>3.3209</v>
      </c>
      <c r="O8" s="37">
        <f t="shared" si="7"/>
        <v>16.977500000000006</v>
      </c>
      <c r="P8" s="25">
        <f t="shared" si="4"/>
        <v>3.3177999999999983</v>
      </c>
      <c r="Q8" s="47">
        <f t="shared" si="5"/>
        <v>17.055000000000035</v>
      </c>
      <c r="R8" s="47">
        <f t="shared" si="6"/>
        <v>3.4110000000000071</v>
      </c>
    </row>
    <row r="9" spans="2:18" x14ac:dyDescent="0.25">
      <c r="B9" s="69" t="s">
        <v>56</v>
      </c>
      <c r="C9" s="59">
        <v>13.503500000000001</v>
      </c>
      <c r="D9" s="60">
        <v>10.417400000000001</v>
      </c>
      <c r="E9" s="70">
        <v>4</v>
      </c>
      <c r="F9" s="59">
        <v>43.302199999999999</v>
      </c>
      <c r="G9" s="59">
        <f t="shared" si="0"/>
        <v>10.82555</v>
      </c>
      <c r="H9" s="24">
        <f t="shared" si="1"/>
        <v>14.417400000000001</v>
      </c>
      <c r="I9" s="45">
        <f t="shared" si="2"/>
        <v>17.503500000000003</v>
      </c>
      <c r="J9" s="71">
        <v>13.9879</v>
      </c>
      <c r="K9" s="48">
        <v>17.0777</v>
      </c>
      <c r="L9" s="50">
        <f t="shared" si="3"/>
        <v>0.42950000000000088</v>
      </c>
      <c r="M9" s="45">
        <f t="shared" si="3"/>
        <v>0.4258000000000024</v>
      </c>
      <c r="N9" s="45">
        <f t="shared" si="8"/>
        <v>3.5704999999999991</v>
      </c>
      <c r="O9" s="51">
        <f t="shared" si="7"/>
        <v>10.737500000000026</v>
      </c>
      <c r="P9" s="70">
        <f t="shared" si="4"/>
        <v>3.5741999999999976</v>
      </c>
      <c r="Q9" s="45">
        <f t="shared" si="5"/>
        <v>10.645000000000067</v>
      </c>
      <c r="R9" s="45">
        <f t="shared" si="6"/>
        <v>2.1290000000000133</v>
      </c>
    </row>
    <row r="10" spans="2:18" x14ac:dyDescent="0.25">
      <c r="B10" s="21" t="s">
        <v>57</v>
      </c>
      <c r="C10" s="61">
        <v>13.5229</v>
      </c>
      <c r="D10" s="62">
        <v>10.464600000000001</v>
      </c>
      <c r="E10" s="24">
        <v>4</v>
      </c>
      <c r="F10" s="61">
        <v>43.364899999999999</v>
      </c>
      <c r="G10" s="61">
        <f t="shared" si="0"/>
        <v>10.841225</v>
      </c>
      <c r="H10" s="24">
        <f t="shared" si="1"/>
        <v>14.464600000000001</v>
      </c>
      <c r="I10" s="46">
        <f t="shared" si="2"/>
        <v>17.5229</v>
      </c>
      <c r="J10" s="73">
        <v>14.035500000000001</v>
      </c>
      <c r="K10" s="49">
        <v>17.0989</v>
      </c>
      <c r="L10" s="38">
        <f t="shared" si="3"/>
        <v>0.42910000000000004</v>
      </c>
      <c r="M10" s="46">
        <f t="shared" si="3"/>
        <v>0.42399999999999949</v>
      </c>
      <c r="N10" s="46">
        <f t="shared" si="8"/>
        <v>3.5709</v>
      </c>
      <c r="O10" s="32">
        <f t="shared" si="7"/>
        <v>10.727500000000006</v>
      </c>
      <c r="P10" s="24">
        <f t="shared" si="4"/>
        <v>3.5760000000000005</v>
      </c>
      <c r="Q10" s="46">
        <f t="shared" si="5"/>
        <v>10.599999999999994</v>
      </c>
      <c r="R10" s="46">
        <f t="shared" si="6"/>
        <v>2.1199999999999988</v>
      </c>
    </row>
    <row r="11" spans="2:18" x14ac:dyDescent="0.25">
      <c r="B11" s="22" t="s">
        <v>58</v>
      </c>
      <c r="C11" s="63">
        <v>13.4999</v>
      </c>
      <c r="D11" s="64">
        <v>10.428599999999999</v>
      </c>
      <c r="E11" s="25">
        <v>4</v>
      </c>
      <c r="F11" s="63">
        <v>43.310899999999997</v>
      </c>
      <c r="G11" s="63">
        <f t="shared" si="0"/>
        <v>10.827724999999999</v>
      </c>
      <c r="H11" s="24">
        <f t="shared" si="1"/>
        <v>14.428599999999999</v>
      </c>
      <c r="I11" s="47">
        <f t="shared" si="2"/>
        <v>17.4999</v>
      </c>
      <c r="J11" s="74">
        <v>14.0435</v>
      </c>
      <c r="K11" s="76">
        <v>17.1144</v>
      </c>
      <c r="L11" s="39">
        <f t="shared" si="3"/>
        <v>0.38509999999999955</v>
      </c>
      <c r="M11" s="47">
        <f t="shared" si="3"/>
        <v>0.3855000000000004</v>
      </c>
      <c r="N11" s="47">
        <f t="shared" si="8"/>
        <v>3.6149000000000004</v>
      </c>
      <c r="O11" s="37">
        <f t="shared" si="7"/>
        <v>9.6274999999999835</v>
      </c>
      <c r="P11" s="25">
        <f t="shared" si="4"/>
        <v>3.6144999999999996</v>
      </c>
      <c r="Q11" s="47">
        <f t="shared" si="5"/>
        <v>9.6375000000000171</v>
      </c>
      <c r="R11" s="47">
        <f t="shared" si="6"/>
        <v>1.9275000000000033</v>
      </c>
    </row>
    <row r="12" spans="2:18" x14ac:dyDescent="0.25">
      <c r="B12" s="21" t="s">
        <v>54</v>
      </c>
      <c r="C12" s="61">
        <v>13.350099999999999</v>
      </c>
      <c r="D12" s="62">
        <v>10.335100000000001</v>
      </c>
      <c r="E12" s="24">
        <v>4</v>
      </c>
      <c r="F12" s="61">
        <v>43.16</v>
      </c>
      <c r="G12" s="61">
        <f t="shared" si="0"/>
        <v>10.79</v>
      </c>
      <c r="H12" s="24">
        <f t="shared" si="1"/>
        <v>14.335100000000001</v>
      </c>
      <c r="I12" s="46">
        <f t="shared" si="2"/>
        <v>17.350099999999998</v>
      </c>
      <c r="J12" s="31">
        <v>13.624499999999999</v>
      </c>
      <c r="K12" s="49">
        <v>16.640999999999998</v>
      </c>
      <c r="L12" s="38">
        <f t="shared" si="3"/>
        <v>0.71060000000000123</v>
      </c>
      <c r="M12" s="46">
        <f t="shared" si="3"/>
        <v>0.7090999999999994</v>
      </c>
      <c r="N12" s="46">
        <f t="shared" si="8"/>
        <v>3.2893999999999988</v>
      </c>
      <c r="O12" s="32">
        <f t="shared" si="7"/>
        <v>17.765000000000029</v>
      </c>
      <c r="P12" s="24">
        <f t="shared" si="4"/>
        <v>3.2909000000000006</v>
      </c>
      <c r="Q12" s="46">
        <f t="shared" si="5"/>
        <v>17.727499999999992</v>
      </c>
      <c r="R12" s="46">
        <f t="shared" si="6"/>
        <v>3.5454999999999983</v>
      </c>
    </row>
    <row r="13" spans="2:18" x14ac:dyDescent="0.25">
      <c r="B13" s="21" t="s">
        <v>51</v>
      </c>
      <c r="C13" s="61">
        <v>13.437200000000001</v>
      </c>
      <c r="D13" s="62">
        <v>10.4223</v>
      </c>
      <c r="E13" s="24">
        <v>4</v>
      </c>
      <c r="F13" s="61">
        <v>43.1265</v>
      </c>
      <c r="G13" s="61">
        <f t="shared" si="0"/>
        <v>10.781625</v>
      </c>
      <c r="H13" s="24">
        <f t="shared" si="1"/>
        <v>14.4223</v>
      </c>
      <c r="I13" s="46">
        <f t="shared" si="2"/>
        <v>17.437200000000001</v>
      </c>
      <c r="J13" s="31">
        <v>13.6783</v>
      </c>
      <c r="K13" s="49">
        <v>16.698399999999999</v>
      </c>
      <c r="L13" s="38">
        <f t="shared" si="3"/>
        <v>0.74399999999999977</v>
      </c>
      <c r="M13" s="46">
        <f t="shared" si="3"/>
        <v>0.73880000000000123</v>
      </c>
      <c r="N13" s="46">
        <f t="shared" si="8"/>
        <v>3.2560000000000002</v>
      </c>
      <c r="O13" s="32">
        <f t="shared" si="7"/>
        <v>18.599999999999994</v>
      </c>
      <c r="P13" s="24">
        <f t="shared" si="4"/>
        <v>3.2611999999999988</v>
      </c>
      <c r="Q13" s="46">
        <f t="shared" si="5"/>
        <v>18.470000000000027</v>
      </c>
      <c r="R13" s="46">
        <f t="shared" si="6"/>
        <v>3.6940000000000053</v>
      </c>
    </row>
    <row r="14" spans="2:18" x14ac:dyDescent="0.25">
      <c r="B14" s="22" t="s">
        <v>55</v>
      </c>
      <c r="C14" s="63">
        <v>13.48</v>
      </c>
      <c r="D14" s="64">
        <v>10.471299999999999</v>
      </c>
      <c r="E14" s="25">
        <v>4</v>
      </c>
      <c r="F14" s="63">
        <v>43.101900000000001</v>
      </c>
      <c r="G14" s="63">
        <f t="shared" si="0"/>
        <v>10.775475</v>
      </c>
      <c r="H14" s="24">
        <f t="shared" si="1"/>
        <v>14.471299999999999</v>
      </c>
      <c r="I14" s="47">
        <f t="shared" si="2"/>
        <v>17.48</v>
      </c>
      <c r="J14" s="25">
        <v>13.7744</v>
      </c>
      <c r="K14" s="63">
        <v>16.787800000000001</v>
      </c>
      <c r="L14" s="39">
        <f t="shared" si="3"/>
        <v>0.69689999999999941</v>
      </c>
      <c r="M14" s="47">
        <f t="shared" si="3"/>
        <v>0.6921999999999997</v>
      </c>
      <c r="N14" s="47">
        <f t="shared" si="8"/>
        <v>3.3031000000000006</v>
      </c>
      <c r="O14" s="37">
        <f>100-((N14*100)/E14)</f>
        <v>17.422499999999985</v>
      </c>
      <c r="P14" s="25">
        <f t="shared" si="4"/>
        <v>3.3078000000000003</v>
      </c>
      <c r="Q14" s="47">
        <f t="shared" si="5"/>
        <v>17.304999999999993</v>
      </c>
      <c r="R14" s="47">
        <f t="shared" si="6"/>
        <v>3.4609999999999985</v>
      </c>
    </row>
    <row r="15" spans="2:18" x14ac:dyDescent="0.25">
      <c r="Q15" t="s">
        <v>263</v>
      </c>
      <c r="R15" s="106">
        <f>AVERAGE(R3:R14)</f>
        <v>2.9840833333333365</v>
      </c>
    </row>
    <row r="17" spans="7:18" x14ac:dyDescent="0.25">
      <c r="G17" s="28" t="s">
        <v>0</v>
      </c>
      <c r="H17" s="85" t="s">
        <v>139</v>
      </c>
      <c r="I17" s="83" t="s">
        <v>70</v>
      </c>
      <c r="J17" s="83" t="s">
        <v>140</v>
      </c>
      <c r="K17" s="83" t="s">
        <v>143</v>
      </c>
      <c r="L17" s="86" t="s">
        <v>147</v>
      </c>
      <c r="Q17" s="87" t="s">
        <v>146</v>
      </c>
      <c r="R17" s="114" t="s">
        <v>258</v>
      </c>
    </row>
    <row r="18" spans="7:18" x14ac:dyDescent="0.25">
      <c r="G18" s="14" t="s">
        <v>1</v>
      </c>
      <c r="H18" s="24">
        <v>14.267200000000001</v>
      </c>
      <c r="I18" s="48">
        <v>13.440899999999999</v>
      </c>
      <c r="J18" s="38">
        <v>0.82630000000000159</v>
      </c>
      <c r="K18" s="46">
        <v>3.0696199999999987</v>
      </c>
      <c r="L18" s="32">
        <v>21.209367748824448</v>
      </c>
      <c r="Q18" s="46">
        <v>12.5388888888889</v>
      </c>
      <c r="R18" s="46">
        <v>2.5077777777777754</v>
      </c>
    </row>
    <row r="19" spans="7:18" x14ac:dyDescent="0.25">
      <c r="G19" s="15" t="s">
        <v>2</v>
      </c>
      <c r="H19" s="24">
        <v>14.366199999999999</v>
      </c>
      <c r="I19" s="49">
        <v>13.545</v>
      </c>
      <c r="J19" s="38">
        <v>0.82119999999999926</v>
      </c>
      <c r="K19" s="46">
        <v>3.0747200000000006</v>
      </c>
      <c r="L19" s="32">
        <v>21.078461570052767</v>
      </c>
      <c r="Q19" s="46">
        <v>12.980555555555497</v>
      </c>
      <c r="R19" s="46">
        <v>2.5961111111110995</v>
      </c>
    </row>
    <row r="20" spans="7:18" x14ac:dyDescent="0.25">
      <c r="G20" s="15" t="s">
        <v>3</v>
      </c>
      <c r="H20" s="24">
        <v>14.484500000000001</v>
      </c>
      <c r="I20" s="49">
        <v>13.663600000000001</v>
      </c>
      <c r="J20" s="38">
        <v>0.82089999999999996</v>
      </c>
      <c r="K20" s="46">
        <v>3.0750200000000003</v>
      </c>
      <c r="L20" s="32">
        <v>21.07076120659562</v>
      </c>
      <c r="Q20" s="46">
        <v>13.76111111111112</v>
      </c>
      <c r="R20" s="46">
        <v>2.7522222222222239</v>
      </c>
    </row>
    <row r="21" spans="7:18" x14ac:dyDescent="0.25">
      <c r="G21" s="15" t="s">
        <v>52</v>
      </c>
      <c r="H21" s="24">
        <v>14.8171</v>
      </c>
      <c r="I21" s="49">
        <v>13.8269</v>
      </c>
      <c r="J21" s="38">
        <v>0.99019999999999975</v>
      </c>
      <c r="K21" s="46">
        <v>3.3279600000000009</v>
      </c>
      <c r="L21" s="32">
        <v>22.93106323063526</v>
      </c>
      <c r="Q21" s="45">
        <v>15.150000000000034</v>
      </c>
      <c r="R21" s="45">
        <v>3.0300000000000069</v>
      </c>
    </row>
    <row r="22" spans="7:18" x14ac:dyDescent="0.25">
      <c r="G22" s="15" t="s">
        <v>50</v>
      </c>
      <c r="H22" s="24">
        <v>14.6534</v>
      </c>
      <c r="I22" s="49">
        <v>13.625</v>
      </c>
      <c r="J22" s="38">
        <v>1.0283999999999995</v>
      </c>
      <c r="K22" s="46">
        <v>3.2897600000000011</v>
      </c>
      <c r="L22" s="32">
        <v>23.815699279322658</v>
      </c>
      <c r="Q22" s="46">
        <v>15.125000000000014</v>
      </c>
      <c r="R22" s="46">
        <v>3.025000000000003</v>
      </c>
    </row>
    <row r="23" spans="7:18" x14ac:dyDescent="0.25">
      <c r="G23" s="15" t="s">
        <v>53</v>
      </c>
      <c r="H23" s="24">
        <v>14.6547</v>
      </c>
      <c r="I23" s="49">
        <v>13.6609</v>
      </c>
      <c r="J23" s="38">
        <v>0.99380000000000024</v>
      </c>
      <c r="K23" s="46">
        <v>3.3243600000000004</v>
      </c>
      <c r="L23" s="32">
        <v>23.014432072919945</v>
      </c>
      <c r="Q23" s="47">
        <v>15.212499999999977</v>
      </c>
      <c r="R23" s="47">
        <v>3.0424999999999955</v>
      </c>
    </row>
    <row r="24" spans="7:18" x14ac:dyDescent="0.25">
      <c r="G24" s="14" t="s">
        <v>56</v>
      </c>
      <c r="H24" s="70">
        <v>14.754799999999999</v>
      </c>
      <c r="I24" s="48">
        <v>13.9879</v>
      </c>
      <c r="J24" s="50">
        <v>0.76689999999999969</v>
      </c>
      <c r="K24" s="45">
        <v>3.5590200000000003</v>
      </c>
      <c r="L24" s="51">
        <v>17.728020860302536</v>
      </c>
      <c r="Q24" s="45">
        <v>9.4950000000000756</v>
      </c>
      <c r="R24" s="45">
        <v>1.8990000000000151</v>
      </c>
    </row>
    <row r="25" spans="7:18" x14ac:dyDescent="0.25">
      <c r="G25" s="15" t="s">
        <v>57</v>
      </c>
      <c r="H25" s="24">
        <v>14.7921</v>
      </c>
      <c r="I25" s="49">
        <v>14.035500000000001</v>
      </c>
      <c r="J25" s="38">
        <v>0.75659999999999883</v>
      </c>
      <c r="K25" s="46">
        <v>3.5693200000000012</v>
      </c>
      <c r="L25" s="32">
        <v>17.489921219070126</v>
      </c>
      <c r="Q25" s="46">
        <v>9.5275000000000034</v>
      </c>
      <c r="R25" s="46">
        <v>1.9055000000000006</v>
      </c>
    </row>
    <row r="26" spans="7:18" x14ac:dyDescent="0.25">
      <c r="G26" s="16" t="s">
        <v>58</v>
      </c>
      <c r="H26" s="25">
        <v>14.7593</v>
      </c>
      <c r="I26" s="76">
        <v>14.0435</v>
      </c>
      <c r="J26" s="39">
        <v>0.71579999999999977</v>
      </c>
      <c r="K26" s="47">
        <v>3.6101200000000002</v>
      </c>
      <c r="L26" s="37">
        <v>16.546769242149651</v>
      </c>
      <c r="Q26" s="47">
        <v>8.7699999999999818</v>
      </c>
      <c r="R26" s="47">
        <v>1.7539999999999965</v>
      </c>
    </row>
    <row r="27" spans="7:18" x14ac:dyDescent="0.25">
      <c r="G27" s="14" t="s">
        <v>54</v>
      </c>
      <c r="H27" s="24">
        <v>14.6486</v>
      </c>
      <c r="I27" s="49">
        <v>13.624499999999999</v>
      </c>
      <c r="J27" s="38">
        <v>1.0241000000000007</v>
      </c>
      <c r="K27" s="46">
        <v>3.2816999999999998</v>
      </c>
      <c r="L27" s="32">
        <v>23.784198058432835</v>
      </c>
      <c r="Q27" s="46">
        <v>15.987499999999955</v>
      </c>
      <c r="R27" s="46">
        <v>3.1974999999999909</v>
      </c>
    </row>
    <row r="28" spans="7:18" x14ac:dyDescent="0.25">
      <c r="G28" s="15" t="s">
        <v>51</v>
      </c>
      <c r="H28" s="24">
        <v>14.736000000000001</v>
      </c>
      <c r="I28" s="49">
        <v>13.6783</v>
      </c>
      <c r="J28" s="38">
        <v>1.0577000000000005</v>
      </c>
      <c r="K28" s="46">
        <v>3.2481</v>
      </c>
      <c r="L28" s="32">
        <v>24.564540851874227</v>
      </c>
      <c r="Q28" s="46">
        <v>16.98250000000003</v>
      </c>
      <c r="R28" s="46">
        <v>3.3965000000000058</v>
      </c>
    </row>
    <row r="29" spans="7:18" x14ac:dyDescent="0.25">
      <c r="G29" s="16" t="s">
        <v>55</v>
      </c>
      <c r="H29" s="25">
        <v>14.7895</v>
      </c>
      <c r="I29" s="47">
        <v>13.7744</v>
      </c>
      <c r="J29" s="39">
        <v>1.0151000000000003</v>
      </c>
      <c r="K29" s="47">
        <v>3.2907000000000002</v>
      </c>
      <c r="L29" s="37">
        <v>23.57517766733244</v>
      </c>
      <c r="Q29" s="47">
        <v>16.009999999999991</v>
      </c>
      <c r="R29" s="47">
        <v>3.2019999999999982</v>
      </c>
    </row>
    <row r="30" spans="7:18" x14ac:dyDescent="0.25">
      <c r="Q30" t="s">
        <v>263</v>
      </c>
      <c r="R30" s="106">
        <v>2.6923425925925932</v>
      </c>
    </row>
    <row r="31" spans="7:18" x14ac:dyDescent="0.25">
      <c r="G31" s="28" t="s">
        <v>0</v>
      </c>
      <c r="H31" s="88" t="s">
        <v>138</v>
      </c>
      <c r="I31" s="84" t="s">
        <v>71</v>
      </c>
      <c r="J31" s="89" t="s">
        <v>141</v>
      </c>
      <c r="K31" s="90" t="s">
        <v>145</v>
      </c>
      <c r="L31" s="91" t="s">
        <v>146</v>
      </c>
    </row>
    <row r="32" spans="7:18" x14ac:dyDescent="0.25">
      <c r="G32" s="14" t="s">
        <v>1</v>
      </c>
      <c r="H32" s="45">
        <v>17.256419999999999</v>
      </c>
      <c r="I32" s="31">
        <v>16.456299999999999</v>
      </c>
      <c r="J32" s="38">
        <v>0.80011999999999972</v>
      </c>
      <c r="K32" s="45">
        <v>3.0958000000000006</v>
      </c>
      <c r="L32" s="32">
        <v>20.537382697796659</v>
      </c>
    </row>
    <row r="33" spans="3:19" x14ac:dyDescent="0.25">
      <c r="G33" s="15" t="s">
        <v>2</v>
      </c>
      <c r="H33" s="46">
        <v>17.358919999999998</v>
      </c>
      <c r="I33" s="31">
        <v>16.541399999999999</v>
      </c>
      <c r="J33" s="38">
        <v>0.81751999999999825</v>
      </c>
      <c r="K33" s="46">
        <v>3.0784000000000016</v>
      </c>
      <c r="L33" s="32">
        <v>20.984003778311632</v>
      </c>
    </row>
    <row r="34" spans="3:19" x14ac:dyDescent="0.25">
      <c r="G34" s="15" t="s">
        <v>3</v>
      </c>
      <c r="H34" s="46">
        <v>17.59112</v>
      </c>
      <c r="I34" s="31">
        <v>16.752300000000002</v>
      </c>
      <c r="J34" s="38">
        <v>0.83881999999999834</v>
      </c>
      <c r="K34" s="46">
        <v>3.0571000000000019</v>
      </c>
      <c r="L34" s="32">
        <v>21.530729583769642</v>
      </c>
    </row>
    <row r="35" spans="3:19" x14ac:dyDescent="0.25">
      <c r="G35" s="15" t="s">
        <v>52</v>
      </c>
      <c r="H35" s="46">
        <v>17.808160000000001</v>
      </c>
      <c r="I35" s="31">
        <v>16.814299999999999</v>
      </c>
      <c r="J35" s="38">
        <v>0.99386000000000152</v>
      </c>
      <c r="K35" s="46">
        <v>3.3242999999999991</v>
      </c>
      <c r="L35" s="32">
        <v>23.015821553624733</v>
      </c>
    </row>
    <row r="36" spans="3:19" x14ac:dyDescent="0.25">
      <c r="G36" s="15" t="s">
        <v>50</v>
      </c>
      <c r="H36" s="46">
        <v>17.708159999999999</v>
      </c>
      <c r="I36" s="31">
        <v>16.704499999999999</v>
      </c>
      <c r="J36" s="38">
        <v>1.00366</v>
      </c>
      <c r="K36" s="46">
        <v>3.3145000000000007</v>
      </c>
      <c r="L36" s="32">
        <v>23.24277006873298</v>
      </c>
    </row>
    <row r="37" spans="3:19" x14ac:dyDescent="0.25">
      <c r="G37" s="15" t="s">
        <v>53</v>
      </c>
      <c r="H37" s="46">
        <v>17.728160000000003</v>
      </c>
      <c r="I37" s="31">
        <v>16.727799999999998</v>
      </c>
      <c r="J37" s="38">
        <v>1.0003600000000041</v>
      </c>
      <c r="K37" s="46">
        <v>3.3177999999999965</v>
      </c>
      <c r="L37" s="32">
        <v>23.16634862997212</v>
      </c>
    </row>
    <row r="38" spans="3:19" x14ac:dyDescent="0.25">
      <c r="G38" s="69" t="s">
        <v>56</v>
      </c>
      <c r="H38" s="45">
        <v>17.829419999999999</v>
      </c>
      <c r="I38" s="72">
        <v>17.0777</v>
      </c>
      <c r="J38" s="45">
        <v>0.75171999999999883</v>
      </c>
      <c r="K38" s="70">
        <v>3.5742000000000012</v>
      </c>
      <c r="L38" s="45">
        <v>17.377112845360031</v>
      </c>
    </row>
    <row r="39" spans="3:19" x14ac:dyDescent="0.25">
      <c r="G39" s="21" t="s">
        <v>57</v>
      </c>
      <c r="H39" s="46">
        <v>17.84882</v>
      </c>
      <c r="I39" s="31">
        <v>17.0989</v>
      </c>
      <c r="J39" s="46">
        <v>0.74991999999999948</v>
      </c>
      <c r="K39" s="24">
        <v>3.5760000000000005</v>
      </c>
      <c r="L39" s="46">
        <v>17.335503199319447</v>
      </c>
    </row>
    <row r="40" spans="3:19" x14ac:dyDescent="0.25">
      <c r="G40" s="22" t="s">
        <v>58</v>
      </c>
      <c r="H40" s="47">
        <v>17.82582</v>
      </c>
      <c r="I40" s="75">
        <v>17.1144</v>
      </c>
      <c r="J40" s="47">
        <v>0.71142000000000039</v>
      </c>
      <c r="K40" s="25">
        <v>3.6144999999999996</v>
      </c>
      <c r="L40" s="47">
        <v>16.445519103450849</v>
      </c>
    </row>
    <row r="41" spans="3:19" x14ac:dyDescent="0.25">
      <c r="G41" s="21" t="s">
        <v>54</v>
      </c>
      <c r="H41" s="46">
        <v>17.655899999999999</v>
      </c>
      <c r="I41" s="31">
        <v>16.640999999999998</v>
      </c>
      <c r="J41" s="46">
        <v>1.0149000000000008</v>
      </c>
      <c r="K41" s="24">
        <v>3.2908999999999997</v>
      </c>
      <c r="L41" s="46">
        <v>23.570532769752447</v>
      </c>
    </row>
    <row r="42" spans="3:19" x14ac:dyDescent="0.25">
      <c r="G42" s="21" t="s">
        <v>51</v>
      </c>
      <c r="H42" s="46">
        <v>17.743000000000002</v>
      </c>
      <c r="I42" s="31">
        <v>16.698399999999999</v>
      </c>
      <c r="J42" s="46">
        <v>1.0446000000000026</v>
      </c>
      <c r="K42" s="24">
        <v>3.2611999999999979</v>
      </c>
      <c r="L42" s="46">
        <v>24.260300060383727</v>
      </c>
    </row>
    <row r="43" spans="3:19" x14ac:dyDescent="0.25">
      <c r="G43" s="22" t="s">
        <v>55</v>
      </c>
      <c r="H43" s="47">
        <v>17.785800000000002</v>
      </c>
      <c r="I43" s="36">
        <v>16.787800000000001</v>
      </c>
      <c r="J43" s="47">
        <v>0.99800000000000111</v>
      </c>
      <c r="K43" s="25">
        <v>3.3077999999999994</v>
      </c>
      <c r="L43" s="47">
        <v>23.178038924241747</v>
      </c>
    </row>
    <row r="47" spans="3:19" x14ac:dyDescent="0.25">
      <c r="E47" s="5">
        <v>44215</v>
      </c>
    </row>
    <row r="48" spans="3:19" x14ac:dyDescent="0.25">
      <c r="C48" s="123" t="s">
        <v>0</v>
      </c>
      <c r="D48" s="77" t="s">
        <v>66</v>
      </c>
      <c r="E48" s="78" t="s">
        <v>67</v>
      </c>
      <c r="F48" s="99" t="s">
        <v>68</v>
      </c>
      <c r="G48" s="79" t="s">
        <v>69</v>
      </c>
      <c r="H48" s="80" t="s">
        <v>20</v>
      </c>
      <c r="I48" s="81" t="s">
        <v>139</v>
      </c>
      <c r="J48" s="82" t="s">
        <v>138</v>
      </c>
      <c r="K48" s="83" t="s">
        <v>70</v>
      </c>
      <c r="L48" s="84" t="s">
        <v>71</v>
      </c>
      <c r="M48" s="85" t="s">
        <v>140</v>
      </c>
      <c r="N48" s="82" t="s">
        <v>142</v>
      </c>
      <c r="O48" s="81" t="s">
        <v>143</v>
      </c>
      <c r="P48" s="86" t="s">
        <v>144</v>
      </c>
      <c r="Q48" s="84" t="s">
        <v>145</v>
      </c>
      <c r="R48" s="87" t="s">
        <v>146</v>
      </c>
      <c r="S48" s="114" t="s">
        <v>258</v>
      </c>
    </row>
    <row r="49" spans="3:19" x14ac:dyDescent="0.25">
      <c r="C49" s="21" t="s">
        <v>1</v>
      </c>
      <c r="D49" s="59">
        <v>13.3605</v>
      </c>
      <c r="E49" s="60">
        <v>10.3462</v>
      </c>
      <c r="F49" s="24">
        <v>3.6</v>
      </c>
      <c r="G49" s="59">
        <v>39.090800000000002</v>
      </c>
      <c r="H49" s="59">
        <f>G49/F49</f>
        <v>10.858555555555556</v>
      </c>
      <c r="I49" s="24">
        <f>E49+F49</f>
        <v>13.946199999999999</v>
      </c>
      <c r="J49" s="46">
        <f>F49+D49</f>
        <v>16.9605</v>
      </c>
      <c r="K49" s="31">
        <v>13.492900000000001</v>
      </c>
      <c r="L49" s="48">
        <v>16.5091</v>
      </c>
      <c r="M49" s="38">
        <f>I49-K49</f>
        <v>0.4532999999999987</v>
      </c>
      <c r="N49" s="46">
        <f>J49-L49</f>
        <v>0.45139999999999958</v>
      </c>
      <c r="O49" s="46">
        <f>F49-M49</f>
        <v>3.1467000000000014</v>
      </c>
      <c r="P49" s="32">
        <f>100-((O49*100)/F49)</f>
        <v>12.591666666666626</v>
      </c>
      <c r="Q49" s="24">
        <f>F49-N49</f>
        <v>3.1486000000000005</v>
      </c>
      <c r="R49" s="46">
        <f>100-((Q49*100)/F49)</f>
        <v>12.538888888888877</v>
      </c>
      <c r="S49" s="46">
        <f>R49/5</f>
        <v>2.5077777777777754</v>
      </c>
    </row>
    <row r="50" spans="3:19" x14ac:dyDescent="0.25">
      <c r="C50" s="21" t="s">
        <v>2</v>
      </c>
      <c r="D50" s="61">
        <v>13.462999999999999</v>
      </c>
      <c r="E50" s="62">
        <v>10.466100000000001</v>
      </c>
      <c r="F50" s="24">
        <v>3.6</v>
      </c>
      <c r="G50" s="61">
        <v>39.010899999999999</v>
      </c>
      <c r="H50" s="61">
        <f t="shared" ref="H50:H60" si="9">G50/F50</f>
        <v>10.836361111111112</v>
      </c>
      <c r="I50" s="24">
        <f t="shared" ref="I50:I60" si="10">E50+F50</f>
        <v>14.0661</v>
      </c>
      <c r="J50" s="46">
        <f t="shared" ref="J50:J60" si="11">F50+D50</f>
        <v>17.062999999999999</v>
      </c>
      <c r="K50" s="31">
        <v>13.5977</v>
      </c>
      <c r="L50" s="49">
        <v>16.595700000000001</v>
      </c>
      <c r="M50" s="38">
        <f t="shared" ref="M50:M60" si="12">I50-K50</f>
        <v>0.46840000000000082</v>
      </c>
      <c r="N50" s="46">
        <f t="shared" ref="N50:N60" si="13">J50-L50</f>
        <v>0.46729999999999805</v>
      </c>
      <c r="O50" s="46">
        <f>F50-M50</f>
        <v>3.1315999999999993</v>
      </c>
      <c r="P50" s="32">
        <f>100-((O50*100)/F50)</f>
        <v>13.011111111111134</v>
      </c>
      <c r="Q50" s="24">
        <f t="shared" ref="Q50:Q60" si="14">F50-N50</f>
        <v>3.132700000000002</v>
      </c>
      <c r="R50" s="46">
        <f t="shared" ref="R50:R60" si="15">100-((Q50*100)/F50)</f>
        <v>12.980555555555497</v>
      </c>
      <c r="S50" s="46">
        <f t="shared" ref="S50:S60" si="16">R50/5</f>
        <v>2.5961111111110995</v>
      </c>
    </row>
    <row r="51" spans="3:19" x14ac:dyDescent="0.25">
      <c r="C51" s="21" t="s">
        <v>3</v>
      </c>
      <c r="D51" s="61">
        <v>13.6952</v>
      </c>
      <c r="E51" s="62">
        <v>10.589600000000001</v>
      </c>
      <c r="F51" s="24">
        <v>3.6</v>
      </c>
      <c r="G51" s="61">
        <v>39.401499999999999</v>
      </c>
      <c r="H51" s="61">
        <f t="shared" si="9"/>
        <v>10.944861111111111</v>
      </c>
      <c r="I51" s="24">
        <f t="shared" si="10"/>
        <v>14.1896</v>
      </c>
      <c r="J51" s="46">
        <f t="shared" si="11"/>
        <v>17.295200000000001</v>
      </c>
      <c r="K51" s="31">
        <v>13.711</v>
      </c>
      <c r="L51" s="49">
        <v>16.799800000000001</v>
      </c>
      <c r="M51" s="38">
        <f t="shared" si="12"/>
        <v>0.47860000000000014</v>
      </c>
      <c r="N51" s="46">
        <f t="shared" si="13"/>
        <v>0.49540000000000006</v>
      </c>
      <c r="O51" s="46">
        <f>F51-M51</f>
        <v>3.1214</v>
      </c>
      <c r="P51" s="32">
        <f t="shared" ref="P51:P59" si="17">100-((O51*100)/F51)</f>
        <v>13.294444444444451</v>
      </c>
      <c r="Q51" s="24">
        <f t="shared" si="14"/>
        <v>3.1046</v>
      </c>
      <c r="R51" s="46">
        <f t="shared" si="15"/>
        <v>13.76111111111112</v>
      </c>
      <c r="S51" s="46">
        <f t="shared" si="16"/>
        <v>2.7522222222222239</v>
      </c>
    </row>
    <row r="52" spans="3:19" x14ac:dyDescent="0.25">
      <c r="C52" s="69" t="s">
        <v>52</v>
      </c>
      <c r="D52" s="59">
        <v>13.49</v>
      </c>
      <c r="E52" s="60">
        <v>10.5</v>
      </c>
      <c r="F52" s="70">
        <v>4</v>
      </c>
      <c r="G52" s="59">
        <v>43.170099999999998</v>
      </c>
      <c r="H52" s="59">
        <f t="shared" si="9"/>
        <v>10.792524999999999</v>
      </c>
      <c r="I52" s="24">
        <f t="shared" si="10"/>
        <v>14.5</v>
      </c>
      <c r="J52" s="45">
        <f t="shared" si="11"/>
        <v>17.490000000000002</v>
      </c>
      <c r="K52" s="71">
        <v>13.896599999999999</v>
      </c>
      <c r="L52" s="48">
        <v>16.884</v>
      </c>
      <c r="M52" s="50">
        <f t="shared" si="12"/>
        <v>0.6034000000000006</v>
      </c>
      <c r="N52" s="45">
        <f t="shared" si="13"/>
        <v>0.60600000000000165</v>
      </c>
      <c r="O52" s="45">
        <f t="shared" ref="O52:O60" si="18">F52-M52</f>
        <v>3.3965999999999994</v>
      </c>
      <c r="P52" s="51">
        <f t="shared" si="17"/>
        <v>15.085000000000008</v>
      </c>
      <c r="Q52" s="70">
        <f t="shared" si="14"/>
        <v>3.3939999999999984</v>
      </c>
      <c r="R52" s="45">
        <f t="shared" si="15"/>
        <v>15.150000000000034</v>
      </c>
      <c r="S52" s="45">
        <f t="shared" si="16"/>
        <v>3.0300000000000069</v>
      </c>
    </row>
    <row r="53" spans="3:19" x14ac:dyDescent="0.25">
      <c r="C53" s="21" t="s">
        <v>50</v>
      </c>
      <c r="D53" s="61">
        <v>13.39</v>
      </c>
      <c r="E53" s="62">
        <v>10.31</v>
      </c>
      <c r="F53" s="24">
        <v>4</v>
      </c>
      <c r="G53" s="61">
        <v>43.430999999999997</v>
      </c>
      <c r="H53" s="61">
        <f t="shared" si="9"/>
        <v>10.857749999999999</v>
      </c>
      <c r="I53" s="24">
        <f t="shared" si="10"/>
        <v>14.31</v>
      </c>
      <c r="J53" s="46">
        <f t="shared" si="11"/>
        <v>17.39</v>
      </c>
      <c r="K53" s="73">
        <v>13.7051</v>
      </c>
      <c r="L53" s="49">
        <v>16.785</v>
      </c>
      <c r="M53" s="38">
        <f>I53-K53</f>
        <v>0.60490000000000066</v>
      </c>
      <c r="N53" s="46">
        <f t="shared" si="13"/>
        <v>0.60500000000000043</v>
      </c>
      <c r="O53" s="46">
        <f t="shared" si="18"/>
        <v>3.3950999999999993</v>
      </c>
      <c r="P53" s="32">
        <f t="shared" si="17"/>
        <v>15.122500000000016</v>
      </c>
      <c r="Q53" s="24">
        <f t="shared" si="14"/>
        <v>3.3949999999999996</v>
      </c>
      <c r="R53" s="46">
        <f t="shared" si="15"/>
        <v>15.125000000000014</v>
      </c>
      <c r="S53" s="46">
        <f t="shared" si="16"/>
        <v>3.025000000000003</v>
      </c>
    </row>
    <row r="54" spans="3:19" x14ac:dyDescent="0.25">
      <c r="C54" s="22" t="s">
        <v>53</v>
      </c>
      <c r="D54" s="63">
        <v>13.41</v>
      </c>
      <c r="E54" s="64">
        <v>10.34</v>
      </c>
      <c r="F54" s="25">
        <v>4</v>
      </c>
      <c r="G54" s="63">
        <v>43.217700000000001</v>
      </c>
      <c r="H54" s="63">
        <f t="shared" si="9"/>
        <v>10.804425</v>
      </c>
      <c r="I54" s="24">
        <f t="shared" si="10"/>
        <v>14.34</v>
      </c>
      <c r="J54" s="47">
        <f t="shared" si="11"/>
        <v>17.41</v>
      </c>
      <c r="K54" s="74">
        <v>13.7348</v>
      </c>
      <c r="L54" s="76">
        <v>16.801500000000001</v>
      </c>
      <c r="M54" s="39">
        <f>I54-K54</f>
        <v>0.60519999999999996</v>
      </c>
      <c r="N54" s="47">
        <f t="shared" si="13"/>
        <v>0.60849999999999937</v>
      </c>
      <c r="O54" s="47">
        <f t="shared" si="18"/>
        <v>3.3948</v>
      </c>
      <c r="P54" s="37">
        <f t="shared" si="17"/>
        <v>15.129999999999995</v>
      </c>
      <c r="Q54" s="25">
        <f t="shared" si="14"/>
        <v>3.3915000000000006</v>
      </c>
      <c r="R54" s="47">
        <f t="shared" si="15"/>
        <v>15.212499999999977</v>
      </c>
      <c r="S54" s="47">
        <f t="shared" si="16"/>
        <v>3.0424999999999955</v>
      </c>
    </row>
    <row r="55" spans="3:19" x14ac:dyDescent="0.25">
      <c r="C55" s="69" t="s">
        <v>56</v>
      </c>
      <c r="D55" s="59">
        <v>13.503500000000001</v>
      </c>
      <c r="E55" s="60">
        <v>10.417400000000001</v>
      </c>
      <c r="F55" s="70">
        <v>4</v>
      </c>
      <c r="G55" s="59">
        <v>43.302199999999999</v>
      </c>
      <c r="H55" s="59">
        <f t="shared" si="9"/>
        <v>10.82555</v>
      </c>
      <c r="I55" s="24">
        <f t="shared" si="10"/>
        <v>14.417400000000001</v>
      </c>
      <c r="J55" s="45">
        <f t="shared" si="11"/>
        <v>17.503500000000003</v>
      </c>
      <c r="K55" s="73">
        <v>14.0337</v>
      </c>
      <c r="L55" s="48">
        <v>17.123699999999999</v>
      </c>
      <c r="M55" s="50">
        <f>I55-K55</f>
        <v>0.38370000000000104</v>
      </c>
      <c r="N55" s="45">
        <f t="shared" si="13"/>
        <v>0.37980000000000302</v>
      </c>
      <c r="O55" s="45">
        <f>F55-M55</f>
        <v>3.616299999999999</v>
      </c>
      <c r="P55" s="51">
        <f t="shared" si="17"/>
        <v>9.5925000000000296</v>
      </c>
      <c r="Q55" s="70">
        <f t="shared" si="14"/>
        <v>3.620199999999997</v>
      </c>
      <c r="R55" s="45">
        <f t="shared" si="15"/>
        <v>9.4950000000000756</v>
      </c>
      <c r="S55" s="45">
        <f t="shared" si="16"/>
        <v>1.8990000000000151</v>
      </c>
    </row>
    <row r="56" spans="3:19" x14ac:dyDescent="0.25">
      <c r="C56" s="21" t="s">
        <v>57</v>
      </c>
      <c r="D56" s="61">
        <v>13.5229</v>
      </c>
      <c r="E56" s="62">
        <v>10.464600000000001</v>
      </c>
      <c r="F56" s="24">
        <v>4</v>
      </c>
      <c r="G56" s="61">
        <v>43.364899999999999</v>
      </c>
      <c r="H56" s="61">
        <f t="shared" si="9"/>
        <v>10.841225</v>
      </c>
      <c r="I56" s="24">
        <f t="shared" si="10"/>
        <v>14.464600000000001</v>
      </c>
      <c r="J56" s="46">
        <f t="shared" si="11"/>
        <v>17.5229</v>
      </c>
      <c r="K56" s="74">
        <v>14.0778</v>
      </c>
      <c r="L56" s="49">
        <v>17.1418</v>
      </c>
      <c r="M56" s="38">
        <f>I56-K55</f>
        <v>0.43090000000000117</v>
      </c>
      <c r="N56" s="46">
        <f t="shared" si="13"/>
        <v>0.38109999999999999</v>
      </c>
      <c r="O56" s="46">
        <f t="shared" si="18"/>
        <v>3.5690999999999988</v>
      </c>
      <c r="P56" s="32">
        <f t="shared" si="17"/>
        <v>10.772500000000036</v>
      </c>
      <c r="Q56" s="24">
        <f t="shared" si="14"/>
        <v>3.6189</v>
      </c>
      <c r="R56" s="46">
        <f t="shared" si="15"/>
        <v>9.5275000000000034</v>
      </c>
      <c r="S56" s="46">
        <f t="shared" si="16"/>
        <v>1.9055000000000006</v>
      </c>
    </row>
    <row r="57" spans="3:19" x14ac:dyDescent="0.25">
      <c r="C57" s="22" t="s">
        <v>58</v>
      </c>
      <c r="D57" s="63">
        <v>13.4999</v>
      </c>
      <c r="E57" s="64">
        <v>10.428599999999999</v>
      </c>
      <c r="F57" s="25">
        <v>4</v>
      </c>
      <c r="G57" s="63">
        <v>43.310899999999997</v>
      </c>
      <c r="H57" s="63">
        <f t="shared" si="9"/>
        <v>10.827724999999999</v>
      </c>
      <c r="I57" s="24">
        <f t="shared" si="10"/>
        <v>14.428599999999999</v>
      </c>
      <c r="J57" s="47">
        <f t="shared" si="11"/>
        <v>17.4999</v>
      </c>
      <c r="K57" s="31">
        <v>14.0787</v>
      </c>
      <c r="L57" s="76">
        <v>17.149100000000001</v>
      </c>
      <c r="M57" s="39">
        <f>I57-K56</f>
        <v>0.35079999999999956</v>
      </c>
      <c r="N57" s="47">
        <f t="shared" si="13"/>
        <v>0.35079999999999956</v>
      </c>
      <c r="O57" s="47">
        <f t="shared" si="18"/>
        <v>3.6492000000000004</v>
      </c>
      <c r="P57" s="37">
        <f t="shared" si="17"/>
        <v>8.7699999999999818</v>
      </c>
      <c r="Q57" s="25">
        <f t="shared" si="14"/>
        <v>3.6492000000000004</v>
      </c>
      <c r="R57" s="47">
        <f t="shared" si="15"/>
        <v>8.7699999999999818</v>
      </c>
      <c r="S57" s="47">
        <f t="shared" si="16"/>
        <v>1.7539999999999965</v>
      </c>
    </row>
    <row r="58" spans="3:19" x14ac:dyDescent="0.25">
      <c r="C58" s="21" t="s">
        <v>54</v>
      </c>
      <c r="D58" s="61">
        <v>13.350099999999999</v>
      </c>
      <c r="E58" s="62">
        <v>10.335100000000001</v>
      </c>
      <c r="F58" s="24">
        <v>4</v>
      </c>
      <c r="G58" s="61">
        <v>43.16</v>
      </c>
      <c r="H58" s="61">
        <f t="shared" si="9"/>
        <v>10.79</v>
      </c>
      <c r="I58" s="24">
        <f t="shared" si="10"/>
        <v>14.335100000000001</v>
      </c>
      <c r="J58" s="46">
        <f t="shared" si="11"/>
        <v>17.350099999999998</v>
      </c>
      <c r="K58" s="31">
        <v>13.694000000000001</v>
      </c>
      <c r="L58" s="49">
        <v>16.710599999999999</v>
      </c>
      <c r="M58" s="38">
        <f>I58-K57</f>
        <v>0.25640000000000107</v>
      </c>
      <c r="N58" s="46">
        <f t="shared" si="13"/>
        <v>0.63949999999999818</v>
      </c>
      <c r="O58" s="46">
        <f t="shared" si="18"/>
        <v>3.7435999999999989</v>
      </c>
      <c r="P58" s="32">
        <f t="shared" si="17"/>
        <v>6.410000000000025</v>
      </c>
      <c r="Q58" s="24">
        <f t="shared" si="14"/>
        <v>3.3605000000000018</v>
      </c>
      <c r="R58" s="46">
        <f t="shared" si="15"/>
        <v>15.987499999999955</v>
      </c>
      <c r="S58" s="46">
        <f t="shared" si="16"/>
        <v>3.1974999999999909</v>
      </c>
    </row>
    <row r="59" spans="3:19" x14ac:dyDescent="0.25">
      <c r="C59" s="21" t="s">
        <v>51</v>
      </c>
      <c r="D59" s="61">
        <v>13.437200000000001</v>
      </c>
      <c r="E59" s="62">
        <v>10.4223</v>
      </c>
      <c r="F59" s="24">
        <v>4</v>
      </c>
      <c r="G59" s="61">
        <v>43.1265</v>
      </c>
      <c r="H59" s="61">
        <f t="shared" si="9"/>
        <v>10.781625</v>
      </c>
      <c r="I59" s="24">
        <f t="shared" si="10"/>
        <v>14.4223</v>
      </c>
      <c r="J59" s="46">
        <f t="shared" si="11"/>
        <v>17.437200000000001</v>
      </c>
      <c r="K59" s="31">
        <v>13.737299999999999</v>
      </c>
      <c r="L59" s="49">
        <v>16.757899999999999</v>
      </c>
      <c r="M59" s="38">
        <f t="shared" si="12"/>
        <v>0.6850000000000005</v>
      </c>
      <c r="N59" s="46">
        <f t="shared" si="13"/>
        <v>0.67930000000000135</v>
      </c>
      <c r="O59" s="46">
        <f t="shared" si="18"/>
        <v>3.3149999999999995</v>
      </c>
      <c r="P59" s="32">
        <f t="shared" si="17"/>
        <v>17.125000000000014</v>
      </c>
      <c r="Q59" s="24">
        <f t="shared" si="14"/>
        <v>3.3206999999999987</v>
      </c>
      <c r="R59" s="46">
        <f t="shared" si="15"/>
        <v>16.98250000000003</v>
      </c>
      <c r="S59" s="46">
        <f t="shared" si="16"/>
        <v>3.3965000000000058</v>
      </c>
    </row>
    <row r="60" spans="3:19" x14ac:dyDescent="0.25">
      <c r="C60" s="22" t="s">
        <v>55</v>
      </c>
      <c r="D60" s="63">
        <v>13.48</v>
      </c>
      <c r="E60" s="64">
        <v>10.471299999999999</v>
      </c>
      <c r="F60" s="25">
        <v>4</v>
      </c>
      <c r="G60" s="63">
        <v>43.101900000000001</v>
      </c>
      <c r="H60" s="63">
        <f t="shared" si="9"/>
        <v>10.775475</v>
      </c>
      <c r="I60" s="24">
        <f t="shared" si="10"/>
        <v>14.471299999999999</v>
      </c>
      <c r="J60" s="47">
        <f t="shared" si="11"/>
        <v>17.48</v>
      </c>
      <c r="K60" s="25">
        <v>13.8261</v>
      </c>
      <c r="L60" s="63">
        <v>16.839600000000001</v>
      </c>
      <c r="M60" s="39">
        <f t="shared" si="12"/>
        <v>0.64519999999999911</v>
      </c>
      <c r="N60" s="47">
        <f t="shared" si="13"/>
        <v>0.64039999999999964</v>
      </c>
      <c r="O60" s="47">
        <f t="shared" si="18"/>
        <v>3.3548000000000009</v>
      </c>
      <c r="P60" s="37">
        <f>100-((O60*100)/F60)</f>
        <v>16.129999999999981</v>
      </c>
      <c r="Q60" s="25">
        <f t="shared" si="14"/>
        <v>3.3596000000000004</v>
      </c>
      <c r="R60" s="47">
        <f t="shared" si="15"/>
        <v>16.009999999999991</v>
      </c>
      <c r="S60" s="47">
        <f t="shared" si="16"/>
        <v>3.2019999999999982</v>
      </c>
    </row>
    <row r="61" spans="3:19" x14ac:dyDescent="0.25">
      <c r="R61" t="s">
        <v>263</v>
      </c>
      <c r="S61" s="106">
        <f>AVERAGE(S49:S60)</f>
        <v>2.6923425925925932</v>
      </c>
    </row>
    <row r="63" spans="3:19" x14ac:dyDescent="0.25">
      <c r="N63" s="192" t="s">
        <v>0</v>
      </c>
      <c r="O63" s="99" t="s">
        <v>68</v>
      </c>
      <c r="P63" s="79" t="s">
        <v>69</v>
      </c>
      <c r="Q63" s="80" t="s">
        <v>20</v>
      </c>
      <c r="R63" s="80" t="s">
        <v>20</v>
      </c>
    </row>
    <row r="64" spans="3:19" x14ac:dyDescent="0.25">
      <c r="N64" s="21" t="s">
        <v>1</v>
      </c>
      <c r="O64" s="24">
        <v>3.6</v>
      </c>
      <c r="P64" s="189">
        <v>39.090800000000002</v>
      </c>
      <c r="Q64" s="189">
        <f>P64/O64</f>
        <v>10.858555555555556</v>
      </c>
      <c r="R64" s="189">
        <f>Q64/P64</f>
        <v>0.27777777777777779</v>
      </c>
    </row>
    <row r="65" spans="3:18" x14ac:dyDescent="0.25">
      <c r="N65" s="21" t="s">
        <v>2</v>
      </c>
      <c r="O65" s="24">
        <v>3.6</v>
      </c>
      <c r="P65" s="190">
        <v>39.010899999999999</v>
      </c>
      <c r="Q65" s="190">
        <f t="shared" ref="Q65:Q75" si="19">P65/O65</f>
        <v>10.836361111111112</v>
      </c>
      <c r="R65" s="190">
        <f t="shared" ref="R65:R75" si="20">Q65/P65</f>
        <v>0.27777777777777779</v>
      </c>
    </row>
    <row r="66" spans="3:18" x14ac:dyDescent="0.25">
      <c r="N66" s="21" t="s">
        <v>3</v>
      </c>
      <c r="O66" s="24">
        <v>3.6</v>
      </c>
      <c r="P66" s="190">
        <v>39.401499999999999</v>
      </c>
      <c r="Q66" s="190">
        <f t="shared" si="19"/>
        <v>10.944861111111111</v>
      </c>
      <c r="R66" s="190">
        <f t="shared" si="20"/>
        <v>0.27777777777777779</v>
      </c>
    </row>
    <row r="67" spans="3:18" x14ac:dyDescent="0.25">
      <c r="N67" s="69" t="s">
        <v>52</v>
      </c>
      <c r="O67" s="70">
        <v>4</v>
      </c>
      <c r="P67" s="189">
        <v>43.170099999999998</v>
      </c>
      <c r="Q67" s="189">
        <f t="shared" si="19"/>
        <v>10.792524999999999</v>
      </c>
      <c r="R67" s="189">
        <f t="shared" si="20"/>
        <v>0.25</v>
      </c>
    </row>
    <row r="68" spans="3:18" x14ac:dyDescent="0.25">
      <c r="N68" s="21" t="s">
        <v>50</v>
      </c>
      <c r="O68" s="24">
        <v>4</v>
      </c>
      <c r="P68" s="190">
        <v>43.430999999999997</v>
      </c>
      <c r="Q68" s="190">
        <f t="shared" si="19"/>
        <v>10.857749999999999</v>
      </c>
      <c r="R68" s="190">
        <f t="shared" si="20"/>
        <v>0.25</v>
      </c>
    </row>
    <row r="69" spans="3:18" x14ac:dyDescent="0.25">
      <c r="N69" s="22" t="s">
        <v>53</v>
      </c>
      <c r="O69" s="25">
        <v>4</v>
      </c>
      <c r="P69" s="191">
        <v>43.217700000000001</v>
      </c>
      <c r="Q69" s="191">
        <f t="shared" si="19"/>
        <v>10.804425</v>
      </c>
      <c r="R69" s="191">
        <f t="shared" si="20"/>
        <v>0.25</v>
      </c>
    </row>
    <row r="70" spans="3:18" x14ac:dyDescent="0.25">
      <c r="C70" s="165" t="s">
        <v>0</v>
      </c>
      <c r="D70" s="77" t="s">
        <v>66</v>
      </c>
      <c r="E70" s="82" t="s">
        <v>69</v>
      </c>
      <c r="F70" s="82" t="s">
        <v>20</v>
      </c>
      <c r="G70" s="82" t="s">
        <v>138</v>
      </c>
      <c r="H70" s="84" t="s">
        <v>71</v>
      </c>
      <c r="I70" s="82" t="s">
        <v>142</v>
      </c>
      <c r="J70" s="84" t="s">
        <v>145</v>
      </c>
      <c r="K70" s="87" t="s">
        <v>146</v>
      </c>
      <c r="L70" s="114" t="s">
        <v>258</v>
      </c>
      <c r="N70" s="69" t="s">
        <v>56</v>
      </c>
      <c r="O70" s="70">
        <v>4</v>
      </c>
      <c r="P70" s="189">
        <v>43.302199999999999</v>
      </c>
      <c r="Q70" s="189">
        <f t="shared" si="19"/>
        <v>10.82555</v>
      </c>
      <c r="R70" s="189">
        <f t="shared" si="20"/>
        <v>0.25</v>
      </c>
    </row>
    <row r="71" spans="3:18" x14ac:dyDescent="0.25">
      <c r="C71" s="21" t="s">
        <v>1</v>
      </c>
      <c r="D71" s="59">
        <v>13.3605</v>
      </c>
      <c r="E71" s="46">
        <v>39.090800000000002</v>
      </c>
      <c r="F71" s="46">
        <v>10.858555555555601</v>
      </c>
      <c r="G71" s="46">
        <v>16.9605</v>
      </c>
      <c r="H71" s="48">
        <v>16.5091</v>
      </c>
      <c r="I71" s="46">
        <f>E71-G71</f>
        <v>22.130300000000002</v>
      </c>
      <c r="J71" s="24">
        <v>3.1486000000000001</v>
      </c>
      <c r="K71" s="46">
        <v>12.5388888888889</v>
      </c>
      <c r="L71" s="46">
        <v>2.5077777777777754</v>
      </c>
      <c r="N71" s="21" t="s">
        <v>57</v>
      </c>
      <c r="O71" s="24">
        <v>4</v>
      </c>
      <c r="P71" s="190">
        <v>43.364899999999999</v>
      </c>
      <c r="Q71" s="190">
        <f t="shared" si="19"/>
        <v>10.841225</v>
      </c>
      <c r="R71" s="190">
        <f t="shared" si="20"/>
        <v>0.25</v>
      </c>
    </row>
    <row r="72" spans="3:18" x14ac:dyDescent="0.25">
      <c r="C72" s="21" t="s">
        <v>2</v>
      </c>
      <c r="D72" s="61">
        <v>13.462999999999999</v>
      </c>
      <c r="E72" s="46">
        <v>39.010899999999999</v>
      </c>
      <c r="F72" s="46">
        <v>10.836361111111112</v>
      </c>
      <c r="G72" s="46">
        <v>17.062999999999999</v>
      </c>
      <c r="H72" s="49">
        <v>16.595700000000001</v>
      </c>
      <c r="I72" s="46">
        <f>E72-G72</f>
        <v>21.947900000000001</v>
      </c>
      <c r="J72" s="24">
        <v>3.132700000000002</v>
      </c>
      <c r="K72" s="46">
        <v>12.980555555555497</v>
      </c>
      <c r="L72" s="46">
        <v>2.5961111111110995</v>
      </c>
      <c r="N72" s="22" t="s">
        <v>58</v>
      </c>
      <c r="O72" s="25">
        <v>4</v>
      </c>
      <c r="P72" s="191">
        <v>43.310899999999997</v>
      </c>
      <c r="Q72" s="191">
        <f t="shared" si="19"/>
        <v>10.827724999999999</v>
      </c>
      <c r="R72" s="191">
        <f t="shared" si="20"/>
        <v>0.25</v>
      </c>
    </row>
    <row r="73" spans="3:18" x14ac:dyDescent="0.25">
      <c r="C73" s="21" t="s">
        <v>3</v>
      </c>
      <c r="D73" s="61">
        <v>13.6952</v>
      </c>
      <c r="E73" s="46">
        <v>39.401499999999999</v>
      </c>
      <c r="F73" s="46">
        <v>10.944861111111111</v>
      </c>
      <c r="G73" s="46">
        <v>17.295200000000001</v>
      </c>
      <c r="H73" s="49">
        <v>16.799800000000001</v>
      </c>
      <c r="I73" s="46">
        <f t="shared" ref="I73:I82" si="21">E73-G73</f>
        <v>22.106299999999997</v>
      </c>
      <c r="J73" s="24">
        <v>3.1046</v>
      </c>
      <c r="K73" s="46">
        <v>13.76111111111112</v>
      </c>
      <c r="L73" s="46">
        <v>2.7522222222222239</v>
      </c>
      <c r="N73" s="21" t="s">
        <v>54</v>
      </c>
      <c r="O73" s="24">
        <v>4</v>
      </c>
      <c r="P73" s="190">
        <v>43.16</v>
      </c>
      <c r="Q73" s="190">
        <f t="shared" si="19"/>
        <v>10.79</v>
      </c>
      <c r="R73" s="190">
        <f t="shared" si="20"/>
        <v>0.25</v>
      </c>
    </row>
    <row r="74" spans="3:18" x14ac:dyDescent="0.25">
      <c r="C74" s="69" t="s">
        <v>52</v>
      </c>
      <c r="D74" s="59">
        <v>13.49</v>
      </c>
      <c r="E74" s="45">
        <v>43.170099999999998</v>
      </c>
      <c r="F74" s="45">
        <v>10.792524999999999</v>
      </c>
      <c r="G74" s="45">
        <v>17.490000000000002</v>
      </c>
      <c r="H74" s="48">
        <v>16.884</v>
      </c>
      <c r="I74" s="45">
        <f t="shared" si="21"/>
        <v>25.680099999999996</v>
      </c>
      <c r="J74" s="70">
        <v>3.3939999999999984</v>
      </c>
      <c r="K74" s="45">
        <v>15.150000000000034</v>
      </c>
      <c r="L74" s="45">
        <v>3.0300000000000069</v>
      </c>
      <c r="N74" s="21" t="s">
        <v>51</v>
      </c>
      <c r="O74" s="24">
        <v>4</v>
      </c>
      <c r="P74" s="190">
        <v>43.1265</v>
      </c>
      <c r="Q74" s="190">
        <f t="shared" si="19"/>
        <v>10.781625</v>
      </c>
      <c r="R74" s="190">
        <f t="shared" si="20"/>
        <v>0.25</v>
      </c>
    </row>
    <row r="75" spans="3:18" x14ac:dyDescent="0.25">
      <c r="C75" s="21" t="s">
        <v>50</v>
      </c>
      <c r="D75" s="61">
        <v>13.39</v>
      </c>
      <c r="E75" s="46">
        <v>43.430999999999997</v>
      </c>
      <c r="F75" s="46">
        <v>10.857749999999999</v>
      </c>
      <c r="G75" s="46">
        <v>17.39</v>
      </c>
      <c r="H75" s="49">
        <v>16.785</v>
      </c>
      <c r="I75" s="46">
        <f t="shared" si="21"/>
        <v>26.040999999999997</v>
      </c>
      <c r="J75" s="24">
        <v>3.3949999999999996</v>
      </c>
      <c r="K75" s="46">
        <v>15.125000000000014</v>
      </c>
      <c r="L75" s="46">
        <v>3.025000000000003</v>
      </c>
      <c r="N75" s="22" t="s">
        <v>55</v>
      </c>
      <c r="O75" s="25">
        <v>4</v>
      </c>
      <c r="P75" s="191">
        <v>43.101900000000001</v>
      </c>
      <c r="Q75" s="191">
        <f t="shared" si="19"/>
        <v>10.775475</v>
      </c>
      <c r="R75" s="191">
        <f t="shared" si="20"/>
        <v>0.25</v>
      </c>
    </row>
    <row r="76" spans="3:18" x14ac:dyDescent="0.25">
      <c r="C76" s="22" t="s">
        <v>53</v>
      </c>
      <c r="D76" s="63">
        <v>13.41</v>
      </c>
      <c r="E76" s="47">
        <v>43.217700000000001</v>
      </c>
      <c r="F76" s="47">
        <v>10.804425</v>
      </c>
      <c r="G76" s="47">
        <v>17.41</v>
      </c>
      <c r="H76" s="76">
        <v>16.801500000000001</v>
      </c>
      <c r="I76" s="47">
        <f t="shared" si="21"/>
        <v>25.807700000000001</v>
      </c>
      <c r="J76" s="25">
        <v>3.3915000000000006</v>
      </c>
      <c r="K76" s="47">
        <v>15.212499999999977</v>
      </c>
      <c r="L76" s="47">
        <v>3.0424999999999955</v>
      </c>
    </row>
    <row r="77" spans="3:18" x14ac:dyDescent="0.25">
      <c r="C77" s="69" t="s">
        <v>56</v>
      </c>
      <c r="D77" s="59">
        <v>13.503500000000001</v>
      </c>
      <c r="E77" s="45">
        <v>43.302199999999999</v>
      </c>
      <c r="F77" s="45">
        <v>10.82555</v>
      </c>
      <c r="G77" s="45">
        <v>17.503500000000003</v>
      </c>
      <c r="H77" s="48">
        <v>17.123699999999999</v>
      </c>
      <c r="I77" s="45">
        <f t="shared" si="21"/>
        <v>25.798699999999997</v>
      </c>
      <c r="J77" s="70">
        <v>3.620199999999997</v>
      </c>
      <c r="K77" s="45">
        <v>9.4950000000000756</v>
      </c>
      <c r="L77" s="45">
        <v>1.8990000000000151</v>
      </c>
    </row>
    <row r="78" spans="3:18" x14ac:dyDescent="0.25">
      <c r="C78" s="21" t="s">
        <v>57</v>
      </c>
      <c r="D78" s="61">
        <v>13.5229</v>
      </c>
      <c r="E78" s="46">
        <v>43.364899999999999</v>
      </c>
      <c r="F78" s="46">
        <v>10.841225</v>
      </c>
      <c r="G78" s="46">
        <v>17.5229</v>
      </c>
      <c r="H78" s="49">
        <v>17.1418</v>
      </c>
      <c r="I78" s="46">
        <f t="shared" si="21"/>
        <v>25.841999999999999</v>
      </c>
      <c r="J78" s="24">
        <v>3.6189</v>
      </c>
      <c r="K78" s="46">
        <v>9.5275000000000034</v>
      </c>
      <c r="L78" s="46">
        <v>1.9055000000000006</v>
      </c>
      <c r="N78" s="192" t="s">
        <v>0</v>
      </c>
      <c r="O78" t="s">
        <v>20</v>
      </c>
    </row>
    <row r="79" spans="3:18" x14ac:dyDescent="0.25">
      <c r="C79" s="22" t="s">
        <v>58</v>
      </c>
      <c r="D79" s="63">
        <v>13.4999</v>
      </c>
      <c r="E79" s="47">
        <v>43.310899999999997</v>
      </c>
      <c r="F79" s="47">
        <v>10.827724999999999</v>
      </c>
      <c r="G79" s="47">
        <v>17.4999</v>
      </c>
      <c r="H79" s="76">
        <v>17.149100000000001</v>
      </c>
      <c r="I79" s="47">
        <f t="shared" si="21"/>
        <v>25.810999999999996</v>
      </c>
      <c r="J79" s="25">
        <v>3.6492000000000004</v>
      </c>
      <c r="K79" s="47">
        <v>8.7699999999999818</v>
      </c>
      <c r="L79" s="47">
        <v>1.7539999999999965</v>
      </c>
      <c r="N79" s="21" t="s">
        <v>1</v>
      </c>
      <c r="O79" s="106">
        <v>10.858555555555556</v>
      </c>
    </row>
    <row r="80" spans="3:18" x14ac:dyDescent="0.25">
      <c r="C80" s="21" t="s">
        <v>54</v>
      </c>
      <c r="D80" s="61">
        <v>13.350099999999999</v>
      </c>
      <c r="E80" s="46">
        <v>43.16</v>
      </c>
      <c r="F80" s="46">
        <v>10.79</v>
      </c>
      <c r="G80" s="46">
        <v>17.350099999999998</v>
      </c>
      <c r="H80" s="49">
        <v>16.710599999999999</v>
      </c>
      <c r="I80" s="46">
        <f t="shared" si="21"/>
        <v>25.809899999999999</v>
      </c>
      <c r="J80" s="24">
        <v>3.3605000000000018</v>
      </c>
      <c r="K80" s="46">
        <v>15.987499999999955</v>
      </c>
      <c r="L80" s="46">
        <v>3.1974999999999909</v>
      </c>
      <c r="N80" s="21" t="s">
        <v>2</v>
      </c>
      <c r="O80" s="106">
        <v>10.836361111111112</v>
      </c>
    </row>
    <row r="81" spans="3:15" x14ac:dyDescent="0.25">
      <c r="C81" s="21" t="s">
        <v>51</v>
      </c>
      <c r="D81" s="61">
        <v>13.437200000000001</v>
      </c>
      <c r="E81" s="46">
        <v>43.1265</v>
      </c>
      <c r="F81" s="46">
        <v>10.781625</v>
      </c>
      <c r="G81" s="46">
        <v>17.437200000000001</v>
      </c>
      <c r="H81" s="49">
        <v>16.757899999999999</v>
      </c>
      <c r="I81" s="46">
        <f t="shared" si="21"/>
        <v>25.689299999999999</v>
      </c>
      <c r="J81" s="24">
        <v>3.3206999999999987</v>
      </c>
      <c r="K81" s="46">
        <v>16.98250000000003</v>
      </c>
      <c r="L81" s="46">
        <v>3.3965000000000058</v>
      </c>
      <c r="N81" s="21" t="s">
        <v>3</v>
      </c>
      <c r="O81" s="106">
        <v>10.944861111111111</v>
      </c>
    </row>
    <row r="82" spans="3:15" x14ac:dyDescent="0.25">
      <c r="C82" s="22" t="s">
        <v>55</v>
      </c>
      <c r="D82" s="63">
        <v>13.48</v>
      </c>
      <c r="E82" s="47">
        <v>43.101900000000001</v>
      </c>
      <c r="F82" s="47">
        <v>10.775475</v>
      </c>
      <c r="G82" s="47">
        <v>17.48</v>
      </c>
      <c r="H82" s="63">
        <v>16.839600000000001</v>
      </c>
      <c r="I82" s="47">
        <f t="shared" si="21"/>
        <v>25.6219</v>
      </c>
      <c r="J82" s="25">
        <v>3.3596000000000004</v>
      </c>
      <c r="K82" s="47">
        <v>16.009999999999991</v>
      </c>
      <c r="L82" s="47">
        <v>3.2019999999999982</v>
      </c>
      <c r="N82" s="69" t="s">
        <v>52</v>
      </c>
      <c r="O82" s="106">
        <v>10.792524999999999</v>
      </c>
    </row>
    <row r="83" spans="3:15" x14ac:dyDescent="0.25">
      <c r="K83" t="s">
        <v>263</v>
      </c>
      <c r="L83" s="106">
        <v>2.6923425925925932</v>
      </c>
      <c r="N83" s="21" t="s">
        <v>50</v>
      </c>
      <c r="O83" s="106">
        <v>10.857749999999999</v>
      </c>
    </row>
    <row r="84" spans="3:15" x14ac:dyDescent="0.25">
      <c r="N84" s="22" t="s">
        <v>53</v>
      </c>
      <c r="O84" s="106">
        <v>10.804425</v>
      </c>
    </row>
    <row r="85" spans="3:15" x14ac:dyDescent="0.25">
      <c r="E85" s="165" t="s">
        <v>0</v>
      </c>
      <c r="F85" s="178" t="s">
        <v>66</v>
      </c>
      <c r="G85" s="178" t="s">
        <v>138</v>
      </c>
      <c r="H85" s="178" t="s">
        <v>71</v>
      </c>
      <c r="I85" s="178" t="s">
        <v>142</v>
      </c>
      <c r="J85" s="178" t="s">
        <v>145</v>
      </c>
      <c r="K85" s="178" t="s">
        <v>146</v>
      </c>
      <c r="L85" s="179" t="s">
        <v>258</v>
      </c>
      <c r="N85" s="69" t="s">
        <v>56</v>
      </c>
      <c r="O85" s="106">
        <v>10.82555</v>
      </c>
    </row>
    <row r="86" spans="3:15" x14ac:dyDescent="0.25">
      <c r="E86" s="21" t="s">
        <v>1</v>
      </c>
      <c r="F86" s="61">
        <v>13.3605</v>
      </c>
      <c r="G86" s="46">
        <v>16.9605</v>
      </c>
      <c r="H86" s="49">
        <v>16.5091</v>
      </c>
      <c r="I86" s="46">
        <v>22.130299999999998</v>
      </c>
      <c r="J86" s="24">
        <v>3.1486000000000001</v>
      </c>
      <c r="K86" s="46">
        <v>12.5388888888889</v>
      </c>
      <c r="L86" s="46">
        <v>2.5077777777777799</v>
      </c>
      <c r="N86" s="21" t="s">
        <v>57</v>
      </c>
      <c r="O86" s="106">
        <v>10.841225</v>
      </c>
    </row>
    <row r="87" spans="3:15" x14ac:dyDescent="0.25">
      <c r="E87" s="21" t="s">
        <v>2</v>
      </c>
      <c r="F87" s="61">
        <v>13.462999999999999</v>
      </c>
      <c r="G87" s="46">
        <v>17.062999999999999</v>
      </c>
      <c r="H87" s="49">
        <v>16.595700000000001</v>
      </c>
      <c r="I87" s="46">
        <v>21.947900000000001</v>
      </c>
      <c r="J87" s="24">
        <v>3.132700000000002</v>
      </c>
      <c r="K87" s="46">
        <v>12.980555555555497</v>
      </c>
      <c r="L87" s="46">
        <v>2.5961111111110995</v>
      </c>
      <c r="N87" s="22" t="s">
        <v>58</v>
      </c>
      <c r="O87" s="106">
        <v>10.827724999999999</v>
      </c>
    </row>
    <row r="88" spans="3:15" x14ac:dyDescent="0.25">
      <c r="E88" s="21" t="s">
        <v>3</v>
      </c>
      <c r="F88" s="61">
        <v>13.6952</v>
      </c>
      <c r="G88" s="46">
        <v>17.295200000000001</v>
      </c>
      <c r="H88" s="49">
        <v>16.799800000000001</v>
      </c>
      <c r="I88" s="46">
        <v>22.106299999999997</v>
      </c>
      <c r="J88" s="24">
        <v>3.1046</v>
      </c>
      <c r="K88" s="46">
        <v>13.76111111111112</v>
      </c>
      <c r="L88" s="46">
        <v>2.7522222222222239</v>
      </c>
      <c r="N88" s="21" t="s">
        <v>54</v>
      </c>
      <c r="O88" s="106">
        <v>10.79</v>
      </c>
    </row>
    <row r="89" spans="3:15" x14ac:dyDescent="0.25">
      <c r="E89" s="69" t="s">
        <v>52</v>
      </c>
      <c r="F89" s="59">
        <v>13.49</v>
      </c>
      <c r="G89" s="45">
        <v>17.490000000000002</v>
      </c>
      <c r="H89" s="48">
        <v>16.884</v>
      </c>
      <c r="I89" s="45">
        <v>25.680099999999996</v>
      </c>
      <c r="J89" s="70">
        <v>3.3939999999999984</v>
      </c>
      <c r="K89" s="45">
        <v>15.150000000000034</v>
      </c>
      <c r="L89" s="45">
        <v>3.0300000000000069</v>
      </c>
      <c r="N89" s="21" t="s">
        <v>51</v>
      </c>
      <c r="O89" s="106">
        <v>10.781625</v>
      </c>
    </row>
    <row r="90" spans="3:15" x14ac:dyDescent="0.25">
      <c r="E90" s="21" t="s">
        <v>50</v>
      </c>
      <c r="F90" s="61">
        <v>13.39</v>
      </c>
      <c r="G90" s="46">
        <v>17.39</v>
      </c>
      <c r="H90" s="49">
        <v>16.785</v>
      </c>
      <c r="I90" s="46">
        <v>26.040999999999997</v>
      </c>
      <c r="J90" s="24">
        <v>3.3949999999999996</v>
      </c>
      <c r="K90" s="46">
        <v>15.125000000000014</v>
      </c>
      <c r="L90" s="46">
        <v>3.025000000000003</v>
      </c>
      <c r="N90" s="22" t="s">
        <v>55</v>
      </c>
      <c r="O90" s="106">
        <v>10.775475</v>
      </c>
    </row>
    <row r="91" spans="3:15" x14ac:dyDescent="0.25">
      <c r="E91" s="22" t="s">
        <v>53</v>
      </c>
      <c r="F91" s="63">
        <v>13.41</v>
      </c>
      <c r="G91" s="47">
        <v>17.41</v>
      </c>
      <c r="H91" s="76">
        <v>16.801500000000001</v>
      </c>
      <c r="I91" s="47">
        <v>25.807700000000001</v>
      </c>
      <c r="J91" s="25">
        <v>3.3915000000000006</v>
      </c>
      <c r="K91" s="47">
        <v>15.212499999999977</v>
      </c>
      <c r="L91" s="47">
        <v>3.0424999999999955</v>
      </c>
    </row>
    <row r="92" spans="3:15" x14ac:dyDescent="0.25">
      <c r="E92" s="69" t="s">
        <v>56</v>
      </c>
      <c r="F92" s="59">
        <v>13.503500000000001</v>
      </c>
      <c r="G92" s="45">
        <v>17.503500000000003</v>
      </c>
      <c r="H92" s="48">
        <v>17.123699999999999</v>
      </c>
      <c r="I92" s="45">
        <v>25.798699999999997</v>
      </c>
      <c r="J92" s="70">
        <v>3.620199999999997</v>
      </c>
      <c r="K92" s="45">
        <v>9.4950000000000756</v>
      </c>
      <c r="L92" s="45">
        <v>1.8990000000000151</v>
      </c>
    </row>
    <row r="93" spans="3:15" x14ac:dyDescent="0.25">
      <c r="E93" s="21" t="s">
        <v>57</v>
      </c>
      <c r="F93" s="61">
        <v>13.5229</v>
      </c>
      <c r="G93" s="46">
        <v>17.5229</v>
      </c>
      <c r="H93" s="49">
        <v>17.1418</v>
      </c>
      <c r="I93" s="46">
        <v>25.841999999999999</v>
      </c>
      <c r="J93" s="24">
        <v>3.6189</v>
      </c>
      <c r="K93" s="46">
        <v>9.5275000000000034</v>
      </c>
      <c r="L93" s="46">
        <v>1.9055000000000006</v>
      </c>
    </row>
    <row r="94" spans="3:15" x14ac:dyDescent="0.25">
      <c r="E94" s="22" t="s">
        <v>58</v>
      </c>
      <c r="F94" s="63">
        <v>13.4999</v>
      </c>
      <c r="G94" s="47">
        <v>17.4999</v>
      </c>
      <c r="H94" s="76">
        <v>17.149100000000001</v>
      </c>
      <c r="I94" s="47">
        <v>25.810999999999996</v>
      </c>
      <c r="J94" s="25">
        <v>3.6492000000000004</v>
      </c>
      <c r="K94" s="47">
        <v>8.7699999999999818</v>
      </c>
      <c r="L94" s="47">
        <v>1.7539999999999965</v>
      </c>
    </row>
    <row r="95" spans="3:15" x14ac:dyDescent="0.25">
      <c r="E95" s="21" t="s">
        <v>54</v>
      </c>
      <c r="F95" s="61">
        <v>13.350099999999999</v>
      </c>
      <c r="G95" s="46">
        <v>17.350099999999998</v>
      </c>
      <c r="H95" s="49">
        <v>16.710599999999999</v>
      </c>
      <c r="I95" s="46">
        <v>25.809899999999999</v>
      </c>
      <c r="J95" s="24">
        <v>3.3605000000000018</v>
      </c>
      <c r="K95" s="46">
        <v>15.987499999999955</v>
      </c>
      <c r="L95" s="46">
        <v>3.1974999999999909</v>
      </c>
    </row>
    <row r="96" spans="3:15" x14ac:dyDescent="0.25">
      <c r="E96" s="21" t="s">
        <v>51</v>
      </c>
      <c r="F96" s="61">
        <v>13.437200000000001</v>
      </c>
      <c r="G96" s="46">
        <v>17.437200000000001</v>
      </c>
      <c r="H96" s="49">
        <v>16.757899999999999</v>
      </c>
      <c r="I96" s="46">
        <v>25.689299999999999</v>
      </c>
      <c r="J96" s="24">
        <v>3.3206999999999987</v>
      </c>
      <c r="K96" s="46">
        <v>16.98250000000003</v>
      </c>
      <c r="L96" s="46">
        <v>3.3965000000000058</v>
      </c>
    </row>
    <row r="97" spans="5:13" x14ac:dyDescent="0.25">
      <c r="E97" s="22" t="s">
        <v>55</v>
      </c>
      <c r="F97" s="63">
        <v>13.48</v>
      </c>
      <c r="G97" s="47">
        <v>17.48</v>
      </c>
      <c r="H97" s="63">
        <v>16.839600000000001</v>
      </c>
      <c r="I97" s="47">
        <v>25.6219</v>
      </c>
      <c r="J97" s="25">
        <v>3.3596000000000004</v>
      </c>
      <c r="K97" s="47">
        <v>16.009999999999991</v>
      </c>
      <c r="L97" s="47">
        <v>3.2019999999999982</v>
      </c>
    </row>
    <row r="98" spans="5:13" x14ac:dyDescent="0.25">
      <c r="K98" s="67" t="s">
        <v>263</v>
      </c>
      <c r="L98" s="180">
        <v>2.6923425925925932</v>
      </c>
    </row>
    <row r="103" spans="5:13" x14ac:dyDescent="0.25">
      <c r="I103" s="192" t="s">
        <v>0</v>
      </c>
      <c r="J103" s="178" t="s">
        <v>138</v>
      </c>
      <c r="K103" s="178" t="s">
        <v>71</v>
      </c>
      <c r="L103" s="178" t="s">
        <v>145</v>
      </c>
      <c r="M103" s="178" t="s">
        <v>146</v>
      </c>
    </row>
    <row r="104" spans="5:13" x14ac:dyDescent="0.25">
      <c r="I104" s="21" t="s">
        <v>1</v>
      </c>
      <c r="J104" s="46">
        <v>16.9605</v>
      </c>
      <c r="K104" s="49">
        <v>16.5091</v>
      </c>
      <c r="L104" s="24">
        <v>3.1486000000000001</v>
      </c>
      <c r="M104" s="46">
        <v>12.5388888888889</v>
      </c>
    </row>
    <row r="105" spans="5:13" x14ac:dyDescent="0.25">
      <c r="I105" s="21" t="s">
        <v>2</v>
      </c>
      <c r="J105" s="46">
        <v>17.062999999999999</v>
      </c>
      <c r="K105" s="49">
        <v>16.595700000000001</v>
      </c>
      <c r="L105" s="24">
        <v>3.132700000000002</v>
      </c>
      <c r="M105" s="46">
        <v>12.980555555555497</v>
      </c>
    </row>
    <row r="106" spans="5:13" x14ac:dyDescent="0.25">
      <c r="I106" s="21" t="s">
        <v>3</v>
      </c>
      <c r="J106" s="46">
        <v>17.295200000000001</v>
      </c>
      <c r="K106" s="49">
        <v>16.799800000000001</v>
      </c>
      <c r="L106" s="24">
        <v>3.1046</v>
      </c>
      <c r="M106" s="46">
        <v>13.76111111111112</v>
      </c>
    </row>
    <row r="107" spans="5:13" x14ac:dyDescent="0.25">
      <c r="I107" s="69" t="s">
        <v>52</v>
      </c>
      <c r="J107" s="45">
        <v>17.490000000000002</v>
      </c>
      <c r="K107" s="48">
        <v>16.884</v>
      </c>
      <c r="L107" s="70">
        <v>3.3939999999999984</v>
      </c>
      <c r="M107" s="45">
        <v>15.150000000000034</v>
      </c>
    </row>
    <row r="108" spans="5:13" x14ac:dyDescent="0.25">
      <c r="I108" s="21" t="s">
        <v>50</v>
      </c>
      <c r="J108" s="46">
        <v>17.39</v>
      </c>
      <c r="K108" s="49">
        <v>16.785</v>
      </c>
      <c r="L108" s="24">
        <v>3.3949999999999996</v>
      </c>
      <c r="M108" s="46">
        <v>15.125000000000014</v>
      </c>
    </row>
    <row r="109" spans="5:13" x14ac:dyDescent="0.25">
      <c r="F109" s="24">
        <v>3.8959200000000003</v>
      </c>
      <c r="G109" s="189">
        <v>39.090800000000002</v>
      </c>
      <c r="I109" s="22" t="s">
        <v>53</v>
      </c>
      <c r="J109" s="47">
        <v>17.41</v>
      </c>
      <c r="K109" s="76">
        <v>16.801500000000001</v>
      </c>
      <c r="L109" s="25">
        <v>3.3915000000000006</v>
      </c>
      <c r="M109" s="47">
        <v>15.212499999999977</v>
      </c>
    </row>
    <row r="110" spans="5:13" x14ac:dyDescent="0.25">
      <c r="F110" s="24">
        <v>3.8959199999999998</v>
      </c>
      <c r="G110" s="190">
        <v>39.010899999999999</v>
      </c>
      <c r="I110" s="69" t="s">
        <v>56</v>
      </c>
      <c r="J110" s="45">
        <v>17.503500000000003</v>
      </c>
      <c r="K110" s="48">
        <v>17.123699999999999</v>
      </c>
      <c r="L110" s="70">
        <v>3.620199999999997</v>
      </c>
      <c r="M110" s="45">
        <v>9.4950000000000756</v>
      </c>
    </row>
    <row r="111" spans="5:13" x14ac:dyDescent="0.25">
      <c r="F111" s="24">
        <v>3.8959200000000003</v>
      </c>
      <c r="G111" s="190">
        <v>39.401499999999999</v>
      </c>
      <c r="I111" s="21" t="s">
        <v>57</v>
      </c>
      <c r="J111" s="46">
        <v>17.5229</v>
      </c>
      <c r="K111" s="49">
        <v>17.1418</v>
      </c>
      <c r="L111" s="24">
        <v>3.6189</v>
      </c>
      <c r="M111" s="46">
        <v>9.5275000000000034</v>
      </c>
    </row>
    <row r="112" spans="5:13" x14ac:dyDescent="0.25">
      <c r="F112" s="70">
        <v>4.3181600000000007</v>
      </c>
      <c r="G112" s="189">
        <v>43.170099999999998</v>
      </c>
      <c r="I112" s="22" t="s">
        <v>58</v>
      </c>
      <c r="J112" s="47">
        <v>17.4999</v>
      </c>
      <c r="K112" s="76">
        <v>17.149100000000001</v>
      </c>
      <c r="L112" s="25">
        <v>3.6492000000000004</v>
      </c>
      <c r="M112" s="47">
        <v>8.7699999999999818</v>
      </c>
    </row>
    <row r="113" spans="6:14" x14ac:dyDescent="0.25">
      <c r="F113" s="24">
        <v>4.3181600000000007</v>
      </c>
      <c r="G113" s="190">
        <v>43.430999999999997</v>
      </c>
      <c r="I113" s="21" t="s">
        <v>54</v>
      </c>
      <c r="J113" s="46">
        <v>17.350099999999998</v>
      </c>
      <c r="K113" s="49">
        <v>16.710599999999999</v>
      </c>
      <c r="L113" s="24">
        <v>3.3605000000000018</v>
      </c>
      <c r="M113" s="46">
        <v>15.987499999999955</v>
      </c>
    </row>
    <row r="114" spans="6:14" x14ac:dyDescent="0.25">
      <c r="F114" s="25">
        <v>4.3181600000000007</v>
      </c>
      <c r="G114" s="191">
        <v>43.217700000000001</v>
      </c>
      <c r="I114" s="21" t="s">
        <v>51</v>
      </c>
      <c r="J114" s="46">
        <v>17.437200000000001</v>
      </c>
      <c r="K114" s="49">
        <v>16.757899999999999</v>
      </c>
      <c r="L114" s="24">
        <v>3.3206999999999987</v>
      </c>
      <c r="M114" s="46">
        <v>16.98250000000003</v>
      </c>
    </row>
    <row r="115" spans="6:14" x14ac:dyDescent="0.25">
      <c r="F115" s="70">
        <v>4.32592</v>
      </c>
      <c r="G115" s="189">
        <v>43.302199999999999</v>
      </c>
      <c r="I115" s="22" t="s">
        <v>55</v>
      </c>
      <c r="J115" s="47">
        <v>17.48</v>
      </c>
      <c r="K115" s="191">
        <v>16.839600000000001</v>
      </c>
      <c r="L115" s="25">
        <v>3.3596000000000004</v>
      </c>
      <c r="M115" s="47">
        <v>16.009999999999991</v>
      </c>
    </row>
    <row r="116" spans="6:14" x14ac:dyDescent="0.25">
      <c r="F116" s="24">
        <v>4.32592</v>
      </c>
      <c r="G116" s="190">
        <v>43.364899999999999</v>
      </c>
      <c r="L116" s="67" t="s">
        <v>263</v>
      </c>
      <c r="M116" s="180">
        <v>2.6923425925925932</v>
      </c>
    </row>
    <row r="117" spans="6:14" x14ac:dyDescent="0.25">
      <c r="F117" s="25">
        <v>4.32592</v>
      </c>
      <c r="G117" s="191">
        <v>43.310899999999997</v>
      </c>
    </row>
    <row r="118" spans="6:14" x14ac:dyDescent="0.25">
      <c r="F118" s="24">
        <v>4.3058000000000005</v>
      </c>
      <c r="G118" s="190">
        <v>43.16</v>
      </c>
    </row>
    <row r="119" spans="6:14" x14ac:dyDescent="0.25">
      <c r="F119" s="24">
        <v>4.3058000000000005</v>
      </c>
      <c r="G119" s="190">
        <v>43.1265</v>
      </c>
    </row>
    <row r="120" spans="6:14" x14ac:dyDescent="0.25">
      <c r="F120" s="25">
        <v>4.3058000000000005</v>
      </c>
      <c r="G120" s="191">
        <v>43.101900000000001</v>
      </c>
      <c r="J120" s="77" t="s">
        <v>66</v>
      </c>
      <c r="K120" s="178" t="s">
        <v>138</v>
      </c>
      <c r="L120" s="178" t="s">
        <v>71</v>
      </c>
      <c r="M120" s="178" t="s">
        <v>145</v>
      </c>
      <c r="N120" s="178" t="s">
        <v>146</v>
      </c>
    </row>
    <row r="121" spans="6:14" x14ac:dyDescent="0.25">
      <c r="J121" s="189">
        <v>13.3605</v>
      </c>
      <c r="K121" s="46">
        <v>16.9605</v>
      </c>
      <c r="L121" s="49">
        <v>16.5091</v>
      </c>
      <c r="M121" s="24">
        <v>3.1486000000000001</v>
      </c>
      <c r="N121" s="46">
        <v>12.5388888888889</v>
      </c>
    </row>
    <row r="122" spans="6:14" x14ac:dyDescent="0.25">
      <c r="J122" s="190">
        <v>13.462999999999999</v>
      </c>
      <c r="K122" s="46">
        <v>17.062999999999999</v>
      </c>
      <c r="L122" s="49">
        <v>16.595700000000001</v>
      </c>
      <c r="M122" s="24">
        <v>3.132700000000002</v>
      </c>
      <c r="N122" s="46">
        <v>12.980555555555497</v>
      </c>
    </row>
    <row r="123" spans="6:14" x14ac:dyDescent="0.25">
      <c r="J123" s="190">
        <v>13.6952</v>
      </c>
      <c r="K123" s="46">
        <v>17.295200000000001</v>
      </c>
      <c r="L123" s="49">
        <v>16.799800000000001</v>
      </c>
      <c r="M123" s="24">
        <v>3.1046</v>
      </c>
      <c r="N123" s="46">
        <v>13.76111111111112</v>
      </c>
    </row>
    <row r="124" spans="6:14" x14ac:dyDescent="0.25">
      <c r="J124" s="189">
        <v>13.49</v>
      </c>
      <c r="K124" s="45">
        <v>17.490000000000002</v>
      </c>
      <c r="L124" s="48">
        <v>16.884</v>
      </c>
      <c r="M124" s="70">
        <v>3.3939999999999984</v>
      </c>
      <c r="N124" s="45">
        <v>15.150000000000034</v>
      </c>
    </row>
    <row r="125" spans="6:14" x14ac:dyDescent="0.25">
      <c r="J125" s="190">
        <v>13.39</v>
      </c>
      <c r="K125" s="46">
        <v>17.39</v>
      </c>
      <c r="L125" s="49">
        <v>16.785</v>
      </c>
      <c r="M125" s="24">
        <v>3.3949999999999996</v>
      </c>
      <c r="N125" s="46">
        <v>15.125000000000014</v>
      </c>
    </row>
    <row r="126" spans="6:14" x14ac:dyDescent="0.25">
      <c r="J126" s="191">
        <v>13.41</v>
      </c>
      <c r="K126" s="47">
        <v>17.41</v>
      </c>
      <c r="L126" s="76">
        <v>16.801500000000001</v>
      </c>
      <c r="M126" s="25">
        <v>3.3915000000000006</v>
      </c>
      <c r="N126" s="47">
        <v>15.212499999999977</v>
      </c>
    </row>
    <row r="127" spans="6:14" x14ac:dyDescent="0.25">
      <c r="J127" s="189">
        <v>13.503500000000001</v>
      </c>
      <c r="K127" s="45">
        <v>17.503500000000003</v>
      </c>
      <c r="L127" s="48">
        <v>17.123699999999999</v>
      </c>
      <c r="M127" s="70">
        <v>3.620199999999997</v>
      </c>
      <c r="N127" s="45">
        <v>9.4950000000000756</v>
      </c>
    </row>
    <row r="128" spans="6:14" x14ac:dyDescent="0.25">
      <c r="J128" s="190">
        <v>13.5229</v>
      </c>
      <c r="K128" s="46">
        <v>17.5229</v>
      </c>
      <c r="L128" s="49">
        <v>17.1418</v>
      </c>
      <c r="M128" s="24">
        <v>3.6189</v>
      </c>
      <c r="N128" s="46">
        <v>9.5275000000000034</v>
      </c>
    </row>
    <row r="129" spans="10:14" x14ac:dyDescent="0.25">
      <c r="J129" s="191">
        <v>13.4999</v>
      </c>
      <c r="K129" s="47">
        <v>17.4999</v>
      </c>
      <c r="L129" s="76">
        <v>17.149100000000001</v>
      </c>
      <c r="M129" s="25">
        <v>3.6492000000000004</v>
      </c>
      <c r="N129" s="47">
        <v>8.7699999999999818</v>
      </c>
    </row>
    <row r="130" spans="10:14" x14ac:dyDescent="0.25">
      <c r="J130" s="190">
        <v>13.350099999999999</v>
      </c>
      <c r="K130" s="46">
        <v>17.350099999999998</v>
      </c>
      <c r="L130" s="49">
        <v>16.710599999999999</v>
      </c>
      <c r="M130" s="24">
        <v>3.3605000000000018</v>
      </c>
      <c r="N130" s="46">
        <v>15.987499999999955</v>
      </c>
    </row>
    <row r="131" spans="10:14" x14ac:dyDescent="0.25">
      <c r="J131" s="190">
        <v>13.437200000000001</v>
      </c>
      <c r="K131" s="46">
        <v>17.437200000000001</v>
      </c>
      <c r="L131" s="49">
        <v>16.757899999999999</v>
      </c>
      <c r="M131" s="24">
        <v>3.3206999999999987</v>
      </c>
      <c r="N131" s="46">
        <v>16.98250000000003</v>
      </c>
    </row>
    <row r="132" spans="10:14" x14ac:dyDescent="0.25">
      <c r="J132" s="191">
        <v>13.48</v>
      </c>
      <c r="K132" s="47">
        <v>17.48</v>
      </c>
      <c r="L132" s="191">
        <v>16.839600000000001</v>
      </c>
      <c r="M132" s="25">
        <v>3.3596000000000004</v>
      </c>
      <c r="N132" s="47">
        <v>16.009999999999991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2"/>
  <sheetViews>
    <sheetView zoomScale="57" zoomScaleNormal="110" workbookViewId="0">
      <selection activeCell="J12" sqref="J12"/>
    </sheetView>
  </sheetViews>
  <sheetFormatPr defaultColWidth="11" defaultRowHeight="15.75" x14ac:dyDescent="0.25"/>
  <cols>
    <col min="4" max="4" width="17.375" bestFit="1" customWidth="1"/>
    <col min="5" max="5" width="33" bestFit="1" customWidth="1"/>
    <col min="6" max="6" width="15" customWidth="1"/>
  </cols>
  <sheetData>
    <row r="2" spans="2:7" x14ac:dyDescent="0.25">
      <c r="B2" s="23" t="s">
        <v>72</v>
      </c>
      <c r="C2" s="26" t="s">
        <v>0</v>
      </c>
      <c r="D2" s="93" t="s">
        <v>148</v>
      </c>
      <c r="E2" s="93" t="s">
        <v>149</v>
      </c>
      <c r="F2" s="93" t="s">
        <v>150</v>
      </c>
      <c r="G2" s="100" t="s">
        <v>153</v>
      </c>
    </row>
    <row r="3" spans="2:7" x14ac:dyDescent="0.25">
      <c r="B3" s="23">
        <v>1</v>
      </c>
      <c r="C3" s="30" t="s">
        <v>77</v>
      </c>
      <c r="D3" s="30">
        <v>0.1</v>
      </c>
      <c r="E3" s="30">
        <v>5.04</v>
      </c>
      <c r="F3" s="3">
        <f>E3/D3</f>
        <v>50.4</v>
      </c>
      <c r="G3">
        <v>2668.9769999999999</v>
      </c>
    </row>
    <row r="4" spans="2:7" x14ac:dyDescent="0.25">
      <c r="B4" s="23">
        <v>2</v>
      </c>
      <c r="C4" s="30" t="s">
        <v>78</v>
      </c>
      <c r="D4" s="30">
        <v>0.1</v>
      </c>
      <c r="E4" s="30">
        <v>5.14</v>
      </c>
      <c r="F4" s="3">
        <f t="shared" ref="F4:F62" si="0">E4/D4</f>
        <v>51.399999999999991</v>
      </c>
      <c r="G4">
        <v>2793.143</v>
      </c>
    </row>
    <row r="5" spans="2:7" x14ac:dyDescent="0.25">
      <c r="B5" s="23">
        <v>3</v>
      </c>
      <c r="C5" s="30" t="s">
        <v>79</v>
      </c>
      <c r="D5" s="30">
        <v>0.1</v>
      </c>
      <c r="E5" s="30">
        <v>5.2</v>
      </c>
      <c r="F5" s="3">
        <f t="shared" si="0"/>
        <v>52</v>
      </c>
      <c r="G5">
        <v>2977.7249999999999</v>
      </c>
    </row>
    <row r="6" spans="2:7" x14ac:dyDescent="0.25">
      <c r="B6" s="23">
        <v>4</v>
      </c>
      <c r="C6" s="30" t="s">
        <v>80</v>
      </c>
      <c r="D6" s="30">
        <v>0.1</v>
      </c>
      <c r="E6" s="30">
        <v>5.04</v>
      </c>
      <c r="F6" s="3">
        <f t="shared" si="0"/>
        <v>50.4</v>
      </c>
      <c r="G6">
        <v>2024.635</v>
      </c>
    </row>
    <row r="7" spans="2:7" x14ac:dyDescent="0.25">
      <c r="B7" s="23">
        <v>5</v>
      </c>
      <c r="C7" s="30" t="s">
        <v>81</v>
      </c>
      <c r="D7" s="30">
        <v>0.1</v>
      </c>
      <c r="E7" s="30">
        <v>5.0599999999999996</v>
      </c>
      <c r="F7" s="3">
        <f t="shared" si="0"/>
        <v>50.599999999999994</v>
      </c>
      <c r="G7">
        <v>1992.34</v>
      </c>
    </row>
    <row r="8" spans="2:7" x14ac:dyDescent="0.25">
      <c r="B8" s="23">
        <v>6</v>
      </c>
      <c r="C8" s="30" t="s">
        <v>82</v>
      </c>
      <c r="D8" s="30">
        <v>0.1</v>
      </c>
      <c r="E8" s="30">
        <v>5.0999999999999996</v>
      </c>
      <c r="F8" s="3">
        <f t="shared" si="0"/>
        <v>50.999999999999993</v>
      </c>
      <c r="G8">
        <v>2036.9590000000001</v>
      </c>
    </row>
    <row r="9" spans="2:7" x14ac:dyDescent="0.25">
      <c r="B9" s="23">
        <v>7</v>
      </c>
      <c r="C9" s="30" t="s">
        <v>83</v>
      </c>
      <c r="D9" s="30">
        <v>0.1</v>
      </c>
      <c r="E9" s="30">
        <v>5.04</v>
      </c>
      <c r="F9" s="3">
        <f t="shared" si="0"/>
        <v>50.4</v>
      </c>
      <c r="G9">
        <v>2584.91</v>
      </c>
    </row>
    <row r="10" spans="2:7" x14ac:dyDescent="0.25">
      <c r="B10" s="23">
        <v>8</v>
      </c>
      <c r="C10" s="30" t="s">
        <v>84</v>
      </c>
      <c r="D10" s="30">
        <v>0.1</v>
      </c>
      <c r="E10" s="30">
        <v>5.16</v>
      </c>
      <c r="F10" s="3">
        <f t="shared" si="0"/>
        <v>51.6</v>
      </c>
      <c r="G10">
        <v>1987.066</v>
      </c>
    </row>
    <row r="11" spans="2:7" x14ac:dyDescent="0.25">
      <c r="B11" s="23">
        <v>9</v>
      </c>
      <c r="C11" s="30" t="s">
        <v>85</v>
      </c>
      <c r="D11" s="30">
        <v>0.1</v>
      </c>
      <c r="E11" s="30">
        <v>5.04</v>
      </c>
      <c r="F11" s="3">
        <f t="shared" si="0"/>
        <v>50.4</v>
      </c>
      <c r="G11">
        <v>2669.1280000000002</v>
      </c>
    </row>
    <row r="12" spans="2:7" x14ac:dyDescent="0.25">
      <c r="B12" s="23">
        <v>10</v>
      </c>
      <c r="C12" s="30" t="s">
        <v>86</v>
      </c>
      <c r="D12" s="30">
        <v>0.1</v>
      </c>
      <c r="E12" s="30">
        <v>5.04</v>
      </c>
      <c r="F12" s="3">
        <f t="shared" si="0"/>
        <v>50.4</v>
      </c>
      <c r="G12">
        <v>19.347799999999999</v>
      </c>
    </row>
    <row r="13" spans="2:7" x14ac:dyDescent="0.25">
      <c r="B13" s="23">
        <v>11</v>
      </c>
      <c r="C13" s="30" t="s">
        <v>87</v>
      </c>
      <c r="D13" s="30">
        <v>0.1</v>
      </c>
      <c r="E13" s="30">
        <v>5.04</v>
      </c>
      <c r="F13" s="3">
        <f t="shared" si="0"/>
        <v>50.4</v>
      </c>
      <c r="G13">
        <v>4.5867000000000004</v>
      </c>
    </row>
    <row r="14" spans="2:7" x14ac:dyDescent="0.25">
      <c r="B14" s="23">
        <v>12</v>
      </c>
      <c r="C14" s="30" t="s">
        <v>88</v>
      </c>
      <c r="D14" s="30">
        <v>0.1</v>
      </c>
      <c r="E14" s="30">
        <v>5</v>
      </c>
      <c r="F14" s="3">
        <f t="shared" si="0"/>
        <v>50</v>
      </c>
      <c r="G14">
        <v>2.3346</v>
      </c>
    </row>
    <row r="15" spans="2:7" x14ac:dyDescent="0.25">
      <c r="B15" s="23">
        <v>13</v>
      </c>
      <c r="C15" s="30" t="s">
        <v>89</v>
      </c>
      <c r="D15" s="30">
        <v>0.1</v>
      </c>
      <c r="E15" s="30">
        <v>5.0199999999999996</v>
      </c>
      <c r="F15" s="3">
        <f t="shared" si="0"/>
        <v>50.199999999999996</v>
      </c>
      <c r="G15">
        <v>1253.2139999999999</v>
      </c>
    </row>
    <row r="16" spans="2:7" x14ac:dyDescent="0.25">
      <c r="B16" s="23">
        <v>14</v>
      </c>
      <c r="C16" s="30" t="s">
        <v>90</v>
      </c>
      <c r="D16" s="30">
        <v>0.1</v>
      </c>
      <c r="E16" s="30">
        <v>5.01</v>
      </c>
      <c r="F16" s="3">
        <f t="shared" si="0"/>
        <v>50.099999999999994</v>
      </c>
      <c r="G16">
        <v>1088.8510000000001</v>
      </c>
    </row>
    <row r="17" spans="2:7" x14ac:dyDescent="0.25">
      <c r="B17" s="23">
        <v>15</v>
      </c>
      <c r="C17" s="30" t="s">
        <v>91</v>
      </c>
      <c r="D17" s="30">
        <v>0.1</v>
      </c>
      <c r="E17" s="30">
        <v>5</v>
      </c>
      <c r="F17" s="3">
        <f t="shared" si="0"/>
        <v>50</v>
      </c>
      <c r="G17">
        <v>1042.9580000000001</v>
      </c>
    </row>
    <row r="18" spans="2:7" x14ac:dyDescent="0.25">
      <c r="B18" s="23">
        <v>16</v>
      </c>
      <c r="C18" s="30" t="s">
        <v>92</v>
      </c>
      <c r="D18" s="30">
        <v>0.09</v>
      </c>
      <c r="E18" s="30">
        <v>4.91</v>
      </c>
      <c r="F18" s="3">
        <f t="shared" si="0"/>
        <v>54.555555555555557</v>
      </c>
      <c r="G18">
        <v>1220.934</v>
      </c>
    </row>
    <row r="19" spans="2:7" x14ac:dyDescent="0.25">
      <c r="B19" s="23">
        <v>17</v>
      </c>
      <c r="C19" s="30" t="s">
        <v>93</v>
      </c>
      <c r="D19" s="30">
        <v>0.1</v>
      </c>
      <c r="E19" s="30">
        <v>5.03</v>
      </c>
      <c r="F19" s="3">
        <f t="shared" si="0"/>
        <v>50.3</v>
      </c>
      <c r="G19">
        <v>1153.578</v>
      </c>
    </row>
    <row r="20" spans="2:7" x14ac:dyDescent="0.25">
      <c r="B20" s="23">
        <v>18</v>
      </c>
      <c r="C20" s="30" t="s">
        <v>94</v>
      </c>
      <c r="D20" s="30">
        <v>0.1</v>
      </c>
      <c r="E20" s="30">
        <v>5.05</v>
      </c>
      <c r="F20" s="3">
        <f t="shared" si="0"/>
        <v>50.499999999999993</v>
      </c>
      <c r="G20">
        <v>1129.568</v>
      </c>
    </row>
    <row r="21" spans="2:7" x14ac:dyDescent="0.25">
      <c r="B21" s="23">
        <v>19</v>
      </c>
      <c r="C21" s="30" t="s">
        <v>95</v>
      </c>
      <c r="D21" s="30">
        <v>0.1</v>
      </c>
      <c r="E21" s="30">
        <v>5.05</v>
      </c>
      <c r="F21" s="3">
        <f t="shared" si="0"/>
        <v>50.499999999999993</v>
      </c>
      <c r="G21">
        <v>990.66869999999994</v>
      </c>
    </row>
    <row r="22" spans="2:7" x14ac:dyDescent="0.25">
      <c r="B22" s="23">
        <v>20</v>
      </c>
      <c r="C22" s="30" t="s">
        <v>96</v>
      </c>
      <c r="D22" s="30">
        <v>0.09</v>
      </c>
      <c r="E22" s="30">
        <v>4.57</v>
      </c>
      <c r="F22" s="3">
        <f t="shared" si="0"/>
        <v>50.777777777777786</v>
      </c>
      <c r="G22">
        <v>1156.2470000000001</v>
      </c>
    </row>
    <row r="23" spans="2:7" x14ac:dyDescent="0.25">
      <c r="B23" s="23">
        <v>21</v>
      </c>
      <c r="C23" s="30" t="s">
        <v>97</v>
      </c>
      <c r="D23" s="30">
        <v>0.09</v>
      </c>
      <c r="E23" s="30">
        <v>4.6900000000000004</v>
      </c>
      <c r="F23" s="3">
        <f t="shared" si="0"/>
        <v>52.111111111111114</v>
      </c>
      <c r="G23">
        <v>1133.019</v>
      </c>
    </row>
    <row r="24" spans="2:7" x14ac:dyDescent="0.25">
      <c r="B24" s="23">
        <v>22</v>
      </c>
      <c r="C24" s="30" t="s">
        <v>98</v>
      </c>
      <c r="D24" s="30">
        <v>0.1</v>
      </c>
      <c r="E24" s="30">
        <v>5.0199999999999996</v>
      </c>
      <c r="F24" s="3">
        <f t="shared" si="0"/>
        <v>50.199999999999996</v>
      </c>
      <c r="G24">
        <v>1.6102000000000001</v>
      </c>
    </row>
    <row r="25" spans="2:7" x14ac:dyDescent="0.25">
      <c r="B25" s="23">
        <v>23</v>
      </c>
      <c r="C25" s="30" t="s">
        <v>99</v>
      </c>
      <c r="D25" s="30">
        <v>0.1</v>
      </c>
      <c r="E25" s="30">
        <v>4.99</v>
      </c>
      <c r="F25" s="3">
        <f t="shared" si="0"/>
        <v>49.9</v>
      </c>
      <c r="G25">
        <v>2.3761999999999999</v>
      </c>
    </row>
    <row r="26" spans="2:7" x14ac:dyDescent="0.25">
      <c r="B26" s="23">
        <v>24</v>
      </c>
      <c r="C26" s="30" t="s">
        <v>100</v>
      </c>
      <c r="D26" s="30">
        <v>0.09</v>
      </c>
      <c r="E26" s="30">
        <v>4.5199999999999996</v>
      </c>
      <c r="F26" s="3">
        <f t="shared" si="0"/>
        <v>50.222222222222221</v>
      </c>
      <c r="G26">
        <v>13.5771</v>
      </c>
    </row>
    <row r="27" spans="2:7" x14ac:dyDescent="0.25">
      <c r="B27" s="23">
        <v>25</v>
      </c>
      <c r="C27" s="30" t="s">
        <v>101</v>
      </c>
      <c r="D27" s="30">
        <v>0.1</v>
      </c>
      <c r="E27" s="30">
        <v>5.04</v>
      </c>
      <c r="F27" s="3">
        <f t="shared" si="0"/>
        <v>50.4</v>
      </c>
      <c r="G27">
        <v>755.36990000000003</v>
      </c>
    </row>
    <row r="28" spans="2:7" x14ac:dyDescent="0.25">
      <c r="B28" s="23">
        <v>26</v>
      </c>
      <c r="C28" s="30" t="s">
        <v>102</v>
      </c>
      <c r="D28" s="30">
        <v>0.1</v>
      </c>
      <c r="E28" s="30">
        <v>5.1100000000000003</v>
      </c>
      <c r="F28" s="3">
        <f t="shared" si="0"/>
        <v>51.1</v>
      </c>
      <c r="G28">
        <v>665.5145</v>
      </c>
    </row>
    <row r="29" spans="2:7" x14ac:dyDescent="0.25">
      <c r="B29" s="23">
        <v>27</v>
      </c>
      <c r="C29" s="30" t="s">
        <v>103</v>
      </c>
      <c r="D29" s="30">
        <v>0.1</v>
      </c>
      <c r="E29" s="30">
        <v>5.1100000000000003</v>
      </c>
      <c r="F29" s="3">
        <f t="shared" si="0"/>
        <v>51.1</v>
      </c>
      <c r="G29">
        <v>633.57309999999995</v>
      </c>
    </row>
    <row r="30" spans="2:7" x14ac:dyDescent="0.25">
      <c r="B30" s="23">
        <v>28</v>
      </c>
      <c r="C30" s="30" t="s">
        <v>104</v>
      </c>
      <c r="D30" s="30">
        <v>0.09</v>
      </c>
      <c r="E30" s="30">
        <v>4.5599999999999996</v>
      </c>
      <c r="F30" s="3">
        <f t="shared" si="0"/>
        <v>50.666666666666664</v>
      </c>
      <c r="G30">
        <v>767.42880000000002</v>
      </c>
    </row>
    <row r="31" spans="2:7" x14ac:dyDescent="0.25">
      <c r="B31" s="23">
        <v>29</v>
      </c>
      <c r="C31" s="30" t="s">
        <v>105</v>
      </c>
      <c r="D31" s="30">
        <v>0.1</v>
      </c>
      <c r="E31" s="30">
        <v>5.07</v>
      </c>
      <c r="F31" s="3">
        <f t="shared" si="0"/>
        <v>50.7</v>
      </c>
      <c r="G31">
        <v>716.75980000000004</v>
      </c>
    </row>
    <row r="32" spans="2:7" x14ac:dyDescent="0.25">
      <c r="B32" s="23">
        <v>30</v>
      </c>
      <c r="C32" s="30" t="s">
        <v>106</v>
      </c>
      <c r="D32" s="30">
        <v>0.1</v>
      </c>
      <c r="E32" s="30">
        <v>5</v>
      </c>
      <c r="F32" s="3">
        <f t="shared" si="0"/>
        <v>50</v>
      </c>
      <c r="G32">
        <v>679.34079999999994</v>
      </c>
    </row>
    <row r="33" spans="2:7" x14ac:dyDescent="0.25">
      <c r="B33" s="23">
        <v>31</v>
      </c>
      <c r="C33" s="30" t="s">
        <v>107</v>
      </c>
      <c r="D33" s="30">
        <v>0.1</v>
      </c>
      <c r="E33" s="30">
        <v>5.05</v>
      </c>
      <c r="F33" s="3">
        <f t="shared" si="0"/>
        <v>50.499999999999993</v>
      </c>
      <c r="G33">
        <v>718.08330000000001</v>
      </c>
    </row>
    <row r="34" spans="2:7" x14ac:dyDescent="0.25">
      <c r="B34" s="23">
        <v>32</v>
      </c>
      <c r="C34" s="30" t="s">
        <v>108</v>
      </c>
      <c r="D34" s="30">
        <v>0.1</v>
      </c>
      <c r="E34" s="30">
        <v>5.07</v>
      </c>
      <c r="F34" s="3">
        <f t="shared" si="0"/>
        <v>50.7</v>
      </c>
      <c r="G34">
        <v>730.72379999999998</v>
      </c>
    </row>
    <row r="35" spans="2:7" x14ac:dyDescent="0.25">
      <c r="B35" s="23">
        <v>33</v>
      </c>
      <c r="C35" s="30" t="s">
        <v>109</v>
      </c>
      <c r="D35" s="30">
        <v>0.1</v>
      </c>
      <c r="E35" s="30">
        <v>5.0599999999999996</v>
      </c>
      <c r="F35" s="3">
        <f t="shared" si="0"/>
        <v>50.599999999999994</v>
      </c>
      <c r="G35">
        <v>736.24800000000005</v>
      </c>
    </row>
    <row r="36" spans="2:7" x14ac:dyDescent="0.25">
      <c r="B36" s="23">
        <v>34</v>
      </c>
      <c r="C36" s="30" t="s">
        <v>110</v>
      </c>
      <c r="D36" s="30">
        <v>0.1</v>
      </c>
      <c r="E36" s="30">
        <v>4.91</v>
      </c>
      <c r="F36" s="3">
        <f t="shared" si="0"/>
        <v>49.1</v>
      </c>
      <c r="G36">
        <v>100.71420000000001</v>
      </c>
    </row>
    <row r="37" spans="2:7" x14ac:dyDescent="0.25">
      <c r="B37" s="23">
        <v>35</v>
      </c>
      <c r="C37" s="30" t="s">
        <v>111</v>
      </c>
      <c r="D37" s="30">
        <v>0.1</v>
      </c>
      <c r="E37" s="30">
        <v>5.07</v>
      </c>
      <c r="F37" s="3">
        <f t="shared" si="0"/>
        <v>50.7</v>
      </c>
      <c r="G37">
        <v>104.5042</v>
      </c>
    </row>
    <row r="38" spans="2:7" x14ac:dyDescent="0.25">
      <c r="B38" s="23">
        <v>36</v>
      </c>
      <c r="C38" s="30" t="s">
        <v>112</v>
      </c>
      <c r="D38" s="30">
        <v>0.1</v>
      </c>
      <c r="E38" s="30">
        <v>5.01</v>
      </c>
      <c r="F38" s="3">
        <f t="shared" si="0"/>
        <v>50.099999999999994</v>
      </c>
      <c r="G38">
        <v>85.917100000000005</v>
      </c>
    </row>
    <row r="39" spans="2:7" x14ac:dyDescent="0.25">
      <c r="B39" s="23">
        <v>37</v>
      </c>
      <c r="C39" s="30" t="s">
        <v>114</v>
      </c>
      <c r="D39" s="30">
        <v>0.1</v>
      </c>
      <c r="E39" s="30">
        <v>5.07</v>
      </c>
      <c r="F39" s="3">
        <f t="shared" si="0"/>
        <v>50.7</v>
      </c>
      <c r="G39">
        <v>532.81410000000005</v>
      </c>
    </row>
    <row r="40" spans="2:7" x14ac:dyDescent="0.25">
      <c r="B40" s="23">
        <v>38</v>
      </c>
      <c r="C40" s="30" t="s">
        <v>115</v>
      </c>
      <c r="D40" s="30">
        <v>0.1</v>
      </c>
      <c r="E40" s="30">
        <v>5.04</v>
      </c>
      <c r="F40" s="3">
        <f t="shared" si="0"/>
        <v>50.4</v>
      </c>
      <c r="G40">
        <v>502.3999</v>
      </c>
    </row>
    <row r="41" spans="2:7" x14ac:dyDescent="0.25">
      <c r="B41" s="23">
        <v>39</v>
      </c>
      <c r="C41" s="30" t="s">
        <v>116</v>
      </c>
      <c r="D41" s="30">
        <v>0.1</v>
      </c>
      <c r="E41" s="30">
        <v>5.04</v>
      </c>
      <c r="F41" s="3">
        <f t="shared" si="0"/>
        <v>50.4</v>
      </c>
      <c r="G41">
        <v>502.79289999999997</v>
      </c>
    </row>
    <row r="42" spans="2:7" x14ac:dyDescent="0.25">
      <c r="B42" s="23">
        <v>40</v>
      </c>
      <c r="C42" s="30" t="s">
        <v>117</v>
      </c>
      <c r="D42" s="30">
        <v>0.1</v>
      </c>
      <c r="E42" s="30">
        <v>5.0999999999999996</v>
      </c>
      <c r="F42" s="3">
        <f t="shared" si="0"/>
        <v>50.999999999999993</v>
      </c>
      <c r="G42">
        <v>522.67449999999997</v>
      </c>
    </row>
    <row r="43" spans="2:7" x14ac:dyDescent="0.25">
      <c r="B43" s="23">
        <v>41</v>
      </c>
      <c r="C43" s="30" t="s">
        <v>118</v>
      </c>
      <c r="D43" s="30">
        <v>0.1</v>
      </c>
      <c r="E43" s="30">
        <v>5.0599999999999996</v>
      </c>
      <c r="F43" s="3">
        <f t="shared" si="0"/>
        <v>50.599999999999994</v>
      </c>
      <c r="G43">
        <v>502.01010000000002</v>
      </c>
    </row>
    <row r="44" spans="2:7" x14ac:dyDescent="0.25">
      <c r="B44" s="23">
        <v>42</v>
      </c>
      <c r="C44" s="30" t="s">
        <v>119</v>
      </c>
      <c r="D44" s="30">
        <v>0.1</v>
      </c>
      <c r="E44" s="30">
        <v>5.0599999999999996</v>
      </c>
      <c r="F44" s="3">
        <f t="shared" si="0"/>
        <v>50.599999999999994</v>
      </c>
      <c r="G44">
        <v>526.85429999999997</v>
      </c>
    </row>
    <row r="45" spans="2:7" x14ac:dyDescent="0.25">
      <c r="B45" s="23">
        <v>43</v>
      </c>
      <c r="C45" s="30" t="s">
        <v>120</v>
      </c>
      <c r="D45" s="30">
        <v>0.1</v>
      </c>
      <c r="E45" s="30">
        <v>5.0599999999999996</v>
      </c>
      <c r="F45" s="3">
        <f t="shared" si="0"/>
        <v>50.599999999999994</v>
      </c>
      <c r="G45">
        <v>513.79880000000003</v>
      </c>
    </row>
    <row r="46" spans="2:7" x14ac:dyDescent="0.25">
      <c r="B46" s="23">
        <v>44</v>
      </c>
      <c r="C46" s="30" t="s">
        <v>121</v>
      </c>
      <c r="D46" s="30">
        <v>0.1</v>
      </c>
      <c r="E46" s="30">
        <v>5.01</v>
      </c>
      <c r="F46" s="3">
        <f t="shared" si="0"/>
        <v>50.099999999999994</v>
      </c>
      <c r="G46">
        <v>568.90620000000001</v>
      </c>
    </row>
    <row r="47" spans="2:7" x14ac:dyDescent="0.25">
      <c r="B47" s="23">
        <v>45</v>
      </c>
      <c r="C47" s="30" t="s">
        <v>122</v>
      </c>
      <c r="D47" s="30">
        <v>0.1</v>
      </c>
      <c r="E47" s="30">
        <v>5.34</v>
      </c>
      <c r="F47" s="3">
        <f t="shared" si="0"/>
        <v>53.4</v>
      </c>
      <c r="G47">
        <v>550.47170000000006</v>
      </c>
    </row>
    <row r="48" spans="2:7" x14ac:dyDescent="0.25">
      <c r="B48" s="23">
        <v>46</v>
      </c>
      <c r="C48" s="30" t="s">
        <v>123</v>
      </c>
      <c r="D48" s="30">
        <v>0.1</v>
      </c>
      <c r="E48" s="30">
        <v>5.05</v>
      </c>
      <c r="F48" s="3">
        <f t="shared" si="0"/>
        <v>50.499999999999993</v>
      </c>
      <c r="G48">
        <v>223.95349999999999</v>
      </c>
    </row>
    <row r="49" spans="2:7" x14ac:dyDescent="0.25">
      <c r="B49" s="23">
        <v>47</v>
      </c>
      <c r="C49" s="30" t="s">
        <v>124</v>
      </c>
      <c r="D49" s="30">
        <v>0.1</v>
      </c>
      <c r="E49" s="30">
        <v>5.07</v>
      </c>
      <c r="F49" s="3">
        <f t="shared" si="0"/>
        <v>50.7</v>
      </c>
      <c r="G49">
        <v>204.99160000000001</v>
      </c>
    </row>
    <row r="50" spans="2:7" x14ac:dyDescent="0.25">
      <c r="B50" s="23">
        <v>48</v>
      </c>
      <c r="C50" s="30" t="s">
        <v>125</v>
      </c>
      <c r="D50" s="30">
        <v>0.1</v>
      </c>
      <c r="E50" s="30">
        <v>5.0199999999999996</v>
      </c>
      <c r="F50" s="3">
        <f t="shared" si="0"/>
        <v>50.199999999999996</v>
      </c>
      <c r="G50">
        <v>212.18960000000001</v>
      </c>
    </row>
    <row r="51" spans="2:7" x14ac:dyDescent="0.25">
      <c r="B51" s="23">
        <v>49</v>
      </c>
      <c r="C51" s="30" t="s">
        <v>126</v>
      </c>
      <c r="D51" s="30">
        <v>0.1</v>
      </c>
      <c r="E51" s="30">
        <v>5.03</v>
      </c>
      <c r="F51" s="3">
        <f t="shared" si="0"/>
        <v>50.3</v>
      </c>
      <c r="G51">
        <v>497.74149999999997</v>
      </c>
    </row>
    <row r="52" spans="2:7" x14ac:dyDescent="0.25">
      <c r="B52" s="23">
        <v>50</v>
      </c>
      <c r="C52" s="30" t="s">
        <v>127</v>
      </c>
      <c r="D52" s="30">
        <v>0.1</v>
      </c>
      <c r="E52" s="30">
        <v>5.0599999999999996</v>
      </c>
      <c r="F52" s="3">
        <f t="shared" si="0"/>
        <v>50.599999999999994</v>
      </c>
      <c r="G52">
        <v>442.15280000000001</v>
      </c>
    </row>
    <row r="53" spans="2:7" x14ac:dyDescent="0.25">
      <c r="B53" s="23">
        <v>51</v>
      </c>
      <c r="C53" s="30" t="s">
        <v>128</v>
      </c>
      <c r="D53" s="30">
        <v>0.1</v>
      </c>
      <c r="E53" s="30">
        <v>5.26</v>
      </c>
      <c r="F53" s="3">
        <f t="shared" si="0"/>
        <v>52.599999999999994</v>
      </c>
      <c r="G53">
        <v>463.26609999999999</v>
      </c>
    </row>
    <row r="54" spans="2:7" x14ac:dyDescent="0.25">
      <c r="B54" s="23">
        <v>52</v>
      </c>
      <c r="C54" s="30" t="s">
        <v>129</v>
      </c>
      <c r="D54" s="30">
        <v>0.1</v>
      </c>
      <c r="E54" s="30">
        <v>5.07</v>
      </c>
      <c r="F54" s="3">
        <f t="shared" si="0"/>
        <v>50.7</v>
      </c>
      <c r="G54">
        <v>424.39190000000002</v>
      </c>
    </row>
    <row r="55" spans="2:7" x14ac:dyDescent="0.25">
      <c r="B55" s="23">
        <v>53</v>
      </c>
      <c r="C55" s="30" t="s">
        <v>130</v>
      </c>
      <c r="D55" s="30">
        <v>0.1</v>
      </c>
      <c r="E55" s="30">
        <v>5.18</v>
      </c>
      <c r="F55" s="3">
        <f t="shared" si="0"/>
        <v>51.8</v>
      </c>
      <c r="G55">
        <v>416.20830000000001</v>
      </c>
    </row>
    <row r="56" spans="2:7" x14ac:dyDescent="0.25">
      <c r="B56" s="23">
        <v>54</v>
      </c>
      <c r="C56" s="30" t="s">
        <v>131</v>
      </c>
      <c r="D56" s="30">
        <v>0.1</v>
      </c>
      <c r="E56" s="30">
        <v>5.08</v>
      </c>
      <c r="F56" s="3">
        <f t="shared" si="0"/>
        <v>50.8</v>
      </c>
      <c r="G56">
        <v>421.55770000000001</v>
      </c>
    </row>
    <row r="57" spans="2:7" x14ac:dyDescent="0.25">
      <c r="B57" s="23">
        <v>55</v>
      </c>
      <c r="C57" s="30" t="s">
        <v>132</v>
      </c>
      <c r="D57" s="30">
        <v>0.1</v>
      </c>
      <c r="E57" s="30">
        <v>5.08</v>
      </c>
      <c r="F57" s="3">
        <f t="shared" si="0"/>
        <v>50.8</v>
      </c>
      <c r="G57">
        <v>551.47490000000005</v>
      </c>
    </row>
    <row r="58" spans="2:7" x14ac:dyDescent="0.25">
      <c r="B58" s="23">
        <v>56</v>
      </c>
      <c r="C58" s="30" t="s">
        <v>133</v>
      </c>
      <c r="D58" s="30">
        <v>0.1</v>
      </c>
      <c r="E58" s="30">
        <v>5.18</v>
      </c>
      <c r="F58" s="3">
        <f t="shared" si="0"/>
        <v>51.8</v>
      </c>
      <c r="G58">
        <v>516.76530000000002</v>
      </c>
    </row>
    <row r="59" spans="2:7" x14ac:dyDescent="0.25">
      <c r="B59" s="23">
        <v>57</v>
      </c>
      <c r="C59" s="30" t="s">
        <v>134</v>
      </c>
      <c r="D59" s="30">
        <v>0.1</v>
      </c>
      <c r="E59" s="30">
        <v>5.08</v>
      </c>
      <c r="F59" s="3">
        <f t="shared" si="0"/>
        <v>50.8</v>
      </c>
      <c r="G59">
        <v>495.90069999999997</v>
      </c>
    </row>
    <row r="60" spans="2:7" x14ac:dyDescent="0.25">
      <c r="B60" s="23">
        <v>58</v>
      </c>
      <c r="C60" s="30" t="s">
        <v>135</v>
      </c>
      <c r="D60" s="30">
        <v>0.1</v>
      </c>
      <c r="E60" s="30">
        <v>5.01</v>
      </c>
      <c r="F60" s="3">
        <f t="shared" si="0"/>
        <v>50.099999999999994</v>
      </c>
      <c r="G60">
        <v>105.51390000000001</v>
      </c>
    </row>
    <row r="61" spans="2:7" x14ac:dyDescent="0.25">
      <c r="B61" s="23">
        <v>59</v>
      </c>
      <c r="C61" s="30" t="s">
        <v>136</v>
      </c>
      <c r="D61" s="30">
        <v>0.1</v>
      </c>
      <c r="E61" s="30">
        <v>5</v>
      </c>
      <c r="F61" s="3">
        <f t="shared" si="0"/>
        <v>50</v>
      </c>
      <c r="G61">
        <v>262.50049999999999</v>
      </c>
    </row>
    <row r="62" spans="2:7" x14ac:dyDescent="0.25">
      <c r="B62" s="23">
        <v>60</v>
      </c>
      <c r="C62" s="30" t="s">
        <v>137</v>
      </c>
      <c r="D62" s="30">
        <v>0.1</v>
      </c>
      <c r="E62" s="30">
        <v>5.13</v>
      </c>
      <c r="F62" s="3">
        <f t="shared" si="0"/>
        <v>51.3</v>
      </c>
      <c r="G62">
        <v>270.39780000000002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43"/>
  <sheetViews>
    <sheetView zoomScale="114" zoomScaleNormal="120" workbookViewId="0">
      <selection activeCell="D40" sqref="D40:E43"/>
    </sheetView>
  </sheetViews>
  <sheetFormatPr defaultColWidth="10.875" defaultRowHeight="15" x14ac:dyDescent="0.25"/>
  <cols>
    <col min="1" max="1" width="10.875" style="193"/>
    <col min="2" max="2" width="14" style="193" customWidth="1"/>
    <col min="3" max="3" width="15.875" style="193" customWidth="1"/>
    <col min="4" max="4" width="24.5" style="193" customWidth="1"/>
    <col min="5" max="5" width="19.375" style="193" bestFit="1" customWidth="1"/>
    <col min="6" max="6" width="19" style="193" bestFit="1" customWidth="1"/>
    <col min="7" max="7" width="23.375" style="193" bestFit="1" customWidth="1"/>
    <col min="8" max="8" width="11.625" style="193" bestFit="1" customWidth="1"/>
    <col min="9" max="10" width="7" style="193" customWidth="1"/>
    <col min="11" max="11" width="27.5" style="193" bestFit="1" customWidth="1"/>
    <col min="12" max="12" width="12.625" style="193" bestFit="1" customWidth="1"/>
    <col min="13" max="13" width="10.875" style="193"/>
    <col min="14" max="14" width="6.625" style="193" customWidth="1"/>
    <col min="15" max="15" width="27.5" style="193" bestFit="1" customWidth="1"/>
    <col min="16" max="16384" width="10.875" style="193"/>
  </cols>
  <sheetData>
    <row r="4" spans="2:8" x14ac:dyDescent="0.25">
      <c r="B4" s="193" t="s">
        <v>306</v>
      </c>
      <c r="C4" s="193">
        <f>C9*(D9/E9)*(F9/G9)</f>
        <v>26.041124143247014</v>
      </c>
    </row>
    <row r="8" spans="2:8" x14ac:dyDescent="0.25">
      <c r="B8" s="199" t="s">
        <v>305</v>
      </c>
      <c r="C8" s="248" t="s">
        <v>20</v>
      </c>
      <c r="D8" s="199" t="s">
        <v>303</v>
      </c>
      <c r="E8" s="199" t="s">
        <v>302</v>
      </c>
      <c r="F8" s="248" t="s">
        <v>304</v>
      </c>
      <c r="G8" s="230" t="s">
        <v>300</v>
      </c>
    </row>
    <row r="9" spans="2:8" x14ac:dyDescent="0.25">
      <c r="B9" s="247">
        <f>C9*(D9/E9)*(F9/G9)</f>
        <v>26.041124143247014</v>
      </c>
      <c r="C9" s="246">
        <v>10</v>
      </c>
      <c r="D9" s="245">
        <v>1.4</v>
      </c>
      <c r="E9" s="245">
        <v>1</v>
      </c>
      <c r="F9" s="245">
        <v>0.25</v>
      </c>
      <c r="G9" s="202">
        <f>M32</f>
        <v>0.13440280000000002</v>
      </c>
    </row>
    <row r="10" spans="2:8" x14ac:dyDescent="0.25">
      <c r="C10" s="244"/>
    </row>
    <row r="11" spans="2:8" x14ac:dyDescent="0.25">
      <c r="B11" s="207" t="s">
        <v>303</v>
      </c>
      <c r="C11" s="243"/>
      <c r="D11" s="242">
        <v>1.4</v>
      </c>
    </row>
    <row r="12" spans="2:8" x14ac:dyDescent="0.25">
      <c r="B12" s="241" t="s">
        <v>302</v>
      </c>
      <c r="D12" s="240">
        <v>1.0249999999999999</v>
      </c>
      <c r="E12" s="193" t="s">
        <v>301</v>
      </c>
    </row>
    <row r="13" spans="2:8" x14ac:dyDescent="0.25">
      <c r="B13" s="239" t="s">
        <v>300</v>
      </c>
      <c r="C13" s="238"/>
      <c r="D13" s="203">
        <f>Q32</f>
        <v>0.14186400000000002</v>
      </c>
    </row>
    <row r="15" spans="2:8" x14ac:dyDescent="0.25">
      <c r="B15" s="264" t="s">
        <v>14</v>
      </c>
      <c r="C15" s="266" t="s">
        <v>285</v>
      </c>
      <c r="D15" s="258" t="s">
        <v>299</v>
      </c>
      <c r="E15" s="259"/>
      <c r="F15" s="259"/>
      <c r="G15" s="259"/>
      <c r="H15" s="260"/>
    </row>
    <row r="16" spans="2:8" x14ac:dyDescent="0.25">
      <c r="B16" s="265"/>
      <c r="C16" s="267"/>
      <c r="D16" s="237">
        <v>0.25</v>
      </c>
      <c r="E16" s="237">
        <v>0.5</v>
      </c>
      <c r="F16" s="237">
        <v>1</v>
      </c>
      <c r="G16" s="237">
        <v>1.25</v>
      </c>
      <c r="H16" s="236">
        <v>1.5</v>
      </c>
    </row>
    <row r="17" spans="2:17" x14ac:dyDescent="0.25">
      <c r="B17" s="235">
        <v>1</v>
      </c>
      <c r="C17" s="234">
        <v>10.050000000000001</v>
      </c>
      <c r="D17" s="233">
        <f>C17*($D$11/$D$12)*($D$16/$D$13)</f>
        <v>24.190120940289084</v>
      </c>
      <c r="E17" s="232">
        <f>C17*($D$11/$D$12)*($E$16/$D$13)</f>
        <v>48.380241880578168</v>
      </c>
      <c r="F17" s="232">
        <f>C17*($D$11/$D$12)*($F$16/$D$13)</f>
        <v>96.760483761156337</v>
      </c>
      <c r="G17" s="232">
        <f>C17*($D$11/$D$12)*($G$16/$D$13)</f>
        <v>120.95060470144543</v>
      </c>
      <c r="H17" s="231">
        <f>C17*($D$11/$D$12)*($H$16/$D$13)</f>
        <v>145.14072564173452</v>
      </c>
      <c r="I17" s="261" t="s">
        <v>298</v>
      </c>
      <c r="J17" s="215"/>
    </row>
    <row r="18" spans="2:17" x14ac:dyDescent="0.25">
      <c r="B18" s="225">
        <v>2</v>
      </c>
      <c r="C18" s="224">
        <v>20.07</v>
      </c>
      <c r="D18" s="223">
        <f>C18*($D$11/$D$12)*($D$16/$D$13)</f>
        <v>48.308032564338497</v>
      </c>
      <c r="E18" s="222">
        <f>C18*($D$11/$D$12)*($E$16/$D$13)</f>
        <v>96.616065128676993</v>
      </c>
      <c r="F18" s="222">
        <f>C18*($D$11/$D$12)*($F$16/$D$13)</f>
        <v>193.23213025735399</v>
      </c>
      <c r="G18" s="222">
        <f>C18*($D$11/$D$12)*($G$16/$D$13)</f>
        <v>241.54016282169249</v>
      </c>
      <c r="H18" s="221">
        <f>C18*($D$11/$D$12)*($H$16/$D$13)</f>
        <v>289.84819538603097</v>
      </c>
      <c r="I18" s="262"/>
      <c r="J18" s="215"/>
      <c r="K18" s="199" t="s">
        <v>297</v>
      </c>
      <c r="L18" s="229" t="s">
        <v>296</v>
      </c>
      <c r="M18" s="230" t="s">
        <v>295</v>
      </c>
      <c r="O18" s="230" t="s">
        <v>297</v>
      </c>
      <c r="P18" s="229" t="s">
        <v>296</v>
      </c>
      <c r="Q18" s="228" t="s">
        <v>295</v>
      </c>
    </row>
    <row r="19" spans="2:17" x14ac:dyDescent="0.25">
      <c r="B19" s="225">
        <v>3</v>
      </c>
      <c r="C19" s="224">
        <v>30.1</v>
      </c>
      <c r="D19" s="223">
        <f>C19*($D$11/$D$12)*($D$16/$D$13)</f>
        <v>72.4500139604678</v>
      </c>
      <c r="E19" s="222">
        <f>C19*($D$11/$D$12)*($E$16/$D$13)</f>
        <v>144.9000279209356</v>
      </c>
      <c r="F19" s="222">
        <f>C19*($D$11/$D$12)*($F$16/$D$13)</f>
        <v>289.8000558418712</v>
      </c>
      <c r="G19" s="222">
        <f>C19*($D$11/$D$12)*($G$16/$D$13)</f>
        <v>362.25006980233906</v>
      </c>
      <c r="H19" s="221">
        <f>C19*($D$11/$D$12)*($H$16/$D$13)</f>
        <v>434.70008376280686</v>
      </c>
      <c r="I19" s="262"/>
      <c r="J19" s="215"/>
      <c r="K19" s="212" t="s">
        <v>267</v>
      </c>
      <c r="L19" s="227">
        <v>385.5</v>
      </c>
      <c r="M19" s="226">
        <f t="shared" ref="M19:M32" si="0">L19/1000</f>
        <v>0.38550000000000001</v>
      </c>
      <c r="O19" s="210" t="s">
        <v>267</v>
      </c>
      <c r="P19" s="209">
        <v>384.5</v>
      </c>
      <c r="Q19" s="226">
        <f t="shared" ref="Q19:Q32" si="1">P19/1000</f>
        <v>0.38450000000000001</v>
      </c>
    </row>
    <row r="20" spans="2:17" x14ac:dyDescent="0.25">
      <c r="B20" s="225">
        <v>4</v>
      </c>
      <c r="C20" s="224">
        <v>40.130000000000003</v>
      </c>
      <c r="D20" s="223">
        <f>C20*($D$11/$D$12)*($D$16/$D$13)</f>
        <v>96.59199535659711</v>
      </c>
      <c r="E20" s="222">
        <f>C20*($D$11/$D$12)*($E$16/$D$13)</f>
        <v>193.18399071319422</v>
      </c>
      <c r="F20" s="222">
        <f>C20*($D$11/$D$12)*($F$16/$D$13)</f>
        <v>386.36798142638844</v>
      </c>
      <c r="G20" s="222">
        <f>C20*($D$11/$D$12)*($G$16/$D$13)</f>
        <v>482.95997678298562</v>
      </c>
      <c r="H20" s="221">
        <f>C20*($D$11/$D$12)*($H$16/$D$13)</f>
        <v>579.55197213958274</v>
      </c>
      <c r="I20" s="262"/>
      <c r="J20" s="215"/>
      <c r="K20" s="212" t="s">
        <v>294</v>
      </c>
      <c r="L20" s="213">
        <v>412.5</v>
      </c>
      <c r="M20" s="208">
        <f t="shared" si="0"/>
        <v>0.41249999999999998</v>
      </c>
      <c r="O20" s="210" t="s">
        <v>294</v>
      </c>
      <c r="P20" s="209">
        <v>399.5</v>
      </c>
      <c r="Q20" s="208">
        <f t="shared" si="1"/>
        <v>0.39950000000000002</v>
      </c>
    </row>
    <row r="21" spans="2:17" x14ac:dyDescent="0.25">
      <c r="B21" s="220">
        <v>5</v>
      </c>
      <c r="C21" s="219">
        <v>50.150000000000006</v>
      </c>
      <c r="D21" s="218">
        <f>C21*($D$11/$D$12)*($D$16/$D$13)</f>
        <v>120.70990698064654</v>
      </c>
      <c r="E21" s="217">
        <f>C21*($D$11/$D$12)*($E$16/$D$13)</f>
        <v>241.41981396129307</v>
      </c>
      <c r="F21" s="217">
        <f>C21*($D$11/$D$12)*($F$16/$D$13)</f>
        <v>482.83962792258615</v>
      </c>
      <c r="G21" s="217">
        <f>C21*($D$11/$D$12)*($G$16/$D$13)</f>
        <v>603.54953490323271</v>
      </c>
      <c r="H21" s="216">
        <f>C21*($D$11/$D$12)*($H$16/$D$13)</f>
        <v>724.25944188387928</v>
      </c>
      <c r="I21" s="263"/>
      <c r="J21" s="215"/>
      <c r="K21" s="212" t="s">
        <v>293</v>
      </c>
      <c r="L21" s="213">
        <v>447.1</v>
      </c>
      <c r="M21" s="208">
        <f t="shared" si="0"/>
        <v>0.4471</v>
      </c>
      <c r="O21" s="210" t="s">
        <v>293</v>
      </c>
      <c r="P21" s="209">
        <v>450.3</v>
      </c>
      <c r="Q21" s="208">
        <f t="shared" si="1"/>
        <v>0.45030000000000003</v>
      </c>
    </row>
    <row r="22" spans="2:17" x14ac:dyDescent="0.25">
      <c r="K22" s="212" t="s">
        <v>292</v>
      </c>
      <c r="L22" s="213">
        <v>353.4</v>
      </c>
      <c r="M22" s="208">
        <f t="shared" si="0"/>
        <v>0.35339999999999999</v>
      </c>
      <c r="O22" s="210" t="s">
        <v>292</v>
      </c>
      <c r="P22" s="209">
        <v>424.3</v>
      </c>
      <c r="Q22" s="208">
        <f t="shared" si="1"/>
        <v>0.42430000000000001</v>
      </c>
    </row>
    <row r="23" spans="2:17" x14ac:dyDescent="0.25">
      <c r="K23" s="212" t="s">
        <v>291</v>
      </c>
      <c r="L23" s="213">
        <v>305.5</v>
      </c>
      <c r="M23" s="208">
        <f t="shared" si="0"/>
        <v>0.30549999999999999</v>
      </c>
      <c r="O23" s="210" t="s">
        <v>291</v>
      </c>
      <c r="P23" s="209">
        <v>298.39999999999998</v>
      </c>
      <c r="Q23" s="208">
        <f t="shared" si="1"/>
        <v>0.2984</v>
      </c>
    </row>
    <row r="24" spans="2:17" x14ac:dyDescent="0.25">
      <c r="K24" s="212" t="s">
        <v>290</v>
      </c>
      <c r="L24" s="213">
        <v>155.30000000000001</v>
      </c>
      <c r="M24" s="208">
        <f t="shared" si="0"/>
        <v>0.15530000000000002</v>
      </c>
      <c r="O24" s="210" t="s">
        <v>290</v>
      </c>
      <c r="P24" s="209">
        <v>185.3</v>
      </c>
      <c r="Q24" s="208">
        <f t="shared" si="1"/>
        <v>0.18530000000000002</v>
      </c>
    </row>
    <row r="25" spans="2:17" x14ac:dyDescent="0.25">
      <c r="K25" s="212" t="s">
        <v>289</v>
      </c>
      <c r="L25" s="213">
        <v>155.5</v>
      </c>
      <c r="M25" s="208">
        <f t="shared" si="0"/>
        <v>0.1555</v>
      </c>
      <c r="O25" s="210" t="s">
        <v>289</v>
      </c>
      <c r="P25" s="209">
        <v>153.80000000000001</v>
      </c>
      <c r="Q25" s="208">
        <f t="shared" si="1"/>
        <v>0.15380000000000002</v>
      </c>
    </row>
    <row r="26" spans="2:17" x14ac:dyDescent="0.25">
      <c r="K26" s="212" t="s">
        <v>288</v>
      </c>
      <c r="L26" s="213">
        <v>126.4</v>
      </c>
      <c r="M26" s="208">
        <f t="shared" si="0"/>
        <v>0.12640000000000001</v>
      </c>
      <c r="O26" s="210" t="s">
        <v>288</v>
      </c>
      <c r="P26" s="209">
        <v>134.80000000000001</v>
      </c>
      <c r="Q26" s="208">
        <f t="shared" si="1"/>
        <v>0.1348</v>
      </c>
    </row>
    <row r="27" spans="2:17" x14ac:dyDescent="0.25">
      <c r="K27" s="212" t="s">
        <v>287</v>
      </c>
      <c r="L27" s="213">
        <v>144.80000000000001</v>
      </c>
      <c r="M27" s="208">
        <f t="shared" si="0"/>
        <v>0.14480000000000001</v>
      </c>
      <c r="O27" s="210" t="s">
        <v>287</v>
      </c>
      <c r="P27" s="209">
        <v>128.19999999999999</v>
      </c>
      <c r="Q27" s="208">
        <f t="shared" si="1"/>
        <v>0.12819999999999998</v>
      </c>
    </row>
    <row r="28" spans="2:17" x14ac:dyDescent="0.25">
      <c r="B28" s="214"/>
      <c r="C28" s="214"/>
      <c r="D28" s="214"/>
      <c r="E28" s="214"/>
      <c r="F28" s="214"/>
      <c r="G28" s="214"/>
      <c r="H28" s="214"/>
      <c r="K28" s="212" t="s">
        <v>286</v>
      </c>
      <c r="L28" s="213">
        <v>114.6</v>
      </c>
      <c r="M28" s="208">
        <f t="shared" si="0"/>
        <v>0.11459999999999999</v>
      </c>
      <c r="O28" s="210" t="s">
        <v>286</v>
      </c>
      <c r="P28" s="209">
        <v>129.19999999999999</v>
      </c>
      <c r="Q28" s="208">
        <f t="shared" si="1"/>
        <v>0.12919999999999998</v>
      </c>
    </row>
    <row r="29" spans="2:17" ht="15.75" x14ac:dyDescent="0.25">
      <c r="B29" s="269" t="s">
        <v>14</v>
      </c>
      <c r="C29" s="269" t="s">
        <v>285</v>
      </c>
      <c r="D29" s="268" t="s">
        <v>284</v>
      </c>
      <c r="E29" s="268"/>
      <c r="F29" s="268"/>
      <c r="G29" s="268"/>
      <c r="H29" s="268"/>
      <c r="K29" s="212" t="s">
        <v>283</v>
      </c>
      <c r="L29" s="213">
        <v>118.2</v>
      </c>
      <c r="M29" s="208">
        <f t="shared" si="0"/>
        <v>0.1182</v>
      </c>
      <c r="O29" s="210" t="s">
        <v>283</v>
      </c>
      <c r="P29" s="209">
        <v>127.4</v>
      </c>
      <c r="Q29" s="208">
        <f t="shared" si="1"/>
        <v>0.12740000000000001</v>
      </c>
    </row>
    <row r="30" spans="2:17" ht="15.75" x14ac:dyDescent="0.25">
      <c r="B30" s="269"/>
      <c r="C30" s="269"/>
      <c r="D30" s="195" t="s">
        <v>282</v>
      </c>
      <c r="E30" s="195" t="s">
        <v>281</v>
      </c>
      <c r="F30" s="195" t="s">
        <v>280</v>
      </c>
      <c r="G30" s="195" t="s">
        <v>279</v>
      </c>
      <c r="H30" s="195" t="s">
        <v>278</v>
      </c>
      <c r="K30" s="212" t="s">
        <v>277</v>
      </c>
      <c r="L30" s="211">
        <v>203</v>
      </c>
      <c r="M30" s="208">
        <f t="shared" si="0"/>
        <v>0.20300000000000001</v>
      </c>
      <c r="O30" s="210" t="s">
        <v>277</v>
      </c>
      <c r="P30" s="209">
        <v>268.3</v>
      </c>
      <c r="Q30" s="208">
        <f t="shared" si="1"/>
        <v>0.26830000000000004</v>
      </c>
    </row>
    <row r="31" spans="2:17" ht="15.75" x14ac:dyDescent="0.25">
      <c r="B31" s="195">
        <v>1</v>
      </c>
      <c r="C31" s="195">
        <v>10.050000000000001</v>
      </c>
      <c r="D31" s="194">
        <v>24.190120940289084</v>
      </c>
      <c r="E31" s="194">
        <v>48.380241880578168</v>
      </c>
      <c r="F31" s="194">
        <v>96.760483761156337</v>
      </c>
      <c r="G31" s="194">
        <v>120.95060470144543</v>
      </c>
      <c r="H31" s="194">
        <v>145.14072564173452</v>
      </c>
      <c r="K31" s="207" t="s">
        <v>276</v>
      </c>
      <c r="L31" s="206">
        <f>SUM(L19:L30)</f>
        <v>2921.8</v>
      </c>
      <c r="M31" s="205">
        <f t="shared" si="0"/>
        <v>2.9218000000000002</v>
      </c>
      <c r="O31" s="201" t="s">
        <v>275</v>
      </c>
      <c r="P31" s="204">
        <f>SUM(P19:P30)</f>
        <v>3084.0000000000005</v>
      </c>
      <c r="Q31" s="203">
        <f t="shared" si="1"/>
        <v>3.0840000000000005</v>
      </c>
    </row>
    <row r="32" spans="2:17" ht="15.75" x14ac:dyDescent="0.25">
      <c r="B32" s="195">
        <v>2</v>
      </c>
      <c r="C32" s="195">
        <v>20.07</v>
      </c>
      <c r="D32" s="194">
        <v>48.308032564338497</v>
      </c>
      <c r="E32" s="194">
        <v>96.616065128676993</v>
      </c>
      <c r="F32" s="194">
        <v>193.23213025735399</v>
      </c>
      <c r="G32" s="194">
        <v>241.54016282169249</v>
      </c>
      <c r="H32" s="194">
        <v>289.84819538603097</v>
      </c>
      <c r="K32" s="200" t="s">
        <v>274</v>
      </c>
      <c r="L32" s="202">
        <f>0.046*L31</f>
        <v>134.40280000000001</v>
      </c>
      <c r="M32" s="201">
        <f t="shared" si="0"/>
        <v>0.13440280000000002</v>
      </c>
      <c r="O32" s="200" t="s">
        <v>274</v>
      </c>
      <c r="P32" s="199">
        <f>P31*0.046</f>
        <v>141.864</v>
      </c>
      <c r="Q32" s="198">
        <f t="shared" si="1"/>
        <v>0.14186400000000002</v>
      </c>
    </row>
    <row r="33" spans="2:14" ht="15.75" x14ac:dyDescent="0.25">
      <c r="B33" s="195">
        <v>3</v>
      </c>
      <c r="C33" s="197">
        <v>30.1</v>
      </c>
      <c r="D33" s="194">
        <v>72.4500139604678</v>
      </c>
      <c r="E33" s="194">
        <v>144.9000279209356</v>
      </c>
      <c r="F33" s="194">
        <v>289.8000558418712</v>
      </c>
      <c r="G33" s="194">
        <v>362.25006980233906</v>
      </c>
      <c r="H33" s="194">
        <v>434.70008376280686</v>
      </c>
      <c r="K33" s="196">
        <v>4.5999999999999996</v>
      </c>
      <c r="L33" s="193" t="s">
        <v>273</v>
      </c>
      <c r="N33" s="196"/>
    </row>
    <row r="34" spans="2:14" ht="15.75" x14ac:dyDescent="0.25">
      <c r="B34" s="195">
        <v>4</v>
      </c>
      <c r="C34" s="195">
        <v>40.130000000000003</v>
      </c>
      <c r="D34" s="194">
        <v>96.59199535659711</v>
      </c>
      <c r="E34" s="194">
        <v>193.18399071319422</v>
      </c>
      <c r="F34" s="194">
        <v>386.36798142638844</v>
      </c>
      <c r="G34" s="194">
        <v>482.95997678298562</v>
      </c>
      <c r="H34" s="194">
        <v>579.55197213958274</v>
      </c>
      <c r="N34" s="196"/>
    </row>
    <row r="35" spans="2:14" ht="15.75" x14ac:dyDescent="0.25">
      <c r="B35" s="195">
        <v>5</v>
      </c>
      <c r="C35" s="195">
        <v>50.150000000000006</v>
      </c>
      <c r="D35" s="194">
        <v>120.70990698064654</v>
      </c>
      <c r="E35" s="194">
        <v>241.41981396129307</v>
      </c>
      <c r="F35" s="194">
        <v>482.83962792258615</v>
      </c>
      <c r="G35" s="194">
        <v>603.54953490323271</v>
      </c>
      <c r="H35" s="194">
        <v>724.25944188387928</v>
      </c>
    </row>
    <row r="40" spans="2:14" x14ac:dyDescent="0.25">
      <c r="D40" s="193" t="s">
        <v>307</v>
      </c>
    </row>
    <row r="41" spans="2:14" x14ac:dyDescent="0.25">
      <c r="D41" s="193" t="s">
        <v>303</v>
      </c>
      <c r="E41" s="193">
        <v>1.4</v>
      </c>
      <c r="F41" s="193">
        <v>1.4</v>
      </c>
    </row>
    <row r="42" spans="2:14" x14ac:dyDescent="0.25">
      <c r="D42" s="193" t="s">
        <v>302</v>
      </c>
      <c r="E42" s="193">
        <v>1.0249999999999999</v>
      </c>
      <c r="F42" s="193">
        <v>1.0249999999999999</v>
      </c>
    </row>
    <row r="43" spans="2:14" x14ac:dyDescent="0.25">
      <c r="D43" s="193" t="s">
        <v>300</v>
      </c>
      <c r="E43" s="244">
        <v>0.14186400000000002</v>
      </c>
      <c r="F43" s="244">
        <v>0.14186400000000002</v>
      </c>
    </row>
  </sheetData>
  <mergeCells count="7">
    <mergeCell ref="D15:H15"/>
    <mergeCell ref="I17:I21"/>
    <mergeCell ref="B15:B16"/>
    <mergeCell ref="C15:C16"/>
    <mergeCell ref="D29:H29"/>
    <mergeCell ref="B29:B30"/>
    <mergeCell ref="C29:C3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L250"/>
  <sheetViews>
    <sheetView topLeftCell="N208" zoomScale="67" zoomScaleNormal="60" workbookViewId="0">
      <selection activeCell="A133" sqref="A133:B144"/>
    </sheetView>
  </sheetViews>
  <sheetFormatPr defaultColWidth="11" defaultRowHeight="15.75" x14ac:dyDescent="0.25"/>
  <cols>
    <col min="4" max="4" width="15.875" bestFit="1" customWidth="1"/>
    <col min="5" max="5" width="13.625" bestFit="1" customWidth="1"/>
    <col min="6" max="8" width="14.625" bestFit="1" customWidth="1"/>
    <col min="9" max="9" width="13.5" bestFit="1" customWidth="1"/>
    <col min="10" max="10" width="14.625" bestFit="1" customWidth="1"/>
    <col min="11" max="11" width="13.5" bestFit="1" customWidth="1"/>
    <col min="12" max="12" width="14.625" bestFit="1" customWidth="1"/>
    <col min="13" max="13" width="14.5" bestFit="1" customWidth="1"/>
    <col min="14" max="14" width="14.625" bestFit="1" customWidth="1"/>
    <col min="15" max="15" width="14.5" bestFit="1" customWidth="1"/>
    <col min="17" max="18" width="12.625" bestFit="1" customWidth="1"/>
    <col min="19" max="19" width="17.625" bestFit="1" customWidth="1"/>
    <col min="20" max="20" width="19.5" bestFit="1" customWidth="1"/>
    <col min="21" max="21" width="15.125" bestFit="1" customWidth="1"/>
    <col min="22" max="22" width="11" customWidth="1"/>
    <col min="23" max="23" width="10.5" customWidth="1"/>
    <col min="24" max="24" width="18.125" bestFit="1" customWidth="1"/>
    <col min="25" max="25" width="12.875" bestFit="1" customWidth="1"/>
    <col min="26" max="27" width="14.625" bestFit="1" customWidth="1"/>
    <col min="28" max="28" width="11.5" bestFit="1" customWidth="1"/>
    <col min="29" max="29" width="13.875" customWidth="1"/>
    <col min="32" max="32" width="11.375" customWidth="1"/>
    <col min="33" max="33" width="13.125" customWidth="1"/>
    <col min="34" max="34" width="5" customWidth="1"/>
    <col min="35" max="35" width="12.375" bestFit="1" customWidth="1"/>
    <col min="36" max="36" width="14.625" bestFit="1" customWidth="1"/>
    <col min="37" max="37" width="12.625" bestFit="1" customWidth="1"/>
  </cols>
  <sheetData>
    <row r="8" spans="7:24" x14ac:dyDescent="0.25">
      <c r="N8" t="s">
        <v>154</v>
      </c>
    </row>
    <row r="9" spans="7:24" x14ac:dyDescent="0.25">
      <c r="G9" t="s">
        <v>72</v>
      </c>
      <c r="H9" s="26" t="s">
        <v>0</v>
      </c>
      <c r="I9" s="26" t="s">
        <v>4</v>
      </c>
      <c r="J9" s="26" t="s">
        <v>73</v>
      </c>
      <c r="K9" s="26" t="s">
        <v>74</v>
      </c>
      <c r="N9" s="103" t="s">
        <v>165</v>
      </c>
      <c r="O9" s="26" t="s">
        <v>0</v>
      </c>
      <c r="P9" s="26" t="s">
        <v>4</v>
      </c>
      <c r="Q9" s="26" t="s">
        <v>73</v>
      </c>
      <c r="R9" s="26" t="s">
        <v>74</v>
      </c>
      <c r="S9" s="104" t="s">
        <v>155</v>
      </c>
      <c r="T9" s="104" t="s">
        <v>156</v>
      </c>
      <c r="U9" s="104" t="s">
        <v>157</v>
      </c>
      <c r="V9" s="104" t="s">
        <v>158</v>
      </c>
      <c r="W9" s="104" t="s">
        <v>159</v>
      </c>
      <c r="X9" s="104" t="s">
        <v>160</v>
      </c>
    </row>
    <row r="10" spans="7:24" x14ac:dyDescent="0.25">
      <c r="G10" s="4">
        <v>1</v>
      </c>
      <c r="H10" s="92" t="s">
        <v>77</v>
      </c>
      <c r="I10" s="92">
        <v>11.98</v>
      </c>
      <c r="J10" s="92">
        <v>3290</v>
      </c>
      <c r="K10" s="92">
        <v>24.4</v>
      </c>
      <c r="N10" s="272">
        <v>10</v>
      </c>
      <c r="O10" s="92" t="s">
        <v>77</v>
      </c>
      <c r="P10" s="92">
        <v>11.98</v>
      </c>
      <c r="Q10" s="92">
        <v>3290</v>
      </c>
      <c r="R10" s="92">
        <v>24.4</v>
      </c>
      <c r="S10" s="271">
        <f>AVERAGE(P10:P12)</f>
        <v>11.986666666666666</v>
      </c>
      <c r="T10" s="256">
        <f>STDEV(P10:P12)</f>
        <v>2.0816659994660883E-2</v>
      </c>
      <c r="U10" s="270">
        <f>AVERAGE(Q10:Q12)</f>
        <v>3290</v>
      </c>
      <c r="V10" s="256">
        <f>STDEV(Q10:Q12)</f>
        <v>20</v>
      </c>
      <c r="W10" s="270">
        <f>AVERAGE(R10:R12)</f>
        <v>26.066666666666666</v>
      </c>
      <c r="X10" s="256">
        <f>STDEV(R10:R12)</f>
        <v>1.5631165450257813</v>
      </c>
    </row>
    <row r="11" spans="7:24" x14ac:dyDescent="0.25">
      <c r="G11" s="4">
        <v>2</v>
      </c>
      <c r="H11" s="92" t="s">
        <v>78</v>
      </c>
      <c r="I11" s="3">
        <v>12.01</v>
      </c>
      <c r="J11" s="92">
        <v>3310</v>
      </c>
      <c r="K11" s="92">
        <v>27.5</v>
      </c>
      <c r="N11" s="272"/>
      <c r="O11" s="92" t="s">
        <v>78</v>
      </c>
      <c r="P11" s="3">
        <v>12.01</v>
      </c>
      <c r="Q11" s="92">
        <v>3310</v>
      </c>
      <c r="R11" s="92">
        <v>27.5</v>
      </c>
      <c r="S11" s="271"/>
      <c r="T11" s="256"/>
      <c r="U11" s="270"/>
      <c r="V11" s="256"/>
      <c r="W11" s="270"/>
      <c r="X11" s="256"/>
    </row>
    <row r="12" spans="7:24" x14ac:dyDescent="0.25">
      <c r="G12" s="4">
        <v>3</v>
      </c>
      <c r="H12" s="92" t="s">
        <v>79</v>
      </c>
      <c r="I12" s="3">
        <v>11.97</v>
      </c>
      <c r="J12" s="92">
        <v>3270</v>
      </c>
      <c r="K12" s="92">
        <v>26.3</v>
      </c>
      <c r="N12" s="272"/>
      <c r="O12" s="92" t="s">
        <v>79</v>
      </c>
      <c r="P12" s="3">
        <v>11.97</v>
      </c>
      <c r="Q12" s="92">
        <v>3270</v>
      </c>
      <c r="R12" s="92">
        <v>26.3</v>
      </c>
      <c r="S12" s="271"/>
      <c r="T12" s="256"/>
      <c r="U12" s="270"/>
      <c r="V12" s="256"/>
      <c r="W12" s="270"/>
      <c r="X12" s="256"/>
    </row>
    <row r="13" spans="7:24" x14ac:dyDescent="0.25">
      <c r="G13" s="4">
        <v>4</v>
      </c>
      <c r="H13" s="92" t="s">
        <v>80</v>
      </c>
      <c r="I13" s="3">
        <v>11.77</v>
      </c>
      <c r="J13" s="92">
        <v>2440</v>
      </c>
      <c r="K13" s="92">
        <v>25.8</v>
      </c>
      <c r="N13" s="272">
        <v>20</v>
      </c>
      <c r="O13" s="92" t="s">
        <v>89</v>
      </c>
      <c r="P13" s="3">
        <v>11.82</v>
      </c>
      <c r="Q13" s="92">
        <v>1896</v>
      </c>
      <c r="R13" s="92">
        <v>29.8</v>
      </c>
      <c r="S13" s="271">
        <f>AVERAGE(P13:P15)</f>
        <v>11.82</v>
      </c>
      <c r="T13" s="256">
        <f>STDEV(P13:P15)</f>
        <v>9.9999999999997868E-3</v>
      </c>
      <c r="U13" s="270">
        <f>AVERAGE(Q13:Q15)</f>
        <v>1767.3333333333333</v>
      </c>
      <c r="V13" s="256">
        <f>STDEV(Q13:Q15)</f>
        <v>111.64825718896526</v>
      </c>
      <c r="W13" s="270">
        <f>AVERAGE(R13:R15)</f>
        <v>30.200000000000003</v>
      </c>
      <c r="X13" s="256">
        <f>STDEV(R13:R15)</f>
        <v>0.40000000000000036</v>
      </c>
    </row>
    <row r="14" spans="7:24" x14ac:dyDescent="0.25">
      <c r="G14" s="4">
        <v>5</v>
      </c>
      <c r="H14" s="92" t="s">
        <v>81</v>
      </c>
      <c r="I14" s="3">
        <v>11.76</v>
      </c>
      <c r="J14" s="92">
        <v>2370</v>
      </c>
      <c r="K14" s="92">
        <v>25.6</v>
      </c>
      <c r="N14" s="272"/>
      <c r="O14" s="92" t="s">
        <v>90</v>
      </c>
      <c r="P14" s="3">
        <v>11.81</v>
      </c>
      <c r="Q14" s="92">
        <v>1710</v>
      </c>
      <c r="R14" s="92">
        <v>30.6</v>
      </c>
      <c r="S14" s="271"/>
      <c r="T14" s="256"/>
      <c r="U14" s="270"/>
      <c r="V14" s="256"/>
      <c r="W14" s="270"/>
      <c r="X14" s="256"/>
    </row>
    <row r="15" spans="7:24" x14ac:dyDescent="0.25">
      <c r="G15" s="4">
        <v>6</v>
      </c>
      <c r="H15" s="92" t="s">
        <v>82</v>
      </c>
      <c r="I15" s="3">
        <v>11.76</v>
      </c>
      <c r="J15" s="92">
        <v>2400</v>
      </c>
      <c r="K15" s="92">
        <v>25.8</v>
      </c>
      <c r="N15" s="272"/>
      <c r="O15" s="92" t="s">
        <v>91</v>
      </c>
      <c r="P15" s="3">
        <v>11.83</v>
      </c>
      <c r="Q15" s="92">
        <v>1696</v>
      </c>
      <c r="R15" s="92">
        <v>30.2</v>
      </c>
      <c r="S15" s="271"/>
      <c r="T15" s="256"/>
      <c r="U15" s="270"/>
      <c r="V15" s="256"/>
      <c r="W15" s="270"/>
      <c r="X15" s="256"/>
    </row>
    <row r="16" spans="7:24" x14ac:dyDescent="0.25">
      <c r="G16" s="4">
        <v>7</v>
      </c>
      <c r="H16" s="92" t="s">
        <v>83</v>
      </c>
      <c r="I16" s="3">
        <v>11.93</v>
      </c>
      <c r="J16" s="92">
        <v>2990</v>
      </c>
      <c r="K16" s="92">
        <v>29.3</v>
      </c>
      <c r="N16" s="272">
        <v>30</v>
      </c>
      <c r="O16" s="92" t="s">
        <v>101</v>
      </c>
      <c r="P16" s="3">
        <v>11.72</v>
      </c>
      <c r="Q16" s="92">
        <v>1325</v>
      </c>
      <c r="R16" s="92">
        <v>30.2</v>
      </c>
      <c r="S16" s="271">
        <f>AVERAGE(P16:P18)</f>
        <v>11.693333333333333</v>
      </c>
      <c r="T16" s="256">
        <f>STDEV(P16:P18)</f>
        <v>2.5166114784236238E-2</v>
      </c>
      <c r="U16" s="270">
        <f>AVERAGE(Q16:Q18)</f>
        <v>1241</v>
      </c>
      <c r="V16" s="256">
        <f>STDEV(Q16:Q18)</f>
        <v>73.082145562373853</v>
      </c>
      <c r="W16" s="270">
        <f>AVERAGE(R16:R18)</f>
        <v>30.033333333333331</v>
      </c>
      <c r="X16" s="256">
        <f>STDEV(R16:R18)</f>
        <v>0.28867513459481292</v>
      </c>
    </row>
    <row r="17" spans="7:24" x14ac:dyDescent="0.25">
      <c r="G17" s="4">
        <v>8</v>
      </c>
      <c r="H17" s="92" t="s">
        <v>84</v>
      </c>
      <c r="I17" s="3">
        <v>11.97</v>
      </c>
      <c r="J17" s="92">
        <v>2970</v>
      </c>
      <c r="K17" s="92">
        <v>30.3</v>
      </c>
      <c r="N17" s="272"/>
      <c r="O17" s="92" t="s">
        <v>102</v>
      </c>
      <c r="P17" s="3">
        <v>11.69</v>
      </c>
      <c r="Q17" s="92">
        <v>1206</v>
      </c>
      <c r="R17" s="92">
        <v>30.2</v>
      </c>
      <c r="S17" s="271"/>
      <c r="T17" s="256"/>
      <c r="U17" s="270"/>
      <c r="V17" s="256"/>
      <c r="W17" s="270"/>
      <c r="X17" s="256"/>
    </row>
    <row r="18" spans="7:24" x14ac:dyDescent="0.25">
      <c r="G18" s="4">
        <v>9</v>
      </c>
      <c r="H18" s="92" t="s">
        <v>85</v>
      </c>
      <c r="I18" s="3">
        <v>11.93</v>
      </c>
      <c r="J18" s="92">
        <v>2810</v>
      </c>
      <c r="K18" s="92">
        <v>30.1</v>
      </c>
      <c r="N18" s="272"/>
      <c r="O18" s="92" t="s">
        <v>103</v>
      </c>
      <c r="P18" s="3">
        <v>11.67</v>
      </c>
      <c r="Q18" s="92">
        <v>1192</v>
      </c>
      <c r="R18" s="92">
        <v>29.7</v>
      </c>
      <c r="S18" s="271"/>
      <c r="T18" s="256"/>
      <c r="U18" s="270"/>
      <c r="V18" s="256"/>
      <c r="W18" s="270"/>
      <c r="X18" s="256"/>
    </row>
    <row r="19" spans="7:24" x14ac:dyDescent="0.25">
      <c r="G19" s="4">
        <v>10</v>
      </c>
      <c r="H19" s="92" t="s">
        <v>86</v>
      </c>
      <c r="I19" s="3">
        <v>10.93</v>
      </c>
      <c r="J19" s="92">
        <v>4450</v>
      </c>
      <c r="K19" s="92">
        <v>29.9</v>
      </c>
      <c r="N19" s="272">
        <v>40</v>
      </c>
      <c r="O19" s="92" t="s">
        <v>114</v>
      </c>
      <c r="P19" s="3">
        <v>11.63</v>
      </c>
      <c r="Q19" s="92">
        <v>997</v>
      </c>
      <c r="R19" s="92">
        <v>29.8</v>
      </c>
      <c r="S19" s="271">
        <f>AVERAGE(P19:P21)</f>
        <v>11.61</v>
      </c>
      <c r="T19" s="256">
        <f>STDEV(P19:P21)</f>
        <v>1.7320508075689429E-2</v>
      </c>
      <c r="U19" s="270">
        <f>AVERAGE(Q19:Q21)</f>
        <v>953</v>
      </c>
      <c r="V19" s="256">
        <f>STDEV(Q19:Q21)</f>
        <v>38.93584466786357</v>
      </c>
      <c r="W19" s="270">
        <f>AVERAGE(R19:R21)</f>
        <v>29.866666666666664</v>
      </c>
      <c r="X19" s="256">
        <f>STDEV(R19:R21)</f>
        <v>5.7735026918961339E-2</v>
      </c>
    </row>
    <row r="20" spans="7:24" x14ac:dyDescent="0.25">
      <c r="G20" s="4">
        <v>11</v>
      </c>
      <c r="H20" s="92" t="s">
        <v>87</v>
      </c>
      <c r="I20" s="3">
        <v>10.92</v>
      </c>
      <c r="J20" s="92">
        <v>4380</v>
      </c>
      <c r="K20" s="92">
        <v>30.2</v>
      </c>
      <c r="N20" s="272"/>
      <c r="O20" s="92" t="s">
        <v>115</v>
      </c>
      <c r="P20" s="3">
        <v>11.6</v>
      </c>
      <c r="Q20" s="92">
        <v>939</v>
      </c>
      <c r="R20" s="92">
        <v>29.9</v>
      </c>
      <c r="S20" s="271"/>
      <c r="T20" s="256"/>
      <c r="U20" s="270"/>
      <c r="V20" s="256"/>
      <c r="W20" s="270"/>
      <c r="X20" s="256"/>
    </row>
    <row r="21" spans="7:24" x14ac:dyDescent="0.25">
      <c r="G21" s="4">
        <v>12</v>
      </c>
      <c r="H21" s="92" t="s">
        <v>88</v>
      </c>
      <c r="I21" s="3">
        <v>10.9</v>
      </c>
      <c r="J21" s="92">
        <v>4460</v>
      </c>
      <c r="K21" s="92">
        <v>29.2</v>
      </c>
      <c r="N21" s="272"/>
      <c r="O21" s="92" t="s">
        <v>116</v>
      </c>
      <c r="P21" s="3">
        <v>11.6</v>
      </c>
      <c r="Q21" s="92">
        <v>923</v>
      </c>
      <c r="R21" s="92">
        <v>29.9</v>
      </c>
      <c r="S21" s="271"/>
      <c r="T21" s="256"/>
      <c r="U21" s="270"/>
      <c r="V21" s="256"/>
      <c r="W21" s="270"/>
      <c r="X21" s="256"/>
    </row>
    <row r="22" spans="7:24" x14ac:dyDescent="0.25">
      <c r="G22" s="4">
        <v>13</v>
      </c>
      <c r="H22" s="92" t="s">
        <v>89</v>
      </c>
      <c r="I22" s="3">
        <v>11.82</v>
      </c>
      <c r="J22" s="92">
        <v>1896</v>
      </c>
      <c r="K22" s="92">
        <v>29.8</v>
      </c>
      <c r="N22" s="272">
        <v>50</v>
      </c>
      <c r="O22" s="92" t="s">
        <v>126</v>
      </c>
      <c r="P22" s="3">
        <v>11.54</v>
      </c>
      <c r="Q22" s="92">
        <v>790</v>
      </c>
      <c r="R22" s="92">
        <v>30.5</v>
      </c>
      <c r="S22" s="271">
        <f>AVERAGE(P22:P24)</f>
        <v>11.520000000000001</v>
      </c>
      <c r="T22" s="256">
        <f>STDEV(P22:P24)</f>
        <v>1.9999999999999574E-2</v>
      </c>
      <c r="U22" s="270">
        <f>AVERAGE(Q22:Q24)</f>
        <v>777</v>
      </c>
      <c r="V22" s="256">
        <f>STDEV(Q22:Q24)</f>
        <v>12.529964086141668</v>
      </c>
      <c r="W22" s="270">
        <f>AVERAGE(R22:R24)</f>
        <v>30.5</v>
      </c>
      <c r="X22" s="256">
        <f>STDEV(R22:R24)</f>
        <v>0.10000000000000142</v>
      </c>
    </row>
    <row r="23" spans="7:24" x14ac:dyDescent="0.25">
      <c r="G23" s="4">
        <v>14</v>
      </c>
      <c r="H23" s="92" t="s">
        <v>90</v>
      </c>
      <c r="I23" s="3">
        <v>11.81</v>
      </c>
      <c r="J23" s="92">
        <v>1710</v>
      </c>
      <c r="K23" s="92">
        <v>30.6</v>
      </c>
      <c r="N23" s="272"/>
      <c r="O23" s="92" t="s">
        <v>127</v>
      </c>
      <c r="P23" s="3">
        <v>11.52</v>
      </c>
      <c r="Q23" s="92">
        <v>776</v>
      </c>
      <c r="R23" s="92">
        <v>30.4</v>
      </c>
      <c r="S23" s="271"/>
      <c r="T23" s="256"/>
      <c r="U23" s="270"/>
      <c r="V23" s="256"/>
      <c r="W23" s="270"/>
      <c r="X23" s="256"/>
    </row>
    <row r="24" spans="7:24" x14ac:dyDescent="0.25">
      <c r="G24" s="4">
        <v>15</v>
      </c>
      <c r="H24" s="92" t="s">
        <v>91</v>
      </c>
      <c r="I24" s="3">
        <v>11.83</v>
      </c>
      <c r="J24" s="92">
        <v>1696</v>
      </c>
      <c r="K24" s="92">
        <v>30.2</v>
      </c>
      <c r="N24" s="272"/>
      <c r="O24" s="92" t="s">
        <v>128</v>
      </c>
      <c r="P24" s="3">
        <v>11.5</v>
      </c>
      <c r="Q24" s="92">
        <v>765</v>
      </c>
      <c r="R24" s="92">
        <v>30.6</v>
      </c>
      <c r="S24" s="271"/>
      <c r="T24" s="256"/>
      <c r="U24" s="270"/>
      <c r="V24" s="256"/>
      <c r="W24" s="270"/>
      <c r="X24" s="256"/>
    </row>
    <row r="25" spans="7:24" x14ac:dyDescent="0.25">
      <c r="G25" s="4">
        <v>16</v>
      </c>
      <c r="H25" s="92" t="s">
        <v>92</v>
      </c>
      <c r="I25" s="3">
        <v>11.54</v>
      </c>
      <c r="J25" s="92">
        <v>1378</v>
      </c>
      <c r="K25" s="92">
        <v>30.1</v>
      </c>
    </row>
    <row r="26" spans="7:24" x14ac:dyDescent="0.25">
      <c r="G26" s="4">
        <v>17</v>
      </c>
      <c r="H26" s="92" t="s">
        <v>93</v>
      </c>
      <c r="I26" s="3">
        <v>11.53</v>
      </c>
      <c r="J26" s="92">
        <v>1321</v>
      </c>
      <c r="K26" s="92">
        <v>30.2</v>
      </c>
      <c r="N26" s="272">
        <v>1</v>
      </c>
      <c r="O26" s="92" t="s">
        <v>80</v>
      </c>
      <c r="P26" s="3">
        <v>11.77</v>
      </c>
      <c r="Q26" s="92">
        <v>2440</v>
      </c>
      <c r="R26" s="92">
        <v>25.8</v>
      </c>
      <c r="S26" s="271">
        <f>AVERAGE(P26:P28)</f>
        <v>11.763333333333334</v>
      </c>
      <c r="T26" s="256">
        <f>STDEV(P26:P28)</f>
        <v>5.7735026918961348E-3</v>
      </c>
      <c r="U26" s="270">
        <f>AVERAGE(Q26:Q28)</f>
        <v>2403.3333333333335</v>
      </c>
      <c r="V26" s="256">
        <f>STDEV(Q26:Q28)</f>
        <v>35.118845842842468</v>
      </c>
      <c r="W26" s="270">
        <f>AVERAGE(R26:R28)</f>
        <v>25.733333333333334</v>
      </c>
      <c r="X26" s="256">
        <f>STDEV(R26:R28)</f>
        <v>0.11547005383792475</v>
      </c>
    </row>
    <row r="27" spans="7:24" x14ac:dyDescent="0.25">
      <c r="G27" s="4">
        <v>18</v>
      </c>
      <c r="H27" s="92" t="s">
        <v>94</v>
      </c>
      <c r="I27" s="3">
        <v>11.57</v>
      </c>
      <c r="J27" s="92">
        <v>1322</v>
      </c>
      <c r="K27" s="92">
        <v>29.4</v>
      </c>
      <c r="N27" s="272"/>
      <c r="O27" s="92" t="s">
        <v>81</v>
      </c>
      <c r="P27" s="3">
        <v>11.76</v>
      </c>
      <c r="Q27" s="92">
        <v>2370</v>
      </c>
      <c r="R27" s="92">
        <v>25.6</v>
      </c>
      <c r="S27" s="271"/>
      <c r="T27" s="256"/>
      <c r="U27" s="270"/>
      <c r="V27" s="256"/>
      <c r="W27" s="270"/>
      <c r="X27" s="256"/>
    </row>
    <row r="28" spans="7:24" x14ac:dyDescent="0.25">
      <c r="G28" s="4">
        <v>19</v>
      </c>
      <c r="H28" s="92" t="s">
        <v>95</v>
      </c>
      <c r="I28" s="3">
        <v>11.76</v>
      </c>
      <c r="J28" s="92">
        <v>1648</v>
      </c>
      <c r="K28" s="92">
        <v>30.1</v>
      </c>
      <c r="N28" s="272"/>
      <c r="O28" s="92" t="s">
        <v>82</v>
      </c>
      <c r="P28" s="3">
        <v>11.76</v>
      </c>
      <c r="Q28" s="92">
        <v>2400</v>
      </c>
      <c r="R28" s="92">
        <v>25.8</v>
      </c>
      <c r="S28" s="271"/>
      <c r="T28" s="256"/>
      <c r="U28" s="270"/>
      <c r="V28" s="256"/>
      <c r="W28" s="270"/>
      <c r="X28" s="256"/>
    </row>
    <row r="29" spans="7:24" x14ac:dyDescent="0.25">
      <c r="G29" s="4">
        <v>20</v>
      </c>
      <c r="H29" s="92" t="s">
        <v>96</v>
      </c>
      <c r="I29" s="3">
        <v>11.77</v>
      </c>
      <c r="J29" s="92">
        <v>1663</v>
      </c>
      <c r="K29" s="92">
        <v>30.4</v>
      </c>
      <c r="N29" s="272">
        <v>2</v>
      </c>
      <c r="O29" s="92" t="s">
        <v>92</v>
      </c>
      <c r="P29" s="3">
        <v>11.54</v>
      </c>
      <c r="Q29" s="92">
        <v>1378</v>
      </c>
      <c r="R29" s="92">
        <v>30.1</v>
      </c>
      <c r="S29" s="271">
        <f>AVERAGE(P29:P31)</f>
        <v>11.546666666666667</v>
      </c>
      <c r="T29" s="256">
        <f>STDEV(P29:P31)</f>
        <v>2.0816659994661878E-2</v>
      </c>
      <c r="U29" s="270">
        <f>AVERAGE(Q29:Q31)</f>
        <v>1340.3333333333333</v>
      </c>
      <c r="V29" s="256">
        <f>STDEV(Q29:Q31)</f>
        <v>32.624121954978854</v>
      </c>
      <c r="W29" s="270">
        <f>AVERAGE(R29:R31)</f>
        <v>29.899999999999995</v>
      </c>
      <c r="X29" s="256">
        <f>STDEV(R29:R31)</f>
        <v>0.43588989435406827</v>
      </c>
    </row>
    <row r="30" spans="7:24" x14ac:dyDescent="0.25">
      <c r="G30" s="4">
        <v>21</v>
      </c>
      <c r="H30" s="92" t="s">
        <v>97</v>
      </c>
      <c r="I30" s="3">
        <v>11.75</v>
      </c>
      <c r="J30" s="92">
        <v>1603</v>
      </c>
      <c r="K30" s="92">
        <v>30</v>
      </c>
      <c r="N30" s="272"/>
      <c r="O30" s="92" t="s">
        <v>93</v>
      </c>
      <c r="P30" s="3">
        <v>11.53</v>
      </c>
      <c r="Q30" s="92">
        <v>1321</v>
      </c>
      <c r="R30" s="92">
        <v>30.2</v>
      </c>
      <c r="S30" s="271"/>
      <c r="T30" s="256"/>
      <c r="U30" s="270"/>
      <c r="V30" s="256"/>
      <c r="W30" s="270"/>
      <c r="X30" s="256"/>
    </row>
    <row r="31" spans="7:24" x14ac:dyDescent="0.25">
      <c r="G31" s="4">
        <v>22</v>
      </c>
      <c r="H31" s="92" t="s">
        <v>98</v>
      </c>
      <c r="I31" s="3">
        <v>10.94</v>
      </c>
      <c r="J31" s="92">
        <v>2920</v>
      </c>
      <c r="K31" s="92">
        <v>29.6</v>
      </c>
      <c r="N31" s="272"/>
      <c r="O31" s="92" t="s">
        <v>94</v>
      </c>
      <c r="P31" s="3">
        <v>11.57</v>
      </c>
      <c r="Q31" s="92">
        <v>1322</v>
      </c>
      <c r="R31" s="92">
        <v>29.4</v>
      </c>
      <c r="S31" s="271"/>
      <c r="T31" s="256"/>
      <c r="U31" s="270"/>
      <c r="V31" s="256"/>
      <c r="W31" s="270"/>
      <c r="X31" s="256"/>
    </row>
    <row r="32" spans="7:24" x14ac:dyDescent="0.25">
      <c r="G32" s="4">
        <v>23</v>
      </c>
      <c r="H32" s="92" t="s">
        <v>99</v>
      </c>
      <c r="I32" s="3">
        <v>10.95</v>
      </c>
      <c r="J32" s="92">
        <v>3020</v>
      </c>
      <c r="K32" s="92">
        <v>29.6</v>
      </c>
      <c r="N32" s="272">
        <v>3</v>
      </c>
      <c r="O32" s="92" t="s">
        <v>104</v>
      </c>
      <c r="P32" s="3">
        <v>11.35</v>
      </c>
      <c r="Q32" s="92">
        <v>895</v>
      </c>
      <c r="R32" s="92">
        <v>29.8</v>
      </c>
      <c r="S32" s="271">
        <f>AVERAGE(P32:P34)</f>
        <v>11.333333333333334</v>
      </c>
      <c r="T32" s="256">
        <f>STDEV(P32:P34)</f>
        <v>1.527525231651914E-2</v>
      </c>
      <c r="U32" s="270">
        <f>AVERAGE(Q32:Q34)</f>
        <v>896</v>
      </c>
      <c r="V32" s="256">
        <f>STDEV(Q32:Q34)</f>
        <v>6.5574385243020004</v>
      </c>
      <c r="W32" s="270">
        <f>AVERAGE(R32:R34)</f>
        <v>29.433333333333337</v>
      </c>
      <c r="X32" s="256">
        <f>STDEV(R32:R34)</f>
        <v>0.47258156262526213</v>
      </c>
    </row>
    <row r="33" spans="7:24" x14ac:dyDescent="0.25">
      <c r="G33" s="4">
        <v>24</v>
      </c>
      <c r="H33" s="92" t="s">
        <v>100</v>
      </c>
      <c r="I33" s="3">
        <v>10.93</v>
      </c>
      <c r="J33" s="92">
        <v>3090</v>
      </c>
      <c r="K33" s="92">
        <v>28.9</v>
      </c>
      <c r="N33" s="272"/>
      <c r="O33" s="92" t="s">
        <v>105</v>
      </c>
      <c r="P33" s="3">
        <v>11.33</v>
      </c>
      <c r="Q33" s="92">
        <v>903</v>
      </c>
      <c r="R33" s="92">
        <v>29.6</v>
      </c>
      <c r="S33" s="271"/>
      <c r="T33" s="256"/>
      <c r="U33" s="270"/>
      <c r="V33" s="256"/>
      <c r="W33" s="270"/>
      <c r="X33" s="256"/>
    </row>
    <row r="34" spans="7:24" x14ac:dyDescent="0.25">
      <c r="G34" s="4">
        <v>25</v>
      </c>
      <c r="H34" s="92" t="s">
        <v>101</v>
      </c>
      <c r="I34" s="3">
        <v>11.72</v>
      </c>
      <c r="J34" s="92">
        <v>1325</v>
      </c>
      <c r="K34" s="92">
        <v>30.2</v>
      </c>
      <c r="N34" s="272"/>
      <c r="O34" s="92" t="s">
        <v>106</v>
      </c>
      <c r="P34" s="3">
        <v>11.32</v>
      </c>
      <c r="Q34" s="92">
        <v>890</v>
      </c>
      <c r="R34" s="92">
        <v>28.9</v>
      </c>
      <c r="S34" s="271"/>
      <c r="T34" s="256"/>
      <c r="U34" s="270"/>
      <c r="V34" s="256"/>
      <c r="W34" s="270"/>
      <c r="X34" s="256"/>
    </row>
    <row r="35" spans="7:24" x14ac:dyDescent="0.25">
      <c r="G35" s="4">
        <v>26</v>
      </c>
      <c r="H35" s="92" t="s">
        <v>102</v>
      </c>
      <c r="I35" s="3">
        <v>11.69</v>
      </c>
      <c r="J35" s="92">
        <v>1206</v>
      </c>
      <c r="K35" s="92">
        <v>30.2</v>
      </c>
      <c r="N35" s="272">
        <v>4</v>
      </c>
      <c r="O35" s="92" t="s">
        <v>117</v>
      </c>
      <c r="P35" s="3">
        <v>11.31</v>
      </c>
      <c r="Q35" s="92">
        <v>689</v>
      </c>
      <c r="R35" s="92">
        <v>29.5</v>
      </c>
      <c r="S35" s="271">
        <f>AVERAGE(P35:P37)</f>
        <v>11.283333333333333</v>
      </c>
      <c r="T35" s="256">
        <f>STDEV(P35:P37)</f>
        <v>3.0550504633039058E-2</v>
      </c>
      <c r="U35" s="270">
        <f>AVERAGE(Q35:Q37)</f>
        <v>688</v>
      </c>
      <c r="V35" s="256">
        <f>STDEV(Q35:Q37)</f>
        <v>8.5440037453175304</v>
      </c>
      <c r="W35" s="270">
        <f>AVERAGE(R35:R37)</f>
        <v>29.233333333333331</v>
      </c>
      <c r="X35" s="256">
        <f>STDEV(R35:R37)</f>
        <v>0.30550504633039016</v>
      </c>
    </row>
    <row r="36" spans="7:24" x14ac:dyDescent="0.25">
      <c r="G36" s="4">
        <v>27</v>
      </c>
      <c r="H36" s="92" t="s">
        <v>103</v>
      </c>
      <c r="I36" s="3">
        <v>11.67</v>
      </c>
      <c r="J36" s="92">
        <v>1192</v>
      </c>
      <c r="K36" s="92">
        <v>29.7</v>
      </c>
      <c r="N36" s="272"/>
      <c r="O36" s="92" t="s">
        <v>118</v>
      </c>
      <c r="P36" s="3">
        <v>11.29</v>
      </c>
      <c r="Q36" s="92">
        <v>679</v>
      </c>
      <c r="R36" s="92">
        <v>29.3</v>
      </c>
      <c r="S36" s="271"/>
      <c r="T36" s="256"/>
      <c r="U36" s="270"/>
      <c r="V36" s="256"/>
      <c r="W36" s="270"/>
      <c r="X36" s="256"/>
    </row>
    <row r="37" spans="7:24" x14ac:dyDescent="0.25">
      <c r="G37" s="4">
        <v>28</v>
      </c>
      <c r="H37" s="92" t="s">
        <v>104</v>
      </c>
      <c r="I37" s="3">
        <v>11.35</v>
      </c>
      <c r="J37" s="92">
        <v>895</v>
      </c>
      <c r="K37" s="92">
        <v>29.8</v>
      </c>
      <c r="N37" s="272"/>
      <c r="O37" s="92" t="s">
        <v>119</v>
      </c>
      <c r="P37" s="3">
        <v>11.25</v>
      </c>
      <c r="Q37" s="92">
        <v>696</v>
      </c>
      <c r="R37" s="92">
        <v>28.9</v>
      </c>
      <c r="S37" s="271"/>
      <c r="T37" s="256"/>
      <c r="U37" s="270"/>
      <c r="V37" s="256"/>
      <c r="W37" s="270"/>
      <c r="X37" s="256"/>
    </row>
    <row r="38" spans="7:24" x14ac:dyDescent="0.25">
      <c r="G38" s="4">
        <v>29</v>
      </c>
      <c r="H38" s="92" t="s">
        <v>105</v>
      </c>
      <c r="I38" s="3">
        <v>11.33</v>
      </c>
      <c r="J38" s="92">
        <v>903</v>
      </c>
      <c r="K38" s="92">
        <v>29.6</v>
      </c>
      <c r="N38" s="272">
        <v>5</v>
      </c>
      <c r="O38" s="92" t="s">
        <v>129</v>
      </c>
      <c r="P38" s="3">
        <v>11.23</v>
      </c>
      <c r="Q38" s="92">
        <v>580</v>
      </c>
      <c r="R38" s="92">
        <v>30.3</v>
      </c>
      <c r="S38" s="271">
        <f>AVERAGE(P38:P40)</f>
        <v>11.21</v>
      </c>
      <c r="T38" s="256">
        <f>STDEV(P38:P40)</f>
        <v>3.4641016151377831E-2</v>
      </c>
      <c r="U38" s="270">
        <f>AVERAGE(Q38:Q40)</f>
        <v>580.33333333333337</v>
      </c>
      <c r="V38" s="256">
        <f>STDEV(Q38:Q40)</f>
        <v>3.5118845842842461</v>
      </c>
      <c r="W38" s="270">
        <f>AVERAGE(R38:R40)</f>
        <v>29.966666666666669</v>
      </c>
      <c r="X38" s="256">
        <f>STDEV(R38:R40)</f>
        <v>0.49328828623162563</v>
      </c>
    </row>
    <row r="39" spans="7:24" x14ac:dyDescent="0.25">
      <c r="G39" s="4">
        <v>30</v>
      </c>
      <c r="H39" s="92" t="s">
        <v>106</v>
      </c>
      <c r="I39" s="3">
        <v>11.32</v>
      </c>
      <c r="J39" s="92">
        <v>890</v>
      </c>
      <c r="K39" s="92">
        <v>28.9</v>
      </c>
      <c r="N39" s="272"/>
      <c r="O39" s="92" t="s">
        <v>130</v>
      </c>
      <c r="P39" s="3">
        <v>11.23</v>
      </c>
      <c r="Q39" s="92">
        <v>577</v>
      </c>
      <c r="R39" s="92">
        <v>30.2</v>
      </c>
      <c r="S39" s="271"/>
      <c r="T39" s="256"/>
      <c r="U39" s="270"/>
      <c r="V39" s="256"/>
      <c r="W39" s="270"/>
      <c r="X39" s="256"/>
    </row>
    <row r="40" spans="7:24" x14ac:dyDescent="0.25">
      <c r="G40" s="4">
        <v>31</v>
      </c>
      <c r="H40" s="92" t="s">
        <v>107</v>
      </c>
      <c r="I40" s="3">
        <v>11.58</v>
      </c>
      <c r="J40" s="92">
        <v>1138</v>
      </c>
      <c r="K40" s="92">
        <v>31.1</v>
      </c>
      <c r="N40" s="272"/>
      <c r="O40" s="92" t="s">
        <v>131</v>
      </c>
      <c r="P40" s="3">
        <v>11.17</v>
      </c>
      <c r="Q40" s="92">
        <v>584</v>
      </c>
      <c r="R40" s="92">
        <v>29.4</v>
      </c>
      <c r="S40" s="271"/>
      <c r="T40" s="256"/>
      <c r="U40" s="270"/>
      <c r="V40" s="256"/>
      <c r="W40" s="270"/>
      <c r="X40" s="256"/>
    </row>
    <row r="41" spans="7:24" x14ac:dyDescent="0.25">
      <c r="G41" s="4">
        <v>32</v>
      </c>
      <c r="H41" s="92" t="s">
        <v>108</v>
      </c>
      <c r="I41" s="3">
        <v>11.61</v>
      </c>
      <c r="J41" s="92">
        <v>1118</v>
      </c>
      <c r="K41" s="92">
        <v>31.4</v>
      </c>
    </row>
    <row r="42" spans="7:24" x14ac:dyDescent="0.25">
      <c r="G42" s="4">
        <v>33</v>
      </c>
      <c r="H42" s="92" t="s">
        <v>109</v>
      </c>
      <c r="I42" s="3">
        <v>11.62</v>
      </c>
      <c r="J42" s="92">
        <v>1119</v>
      </c>
      <c r="K42" s="92">
        <v>30.5</v>
      </c>
      <c r="N42" s="272">
        <v>1</v>
      </c>
      <c r="O42" s="92" t="s">
        <v>83</v>
      </c>
      <c r="P42" s="3">
        <v>11.93</v>
      </c>
      <c r="Q42" s="92">
        <v>2990</v>
      </c>
      <c r="R42" s="92">
        <v>29.3</v>
      </c>
      <c r="S42" s="271">
        <f>AVERAGE(P42:P44)</f>
        <v>11.943333333333333</v>
      </c>
      <c r="T42" s="256">
        <f>STDEV(P42:P44)</f>
        <v>2.3094010767585563E-2</v>
      </c>
      <c r="U42" s="270">
        <f>AVERAGE(Q42:Q44)</f>
        <v>2923.3333333333335</v>
      </c>
      <c r="V42" s="256">
        <f>STDEV(Q42:Q44)</f>
        <v>98.657657246324945</v>
      </c>
      <c r="W42" s="270">
        <f>AVERAGE(R42:R44)</f>
        <v>29.900000000000002</v>
      </c>
      <c r="X42" s="256">
        <f>STDEV(R42:R44)</f>
        <v>0.52915026221291828</v>
      </c>
    </row>
    <row r="43" spans="7:24" x14ac:dyDescent="0.25">
      <c r="G43" s="4">
        <v>34</v>
      </c>
      <c r="H43" s="92" t="s">
        <v>110</v>
      </c>
      <c r="I43" s="3">
        <v>11.39</v>
      </c>
      <c r="J43" s="92">
        <v>1105</v>
      </c>
      <c r="K43" s="92">
        <v>30.3</v>
      </c>
      <c r="N43" s="272"/>
      <c r="O43" s="92" t="s">
        <v>84</v>
      </c>
      <c r="P43" s="3">
        <v>11.97</v>
      </c>
      <c r="Q43" s="92">
        <v>2970</v>
      </c>
      <c r="R43" s="92">
        <v>30.3</v>
      </c>
      <c r="S43" s="271"/>
      <c r="T43" s="256"/>
      <c r="U43" s="270"/>
      <c r="V43" s="256"/>
      <c r="W43" s="270"/>
      <c r="X43" s="256"/>
    </row>
    <row r="44" spans="7:24" x14ac:dyDescent="0.25">
      <c r="G44" s="4">
        <v>35</v>
      </c>
      <c r="H44" s="92" t="s">
        <v>111</v>
      </c>
      <c r="I44" s="3">
        <v>11.43</v>
      </c>
      <c r="J44" s="92">
        <v>1123</v>
      </c>
      <c r="K44" s="92">
        <v>30.5</v>
      </c>
      <c r="N44" s="272"/>
      <c r="O44" s="92" t="s">
        <v>85</v>
      </c>
      <c r="P44" s="3">
        <v>11.93</v>
      </c>
      <c r="Q44" s="92">
        <v>2810</v>
      </c>
      <c r="R44" s="92">
        <v>30.1</v>
      </c>
      <c r="S44" s="271"/>
      <c r="T44" s="256"/>
      <c r="U44" s="270"/>
      <c r="V44" s="256"/>
      <c r="W44" s="270"/>
      <c r="X44" s="256"/>
    </row>
    <row r="45" spans="7:24" x14ac:dyDescent="0.25">
      <c r="G45" s="4">
        <v>36</v>
      </c>
      <c r="H45" s="92" t="s">
        <v>112</v>
      </c>
      <c r="I45" s="3">
        <v>11.41</v>
      </c>
      <c r="J45" s="92">
        <v>1161</v>
      </c>
      <c r="K45" s="92">
        <v>29.7</v>
      </c>
      <c r="N45" s="272">
        <v>2</v>
      </c>
      <c r="O45" s="92" t="s">
        <v>95</v>
      </c>
      <c r="P45" s="3">
        <v>11.76</v>
      </c>
      <c r="Q45" s="92">
        <v>1648</v>
      </c>
      <c r="R45" s="92">
        <v>30.1</v>
      </c>
      <c r="S45" s="271">
        <f>AVERAGE(P45:P47)</f>
        <v>11.76</v>
      </c>
      <c r="T45" s="256">
        <f>STDEV(P45:P47)</f>
        <v>9.9999999999997868E-3</v>
      </c>
      <c r="U45" s="270">
        <f>AVERAGE(Q45:Q47)</f>
        <v>1638</v>
      </c>
      <c r="V45" s="256">
        <f>STDEV(Q45:Q47)</f>
        <v>31.22498999199199</v>
      </c>
      <c r="W45" s="270">
        <f>AVERAGE(R45:R47)</f>
        <v>30.166666666666668</v>
      </c>
      <c r="X45" s="256">
        <f>STDEV(R45:R47)</f>
        <v>0.20816659994661224</v>
      </c>
    </row>
    <row r="46" spans="7:24" x14ac:dyDescent="0.25">
      <c r="G46" s="4">
        <v>37</v>
      </c>
      <c r="H46" s="92" t="s">
        <v>114</v>
      </c>
      <c r="I46" s="3">
        <v>11.63</v>
      </c>
      <c r="J46" s="92">
        <v>997</v>
      </c>
      <c r="K46" s="92">
        <v>29.8</v>
      </c>
      <c r="N46" s="272"/>
      <c r="O46" s="92" t="s">
        <v>96</v>
      </c>
      <c r="P46" s="3">
        <v>11.77</v>
      </c>
      <c r="Q46" s="92">
        <v>1663</v>
      </c>
      <c r="R46" s="92">
        <v>30.4</v>
      </c>
      <c r="S46" s="271"/>
      <c r="T46" s="256"/>
      <c r="U46" s="270"/>
      <c r="V46" s="256"/>
      <c r="W46" s="270"/>
      <c r="X46" s="256"/>
    </row>
    <row r="47" spans="7:24" x14ac:dyDescent="0.25">
      <c r="G47" s="4">
        <v>38</v>
      </c>
      <c r="H47" s="92" t="s">
        <v>115</v>
      </c>
      <c r="I47" s="3">
        <v>11.6</v>
      </c>
      <c r="J47" s="92">
        <v>939</v>
      </c>
      <c r="K47" s="92">
        <v>29.9</v>
      </c>
      <c r="N47" s="272"/>
      <c r="O47" s="92" t="s">
        <v>97</v>
      </c>
      <c r="P47" s="3">
        <v>11.75</v>
      </c>
      <c r="Q47" s="92">
        <v>1603</v>
      </c>
      <c r="R47" s="92">
        <v>30</v>
      </c>
      <c r="S47" s="271"/>
      <c r="T47" s="256"/>
      <c r="U47" s="270"/>
      <c r="V47" s="256"/>
      <c r="W47" s="270"/>
      <c r="X47" s="256"/>
    </row>
    <row r="48" spans="7:24" x14ac:dyDescent="0.25">
      <c r="G48" s="4">
        <v>39</v>
      </c>
      <c r="H48" s="92" t="s">
        <v>116</v>
      </c>
      <c r="I48" s="3">
        <v>11.6</v>
      </c>
      <c r="J48" s="92">
        <v>923</v>
      </c>
      <c r="K48" s="92">
        <v>29.9</v>
      </c>
      <c r="N48" s="272">
        <v>3</v>
      </c>
      <c r="O48" s="92" t="s">
        <v>107</v>
      </c>
      <c r="P48" s="3">
        <v>11.58</v>
      </c>
      <c r="Q48" s="92">
        <v>1138</v>
      </c>
      <c r="R48" s="92">
        <v>31.1</v>
      </c>
      <c r="S48" s="271">
        <f>AVERAGE(P48:P50)</f>
        <v>11.603333333333332</v>
      </c>
      <c r="T48" s="256">
        <f>STDEV(P48:P50)</f>
        <v>2.0816659994660883E-2</v>
      </c>
      <c r="U48" s="270">
        <f>AVERAGE(Q48:Q50)</f>
        <v>1125</v>
      </c>
      <c r="V48" s="256">
        <f>STDEV(Q48:Q50)</f>
        <v>11.269427669584644</v>
      </c>
      <c r="W48" s="270">
        <f>AVERAGE(R48:R50)</f>
        <v>31</v>
      </c>
      <c r="X48" s="256">
        <f>STDEV(R48:R50)</f>
        <v>0.45825756949558355</v>
      </c>
    </row>
    <row r="49" spans="7:24" x14ac:dyDescent="0.25">
      <c r="G49" s="4">
        <v>40</v>
      </c>
      <c r="H49" s="92" t="s">
        <v>117</v>
      </c>
      <c r="I49" s="3">
        <v>11.31</v>
      </c>
      <c r="J49" s="92">
        <v>689</v>
      </c>
      <c r="K49" s="92">
        <v>29.5</v>
      </c>
      <c r="N49" s="272"/>
      <c r="O49" s="92" t="s">
        <v>108</v>
      </c>
      <c r="P49" s="3">
        <v>11.61</v>
      </c>
      <c r="Q49" s="92">
        <v>1118</v>
      </c>
      <c r="R49" s="92">
        <v>31.4</v>
      </c>
      <c r="S49" s="271"/>
      <c r="T49" s="256"/>
      <c r="U49" s="270"/>
      <c r="V49" s="256"/>
      <c r="W49" s="270"/>
      <c r="X49" s="256"/>
    </row>
    <row r="50" spans="7:24" x14ac:dyDescent="0.25">
      <c r="G50" s="4">
        <v>41</v>
      </c>
      <c r="H50" s="92" t="s">
        <v>118</v>
      </c>
      <c r="I50" s="3">
        <v>11.29</v>
      </c>
      <c r="J50" s="92">
        <v>679</v>
      </c>
      <c r="K50" s="92">
        <v>29.3</v>
      </c>
      <c r="N50" s="272"/>
      <c r="O50" s="92" t="s">
        <v>109</v>
      </c>
      <c r="P50" s="3">
        <v>11.62</v>
      </c>
      <c r="Q50" s="92">
        <v>1119</v>
      </c>
      <c r="R50" s="92">
        <v>30.5</v>
      </c>
      <c r="S50" s="271"/>
      <c r="T50" s="256"/>
      <c r="U50" s="270"/>
      <c r="V50" s="256"/>
      <c r="W50" s="270"/>
      <c r="X50" s="256"/>
    </row>
    <row r="51" spans="7:24" x14ac:dyDescent="0.25">
      <c r="G51" s="4">
        <v>42</v>
      </c>
      <c r="H51" s="92" t="s">
        <v>119</v>
      </c>
      <c r="I51" s="3">
        <v>11.25</v>
      </c>
      <c r="J51" s="92">
        <v>696</v>
      </c>
      <c r="K51" s="92">
        <v>28.9</v>
      </c>
      <c r="N51" s="272">
        <v>4</v>
      </c>
      <c r="O51" s="92" t="s">
        <v>120</v>
      </c>
      <c r="P51" s="3">
        <v>11.35</v>
      </c>
      <c r="Q51" s="92">
        <v>832</v>
      </c>
      <c r="R51" s="92">
        <v>30.7</v>
      </c>
      <c r="S51" s="271">
        <f>AVERAGE(P51:P53)</f>
        <v>11.32</v>
      </c>
      <c r="T51" s="256">
        <f>STDEV(P51:P53)</f>
        <v>9.8488578017960668E-2</v>
      </c>
      <c r="U51" s="270">
        <f>AVERAGE(Q51:Q53)</f>
        <v>835</v>
      </c>
      <c r="V51" s="256">
        <f>STDEV(Q51:Q53)</f>
        <v>4.358898943540674</v>
      </c>
      <c r="W51" s="270">
        <f>AVERAGE(R51:R53)</f>
        <v>30.599999999999998</v>
      </c>
      <c r="X51" s="256">
        <f>STDEV(R51:R53)</f>
        <v>0.17320508075688815</v>
      </c>
    </row>
    <row r="52" spans="7:24" x14ac:dyDescent="0.25">
      <c r="G52" s="4">
        <v>43</v>
      </c>
      <c r="H52" s="92" t="s">
        <v>120</v>
      </c>
      <c r="I52" s="3">
        <v>11.35</v>
      </c>
      <c r="J52" s="92">
        <v>832</v>
      </c>
      <c r="K52" s="92">
        <v>30.7</v>
      </c>
      <c r="N52" s="272"/>
      <c r="O52" s="92" t="s">
        <v>121</v>
      </c>
      <c r="P52" s="3">
        <v>11.4</v>
      </c>
      <c r="Q52" s="92">
        <v>840</v>
      </c>
      <c r="R52" s="92">
        <v>30.7</v>
      </c>
      <c r="S52" s="271"/>
      <c r="T52" s="256"/>
      <c r="U52" s="270"/>
      <c r="V52" s="256"/>
      <c r="W52" s="270"/>
      <c r="X52" s="256"/>
    </row>
    <row r="53" spans="7:24" x14ac:dyDescent="0.25">
      <c r="G53" s="4">
        <v>44</v>
      </c>
      <c r="H53" s="92" t="s">
        <v>121</v>
      </c>
      <c r="I53" s="3">
        <v>11.4</v>
      </c>
      <c r="J53" s="92">
        <v>840</v>
      </c>
      <c r="K53" s="92">
        <v>30.7</v>
      </c>
      <c r="N53" s="272"/>
      <c r="O53" s="92" t="s">
        <v>122</v>
      </c>
      <c r="P53" s="3">
        <v>11.21</v>
      </c>
      <c r="Q53" s="92">
        <v>833</v>
      </c>
      <c r="R53" s="92">
        <v>30.4</v>
      </c>
      <c r="S53" s="271"/>
      <c r="T53" s="256"/>
      <c r="U53" s="270"/>
      <c r="V53" s="256"/>
      <c r="W53" s="270"/>
      <c r="X53" s="256"/>
    </row>
    <row r="54" spans="7:24" x14ac:dyDescent="0.25">
      <c r="G54" s="4">
        <v>45</v>
      </c>
      <c r="H54" s="92" t="s">
        <v>122</v>
      </c>
      <c r="I54" s="3">
        <v>11.21</v>
      </c>
      <c r="J54" s="92">
        <v>833</v>
      </c>
      <c r="K54" s="92">
        <v>30.4</v>
      </c>
      <c r="N54" s="272">
        <v>5</v>
      </c>
      <c r="O54" s="92" t="s">
        <v>132</v>
      </c>
      <c r="P54" s="3">
        <v>11.32</v>
      </c>
      <c r="Q54" s="92">
        <v>693</v>
      </c>
      <c r="R54" s="92">
        <v>31.3</v>
      </c>
      <c r="S54" s="271">
        <f>AVERAGE(P54:P56)</f>
        <v>11.323333333333332</v>
      </c>
      <c r="T54" s="256">
        <f>STDEV(P54:P56)</f>
        <v>5.7735026918961348E-3</v>
      </c>
      <c r="U54" s="270">
        <f>AVERAGE(Q54:Q56)</f>
        <v>705.33333333333337</v>
      </c>
      <c r="V54" s="256">
        <f>STDEV(Q54:Q56)</f>
        <v>10.692676621563628</v>
      </c>
      <c r="W54" s="270">
        <f>AVERAGE(R54:R56)</f>
        <v>30.966666666666669</v>
      </c>
      <c r="X54" s="256">
        <f>STDEV(R54:R56)</f>
        <v>0.30550504633039016</v>
      </c>
    </row>
    <row r="55" spans="7:24" x14ac:dyDescent="0.25">
      <c r="G55" s="4">
        <v>46</v>
      </c>
      <c r="H55" s="92" t="s">
        <v>123</v>
      </c>
      <c r="I55" s="3">
        <v>11.53</v>
      </c>
      <c r="J55" s="92">
        <v>910</v>
      </c>
      <c r="K55" s="92">
        <v>29.4</v>
      </c>
      <c r="N55" s="272"/>
      <c r="O55" s="92" t="s">
        <v>133</v>
      </c>
      <c r="P55" s="3">
        <v>11.32</v>
      </c>
      <c r="Q55" s="92">
        <v>712</v>
      </c>
      <c r="R55" s="92">
        <v>30.9</v>
      </c>
      <c r="S55" s="271"/>
      <c r="T55" s="256"/>
      <c r="U55" s="270"/>
      <c r="V55" s="256"/>
      <c r="W55" s="270"/>
      <c r="X55" s="256"/>
    </row>
    <row r="56" spans="7:24" x14ac:dyDescent="0.25">
      <c r="G56" s="4">
        <v>47</v>
      </c>
      <c r="H56" s="92" t="s">
        <v>124</v>
      </c>
      <c r="I56" s="3">
        <v>11.55</v>
      </c>
      <c r="J56" s="92">
        <v>932</v>
      </c>
      <c r="K56" s="92">
        <v>28.1</v>
      </c>
      <c r="N56" s="272"/>
      <c r="O56" s="92" t="s">
        <v>134</v>
      </c>
      <c r="P56" s="3">
        <v>11.33</v>
      </c>
      <c r="Q56" s="92">
        <v>711</v>
      </c>
      <c r="R56" s="92">
        <v>30.7</v>
      </c>
      <c r="S56" s="271"/>
      <c r="T56" s="256"/>
      <c r="U56" s="270"/>
      <c r="V56" s="256"/>
      <c r="W56" s="270"/>
      <c r="X56" s="256"/>
    </row>
    <row r="57" spans="7:24" x14ac:dyDescent="0.25">
      <c r="G57" s="4">
        <v>48</v>
      </c>
      <c r="H57" s="92" t="s">
        <v>125</v>
      </c>
      <c r="I57" s="3">
        <v>11.55</v>
      </c>
      <c r="J57" s="92">
        <v>916</v>
      </c>
      <c r="K57" s="92">
        <v>28.6</v>
      </c>
    </row>
    <row r="58" spans="7:24" x14ac:dyDescent="0.25">
      <c r="G58" s="4">
        <v>49</v>
      </c>
      <c r="H58" s="92" t="s">
        <v>126</v>
      </c>
      <c r="I58" s="3">
        <v>11.54</v>
      </c>
      <c r="J58" s="92">
        <v>790</v>
      </c>
      <c r="K58" s="92">
        <v>30.5</v>
      </c>
      <c r="N58" s="272">
        <v>10</v>
      </c>
      <c r="O58" s="92" t="s">
        <v>86</v>
      </c>
      <c r="P58" s="3">
        <v>10.93</v>
      </c>
      <c r="Q58" s="92">
        <v>4450</v>
      </c>
      <c r="R58" s="92">
        <v>29.9</v>
      </c>
      <c r="S58" s="271">
        <f>AVERAGE(P58:P60)</f>
        <v>10.916666666666666</v>
      </c>
      <c r="T58" s="256">
        <f>STDEV(P58:P60)</f>
        <v>1.527525231651914E-2</v>
      </c>
      <c r="U58" s="270">
        <f>AVERAGE(Q58:Q60)</f>
        <v>4430</v>
      </c>
      <c r="V58" s="256">
        <f>STDEV(Q58:Q60)</f>
        <v>43.588989435406738</v>
      </c>
      <c r="W58" s="270">
        <f>AVERAGE(R58:R60)</f>
        <v>29.766666666666666</v>
      </c>
      <c r="X58" s="256">
        <f>STDEV(R58:R60)</f>
        <v>0.51316014394468834</v>
      </c>
    </row>
    <row r="59" spans="7:24" x14ac:dyDescent="0.25">
      <c r="G59" s="4">
        <v>50</v>
      </c>
      <c r="H59" s="92" t="s">
        <v>127</v>
      </c>
      <c r="I59" s="3">
        <v>11.52</v>
      </c>
      <c r="J59" s="92">
        <v>776</v>
      </c>
      <c r="K59" s="92">
        <v>30.4</v>
      </c>
      <c r="N59" s="272"/>
      <c r="O59" s="92" t="s">
        <v>87</v>
      </c>
      <c r="P59" s="3">
        <v>10.92</v>
      </c>
      <c r="Q59" s="92">
        <v>4380</v>
      </c>
      <c r="R59" s="92">
        <v>30.2</v>
      </c>
      <c r="S59" s="271"/>
      <c r="T59" s="256"/>
      <c r="U59" s="270"/>
      <c r="V59" s="256"/>
      <c r="W59" s="270"/>
      <c r="X59" s="256"/>
    </row>
    <row r="60" spans="7:24" x14ac:dyDescent="0.25">
      <c r="G60" s="4">
        <v>51</v>
      </c>
      <c r="H60" s="92" t="s">
        <v>128</v>
      </c>
      <c r="I60" s="3">
        <v>11.5</v>
      </c>
      <c r="J60" s="92">
        <v>765</v>
      </c>
      <c r="K60" s="92">
        <v>30.6</v>
      </c>
      <c r="N60" s="272"/>
      <c r="O60" s="92" t="s">
        <v>88</v>
      </c>
      <c r="P60" s="3">
        <v>10.9</v>
      </c>
      <c r="Q60" s="92">
        <v>4460</v>
      </c>
      <c r="R60" s="92">
        <v>29.2</v>
      </c>
      <c r="S60" s="271"/>
      <c r="T60" s="256"/>
      <c r="U60" s="270"/>
      <c r="V60" s="256"/>
      <c r="W60" s="270"/>
      <c r="X60" s="256"/>
    </row>
    <row r="61" spans="7:24" x14ac:dyDescent="0.25">
      <c r="G61" s="4">
        <v>52</v>
      </c>
      <c r="H61" s="92" t="s">
        <v>129</v>
      </c>
      <c r="I61" s="3">
        <v>11.23</v>
      </c>
      <c r="J61" s="92">
        <v>580</v>
      </c>
      <c r="K61" s="92">
        <v>30.3</v>
      </c>
      <c r="N61" s="272">
        <v>20</v>
      </c>
      <c r="O61" s="92" t="s">
        <v>98</v>
      </c>
      <c r="P61" s="3">
        <v>10.94</v>
      </c>
      <c r="Q61" s="92">
        <v>2920</v>
      </c>
      <c r="R61" s="92">
        <v>29.6</v>
      </c>
      <c r="S61" s="271">
        <f>AVERAGE(P61:P63)</f>
        <v>10.94</v>
      </c>
      <c r="T61" s="256">
        <f>STDEV(P61:P63)</f>
        <v>9.9999999999997868E-3</v>
      </c>
      <c r="U61" s="270">
        <f>AVERAGE(Q61:Q63)</f>
        <v>3010</v>
      </c>
      <c r="V61" s="256">
        <f>STDEV(Q61:Q63)</f>
        <v>85.440037453175307</v>
      </c>
      <c r="W61" s="270">
        <f>AVERAGE(R61:R63)</f>
        <v>29.366666666666664</v>
      </c>
      <c r="X61" s="256">
        <f>STDEV(R61:R63)</f>
        <v>0.40414518843273967</v>
      </c>
    </row>
    <row r="62" spans="7:24" x14ac:dyDescent="0.25">
      <c r="G62" s="4">
        <v>53</v>
      </c>
      <c r="H62" s="92" t="s">
        <v>130</v>
      </c>
      <c r="I62" s="3">
        <v>11.23</v>
      </c>
      <c r="J62" s="92">
        <v>577</v>
      </c>
      <c r="K62" s="92">
        <v>30.2</v>
      </c>
      <c r="N62" s="272"/>
      <c r="O62" s="92" t="s">
        <v>99</v>
      </c>
      <c r="P62" s="3">
        <v>10.95</v>
      </c>
      <c r="Q62" s="92">
        <v>3020</v>
      </c>
      <c r="R62" s="92">
        <v>29.6</v>
      </c>
      <c r="S62" s="271"/>
      <c r="T62" s="256"/>
      <c r="U62" s="270"/>
      <c r="V62" s="256"/>
      <c r="W62" s="270"/>
      <c r="X62" s="256"/>
    </row>
    <row r="63" spans="7:24" x14ac:dyDescent="0.25">
      <c r="G63" s="4">
        <v>54</v>
      </c>
      <c r="H63" s="92" t="s">
        <v>131</v>
      </c>
      <c r="I63" s="3">
        <v>11.17</v>
      </c>
      <c r="J63" s="92">
        <v>584</v>
      </c>
      <c r="K63" s="92">
        <v>29.4</v>
      </c>
      <c r="N63" s="272"/>
      <c r="O63" s="92" t="s">
        <v>100</v>
      </c>
      <c r="P63" s="3">
        <v>10.93</v>
      </c>
      <c r="Q63" s="92">
        <v>3090</v>
      </c>
      <c r="R63" s="92">
        <v>28.9</v>
      </c>
      <c r="S63" s="271"/>
      <c r="T63" s="256"/>
      <c r="U63" s="270"/>
      <c r="V63" s="256"/>
      <c r="W63" s="270"/>
      <c r="X63" s="256"/>
    </row>
    <row r="64" spans="7:24" x14ac:dyDescent="0.25">
      <c r="G64" s="4">
        <v>55</v>
      </c>
      <c r="H64" s="92" t="s">
        <v>132</v>
      </c>
      <c r="I64" s="3">
        <v>11.32</v>
      </c>
      <c r="J64" s="92">
        <v>693</v>
      </c>
      <c r="K64" s="92">
        <v>31.3</v>
      </c>
      <c r="N64" s="272">
        <v>30</v>
      </c>
      <c r="O64" s="92" t="s">
        <v>110</v>
      </c>
      <c r="P64" s="3">
        <v>11.39</v>
      </c>
      <c r="Q64" s="92">
        <v>1105</v>
      </c>
      <c r="R64" s="92">
        <v>30.3</v>
      </c>
      <c r="S64" s="271">
        <f>AVERAGE(P64:P66)</f>
        <v>11.410000000000002</v>
      </c>
      <c r="T64" s="256">
        <f>STDEV(P64:P66)</f>
        <v>1.9999999999999574E-2</v>
      </c>
      <c r="U64" s="270">
        <f>AVERAGE(Q64:Q66)</f>
        <v>1129.6666666666667</v>
      </c>
      <c r="V64" s="256">
        <f>STDEV(Q64:Q66)</f>
        <v>28.589042189855423</v>
      </c>
      <c r="W64" s="270">
        <f>AVERAGE(R64:R66)</f>
        <v>30.166666666666668</v>
      </c>
      <c r="X64" s="256">
        <f>STDEV(R64:R66)</f>
        <v>0.41633319989322704</v>
      </c>
    </row>
    <row r="65" spans="6:24" x14ac:dyDescent="0.25">
      <c r="G65" s="4">
        <v>56</v>
      </c>
      <c r="H65" s="92" t="s">
        <v>133</v>
      </c>
      <c r="I65" s="3">
        <v>11.32</v>
      </c>
      <c r="J65" s="92">
        <v>712</v>
      </c>
      <c r="K65" s="92">
        <v>30.9</v>
      </c>
      <c r="N65" s="272"/>
      <c r="O65" s="92" t="s">
        <v>111</v>
      </c>
      <c r="P65" s="3">
        <v>11.43</v>
      </c>
      <c r="Q65" s="92">
        <v>1123</v>
      </c>
      <c r="R65" s="92">
        <v>30.5</v>
      </c>
      <c r="S65" s="271"/>
      <c r="T65" s="256"/>
      <c r="U65" s="270"/>
      <c r="V65" s="256"/>
      <c r="W65" s="270"/>
      <c r="X65" s="256"/>
    </row>
    <row r="66" spans="6:24" x14ac:dyDescent="0.25">
      <c r="G66" s="4">
        <v>57</v>
      </c>
      <c r="H66" s="92" t="s">
        <v>134</v>
      </c>
      <c r="I66" s="3">
        <v>11.33</v>
      </c>
      <c r="J66" s="92">
        <v>711</v>
      </c>
      <c r="K66" s="92">
        <v>30.7</v>
      </c>
      <c r="N66" s="272"/>
      <c r="O66" s="92" t="s">
        <v>112</v>
      </c>
      <c r="P66" s="3">
        <v>11.41</v>
      </c>
      <c r="Q66" s="92">
        <v>1161</v>
      </c>
      <c r="R66" s="92">
        <v>29.7</v>
      </c>
      <c r="S66" s="271"/>
      <c r="T66" s="256"/>
      <c r="U66" s="270"/>
      <c r="V66" s="256"/>
      <c r="W66" s="270"/>
      <c r="X66" s="256"/>
    </row>
    <row r="67" spans="6:24" x14ac:dyDescent="0.25">
      <c r="G67" s="4">
        <v>58</v>
      </c>
      <c r="H67" s="92" t="s">
        <v>135</v>
      </c>
      <c r="I67" s="3">
        <v>11.35</v>
      </c>
      <c r="J67" s="92">
        <v>817</v>
      </c>
      <c r="K67" s="92">
        <v>31</v>
      </c>
      <c r="N67" s="272">
        <v>40</v>
      </c>
      <c r="O67" s="92" t="s">
        <v>123</v>
      </c>
      <c r="P67" s="3">
        <v>11.53</v>
      </c>
      <c r="Q67" s="92">
        <v>910</v>
      </c>
      <c r="R67" s="92">
        <v>29.4</v>
      </c>
      <c r="S67" s="271">
        <f>AVERAGE(P67:P69)</f>
        <v>11.543333333333331</v>
      </c>
      <c r="T67" s="256">
        <f>STDEV(P67:P69)</f>
        <v>1.1547005383793295E-2</v>
      </c>
      <c r="U67" s="270">
        <f>AVERAGE(Q67:Q69)</f>
        <v>919.33333333333337</v>
      </c>
      <c r="V67" s="256">
        <f>STDEV(Q67:Q69)</f>
        <v>11.372481406154654</v>
      </c>
      <c r="W67" s="270">
        <f>AVERAGE(R67:R69)</f>
        <v>28.7</v>
      </c>
      <c r="X67" s="256">
        <f>STDEV(R67:R69)</f>
        <v>0.6557438524301985</v>
      </c>
    </row>
    <row r="68" spans="6:24" x14ac:dyDescent="0.25">
      <c r="G68" s="4">
        <v>59</v>
      </c>
      <c r="H68" s="92" t="s">
        <v>136</v>
      </c>
      <c r="I68" s="3">
        <v>11.47</v>
      </c>
      <c r="J68" s="92">
        <v>830</v>
      </c>
      <c r="K68" s="92">
        <v>30.3</v>
      </c>
      <c r="N68" s="272"/>
      <c r="O68" s="92" t="s">
        <v>124</v>
      </c>
      <c r="P68" s="3">
        <v>11.55</v>
      </c>
      <c r="Q68" s="92">
        <v>932</v>
      </c>
      <c r="R68" s="92">
        <v>28.1</v>
      </c>
      <c r="S68" s="271"/>
      <c r="T68" s="256"/>
      <c r="U68" s="270"/>
      <c r="V68" s="256"/>
      <c r="W68" s="270"/>
      <c r="X68" s="256"/>
    </row>
    <row r="69" spans="6:24" x14ac:dyDescent="0.25">
      <c r="G69" s="4">
        <v>60</v>
      </c>
      <c r="H69" s="92" t="s">
        <v>137</v>
      </c>
      <c r="I69" s="3">
        <v>11.49</v>
      </c>
      <c r="J69" s="92">
        <v>840</v>
      </c>
      <c r="K69" s="92">
        <v>29.8</v>
      </c>
      <c r="N69" s="272"/>
      <c r="O69" s="92" t="s">
        <v>125</v>
      </c>
      <c r="P69" s="3">
        <v>11.55</v>
      </c>
      <c r="Q69" s="92">
        <v>916</v>
      </c>
      <c r="R69" s="92">
        <v>28.6</v>
      </c>
      <c r="S69" s="271"/>
      <c r="T69" s="256"/>
      <c r="U69" s="270"/>
      <c r="V69" s="256"/>
      <c r="W69" s="270"/>
      <c r="X69" s="256"/>
    </row>
    <row r="70" spans="6:24" x14ac:dyDescent="0.25">
      <c r="N70" s="272">
        <v>50</v>
      </c>
      <c r="O70" s="92" t="s">
        <v>135</v>
      </c>
      <c r="P70" s="3">
        <v>11.35</v>
      </c>
      <c r="Q70" s="92">
        <v>817</v>
      </c>
      <c r="R70" s="92">
        <v>31</v>
      </c>
      <c r="S70" s="271">
        <f>AVERAGE(P70:P72)</f>
        <v>11.436666666666667</v>
      </c>
      <c r="T70" s="256">
        <f>STDEV(P70:P72)</f>
        <v>7.571877794400407E-2</v>
      </c>
      <c r="U70" s="270">
        <f>AVERAGE(Q70:Q72)</f>
        <v>829</v>
      </c>
      <c r="V70" s="256">
        <f>STDEV(Q70:Q72)</f>
        <v>11.532562594670797</v>
      </c>
      <c r="W70" s="270">
        <f>AVERAGE(R70:R72)</f>
        <v>30.366666666666664</v>
      </c>
      <c r="X70" s="256">
        <f>STDEV(R70:R72)</f>
        <v>0.60277137733417041</v>
      </c>
    </row>
    <row r="71" spans="6:24" x14ac:dyDescent="0.25">
      <c r="N71" s="272"/>
      <c r="O71" s="92" t="s">
        <v>136</v>
      </c>
      <c r="P71" s="3">
        <v>11.47</v>
      </c>
      <c r="Q71" s="92">
        <v>830</v>
      </c>
      <c r="R71" s="92">
        <v>30.3</v>
      </c>
      <c r="S71" s="271"/>
      <c r="T71" s="256"/>
      <c r="U71" s="270"/>
      <c r="V71" s="256"/>
      <c r="W71" s="270"/>
      <c r="X71" s="256"/>
    </row>
    <row r="72" spans="6:24" x14ac:dyDescent="0.25">
      <c r="N72" s="272"/>
      <c r="O72" s="92" t="s">
        <v>137</v>
      </c>
      <c r="P72" s="3">
        <v>11.49</v>
      </c>
      <c r="Q72" s="92">
        <v>840</v>
      </c>
      <c r="R72" s="92">
        <v>29.8</v>
      </c>
      <c r="S72" s="271"/>
      <c r="T72" s="256"/>
      <c r="U72" s="270"/>
      <c r="V72" s="256"/>
      <c r="W72" s="270"/>
      <c r="X72" s="256"/>
    </row>
    <row r="76" spans="6:24" x14ac:dyDescent="0.25">
      <c r="K76" t="s">
        <v>161</v>
      </c>
    </row>
    <row r="79" spans="6:24" x14ac:dyDescent="0.25">
      <c r="H79" s="66" t="s">
        <v>7</v>
      </c>
      <c r="I79" s="67" t="s">
        <v>8</v>
      </c>
      <c r="J79" s="112" t="s">
        <v>9</v>
      </c>
      <c r="K79" s="67" t="s">
        <v>10</v>
      </c>
      <c r="L79" s="113" t="s">
        <v>11</v>
      </c>
      <c r="M79" s="67" t="s">
        <v>162</v>
      </c>
      <c r="N79" s="67" t="s">
        <v>175</v>
      </c>
      <c r="O79" s="67" t="s">
        <v>176</v>
      </c>
      <c r="P79" s="67" t="s">
        <v>177</v>
      </c>
      <c r="Q79" s="67" t="s">
        <v>178</v>
      </c>
      <c r="R79" s="67" t="s">
        <v>179</v>
      </c>
      <c r="S79" s="67" t="s">
        <v>180</v>
      </c>
      <c r="T79" s="67" t="s">
        <v>181</v>
      </c>
      <c r="U79" s="67" t="s">
        <v>182</v>
      </c>
      <c r="V79" s="67" t="s">
        <v>183</v>
      </c>
    </row>
    <row r="80" spans="6:24" x14ac:dyDescent="0.25">
      <c r="F80" s="67" t="s">
        <v>68</v>
      </c>
      <c r="G80" s="67" t="s">
        <v>69</v>
      </c>
      <c r="H80" s="52" t="s">
        <v>20</v>
      </c>
      <c r="I80" s="52" t="s">
        <v>20</v>
      </c>
      <c r="J80" s="52" t="s">
        <v>20</v>
      </c>
      <c r="K80" s="52" t="s">
        <v>20</v>
      </c>
      <c r="L80" s="52" t="s">
        <v>20</v>
      </c>
      <c r="M80" s="52" t="s">
        <v>20</v>
      </c>
      <c r="N80" s="67"/>
      <c r="O80" s="52" t="s">
        <v>20</v>
      </c>
      <c r="P80" s="67"/>
      <c r="Q80" s="52" t="s">
        <v>20</v>
      </c>
      <c r="R80" s="67"/>
      <c r="S80" s="52" t="s">
        <v>20</v>
      </c>
      <c r="T80" s="67"/>
      <c r="U80" s="52" t="s">
        <v>20</v>
      </c>
      <c r="V80" s="67"/>
    </row>
    <row r="81" spans="6:24" x14ac:dyDescent="0.25">
      <c r="F81" s="46">
        <v>3.8959200000000003</v>
      </c>
      <c r="G81" s="59">
        <v>39.090800000000002</v>
      </c>
      <c r="H81" s="59">
        <f>G81/F81</f>
        <v>10.033778927698721</v>
      </c>
      <c r="I81" s="59">
        <f>I99</f>
        <v>10.029307583317932</v>
      </c>
      <c r="J81" s="110">
        <f>K99</f>
        <v>10.049200188915583</v>
      </c>
      <c r="K81" s="59" cm="1">
        <f t="array" ref="K81:K92">M99:M110</f>
        <v>10.049200188915583</v>
      </c>
      <c r="L81" s="60" cm="1">
        <f t="array" ref="L81:L92">O99:O110</f>
        <v>10.040370438818048</v>
      </c>
      <c r="M81" s="276">
        <f>AVERAGE(H81:H83)</f>
        <v>10.053526081986625</v>
      </c>
      <c r="N81" s="276">
        <f>STDEV(H81:H83)</f>
        <v>5.2966177160996726E-2</v>
      </c>
      <c r="O81" s="276">
        <f>AVERAGE(I81:I83)</f>
        <v>10.02052061301738</v>
      </c>
      <c r="P81" s="276">
        <f>STDEV(I81:I83)</f>
        <v>7.8102226056685244E-3</v>
      </c>
      <c r="Q81" s="276">
        <f>AVERAGE(J81:J83)</f>
        <v>10.025525849264527</v>
      </c>
      <c r="R81" s="276">
        <f>STDEV(J81:J83)</f>
        <v>2.8665450747529273E-2</v>
      </c>
      <c r="S81" s="276">
        <f>AVERAGE(K81:K83)</f>
        <v>10.025525849264527</v>
      </c>
      <c r="T81" s="276">
        <f>STDEV(K81:K83)</f>
        <v>2.8665450747529273E-2</v>
      </c>
      <c r="U81" s="276">
        <f>AVERAGE(L81:L83)</f>
        <v>10.024413574542942</v>
      </c>
      <c r="V81" s="276">
        <f>STDEV(L81:L83)</f>
        <v>1.3823393639237203E-2</v>
      </c>
      <c r="W81" s="273">
        <v>11.65</v>
      </c>
      <c r="X81" s="271">
        <v>0.02</v>
      </c>
    </row>
    <row r="82" spans="6:24" x14ac:dyDescent="0.25">
      <c r="F82" s="46">
        <v>3.8959199999999998</v>
      </c>
      <c r="G82" s="61">
        <v>39.010899999999999</v>
      </c>
      <c r="H82" s="61">
        <f t="shared" ref="H82:H92" si="0">G82/F82</f>
        <v>10.013270293024497</v>
      </c>
      <c r="I82" s="61">
        <f t="shared" ref="I82:I92" si="1">I100</f>
        <v>10.014368878211053</v>
      </c>
      <c r="J82" s="105">
        <f t="shared" ref="J82:J92" si="2">K100</f>
        <v>10.0337224583667</v>
      </c>
      <c r="K82" s="61">
        <v>10.0337224583667</v>
      </c>
      <c r="L82" s="62">
        <v>10.016088626049816</v>
      </c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3"/>
      <c r="X82" s="271"/>
    </row>
    <row r="83" spans="6:24" x14ac:dyDescent="0.25">
      <c r="F83" s="46">
        <v>3.8959200000000003</v>
      </c>
      <c r="G83" s="61">
        <v>39.401499999999999</v>
      </c>
      <c r="H83" s="61">
        <f t="shared" si="0"/>
        <v>10.113529025236657</v>
      </c>
      <c r="I83" s="61">
        <f t="shared" si="1"/>
        <v>10.017885377523152</v>
      </c>
      <c r="J83" s="105">
        <f t="shared" si="2"/>
        <v>9.9936549005113022</v>
      </c>
      <c r="K83" s="61">
        <v>9.9936549005113022</v>
      </c>
      <c r="L83" s="62">
        <v>10.01678165876096</v>
      </c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3"/>
      <c r="X83" s="271"/>
    </row>
    <row r="84" spans="6:24" x14ac:dyDescent="0.25">
      <c r="F84" s="45">
        <v>4.3181600000000007</v>
      </c>
      <c r="G84" s="59">
        <v>43.170099999999998</v>
      </c>
      <c r="H84" s="59">
        <f t="shared" si="0"/>
        <v>9.997336828649237</v>
      </c>
      <c r="I84" s="59">
        <f t="shared" si="1"/>
        <v>9.9882449932378581</v>
      </c>
      <c r="J84" s="110">
        <f t="shared" si="2"/>
        <v>9.9770365155529195</v>
      </c>
      <c r="K84" s="59">
        <v>9.9770365155529195</v>
      </c>
      <c r="L84" s="60">
        <v>9.9954239768790387</v>
      </c>
      <c r="M84" s="276">
        <f>AVERAGE(H84:H86)</f>
        <v>10.02115098406111</v>
      </c>
      <c r="N84" s="276">
        <f>STDEV(H84:H86)</f>
        <v>3.2176507999371134E-2</v>
      </c>
      <c r="O84" s="276">
        <f>AVERAGE(I84:I86)</f>
        <v>10.020805157752376</v>
      </c>
      <c r="P84" s="276">
        <f>STDEV(I84:I86)</f>
        <v>3.7706961067288096E-2</v>
      </c>
      <c r="Q84" s="276">
        <f>AVERAGE(J84:J86)</f>
        <v>10.035147686360238</v>
      </c>
      <c r="R84" s="276">
        <f>STDEV(J84:J86)</f>
        <v>8.5411837575555788E-2</v>
      </c>
      <c r="S84" s="276">
        <f>AVERAGE(K84:K86)</f>
        <v>10.035147686360238</v>
      </c>
      <c r="T84" s="276">
        <f>STDEV(K84:K86)</f>
        <v>8.5411837575555788E-2</v>
      </c>
      <c r="U84" s="276">
        <f>AVERAGE(L84:L86)</f>
        <v>10.029010813247616</v>
      </c>
      <c r="V84" s="276">
        <f>STDEV(L84:L86)</f>
        <v>3.3943518166447348E-2</v>
      </c>
      <c r="W84" s="273">
        <v>11.52</v>
      </c>
      <c r="X84" s="271">
        <v>0.01</v>
      </c>
    </row>
    <row r="85" spans="6:24" x14ac:dyDescent="0.25">
      <c r="F85" s="46">
        <v>4.3181600000000007</v>
      </c>
      <c r="G85" s="61">
        <v>43.430999999999997</v>
      </c>
      <c r="H85" s="61">
        <f t="shared" si="0"/>
        <v>10.057756081293883</v>
      </c>
      <c r="I85" s="61">
        <f t="shared" si="1"/>
        <v>10.062119050706782</v>
      </c>
      <c r="J85" s="105">
        <f t="shared" si="2"/>
        <v>10.133214146766212</v>
      </c>
      <c r="K85" s="61">
        <v>10.133214146766212</v>
      </c>
      <c r="L85" s="62">
        <v>10.063300109305814</v>
      </c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3"/>
      <c r="X85" s="271"/>
    </row>
    <row r="86" spans="6:24" x14ac:dyDescent="0.25">
      <c r="F86" s="47">
        <v>4.3181600000000007</v>
      </c>
      <c r="G86" s="63">
        <v>43.217700000000001</v>
      </c>
      <c r="H86" s="63">
        <f t="shared" si="0"/>
        <v>10.008360042240213</v>
      </c>
      <c r="I86" s="63">
        <f t="shared" si="1"/>
        <v>10.012051429312484</v>
      </c>
      <c r="J86" s="111">
        <f t="shared" si="2"/>
        <v>9.995192396761583</v>
      </c>
      <c r="K86" s="63">
        <v>9.995192396761583</v>
      </c>
      <c r="L86" s="64">
        <v>10.028308353557998</v>
      </c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3"/>
      <c r="X86" s="271"/>
    </row>
    <row r="87" spans="6:24" x14ac:dyDescent="0.25">
      <c r="F87" s="45">
        <v>4.32592</v>
      </c>
      <c r="G87" s="59">
        <v>43.302199999999999</v>
      </c>
      <c r="H87" s="59">
        <f t="shared" si="0"/>
        <v>10.009940082109701</v>
      </c>
      <c r="I87" s="59">
        <f t="shared" si="1"/>
        <v>10.134140252246919</v>
      </c>
      <c r="J87" s="110">
        <f t="shared" si="2"/>
        <v>10.000804453156785</v>
      </c>
      <c r="K87" s="59">
        <v>10.000804453156785</v>
      </c>
      <c r="L87" s="60">
        <v>10.115046048008283</v>
      </c>
      <c r="M87" s="276">
        <f>AVERAGE(H87:H89)</f>
        <v>10.015441801975072</v>
      </c>
      <c r="N87" s="276">
        <f>STDEV(H87:H89)</f>
        <v>7.8522194689986495E-3</v>
      </c>
      <c r="O87" s="276">
        <f>AVERAGE(I87:I89)</f>
        <v>10.09069669958452</v>
      </c>
      <c r="P87" s="276">
        <f>STDEV(I87:I89)</f>
        <v>4.4635990168898812E-2</v>
      </c>
      <c r="Q87" s="276">
        <f>AVERAGE(J87:J89)</f>
        <v>10.017710298233286</v>
      </c>
      <c r="R87" s="276">
        <f>STDEV(J87:J89)</f>
        <v>1.724266057747699E-2</v>
      </c>
      <c r="S87" s="276">
        <f>AVERAGE(K87:K89)</f>
        <v>10.017710298233286</v>
      </c>
      <c r="T87" s="276">
        <f>STDEV(K87:K89)</f>
        <v>1.724266057747699E-2</v>
      </c>
      <c r="U87" s="276">
        <f>AVERAGE(L87:L89)</f>
        <v>10.072272872976537</v>
      </c>
      <c r="V87" s="276">
        <f>STDEV(L87:L89)</f>
        <v>6.0522654889427367E-2</v>
      </c>
      <c r="W87" s="273">
        <v>11.51</v>
      </c>
      <c r="X87" s="271">
        <v>0.02</v>
      </c>
    </row>
    <row r="88" spans="6:24" x14ac:dyDescent="0.25">
      <c r="F88" s="46">
        <v>4.32592</v>
      </c>
      <c r="G88" s="61">
        <v>43.364899999999999</v>
      </c>
      <c r="H88" s="61">
        <f t="shared" si="0"/>
        <v>10.024434108813848</v>
      </c>
      <c r="I88" s="61">
        <f t="shared" si="1"/>
        <v>10.044956910899879</v>
      </c>
      <c r="J88" s="105">
        <f t="shared" si="2"/>
        <v>10.017055331582647</v>
      </c>
      <c r="K88" s="61">
        <v>10.017055331582647</v>
      </c>
      <c r="L88" s="62">
        <v>10.098748936642378</v>
      </c>
      <c r="M88" s="276"/>
      <c r="N88" s="276"/>
      <c r="O88" s="276"/>
      <c r="P88" s="276"/>
      <c r="Q88" s="276"/>
      <c r="R88" s="276"/>
      <c r="S88" s="276"/>
      <c r="T88" s="276"/>
      <c r="U88" s="276"/>
      <c r="V88" s="276"/>
      <c r="W88" s="273"/>
      <c r="X88" s="271"/>
    </row>
    <row r="89" spans="6:24" x14ac:dyDescent="0.25">
      <c r="F89" s="47">
        <v>4.32592</v>
      </c>
      <c r="G89" s="63">
        <v>43.310899999999997</v>
      </c>
      <c r="H89" s="63">
        <f t="shared" si="0"/>
        <v>10.011951215001664</v>
      </c>
      <c r="I89" s="63">
        <f t="shared" si="1"/>
        <v>10.092992935606761</v>
      </c>
      <c r="J89" s="111">
        <f t="shared" si="2"/>
        <v>10.035271109960426</v>
      </c>
      <c r="K89" s="63">
        <v>10.035271109960426</v>
      </c>
      <c r="L89" s="64">
        <v>10.00302363427895</v>
      </c>
      <c r="M89" s="276"/>
      <c r="N89" s="276"/>
      <c r="O89" s="276"/>
      <c r="P89" s="276"/>
      <c r="Q89" s="276"/>
      <c r="R89" s="276"/>
      <c r="S89" s="276"/>
      <c r="T89" s="276"/>
      <c r="U89" s="276"/>
      <c r="V89" s="276"/>
      <c r="W89" s="273"/>
      <c r="X89" s="271"/>
    </row>
    <row r="90" spans="6:24" x14ac:dyDescent="0.25">
      <c r="F90" s="46">
        <v>4.3058000000000005</v>
      </c>
      <c r="G90" s="61">
        <v>43.16</v>
      </c>
      <c r="H90" s="61">
        <f t="shared" si="0"/>
        <v>10.02368897765804</v>
      </c>
      <c r="I90" s="61">
        <f t="shared" si="1"/>
        <v>10.028682242556554</v>
      </c>
      <c r="J90" s="105">
        <f t="shared" si="2"/>
        <v>10.078823911932743</v>
      </c>
      <c r="K90" s="61">
        <v>10.078823911932743</v>
      </c>
      <c r="L90" s="62">
        <v>10.031376283152957</v>
      </c>
      <c r="M90" s="276">
        <f>AVERAGE(H90:H92)</f>
        <v>10.016597767352563</v>
      </c>
      <c r="N90" s="276">
        <f>STDEV(H90:H92)</f>
        <v>6.7730480496458433E-3</v>
      </c>
      <c r="O90" s="276">
        <f>AVERAGE(I90:I92)</f>
        <v>10.017201604037966</v>
      </c>
      <c r="P90" s="276">
        <f>STDEV(I90:I92)</f>
        <v>9.9425313899476186E-3</v>
      </c>
      <c r="Q90" s="276">
        <f>AVERAGE(J90:J92)</f>
        <v>10.046402526824282</v>
      </c>
      <c r="R90" s="276">
        <f>STDEV(J90:J92)</f>
        <v>3.6467741393493187E-2</v>
      </c>
      <c r="S90" s="276">
        <f>AVERAGE(K90:K92)</f>
        <v>10.046402526824282</v>
      </c>
      <c r="T90" s="276">
        <f>STDEV(K90:K92)</f>
        <v>3.6467741393493187E-2</v>
      </c>
      <c r="U90" s="276">
        <f>AVERAGE(L90:L92)</f>
        <v>10.017100964590396</v>
      </c>
      <c r="V90" s="276">
        <f>STDEV(L90:L92)</f>
        <v>1.3570780603470008E-2</v>
      </c>
      <c r="W90" s="273">
        <v>11.44</v>
      </c>
      <c r="X90" s="271">
        <v>0.04</v>
      </c>
    </row>
    <row r="91" spans="6:24" x14ac:dyDescent="0.25">
      <c r="F91" s="46">
        <v>4.3058000000000005</v>
      </c>
      <c r="G91" s="61">
        <v>43.1265</v>
      </c>
      <c r="H91" s="61">
        <f t="shared" si="0"/>
        <v>10.015908774211528</v>
      </c>
      <c r="I91" s="61">
        <f t="shared" si="1"/>
        <v>10.011472897022621</v>
      </c>
      <c r="J91" s="105">
        <f t="shared" si="2"/>
        <v>10.053462771145895</v>
      </c>
      <c r="K91" s="61">
        <v>10.053462771145895</v>
      </c>
      <c r="L91" s="62">
        <v>10.004366203725208</v>
      </c>
      <c r="M91" s="276"/>
      <c r="N91" s="276"/>
      <c r="O91" s="276"/>
      <c r="P91" s="276"/>
      <c r="Q91" s="276"/>
      <c r="R91" s="276"/>
      <c r="S91" s="276"/>
      <c r="T91" s="276"/>
      <c r="U91" s="276"/>
      <c r="V91" s="276"/>
      <c r="W91" s="273"/>
      <c r="X91" s="271"/>
    </row>
    <row r="92" spans="6:24" x14ac:dyDescent="0.25">
      <c r="F92" s="47">
        <v>4.3058000000000005</v>
      </c>
      <c r="G92" s="63">
        <v>43.101900000000001</v>
      </c>
      <c r="H92" s="63">
        <f t="shared" si="0"/>
        <v>10.010195550188117</v>
      </c>
      <c r="I92" s="63">
        <f t="shared" si="1"/>
        <v>10.01144967253472</v>
      </c>
      <c r="J92" s="111">
        <f t="shared" si="2"/>
        <v>10.006920897394211</v>
      </c>
      <c r="K92" s="63">
        <v>10.006920897394211</v>
      </c>
      <c r="L92" s="64">
        <v>10.015560406893027</v>
      </c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3"/>
      <c r="X92" s="271"/>
    </row>
    <row r="93" spans="6:24" x14ac:dyDescent="0.25">
      <c r="W93" s="271">
        <v>11.37</v>
      </c>
      <c r="X93" s="271">
        <v>0.03</v>
      </c>
    </row>
    <row r="94" spans="6:24" x14ac:dyDescent="0.25">
      <c r="H94" t="s">
        <v>163</v>
      </c>
      <c r="W94" s="271"/>
      <c r="X94" s="271"/>
    </row>
    <row r="95" spans="6:24" x14ac:dyDescent="0.25">
      <c r="S95" t="s">
        <v>167</v>
      </c>
      <c r="T95" t="s">
        <v>168</v>
      </c>
      <c r="U95" t="s">
        <v>170</v>
      </c>
      <c r="W95" s="271"/>
      <c r="X95" s="271"/>
    </row>
    <row r="96" spans="6:24" x14ac:dyDescent="0.25">
      <c r="S96">
        <v>1</v>
      </c>
      <c r="T96" s="106">
        <f>AVERAGE(S10,S26,S42,S58)</f>
        <v>11.6525</v>
      </c>
      <c r="U96" s="106">
        <f>AVERAGE(T10,T26,T42,T58)</f>
        <v>1.6239856442665429E-2</v>
      </c>
    </row>
    <row r="97" spans="3:24" x14ac:dyDescent="0.25">
      <c r="F97" s="274" t="s">
        <v>7</v>
      </c>
      <c r="G97" s="274"/>
      <c r="H97" s="274" t="s">
        <v>8</v>
      </c>
      <c r="I97" s="274"/>
      <c r="J97" s="274" t="s">
        <v>9</v>
      </c>
      <c r="K97" s="274"/>
      <c r="L97" s="274" t="s">
        <v>10</v>
      </c>
      <c r="M97" s="274"/>
      <c r="N97" s="274" t="s">
        <v>172</v>
      </c>
      <c r="O97" s="274"/>
      <c r="P97" s="275"/>
      <c r="Q97" s="275"/>
      <c r="R97" s="115"/>
      <c r="S97">
        <v>2</v>
      </c>
      <c r="T97" s="106">
        <f>AVERAGE(S13,S29,S45,S61)</f>
        <v>11.516666666666666</v>
      </c>
      <c r="U97" s="106">
        <f>AVERAGE(T13,T29,T45,T61)</f>
        <v>1.2704164998665311E-2</v>
      </c>
    </row>
    <row r="98" spans="3:24" x14ac:dyDescent="0.25">
      <c r="C98" s="23" t="s">
        <v>0</v>
      </c>
      <c r="D98" s="34" t="s">
        <v>67</v>
      </c>
      <c r="E98" s="66" t="s">
        <v>68</v>
      </c>
      <c r="F98" s="67" t="s">
        <v>69</v>
      </c>
      <c r="G98" s="52" t="s">
        <v>20</v>
      </c>
      <c r="H98" s="67" t="s">
        <v>69</v>
      </c>
      <c r="I98" s="52" t="s">
        <v>20</v>
      </c>
      <c r="J98" s="67" t="s">
        <v>69</v>
      </c>
      <c r="K98" s="52" t="s">
        <v>20</v>
      </c>
      <c r="L98" s="67" t="s">
        <v>69</v>
      </c>
      <c r="M98" s="52" t="s">
        <v>20</v>
      </c>
      <c r="N98" s="67" t="s">
        <v>69</v>
      </c>
      <c r="O98" s="52" t="s">
        <v>20</v>
      </c>
      <c r="P98" s="67"/>
      <c r="Q98" s="52"/>
      <c r="R98" s="67"/>
      <c r="S98">
        <v>3</v>
      </c>
      <c r="T98" s="106">
        <f>AVERAGE(S16,S32,S48,S64)</f>
        <v>11.51</v>
      </c>
      <c r="U98" s="106">
        <f>AVERAGE(T16,T32,T48,T64)</f>
        <v>2.031450677385396E-2</v>
      </c>
      <c r="W98" s="271">
        <v>27.87</v>
      </c>
      <c r="X98" s="271">
        <v>0.68</v>
      </c>
    </row>
    <row r="99" spans="3:24" x14ac:dyDescent="0.25">
      <c r="C99" s="21" t="s">
        <v>1</v>
      </c>
      <c r="D99" s="60">
        <v>10.3462</v>
      </c>
      <c r="E99" s="24">
        <v>3.8959200000000003</v>
      </c>
      <c r="F99" s="59">
        <v>39.090800000000002</v>
      </c>
      <c r="G99" s="59">
        <f t="shared" ref="G99:G110" si="3">F99/E99</f>
        <v>10.033778927698721</v>
      </c>
      <c r="H99" s="101" cm="1">
        <f t="array" ref="H99:H110">I115:I126</f>
        <v>39.07338</v>
      </c>
      <c r="I99" s="101">
        <f>H99/E99</f>
        <v>10.029307583317932</v>
      </c>
      <c r="J99" s="101">
        <f t="shared" ref="J99:J110" si="4">K115</f>
        <v>39.150880000000001</v>
      </c>
      <c r="K99" s="101">
        <f>K115/E99</f>
        <v>10.049200188915583</v>
      </c>
      <c r="L99" s="101">
        <f t="shared" ref="L99:L110" si="5">M115</f>
        <v>39.150880000000001</v>
      </c>
      <c r="M99" s="101">
        <f>L99/E99</f>
        <v>10.049200188915583</v>
      </c>
      <c r="N99" s="101">
        <f>O115</f>
        <v>39.11648000000001</v>
      </c>
      <c r="O99" s="101">
        <f>N99/E99</f>
        <v>10.040370438818048</v>
      </c>
      <c r="S99">
        <v>4</v>
      </c>
      <c r="T99" s="106">
        <f>AVERAGE(S19,S35,S51,S67)</f>
        <v>11.439166666666665</v>
      </c>
      <c r="U99" s="106">
        <f>AVERAGE(T19,T35,T51,T67)</f>
        <v>3.947664902762061E-2</v>
      </c>
      <c r="W99" s="271"/>
      <c r="X99" s="271"/>
    </row>
    <row r="100" spans="3:24" x14ac:dyDescent="0.25">
      <c r="C100" s="21" t="s">
        <v>2</v>
      </c>
      <c r="D100" s="62">
        <v>10.466100000000001</v>
      </c>
      <c r="E100" s="24">
        <v>3.8959199999999998</v>
      </c>
      <c r="F100" s="61">
        <v>39.010899999999999</v>
      </c>
      <c r="G100" s="61">
        <f t="shared" si="3"/>
        <v>10.013270293024497</v>
      </c>
      <c r="H100" s="101">
        <v>39.015180000000008</v>
      </c>
      <c r="I100" s="101">
        <f t="shared" ref="I100:I110" si="6">H100/E100</f>
        <v>10.014368878211053</v>
      </c>
      <c r="J100" s="101">
        <f t="shared" si="4"/>
        <v>39.090579999999996</v>
      </c>
      <c r="K100" s="101">
        <f t="shared" ref="K100:K110" si="7">K116/E100</f>
        <v>10.0337224583667</v>
      </c>
      <c r="L100" s="101">
        <f t="shared" si="5"/>
        <v>39.090579999999996</v>
      </c>
      <c r="M100" s="101">
        <f t="shared" ref="M100:M110" si="8">L100/E100</f>
        <v>10.0337224583667</v>
      </c>
      <c r="N100" s="101">
        <f t="shared" ref="N100:N110" si="9">O116</f>
        <v>39.021879999999996</v>
      </c>
      <c r="O100" s="101">
        <f t="shared" ref="O100:O110" si="10">N100/E100</f>
        <v>10.016088626049816</v>
      </c>
      <c r="S100">
        <v>5</v>
      </c>
      <c r="T100" s="106">
        <f>AVERAGE(S22,S54,S38,S70)</f>
        <v>11.3725</v>
      </c>
      <c r="U100" s="106">
        <f>AVERAGE(T22,T54,T38,T70)</f>
        <v>3.4033324196819398E-2</v>
      </c>
      <c r="W100" s="271"/>
      <c r="X100" s="271"/>
    </row>
    <row r="101" spans="3:24" x14ac:dyDescent="0.25">
      <c r="C101" s="21" t="s">
        <v>3</v>
      </c>
      <c r="D101" s="62">
        <v>10.589600000000001</v>
      </c>
      <c r="E101" s="24">
        <v>3.8959200000000003</v>
      </c>
      <c r="F101" s="61">
        <v>39.401499999999999</v>
      </c>
      <c r="G101" s="61">
        <f t="shared" si="3"/>
        <v>10.113529025236657</v>
      </c>
      <c r="H101" s="101">
        <v>39.028880000000001</v>
      </c>
      <c r="I101" s="101">
        <f t="shared" si="6"/>
        <v>10.017885377523152</v>
      </c>
      <c r="J101" s="101">
        <f t="shared" si="4"/>
        <v>38.934479999999994</v>
      </c>
      <c r="K101" s="101">
        <f t="shared" si="7"/>
        <v>9.9936549005113022</v>
      </c>
      <c r="L101" s="101">
        <f t="shared" si="5"/>
        <v>38.934479999999994</v>
      </c>
      <c r="M101" s="101">
        <f t="shared" si="8"/>
        <v>9.9936549005113022</v>
      </c>
      <c r="N101" s="101">
        <f t="shared" si="9"/>
        <v>39.02458</v>
      </c>
      <c r="O101" s="101">
        <f t="shared" si="10"/>
        <v>10.01678165876096</v>
      </c>
      <c r="W101" s="271">
        <v>29.91</v>
      </c>
      <c r="X101" s="271">
        <v>0.36</v>
      </c>
    </row>
    <row r="102" spans="3:24" x14ac:dyDescent="0.25">
      <c r="C102" s="69" t="s">
        <v>52</v>
      </c>
      <c r="D102" s="60">
        <v>10.5</v>
      </c>
      <c r="E102" s="70">
        <v>4.3181600000000007</v>
      </c>
      <c r="F102" s="59">
        <v>43.170099999999998</v>
      </c>
      <c r="G102" s="59">
        <f t="shared" si="3"/>
        <v>9.997336828649237</v>
      </c>
      <c r="H102" s="101">
        <v>43.130839999999999</v>
      </c>
      <c r="I102" s="101">
        <f t="shared" si="6"/>
        <v>9.9882449932378581</v>
      </c>
      <c r="J102" s="101">
        <f t="shared" si="4"/>
        <v>43.082439999999998</v>
      </c>
      <c r="K102" s="101">
        <f t="shared" si="7"/>
        <v>9.9770365155529195</v>
      </c>
      <c r="L102" s="101">
        <f t="shared" si="5"/>
        <v>43.082439999999998</v>
      </c>
      <c r="M102" s="101">
        <f t="shared" si="8"/>
        <v>9.9770365155529195</v>
      </c>
      <c r="N102" s="101">
        <f t="shared" si="9"/>
        <v>43.161839999999998</v>
      </c>
      <c r="O102" s="101">
        <f t="shared" si="10"/>
        <v>9.9954239768790387</v>
      </c>
      <c r="W102" s="271"/>
      <c r="X102" s="271"/>
    </row>
    <row r="103" spans="3:24" x14ac:dyDescent="0.25">
      <c r="C103" s="21" t="s">
        <v>50</v>
      </c>
      <c r="D103" s="62">
        <v>10.31</v>
      </c>
      <c r="E103" s="24">
        <v>4.3181600000000007</v>
      </c>
      <c r="F103" s="61">
        <v>43.430999999999997</v>
      </c>
      <c r="G103" s="61">
        <f t="shared" si="3"/>
        <v>10.057756081293883</v>
      </c>
      <c r="H103" s="101">
        <v>43.449840000000002</v>
      </c>
      <c r="I103" s="101">
        <f t="shared" si="6"/>
        <v>10.062119050706782</v>
      </c>
      <c r="J103" s="101">
        <f t="shared" si="4"/>
        <v>43.756839999999997</v>
      </c>
      <c r="K103" s="101">
        <f t="shared" si="7"/>
        <v>10.133214146766212</v>
      </c>
      <c r="L103" s="101">
        <f t="shared" si="5"/>
        <v>43.756839999999997</v>
      </c>
      <c r="M103" s="101">
        <f t="shared" si="8"/>
        <v>10.133214146766212</v>
      </c>
      <c r="N103" s="101">
        <f t="shared" si="9"/>
        <v>43.454940000000001</v>
      </c>
      <c r="O103" s="101">
        <f t="shared" si="10"/>
        <v>10.063300109305814</v>
      </c>
      <c r="W103" s="271"/>
      <c r="X103" s="271"/>
    </row>
    <row r="104" spans="3:24" x14ac:dyDescent="0.25">
      <c r="C104" s="22" t="s">
        <v>53</v>
      </c>
      <c r="D104" s="64">
        <v>10.34</v>
      </c>
      <c r="E104" s="25">
        <v>4.3181600000000007</v>
      </c>
      <c r="F104" s="63">
        <v>43.217700000000001</v>
      </c>
      <c r="G104" s="63">
        <f t="shared" si="3"/>
        <v>10.008360042240213</v>
      </c>
      <c r="H104" s="101">
        <v>43.233640000000001</v>
      </c>
      <c r="I104" s="101">
        <f t="shared" si="6"/>
        <v>10.012051429312484</v>
      </c>
      <c r="J104" s="101">
        <f t="shared" si="4"/>
        <v>43.16084</v>
      </c>
      <c r="K104" s="101">
        <f t="shared" si="7"/>
        <v>9.995192396761583</v>
      </c>
      <c r="L104" s="101">
        <f t="shared" si="5"/>
        <v>43.16084</v>
      </c>
      <c r="M104" s="101">
        <f t="shared" si="8"/>
        <v>9.995192396761583</v>
      </c>
      <c r="N104" s="101">
        <f t="shared" si="9"/>
        <v>43.303840000000008</v>
      </c>
      <c r="O104" s="101">
        <f t="shared" si="10"/>
        <v>10.028308353557998</v>
      </c>
      <c r="S104" t="s">
        <v>166</v>
      </c>
      <c r="W104" s="271">
        <v>30.16</v>
      </c>
      <c r="X104" s="271">
        <v>0.41</v>
      </c>
    </row>
    <row r="105" spans="3:24" x14ac:dyDescent="0.25">
      <c r="C105" s="69" t="s">
        <v>56</v>
      </c>
      <c r="D105" s="60">
        <v>10.417400000000001</v>
      </c>
      <c r="E105" s="70">
        <v>4.32592</v>
      </c>
      <c r="F105" s="59">
        <v>43.302199999999999</v>
      </c>
      <c r="G105" s="59">
        <f t="shared" si="3"/>
        <v>10.009940082109701</v>
      </c>
      <c r="H105" s="101">
        <v>43.839479999999995</v>
      </c>
      <c r="I105" s="101">
        <f t="shared" si="6"/>
        <v>10.134140252246919</v>
      </c>
      <c r="J105" s="101">
        <f t="shared" si="4"/>
        <v>43.262680000000003</v>
      </c>
      <c r="K105" s="101">
        <f t="shared" si="7"/>
        <v>10.000804453156785</v>
      </c>
      <c r="L105" s="101">
        <f t="shared" si="5"/>
        <v>43.262680000000003</v>
      </c>
      <c r="M105" s="101">
        <f t="shared" si="8"/>
        <v>10.000804453156785</v>
      </c>
      <c r="N105" s="101">
        <f t="shared" si="9"/>
        <v>43.756879999999995</v>
      </c>
      <c r="O105" s="101">
        <f t="shared" si="10"/>
        <v>10.115046048008283</v>
      </c>
      <c r="P105" t="s">
        <v>272</v>
      </c>
      <c r="W105" s="271"/>
      <c r="X105" s="271"/>
    </row>
    <row r="106" spans="3:24" x14ac:dyDescent="0.25">
      <c r="C106" s="21" t="s">
        <v>57</v>
      </c>
      <c r="D106" s="62">
        <v>10.464600000000001</v>
      </c>
      <c r="E106" s="24">
        <v>4.32592</v>
      </c>
      <c r="F106" s="61">
        <v>43.364899999999999</v>
      </c>
      <c r="G106" s="61">
        <f t="shared" si="3"/>
        <v>10.024434108813848</v>
      </c>
      <c r="H106" s="101">
        <v>43.453680000000006</v>
      </c>
      <c r="I106" s="101">
        <f t="shared" si="6"/>
        <v>10.044956910899879</v>
      </c>
      <c r="J106" s="101">
        <f t="shared" si="4"/>
        <v>43.332980000000006</v>
      </c>
      <c r="K106" s="101">
        <f t="shared" si="7"/>
        <v>10.017055331582647</v>
      </c>
      <c r="L106" s="101">
        <f t="shared" si="5"/>
        <v>43.332980000000006</v>
      </c>
      <c r="M106" s="101">
        <f t="shared" si="8"/>
        <v>10.017055331582647</v>
      </c>
      <c r="N106" s="101">
        <f t="shared" si="9"/>
        <v>43.68638</v>
      </c>
      <c r="O106" s="101">
        <f t="shared" si="10"/>
        <v>10.098748936642378</v>
      </c>
      <c r="W106" s="271"/>
      <c r="X106" s="271"/>
    </row>
    <row r="107" spans="3:24" x14ac:dyDescent="0.25">
      <c r="C107" s="22" t="s">
        <v>58</v>
      </c>
      <c r="D107" s="64">
        <v>10.428599999999999</v>
      </c>
      <c r="E107" s="25">
        <v>4.32592</v>
      </c>
      <c r="F107" s="63">
        <v>43.310899999999997</v>
      </c>
      <c r="G107" s="63">
        <f t="shared" si="3"/>
        <v>10.011951215001664</v>
      </c>
      <c r="H107" s="101">
        <v>43.661479999999997</v>
      </c>
      <c r="I107" s="101">
        <f t="shared" si="6"/>
        <v>10.092992935606761</v>
      </c>
      <c r="J107" s="101">
        <f t="shared" si="4"/>
        <v>43.411780000000007</v>
      </c>
      <c r="K107" s="101">
        <f t="shared" si="7"/>
        <v>10.035271109960426</v>
      </c>
      <c r="L107" s="101">
        <f t="shared" si="5"/>
        <v>43.411780000000007</v>
      </c>
      <c r="M107" s="101">
        <f t="shared" si="8"/>
        <v>10.035271109960426</v>
      </c>
      <c r="N107" s="101">
        <f t="shared" si="9"/>
        <v>43.272279999999995</v>
      </c>
      <c r="O107" s="101">
        <f t="shared" si="10"/>
        <v>10.00302363427895</v>
      </c>
      <c r="W107" s="271">
        <v>29.6</v>
      </c>
      <c r="X107" s="271">
        <v>0.3</v>
      </c>
    </row>
    <row r="108" spans="3:24" x14ac:dyDescent="0.25">
      <c r="C108" s="21" t="s">
        <v>54</v>
      </c>
      <c r="D108" s="62">
        <v>10.335100000000001</v>
      </c>
      <c r="E108" s="24">
        <v>4.3057999999999996</v>
      </c>
      <c r="F108" s="61">
        <v>43.16</v>
      </c>
      <c r="G108" s="61">
        <f t="shared" si="3"/>
        <v>10.023688977658043</v>
      </c>
      <c r="H108" s="101">
        <v>43.181500000000007</v>
      </c>
      <c r="I108" s="101">
        <f t="shared" si="6"/>
        <v>10.028682242556554</v>
      </c>
      <c r="J108" s="101">
        <f t="shared" si="4"/>
        <v>43.397399999999998</v>
      </c>
      <c r="K108" s="101">
        <f t="shared" si="7"/>
        <v>10.078823911932743</v>
      </c>
      <c r="L108" s="101">
        <f t="shared" si="5"/>
        <v>43.397399999999998</v>
      </c>
      <c r="M108" s="101">
        <f t="shared" si="8"/>
        <v>10.078823911932743</v>
      </c>
      <c r="N108" s="101">
        <f t="shared" si="9"/>
        <v>43.193100000000001</v>
      </c>
      <c r="O108" s="101">
        <f t="shared" si="10"/>
        <v>10.031376283152957</v>
      </c>
      <c r="T108" t="s">
        <v>169</v>
      </c>
      <c r="U108" t="s">
        <v>171</v>
      </c>
      <c r="W108" s="271"/>
      <c r="X108" s="271"/>
    </row>
    <row r="109" spans="3:24" x14ac:dyDescent="0.25">
      <c r="C109" s="21" t="s">
        <v>51</v>
      </c>
      <c r="D109" s="62">
        <v>10.4223</v>
      </c>
      <c r="E109" s="24">
        <v>4.3058000000000005</v>
      </c>
      <c r="F109" s="61">
        <v>43.1265</v>
      </c>
      <c r="G109" s="61">
        <f t="shared" si="3"/>
        <v>10.015908774211528</v>
      </c>
      <c r="H109" s="101">
        <v>43.107400000000005</v>
      </c>
      <c r="I109" s="101">
        <f t="shared" si="6"/>
        <v>10.011472897022621</v>
      </c>
      <c r="J109" s="101">
        <f t="shared" si="4"/>
        <v>43.288200000000003</v>
      </c>
      <c r="K109" s="101">
        <f t="shared" si="7"/>
        <v>10.053462771145895</v>
      </c>
      <c r="L109" s="101">
        <f t="shared" si="5"/>
        <v>43.288200000000003</v>
      </c>
      <c r="M109" s="101">
        <f t="shared" si="8"/>
        <v>10.053462771145895</v>
      </c>
      <c r="N109" s="101">
        <f t="shared" si="9"/>
        <v>43.076800000000006</v>
      </c>
      <c r="O109" s="101">
        <f t="shared" si="10"/>
        <v>10.004366203725208</v>
      </c>
      <c r="T109" s="106">
        <f>AVERAGE(W10,W26,W42,W58)</f>
        <v>27.866666666666667</v>
      </c>
      <c r="U109" s="106">
        <f>AVERAGE(X10,X26,X42,X58)</f>
        <v>0.68022425125532815</v>
      </c>
      <c r="W109" s="271"/>
      <c r="X109" s="271"/>
    </row>
    <row r="110" spans="3:24" x14ac:dyDescent="0.25">
      <c r="C110" s="22" t="s">
        <v>55</v>
      </c>
      <c r="D110" s="64">
        <v>10.471299999999999</v>
      </c>
      <c r="E110" s="25">
        <v>4.3058000000000005</v>
      </c>
      <c r="F110" s="63">
        <v>43.101900000000001</v>
      </c>
      <c r="G110" s="63">
        <f t="shared" si="3"/>
        <v>10.010195550188117</v>
      </c>
      <c r="H110" s="101">
        <v>43.107300000000002</v>
      </c>
      <c r="I110" s="101">
        <f t="shared" si="6"/>
        <v>10.01144967253472</v>
      </c>
      <c r="J110" s="101">
        <f t="shared" si="4"/>
        <v>43.087800000000001</v>
      </c>
      <c r="K110" s="101">
        <f t="shared" si="7"/>
        <v>10.006920897394211</v>
      </c>
      <c r="L110" s="101">
        <f t="shared" si="5"/>
        <v>43.087800000000001</v>
      </c>
      <c r="M110" s="101">
        <f t="shared" si="8"/>
        <v>10.006920897394211</v>
      </c>
      <c r="N110" s="101">
        <f t="shared" si="9"/>
        <v>43.125</v>
      </c>
      <c r="O110" s="101">
        <f t="shared" si="10"/>
        <v>10.015560406893027</v>
      </c>
      <c r="T110" s="106">
        <f>AVERAGE(W13,W29,W45,W61)</f>
        <v>29.908333333333331</v>
      </c>
      <c r="U110" s="106">
        <f>AVERAGE(X13,X29,X45,X61)</f>
        <v>0.36205042068335513</v>
      </c>
      <c r="W110" s="271">
        <v>30.45</v>
      </c>
      <c r="X110" s="271">
        <v>0.38</v>
      </c>
    </row>
    <row r="111" spans="3:24" x14ac:dyDescent="0.25">
      <c r="T111" s="106">
        <f>AVERAGE(W16,W32,W48,W64)</f>
        <v>30.158333333333335</v>
      </c>
      <c r="U111" s="106">
        <f>AVERAGE(X16,X32,X48,X64)</f>
        <v>0.40896186665222145</v>
      </c>
      <c r="W111" s="271"/>
      <c r="X111" s="271"/>
    </row>
    <row r="112" spans="3:24" x14ac:dyDescent="0.25">
      <c r="T112" s="106">
        <f>AVERAGE(W19,W35,W51,W67)</f>
        <v>29.599999999999998</v>
      </c>
      <c r="U112" s="106">
        <f>AVERAGE(X19,X35,X51,X67)</f>
        <v>0.2980472516091095</v>
      </c>
      <c r="W112" s="271"/>
      <c r="X112" s="271"/>
    </row>
    <row r="113" spans="3:21" x14ac:dyDescent="0.25">
      <c r="F113" s="274" t="s">
        <v>7</v>
      </c>
      <c r="G113" s="274"/>
      <c r="H113" s="274" t="s">
        <v>8</v>
      </c>
      <c r="I113" s="274"/>
      <c r="J113" s="274" t="s">
        <v>164</v>
      </c>
      <c r="K113" s="274"/>
      <c r="L113" s="274" t="s">
        <v>10</v>
      </c>
      <c r="M113" s="274"/>
      <c r="N113" s="274" t="s">
        <v>11</v>
      </c>
      <c r="O113" s="274"/>
      <c r="T113" s="106">
        <f>AVERAGE(W70,W22,W38,W54)</f>
        <v>30.45</v>
      </c>
      <c r="U113" s="106">
        <f>AVERAGE(X70,X22,X38,X54)</f>
        <v>0.37539117747404688</v>
      </c>
    </row>
    <row r="114" spans="3:21" x14ac:dyDescent="0.25">
      <c r="C114" s="23" t="s">
        <v>0</v>
      </c>
      <c r="D114" s="34" t="s">
        <v>67</v>
      </c>
      <c r="E114" s="66" t="s">
        <v>68</v>
      </c>
      <c r="F114" s="67" t="s">
        <v>173</v>
      </c>
      <c r="G114" s="67" t="s">
        <v>174</v>
      </c>
      <c r="H114" s="67" t="s">
        <v>173</v>
      </c>
      <c r="I114" s="67" t="s">
        <v>174</v>
      </c>
      <c r="J114" s="67" t="s">
        <v>173</v>
      </c>
      <c r="K114" s="67" t="s">
        <v>174</v>
      </c>
      <c r="L114" s="67" t="s">
        <v>173</v>
      </c>
      <c r="M114" s="67" t="s">
        <v>174</v>
      </c>
      <c r="N114" s="67" t="s">
        <v>173</v>
      </c>
      <c r="O114" s="67" t="s">
        <v>174</v>
      </c>
      <c r="R114" s="102" t="s">
        <v>165</v>
      </c>
      <c r="S114" s="102" t="s">
        <v>269</v>
      </c>
      <c r="T114" s="102" t="s">
        <v>184</v>
      </c>
      <c r="U114" s="102" t="s">
        <v>189</v>
      </c>
    </row>
    <row r="115" spans="3:21" x14ac:dyDescent="0.25">
      <c r="C115" s="21" t="s">
        <v>1</v>
      </c>
      <c r="D115" s="60">
        <v>10.3462</v>
      </c>
      <c r="E115" s="24">
        <v>3.8959200000000003</v>
      </c>
      <c r="F115" s="61">
        <f>F99+E115+D115</f>
        <v>53.332920000000001</v>
      </c>
      <c r="G115" s="61">
        <v>39.090800000000002</v>
      </c>
      <c r="H115" s="61">
        <v>53.3155</v>
      </c>
      <c r="I115" s="13">
        <f>H115-D115-E115</f>
        <v>39.07338</v>
      </c>
      <c r="J115" s="13">
        <v>53.354999999999997</v>
      </c>
      <c r="K115" s="13">
        <f t="shared" ref="K115:K126" si="11">L115-D115-E115</f>
        <v>39.150880000000001</v>
      </c>
      <c r="L115" s="13">
        <v>53.393000000000001</v>
      </c>
      <c r="M115" s="13">
        <f>L115-D115-E115</f>
        <v>39.150880000000001</v>
      </c>
      <c r="N115" s="13">
        <v>53.358600000000003</v>
      </c>
      <c r="O115" s="13">
        <f>N115-E115-D115</f>
        <v>39.11648000000001</v>
      </c>
      <c r="R115" s="257">
        <v>1</v>
      </c>
      <c r="S115" s="107" t="s">
        <v>185</v>
      </c>
      <c r="T115" s="59">
        <f>M81</f>
        <v>10.053526081986625</v>
      </c>
      <c r="U115" s="59">
        <f>T115</f>
        <v>10.053526081986625</v>
      </c>
    </row>
    <row r="116" spans="3:21" x14ac:dyDescent="0.25">
      <c r="C116" s="21" t="s">
        <v>2</v>
      </c>
      <c r="D116" s="62">
        <v>10.466100000000001</v>
      </c>
      <c r="E116" s="24">
        <v>3.8959199999999998</v>
      </c>
      <c r="F116" s="59">
        <f t="shared" ref="F116:F126" si="12">F100+E116+D116</f>
        <v>53.372919999999993</v>
      </c>
      <c r="G116" s="61">
        <v>39.010899999999999</v>
      </c>
      <c r="H116" s="61">
        <v>53.377200000000002</v>
      </c>
      <c r="I116" s="13">
        <f t="shared" ref="I116:I126" si="13">H116-D116-E116</f>
        <v>39.015180000000008</v>
      </c>
      <c r="J116" s="13">
        <v>53.405000000000001</v>
      </c>
      <c r="K116" s="13">
        <f t="shared" si="11"/>
        <v>39.090579999999996</v>
      </c>
      <c r="L116" s="13">
        <v>53.452599999999997</v>
      </c>
      <c r="M116" s="13">
        <f t="shared" ref="M116:M126" si="14">L116-D116-E116</f>
        <v>39.090579999999996</v>
      </c>
      <c r="N116" s="13">
        <v>53.383899999999997</v>
      </c>
      <c r="O116" s="13">
        <f t="shared" ref="O116:O126" si="15">N116-E116-D116</f>
        <v>39.021879999999996</v>
      </c>
      <c r="R116" s="257"/>
      <c r="S116" s="108" t="s">
        <v>186</v>
      </c>
      <c r="T116" s="61">
        <f>M84</f>
        <v>10.02115098406111</v>
      </c>
      <c r="U116" s="61">
        <f>T116</f>
        <v>10.02115098406111</v>
      </c>
    </row>
    <row r="117" spans="3:21" x14ac:dyDescent="0.25">
      <c r="C117" s="21" t="s">
        <v>3</v>
      </c>
      <c r="D117" s="62">
        <v>10.589600000000001</v>
      </c>
      <c r="E117" s="24">
        <v>3.8959200000000003</v>
      </c>
      <c r="F117" s="59">
        <f t="shared" si="12"/>
        <v>53.887020000000007</v>
      </c>
      <c r="G117" s="61">
        <v>39.401499999999999</v>
      </c>
      <c r="H117" s="61">
        <v>53.514400000000002</v>
      </c>
      <c r="I117" s="13">
        <f t="shared" si="13"/>
        <v>39.028880000000001</v>
      </c>
      <c r="J117" s="13">
        <v>57.5075</v>
      </c>
      <c r="K117" s="13">
        <f t="shared" si="11"/>
        <v>38.934479999999994</v>
      </c>
      <c r="L117" s="13">
        <v>53.42</v>
      </c>
      <c r="M117" s="13">
        <f t="shared" si="14"/>
        <v>38.934479999999994</v>
      </c>
      <c r="N117" s="13">
        <v>53.510100000000001</v>
      </c>
      <c r="O117" s="13">
        <f t="shared" si="15"/>
        <v>39.02458</v>
      </c>
      <c r="R117" s="257"/>
      <c r="S117" s="108" t="s">
        <v>187</v>
      </c>
      <c r="T117" s="61">
        <f>M87</f>
        <v>10.015441801975072</v>
      </c>
      <c r="U117" s="61">
        <f>T117</f>
        <v>10.015441801975072</v>
      </c>
    </row>
    <row r="118" spans="3:21" x14ac:dyDescent="0.25">
      <c r="C118" s="69" t="s">
        <v>52</v>
      </c>
      <c r="D118" s="60">
        <v>10.5</v>
      </c>
      <c r="E118" s="70">
        <v>4.3181600000000007</v>
      </c>
      <c r="F118" s="59">
        <f t="shared" si="12"/>
        <v>57.988259999999997</v>
      </c>
      <c r="G118" s="59">
        <v>43.170099999999998</v>
      </c>
      <c r="H118" s="59">
        <v>57.948999999999998</v>
      </c>
      <c r="I118" s="13">
        <f t="shared" si="13"/>
        <v>43.130839999999999</v>
      </c>
      <c r="J118" s="13">
        <v>58.953800000000001</v>
      </c>
      <c r="K118" s="13">
        <f t="shared" si="11"/>
        <v>43.082439999999998</v>
      </c>
      <c r="L118" s="13">
        <v>57.900599999999997</v>
      </c>
      <c r="M118" s="13">
        <f t="shared" si="14"/>
        <v>43.082439999999998</v>
      </c>
      <c r="N118" s="13">
        <v>57.98</v>
      </c>
      <c r="O118" s="13">
        <f t="shared" si="15"/>
        <v>43.161839999999998</v>
      </c>
      <c r="R118" s="257"/>
      <c r="S118" s="108" t="s">
        <v>188</v>
      </c>
      <c r="T118" s="61">
        <f>M90</f>
        <v>10.016597767352563</v>
      </c>
      <c r="U118" s="61">
        <f>T118</f>
        <v>10.016597767352563</v>
      </c>
    </row>
    <row r="119" spans="3:21" x14ac:dyDescent="0.25">
      <c r="C119" s="21" t="s">
        <v>50</v>
      </c>
      <c r="D119" s="62">
        <v>10.31</v>
      </c>
      <c r="E119" s="24">
        <v>4.3181600000000007</v>
      </c>
      <c r="F119" s="59">
        <f t="shared" si="12"/>
        <v>58.059159999999999</v>
      </c>
      <c r="G119" s="61">
        <v>43.430999999999997</v>
      </c>
      <c r="H119" s="61">
        <v>58.078000000000003</v>
      </c>
      <c r="I119" s="13">
        <f t="shared" si="13"/>
        <v>43.449840000000002</v>
      </c>
      <c r="J119" s="13">
        <v>59.0745</v>
      </c>
      <c r="K119" s="13">
        <f t="shared" si="11"/>
        <v>43.756839999999997</v>
      </c>
      <c r="L119" s="13">
        <v>58.384999999999998</v>
      </c>
      <c r="M119" s="13">
        <f t="shared" si="14"/>
        <v>43.756839999999997</v>
      </c>
      <c r="N119" s="13">
        <v>58.083100000000002</v>
      </c>
      <c r="O119" s="13">
        <f t="shared" si="15"/>
        <v>43.454940000000001</v>
      </c>
      <c r="R119" s="257">
        <v>2</v>
      </c>
      <c r="S119" s="107" t="s">
        <v>185</v>
      </c>
      <c r="T119" s="59">
        <f>O81</f>
        <v>10.02052061301738</v>
      </c>
      <c r="U119" s="59">
        <f>T115+T119</f>
        <v>20.074046695004007</v>
      </c>
    </row>
    <row r="120" spans="3:21" x14ac:dyDescent="0.25">
      <c r="C120" s="22" t="s">
        <v>53</v>
      </c>
      <c r="D120" s="64">
        <v>10.34</v>
      </c>
      <c r="E120" s="25">
        <v>4.3181600000000007</v>
      </c>
      <c r="F120" s="59">
        <f t="shared" si="12"/>
        <v>57.875860000000003</v>
      </c>
      <c r="G120" s="63">
        <v>43.217700000000001</v>
      </c>
      <c r="H120" s="63">
        <v>57.891800000000003</v>
      </c>
      <c r="I120" s="13">
        <f t="shared" si="13"/>
        <v>43.233640000000001</v>
      </c>
      <c r="J120" s="13">
        <v>57.826000000000001</v>
      </c>
      <c r="K120" s="13">
        <f t="shared" si="11"/>
        <v>43.16084</v>
      </c>
      <c r="L120" s="13">
        <v>57.819000000000003</v>
      </c>
      <c r="M120" s="13">
        <f t="shared" si="14"/>
        <v>43.16084</v>
      </c>
      <c r="N120" s="13">
        <v>57.962000000000003</v>
      </c>
      <c r="O120" s="13">
        <f t="shared" si="15"/>
        <v>43.303840000000008</v>
      </c>
      <c r="R120" s="257"/>
      <c r="S120" s="108" t="s">
        <v>186</v>
      </c>
      <c r="T120" s="61">
        <f>O84</f>
        <v>10.020805157752376</v>
      </c>
      <c r="U120" s="61">
        <f>T116+T120</f>
        <v>20.041956141813486</v>
      </c>
    </row>
    <row r="121" spans="3:21" x14ac:dyDescent="0.25">
      <c r="C121" s="69" t="s">
        <v>56</v>
      </c>
      <c r="D121" s="60">
        <v>10.417400000000001</v>
      </c>
      <c r="E121" s="70">
        <v>4.32592</v>
      </c>
      <c r="F121" s="59">
        <f t="shared" si="12"/>
        <v>58.045519999999996</v>
      </c>
      <c r="G121" s="59">
        <v>43.302199999999999</v>
      </c>
      <c r="H121" s="59">
        <v>58.582799999999999</v>
      </c>
      <c r="I121" s="13">
        <f t="shared" si="13"/>
        <v>43.839479999999995</v>
      </c>
      <c r="J121" s="13">
        <v>58.317</v>
      </c>
      <c r="K121" s="13">
        <f t="shared" si="11"/>
        <v>43.262680000000003</v>
      </c>
      <c r="L121" s="13">
        <v>58.006</v>
      </c>
      <c r="M121" s="13">
        <f t="shared" si="14"/>
        <v>43.262680000000003</v>
      </c>
      <c r="N121" s="13">
        <v>58.5002</v>
      </c>
      <c r="O121" s="13">
        <f t="shared" si="15"/>
        <v>43.756879999999995</v>
      </c>
      <c r="R121" s="257"/>
      <c r="S121" s="108" t="s">
        <v>187</v>
      </c>
      <c r="T121" s="61">
        <f>O87</f>
        <v>10.09069669958452</v>
      </c>
      <c r="U121" s="61">
        <f>T117+T121</f>
        <v>20.106138501559592</v>
      </c>
    </row>
    <row r="122" spans="3:21" x14ac:dyDescent="0.25">
      <c r="C122" s="21" t="s">
        <v>57</v>
      </c>
      <c r="D122" s="62">
        <v>10.464600000000001</v>
      </c>
      <c r="E122" s="24">
        <v>4.32592</v>
      </c>
      <c r="F122" s="59">
        <f t="shared" si="12"/>
        <v>58.155420000000007</v>
      </c>
      <c r="G122" s="61">
        <v>43.364899999999999</v>
      </c>
      <c r="H122" s="61">
        <v>58.244199999999999</v>
      </c>
      <c r="I122" s="13">
        <f t="shared" si="13"/>
        <v>43.453680000000006</v>
      </c>
      <c r="J122" s="13">
        <v>58.342100000000002</v>
      </c>
      <c r="K122" s="13">
        <f t="shared" si="11"/>
        <v>43.332980000000006</v>
      </c>
      <c r="L122" s="13">
        <v>58.1235</v>
      </c>
      <c r="M122" s="13">
        <f t="shared" si="14"/>
        <v>43.332980000000006</v>
      </c>
      <c r="N122" s="13">
        <v>58.476900000000001</v>
      </c>
      <c r="O122" s="13">
        <f t="shared" si="15"/>
        <v>43.68638</v>
      </c>
      <c r="R122" s="257"/>
      <c r="S122" s="109" t="s">
        <v>188</v>
      </c>
      <c r="T122" s="63">
        <f>O90</f>
        <v>10.017201604037966</v>
      </c>
      <c r="U122" s="63">
        <f>T118+T122</f>
        <v>20.033799371390529</v>
      </c>
    </row>
    <row r="123" spans="3:21" x14ac:dyDescent="0.25">
      <c r="C123" s="22" t="s">
        <v>58</v>
      </c>
      <c r="D123" s="64">
        <v>10.428599999999999</v>
      </c>
      <c r="E123" s="25">
        <v>4.32592</v>
      </c>
      <c r="F123" s="59">
        <f t="shared" si="12"/>
        <v>58.065420000000003</v>
      </c>
      <c r="G123" s="63">
        <v>43.310899999999997</v>
      </c>
      <c r="H123" s="63">
        <v>58.415999999999997</v>
      </c>
      <c r="I123" s="13">
        <f t="shared" si="13"/>
        <v>43.661479999999997</v>
      </c>
      <c r="J123" s="13">
        <v>58.1248</v>
      </c>
      <c r="K123" s="13">
        <f t="shared" si="11"/>
        <v>43.411780000000007</v>
      </c>
      <c r="L123" s="13">
        <v>58.1663</v>
      </c>
      <c r="M123" s="13">
        <f t="shared" si="14"/>
        <v>43.411780000000007</v>
      </c>
      <c r="N123" s="13">
        <v>58.026800000000001</v>
      </c>
      <c r="O123" s="13">
        <f t="shared" si="15"/>
        <v>43.272279999999995</v>
      </c>
      <c r="R123" s="257">
        <v>3</v>
      </c>
      <c r="S123" s="107" t="s">
        <v>185</v>
      </c>
      <c r="T123" s="59">
        <f>Q81</f>
        <v>10.025525849264527</v>
      </c>
      <c r="U123" s="59">
        <f t="shared" ref="U123:U134" si="16">T123+U119</f>
        <v>30.099572544268533</v>
      </c>
    </row>
    <row r="124" spans="3:21" x14ac:dyDescent="0.25">
      <c r="C124" s="21" t="s">
        <v>54</v>
      </c>
      <c r="D124" s="62">
        <v>10.335100000000001</v>
      </c>
      <c r="E124" s="24">
        <v>4.3058000000000005</v>
      </c>
      <c r="F124" s="59">
        <f t="shared" si="12"/>
        <v>57.800899999999999</v>
      </c>
      <c r="G124" s="61">
        <v>43.16</v>
      </c>
      <c r="H124" s="61">
        <v>57.822400000000002</v>
      </c>
      <c r="I124" s="13">
        <f t="shared" si="13"/>
        <v>43.181500000000007</v>
      </c>
      <c r="J124" s="13">
        <v>57.81</v>
      </c>
      <c r="K124" s="13">
        <f t="shared" si="11"/>
        <v>43.397399999999998</v>
      </c>
      <c r="L124" s="13">
        <v>58.0383</v>
      </c>
      <c r="M124" s="13">
        <f t="shared" si="14"/>
        <v>43.397399999999998</v>
      </c>
      <c r="N124" s="13">
        <v>57.834000000000003</v>
      </c>
      <c r="O124" s="13">
        <f t="shared" si="15"/>
        <v>43.193100000000001</v>
      </c>
      <c r="R124" s="257"/>
      <c r="S124" s="108" t="s">
        <v>186</v>
      </c>
      <c r="T124" s="61">
        <f>Q84</f>
        <v>10.035147686360238</v>
      </c>
      <c r="U124" s="61">
        <f t="shared" si="16"/>
        <v>30.077103828173726</v>
      </c>
    </row>
    <row r="125" spans="3:21" x14ac:dyDescent="0.25">
      <c r="C125" s="21" t="s">
        <v>51</v>
      </c>
      <c r="D125" s="62">
        <v>10.4223</v>
      </c>
      <c r="E125" s="24">
        <v>4.3058000000000005</v>
      </c>
      <c r="F125" s="59">
        <f t="shared" si="12"/>
        <v>57.854599999999998</v>
      </c>
      <c r="G125" s="61">
        <v>43.1265</v>
      </c>
      <c r="H125" s="61">
        <v>57.835500000000003</v>
      </c>
      <c r="I125" s="13">
        <f t="shared" si="13"/>
        <v>43.107400000000005</v>
      </c>
      <c r="J125" s="13">
        <v>57.7941</v>
      </c>
      <c r="K125" s="13">
        <f t="shared" si="11"/>
        <v>43.288200000000003</v>
      </c>
      <c r="L125" s="13">
        <v>58.016300000000001</v>
      </c>
      <c r="M125" s="13">
        <f t="shared" si="14"/>
        <v>43.288200000000003</v>
      </c>
      <c r="N125" s="13">
        <v>57.804900000000004</v>
      </c>
      <c r="O125" s="13">
        <f t="shared" si="15"/>
        <v>43.076800000000006</v>
      </c>
      <c r="R125" s="257"/>
      <c r="S125" s="108" t="s">
        <v>187</v>
      </c>
      <c r="T125" s="61">
        <f>Q87</f>
        <v>10.017710298233286</v>
      </c>
      <c r="U125" s="61">
        <f t="shared" si="16"/>
        <v>30.123848799792878</v>
      </c>
    </row>
    <row r="126" spans="3:21" x14ac:dyDescent="0.25">
      <c r="C126" s="22" t="s">
        <v>55</v>
      </c>
      <c r="D126" s="64">
        <v>10.471299999999999</v>
      </c>
      <c r="E126" s="25">
        <v>4.3058000000000005</v>
      </c>
      <c r="F126" s="59">
        <f t="shared" si="12"/>
        <v>57.878999999999998</v>
      </c>
      <c r="G126" s="63">
        <v>43.101900000000001</v>
      </c>
      <c r="H126" s="63">
        <v>57.884399999999999</v>
      </c>
      <c r="I126" s="13">
        <f t="shared" si="13"/>
        <v>43.107300000000002</v>
      </c>
      <c r="J126" s="13">
        <v>58.038400000000003</v>
      </c>
      <c r="K126" s="13">
        <f t="shared" si="11"/>
        <v>43.087800000000001</v>
      </c>
      <c r="L126" s="13">
        <v>57.864899999999999</v>
      </c>
      <c r="M126" s="13">
        <f t="shared" si="14"/>
        <v>43.087800000000001</v>
      </c>
      <c r="N126" s="13">
        <v>57.902099999999997</v>
      </c>
      <c r="O126" s="13">
        <f t="shared" si="15"/>
        <v>43.125</v>
      </c>
      <c r="R126" s="257"/>
      <c r="S126" s="109" t="s">
        <v>188</v>
      </c>
      <c r="T126" s="63">
        <f>Q90</f>
        <v>10.046402526824282</v>
      </c>
      <c r="U126" s="63">
        <f t="shared" si="16"/>
        <v>30.08020189821481</v>
      </c>
    </row>
    <row r="127" spans="3:21" x14ac:dyDescent="0.25">
      <c r="R127" s="257">
        <v>4</v>
      </c>
      <c r="S127" s="107" t="s">
        <v>185</v>
      </c>
      <c r="T127" s="59">
        <f>S81</f>
        <v>10.025525849264527</v>
      </c>
      <c r="U127" s="59">
        <f t="shared" si="16"/>
        <v>40.125098393533058</v>
      </c>
    </row>
    <row r="128" spans="3:21" x14ac:dyDescent="0.25">
      <c r="R128" s="257"/>
      <c r="S128" s="108" t="s">
        <v>186</v>
      </c>
      <c r="T128" s="61">
        <f>S84</f>
        <v>10.035147686360238</v>
      </c>
      <c r="U128" s="61">
        <f t="shared" si="16"/>
        <v>40.112251514533966</v>
      </c>
    </row>
    <row r="129" spans="1:23" x14ac:dyDescent="0.25">
      <c r="R129" s="257"/>
      <c r="S129" s="108" t="s">
        <v>187</v>
      </c>
      <c r="T129" s="61">
        <f>S87</f>
        <v>10.017710298233286</v>
      </c>
      <c r="U129" s="61">
        <f t="shared" si="16"/>
        <v>40.141559098026164</v>
      </c>
    </row>
    <row r="130" spans="1:23" x14ac:dyDescent="0.25">
      <c r="A130" t="s">
        <v>196</v>
      </c>
      <c r="R130" s="257"/>
      <c r="S130" s="109" t="s">
        <v>188</v>
      </c>
      <c r="T130" s="63">
        <f>S90</f>
        <v>10.046402526824282</v>
      </c>
      <c r="U130" s="63">
        <f t="shared" si="16"/>
        <v>40.126604425039091</v>
      </c>
    </row>
    <row r="131" spans="1:23" x14ac:dyDescent="0.25">
      <c r="C131" s="66" t="s">
        <v>7</v>
      </c>
      <c r="D131" s="67" t="s">
        <v>8</v>
      </c>
      <c r="E131" s="112" t="s">
        <v>9</v>
      </c>
      <c r="F131" s="67" t="s">
        <v>10</v>
      </c>
      <c r="G131" s="113" t="s">
        <v>11</v>
      </c>
      <c r="H131" s="67" t="s">
        <v>162</v>
      </c>
      <c r="I131" s="67" t="s">
        <v>175</v>
      </c>
      <c r="J131" s="67" t="s">
        <v>176</v>
      </c>
      <c r="K131" s="67" t="s">
        <v>177</v>
      </c>
      <c r="L131" s="67" t="s">
        <v>178</v>
      </c>
      <c r="M131" s="67" t="s">
        <v>179</v>
      </c>
      <c r="N131" s="67" t="s">
        <v>180</v>
      </c>
      <c r="O131" s="67" t="s">
        <v>181</v>
      </c>
      <c r="P131" s="67" t="s">
        <v>182</v>
      </c>
      <c r="Q131" s="67" t="s">
        <v>183</v>
      </c>
      <c r="R131" s="257">
        <v>5</v>
      </c>
      <c r="S131" s="108" t="s">
        <v>185</v>
      </c>
      <c r="T131" s="61">
        <f>U81</f>
        <v>10.024413574542942</v>
      </c>
      <c r="U131" s="61">
        <f t="shared" si="16"/>
        <v>50.149511968075998</v>
      </c>
    </row>
    <row r="132" spans="1:23" x14ac:dyDescent="0.25">
      <c r="A132" s="66" t="s">
        <v>68</v>
      </c>
      <c r="B132" s="67" t="s">
        <v>69</v>
      </c>
      <c r="C132" s="52" t="s">
        <v>20</v>
      </c>
      <c r="D132" s="52" t="s">
        <v>20</v>
      </c>
      <c r="E132" s="52" t="s">
        <v>20</v>
      </c>
      <c r="F132" s="52" t="s">
        <v>20</v>
      </c>
      <c r="G132" s="52" t="s">
        <v>20</v>
      </c>
      <c r="H132" s="52" t="s">
        <v>20</v>
      </c>
      <c r="I132" s="67"/>
      <c r="J132" s="52" t="s">
        <v>20</v>
      </c>
      <c r="K132" s="67"/>
      <c r="L132" s="52" t="s">
        <v>20</v>
      </c>
      <c r="M132" s="67"/>
      <c r="N132" s="52" t="s">
        <v>20</v>
      </c>
      <c r="O132" s="67"/>
      <c r="P132" s="52" t="s">
        <v>20</v>
      </c>
      <c r="Q132" s="67"/>
      <c r="R132" s="257"/>
      <c r="S132" s="108" t="s">
        <v>186</v>
      </c>
      <c r="T132" s="61">
        <f>U84</f>
        <v>10.029010813247616</v>
      </c>
      <c r="U132" s="61">
        <f t="shared" si="16"/>
        <v>50.141262327781583</v>
      </c>
    </row>
    <row r="133" spans="1:23" x14ac:dyDescent="0.25">
      <c r="A133" s="24">
        <v>3.8959200000000003</v>
      </c>
      <c r="B133" s="59">
        <v>39.090800000000002</v>
      </c>
      <c r="C133" s="59">
        <f>B133/A133</f>
        <v>10.033778927698721</v>
      </c>
      <c r="D133" s="59">
        <f t="shared" ref="D133:D144" si="17">I99+C133</f>
        <v>20.063086511016653</v>
      </c>
      <c r="E133" s="110">
        <f t="shared" ref="E133:E144" si="18">K99+D133</f>
        <v>30.112286699932234</v>
      </c>
      <c r="F133" s="59">
        <f t="shared" ref="F133:F144" si="19">M99+E133</f>
        <v>40.161486888847818</v>
      </c>
      <c r="G133" s="60">
        <f t="shared" ref="G133:G144" si="20">F133+O99</f>
        <v>50.201857327665863</v>
      </c>
      <c r="H133" s="276">
        <f>AVERAGE(C133:C135)</f>
        <v>10.053526081986625</v>
      </c>
      <c r="I133" s="276">
        <f>STDEV(C133:C135)</f>
        <v>5.2966177160996726E-2</v>
      </c>
      <c r="J133" s="276">
        <f>AVERAGE(D133:D135)</f>
        <v>20.074046695004004</v>
      </c>
      <c r="K133" s="276">
        <f>STDEV(D133:D135)</f>
        <v>5.2748638790549564E-2</v>
      </c>
      <c r="L133" s="276">
        <f>AVERAGE(E133:E135)</f>
        <v>30.099572544268529</v>
      </c>
      <c r="M133" s="276">
        <f>STDEV(E133:E135)</f>
        <v>3.3703178436984213E-2</v>
      </c>
      <c r="N133" s="276">
        <f>AVERAGE(F133:F135)</f>
        <v>40.125098393533058</v>
      </c>
      <c r="O133" s="276">
        <f>STDEV(F133:F135)</f>
        <v>3.3657179209978717E-2</v>
      </c>
      <c r="P133" s="276">
        <f>AVERAGE(G133:G135)</f>
        <v>50.149511968076006</v>
      </c>
      <c r="Q133" s="276">
        <f>STDEV(G133:G135)</f>
        <v>4.6936691747759288E-2</v>
      </c>
      <c r="R133" s="257"/>
      <c r="S133" s="108" t="s">
        <v>187</v>
      </c>
      <c r="T133" s="61">
        <f>U87</f>
        <v>10.072272872976537</v>
      </c>
      <c r="U133" s="61">
        <f t="shared" si="16"/>
        <v>50.213831971002705</v>
      </c>
    </row>
    <row r="134" spans="1:23" x14ac:dyDescent="0.25">
      <c r="A134" s="24">
        <v>3.8959199999999998</v>
      </c>
      <c r="B134" s="61">
        <v>39.010899999999999</v>
      </c>
      <c r="C134" s="61">
        <f t="shared" ref="C134:C144" si="21">B134/A134</f>
        <v>10.013270293024497</v>
      </c>
      <c r="D134" s="61">
        <f t="shared" si="17"/>
        <v>20.027639171235549</v>
      </c>
      <c r="E134" s="105">
        <f t="shared" si="18"/>
        <v>30.061361629602249</v>
      </c>
      <c r="F134" s="61">
        <f t="shared" si="19"/>
        <v>40.095084087968949</v>
      </c>
      <c r="G134" s="62">
        <f t="shared" si="20"/>
        <v>50.111172714018764</v>
      </c>
      <c r="H134" s="276"/>
      <c r="I134" s="276"/>
      <c r="J134" s="276"/>
      <c r="K134" s="276"/>
      <c r="L134" s="276"/>
      <c r="M134" s="276"/>
      <c r="N134" s="276"/>
      <c r="O134" s="276"/>
      <c r="P134" s="276"/>
      <c r="Q134" s="276"/>
      <c r="R134" s="257"/>
      <c r="S134" s="109" t="s">
        <v>188</v>
      </c>
      <c r="T134" s="63">
        <f>U90</f>
        <v>10.017100964590396</v>
      </c>
      <c r="U134" s="63">
        <f t="shared" si="16"/>
        <v>50.143705389629488</v>
      </c>
    </row>
    <row r="135" spans="1:23" x14ac:dyDescent="0.25">
      <c r="A135" s="24">
        <v>3.8959200000000003</v>
      </c>
      <c r="B135" s="61">
        <v>39.401499999999999</v>
      </c>
      <c r="C135" s="61">
        <f t="shared" si="21"/>
        <v>10.113529025236657</v>
      </c>
      <c r="D135" s="61">
        <f t="shared" si="17"/>
        <v>20.131414402759809</v>
      </c>
      <c r="E135" s="105">
        <f t="shared" si="18"/>
        <v>30.125069303271111</v>
      </c>
      <c r="F135" s="61">
        <f t="shared" si="19"/>
        <v>40.118724203782413</v>
      </c>
      <c r="G135" s="62">
        <f t="shared" si="20"/>
        <v>50.135505862543376</v>
      </c>
      <c r="H135" s="276"/>
      <c r="I135" s="276"/>
      <c r="J135" s="276"/>
      <c r="K135" s="276"/>
      <c r="L135" s="276"/>
      <c r="M135" s="276"/>
      <c r="N135" s="276"/>
      <c r="O135" s="276"/>
      <c r="P135" s="276"/>
      <c r="Q135" s="276"/>
    </row>
    <row r="136" spans="1:23" x14ac:dyDescent="0.25">
      <c r="A136" s="70">
        <v>4.3181600000000007</v>
      </c>
      <c r="B136" s="59">
        <v>43.170099999999998</v>
      </c>
      <c r="C136" s="59">
        <f t="shared" si="21"/>
        <v>9.997336828649237</v>
      </c>
      <c r="D136" s="59">
        <f t="shared" si="17"/>
        <v>19.985581821887095</v>
      </c>
      <c r="E136" s="110">
        <f t="shared" si="18"/>
        <v>29.962618337440013</v>
      </c>
      <c r="F136" s="59">
        <f t="shared" si="19"/>
        <v>39.939654852992931</v>
      </c>
      <c r="G136" s="60">
        <f t="shared" si="20"/>
        <v>49.935078829871969</v>
      </c>
      <c r="H136" s="276">
        <f>AVERAGE(C136:C138)</f>
        <v>10.02115098406111</v>
      </c>
      <c r="I136" s="276">
        <f>STDEV(C136:C138)</f>
        <v>3.2176507999371134E-2</v>
      </c>
      <c r="J136" s="276">
        <f>AVERAGE(D136:D138)</f>
        <v>20.041956141813486</v>
      </c>
      <c r="K136" s="276">
        <f>STDEV(D136:D138)</f>
        <v>6.9690766230537465E-2</v>
      </c>
      <c r="L136" s="276">
        <f>AVERAGE(E136:E138)</f>
        <v>30.077103828173723</v>
      </c>
      <c r="M136" s="276">
        <f>STDEV(E136:E138)</f>
        <v>0.15469332802633692</v>
      </c>
      <c r="N136" s="276">
        <f>AVERAGE(F136:F138)</f>
        <v>40.112251514533966</v>
      </c>
      <c r="O136" s="276">
        <f>STDEV(F136:F138)</f>
        <v>0.23998669248521945</v>
      </c>
      <c r="P136" s="276">
        <f>AVERAGE(G136:G138)</f>
        <v>50.141262327781568</v>
      </c>
      <c r="Q136" s="276">
        <f>STDEV(G136:G138)</f>
        <v>0.27204974941922178</v>
      </c>
      <c r="R136" s="102" t="s">
        <v>165</v>
      </c>
      <c r="S136" s="102" t="s">
        <v>269</v>
      </c>
      <c r="T136" s="102" t="s">
        <v>184</v>
      </c>
      <c r="U136" s="102" t="s">
        <v>189</v>
      </c>
    </row>
    <row r="137" spans="1:23" x14ac:dyDescent="0.25">
      <c r="A137" s="24">
        <v>4.3181600000000007</v>
      </c>
      <c r="B137" s="61">
        <v>43.430999999999997</v>
      </c>
      <c r="C137" s="61">
        <f t="shared" si="21"/>
        <v>10.057756081293883</v>
      </c>
      <c r="D137" s="61">
        <f t="shared" si="17"/>
        <v>20.119875132000665</v>
      </c>
      <c r="E137" s="105">
        <f t="shared" si="18"/>
        <v>30.253089278766879</v>
      </c>
      <c r="F137" s="61">
        <f t="shared" si="19"/>
        <v>40.386303425533093</v>
      </c>
      <c r="G137" s="62">
        <f t="shared" si="20"/>
        <v>50.449603534838907</v>
      </c>
      <c r="H137" s="276"/>
      <c r="I137" s="276"/>
      <c r="J137" s="276"/>
      <c r="K137" s="276"/>
      <c r="L137" s="276"/>
      <c r="M137" s="276"/>
      <c r="N137" s="276"/>
      <c r="O137" s="276"/>
      <c r="P137" s="276"/>
      <c r="Q137" s="276"/>
      <c r="R137" s="257">
        <v>1</v>
      </c>
      <c r="S137" s="107" t="s">
        <v>185</v>
      </c>
      <c r="T137" s="59" t="s">
        <v>190</v>
      </c>
      <c r="U137" s="59" t="s">
        <v>190</v>
      </c>
    </row>
    <row r="138" spans="1:23" x14ac:dyDescent="0.25">
      <c r="A138" s="25">
        <v>4.3181600000000007</v>
      </c>
      <c r="B138" s="63">
        <v>43.217700000000001</v>
      </c>
      <c r="C138" s="63">
        <f t="shared" si="21"/>
        <v>10.008360042240213</v>
      </c>
      <c r="D138" s="63">
        <f t="shared" si="17"/>
        <v>20.020411471552698</v>
      </c>
      <c r="E138" s="111">
        <f t="shared" si="18"/>
        <v>30.01560386831428</v>
      </c>
      <c r="F138" s="63">
        <f t="shared" si="19"/>
        <v>40.010796265075861</v>
      </c>
      <c r="G138" s="64">
        <f t="shared" si="20"/>
        <v>50.039104618633857</v>
      </c>
      <c r="H138" s="276"/>
      <c r="I138" s="276"/>
      <c r="J138" s="276"/>
      <c r="K138" s="276"/>
      <c r="L138" s="276"/>
      <c r="M138" s="276"/>
      <c r="N138" s="276"/>
      <c r="O138" s="276"/>
      <c r="P138" s="276"/>
      <c r="Q138" s="276"/>
      <c r="R138" s="257"/>
      <c r="S138" s="108" t="s">
        <v>186</v>
      </c>
      <c r="T138" s="61" t="s">
        <v>191</v>
      </c>
      <c r="U138" s="61" t="s">
        <v>191</v>
      </c>
      <c r="V138" s="106"/>
    </row>
    <row r="139" spans="1:23" x14ac:dyDescent="0.25">
      <c r="A139" s="70">
        <v>4.32592</v>
      </c>
      <c r="B139" s="59">
        <v>43.302199999999999</v>
      </c>
      <c r="C139" s="59">
        <f t="shared" si="21"/>
        <v>10.009940082109701</v>
      </c>
      <c r="D139" s="59">
        <f t="shared" si="17"/>
        <v>20.144080334356619</v>
      </c>
      <c r="E139" s="110">
        <f t="shared" si="18"/>
        <v>30.144884787513405</v>
      </c>
      <c r="F139" s="59">
        <f t="shared" si="19"/>
        <v>40.145689240670194</v>
      </c>
      <c r="G139" s="60">
        <f t="shared" si="20"/>
        <v>50.260735288678475</v>
      </c>
      <c r="H139" s="276">
        <f>AVERAGE(C139:C141)</f>
        <v>10.015441801975072</v>
      </c>
      <c r="I139" s="276">
        <f>STDEV(C139:C141)</f>
        <v>7.8522194689986495E-3</v>
      </c>
      <c r="J139" s="276">
        <f>AVERAGE(D139:D141)</f>
        <v>20.106138501559592</v>
      </c>
      <c r="K139" s="276">
        <f>STDEV(D139:D141)</f>
        <v>3.7358978654430025E-2</v>
      </c>
      <c r="L139" s="276">
        <f>AVERAGE(E139:E141)</f>
        <v>30.123848799792878</v>
      </c>
      <c r="M139" s="276">
        <f>STDEV(E139:E141)</f>
        <v>3.247550593326673E-2</v>
      </c>
      <c r="N139" s="276">
        <f>AVERAGE(F139:F141)</f>
        <v>40.141559098026164</v>
      </c>
      <c r="O139" s="276">
        <f>STDEV(F139:F141)</f>
        <v>3.6169633295366703E-2</v>
      </c>
      <c r="P139" s="276">
        <f>AVERAGE(G139:G141)</f>
        <v>50.213831971002698</v>
      </c>
      <c r="Q139" s="276">
        <f>STDEV(G139:G141)</f>
        <v>4.2318377845631541E-2</v>
      </c>
      <c r="R139" s="257"/>
      <c r="S139" s="108" t="s">
        <v>187</v>
      </c>
      <c r="T139" s="61" t="s">
        <v>194</v>
      </c>
      <c r="U139" s="61" t="s">
        <v>194</v>
      </c>
      <c r="W139" s="106"/>
    </row>
    <row r="140" spans="1:23" x14ac:dyDescent="0.25">
      <c r="A140" s="24">
        <v>4.32592</v>
      </c>
      <c r="B140" s="61">
        <v>43.364899999999999</v>
      </c>
      <c r="C140" s="61">
        <f t="shared" si="21"/>
        <v>10.024434108813848</v>
      </c>
      <c r="D140" s="61">
        <f t="shared" si="17"/>
        <v>20.069391019713727</v>
      </c>
      <c r="E140" s="105">
        <f t="shared" si="18"/>
        <v>30.086446351296374</v>
      </c>
      <c r="F140" s="61">
        <f t="shared" si="19"/>
        <v>40.103501682879021</v>
      </c>
      <c r="G140" s="62">
        <f t="shared" si="20"/>
        <v>50.202250619521401</v>
      </c>
      <c r="H140" s="276"/>
      <c r="I140" s="276"/>
      <c r="J140" s="276"/>
      <c r="K140" s="276"/>
      <c r="L140" s="276"/>
      <c r="M140" s="276"/>
      <c r="N140" s="276"/>
      <c r="O140" s="276"/>
      <c r="P140" s="276"/>
      <c r="Q140" s="276"/>
      <c r="R140" s="257"/>
      <c r="S140" s="108" t="s">
        <v>188</v>
      </c>
      <c r="T140" s="61" t="s">
        <v>194</v>
      </c>
      <c r="U140" s="61" t="s">
        <v>194</v>
      </c>
    </row>
    <row r="141" spans="1:23" x14ac:dyDescent="0.25">
      <c r="A141" s="25">
        <v>4.32592</v>
      </c>
      <c r="B141" s="63">
        <v>43.310899999999997</v>
      </c>
      <c r="C141" s="63">
        <f t="shared" si="21"/>
        <v>10.011951215001664</v>
      </c>
      <c r="D141" s="63">
        <f t="shared" si="17"/>
        <v>20.104944150608425</v>
      </c>
      <c r="E141" s="111">
        <f t="shared" si="18"/>
        <v>30.140215260568851</v>
      </c>
      <c r="F141" s="63">
        <f t="shared" si="19"/>
        <v>40.175486370529278</v>
      </c>
      <c r="G141" s="64">
        <f t="shared" si="20"/>
        <v>50.178510004808231</v>
      </c>
      <c r="H141" s="276"/>
      <c r="I141" s="276"/>
      <c r="J141" s="276"/>
      <c r="K141" s="276"/>
      <c r="L141" s="276"/>
      <c r="M141" s="276"/>
      <c r="N141" s="276"/>
      <c r="O141" s="276"/>
      <c r="P141" s="276"/>
      <c r="Q141" s="276"/>
      <c r="R141" s="257">
        <v>2</v>
      </c>
      <c r="S141" s="107" t="s">
        <v>185</v>
      </c>
      <c r="T141" s="59" t="s">
        <v>205</v>
      </c>
      <c r="U141" s="59" t="s">
        <v>197</v>
      </c>
    </row>
    <row r="142" spans="1:23" x14ac:dyDescent="0.25">
      <c r="A142" s="24">
        <v>4.3058000000000005</v>
      </c>
      <c r="B142" s="61">
        <v>43.16</v>
      </c>
      <c r="C142" s="61">
        <f t="shared" si="21"/>
        <v>10.02368897765804</v>
      </c>
      <c r="D142" s="61">
        <f t="shared" si="17"/>
        <v>20.052371220214596</v>
      </c>
      <c r="E142" s="105">
        <f t="shared" si="18"/>
        <v>30.13119513214734</v>
      </c>
      <c r="F142" s="61">
        <f t="shared" si="19"/>
        <v>40.210019044080084</v>
      </c>
      <c r="G142" s="62">
        <f t="shared" si="20"/>
        <v>50.241395327233043</v>
      </c>
      <c r="H142" s="276">
        <f>AVERAGE(C142:C144)</f>
        <v>10.016597767352563</v>
      </c>
      <c r="I142" s="276">
        <f>STDEV(C142:C144)</f>
        <v>6.7730480496458433E-3</v>
      </c>
      <c r="J142" s="276">
        <f>AVERAGE(D142:D144)</f>
        <v>20.033799371390529</v>
      </c>
      <c r="K142" s="276">
        <f>STDEV(D142:D144)</f>
        <v>1.6337438199997972E-2</v>
      </c>
      <c r="L142" s="276">
        <f>AVERAGE(E142:E144)</f>
        <v>30.08020189821481</v>
      </c>
      <c r="M142" s="276">
        <f>STDEV(E142:E144)</f>
        <v>5.1317523077713409E-2</v>
      </c>
      <c r="N142" s="276">
        <f>AVERAGE(F142:F144)</f>
        <v>40.126604425039098</v>
      </c>
      <c r="O142" s="276">
        <f>STDEV(F142:F144)</f>
        <v>8.7520607787024765E-2</v>
      </c>
      <c r="P142" s="276">
        <f>AVERAGE(G142:G144)</f>
        <v>50.143705389629496</v>
      </c>
      <c r="Q142" s="276">
        <f>STDEV(G142:G144)</f>
        <v>9.5273666809557428E-2</v>
      </c>
      <c r="R142" s="257"/>
      <c r="S142" s="108" t="s">
        <v>186</v>
      </c>
      <c r="T142" s="61" t="s">
        <v>206</v>
      </c>
      <c r="U142" s="61" t="s">
        <v>210</v>
      </c>
    </row>
    <row r="143" spans="1:23" x14ac:dyDescent="0.25">
      <c r="A143" s="24">
        <v>4.3058000000000005</v>
      </c>
      <c r="B143" s="61">
        <v>43.1265</v>
      </c>
      <c r="C143" s="61">
        <f t="shared" si="21"/>
        <v>10.015908774211528</v>
      </c>
      <c r="D143" s="61">
        <f t="shared" si="17"/>
        <v>20.027381671234149</v>
      </c>
      <c r="E143" s="105">
        <f t="shared" si="18"/>
        <v>30.080844442380045</v>
      </c>
      <c r="F143" s="61">
        <f t="shared" si="19"/>
        <v>40.134307213525943</v>
      </c>
      <c r="G143" s="62">
        <f t="shared" si="20"/>
        <v>50.138673417251155</v>
      </c>
      <c r="H143" s="276"/>
      <c r="I143" s="276"/>
      <c r="J143" s="276"/>
      <c r="K143" s="276"/>
      <c r="L143" s="276"/>
      <c r="M143" s="276"/>
      <c r="N143" s="276"/>
      <c r="O143" s="276"/>
      <c r="P143" s="276"/>
      <c r="Q143" s="276"/>
      <c r="R143" s="257"/>
      <c r="S143" s="108" t="s">
        <v>187</v>
      </c>
      <c r="T143" s="61" t="s">
        <v>193</v>
      </c>
      <c r="U143" s="61" t="s">
        <v>211</v>
      </c>
    </row>
    <row r="144" spans="1:23" x14ac:dyDescent="0.25">
      <c r="A144" s="25">
        <v>4.3058000000000005</v>
      </c>
      <c r="B144" s="63">
        <v>43.101900000000001</v>
      </c>
      <c r="C144" s="63">
        <f t="shared" si="21"/>
        <v>10.010195550188117</v>
      </c>
      <c r="D144" s="63">
        <f t="shared" si="17"/>
        <v>20.021645222722839</v>
      </c>
      <c r="E144" s="111">
        <f t="shared" si="18"/>
        <v>30.028566120117048</v>
      </c>
      <c r="F144" s="63">
        <f t="shared" si="19"/>
        <v>40.035487017511258</v>
      </c>
      <c r="G144" s="64">
        <f t="shared" si="20"/>
        <v>50.051047424404288</v>
      </c>
      <c r="H144" s="276"/>
      <c r="I144" s="276"/>
      <c r="J144" s="276"/>
      <c r="K144" s="276"/>
      <c r="L144" s="276"/>
      <c r="M144" s="276"/>
      <c r="N144" s="276"/>
      <c r="O144" s="276"/>
      <c r="P144" s="276"/>
      <c r="Q144" s="276"/>
      <c r="R144" s="257"/>
      <c r="S144" s="109" t="s">
        <v>188</v>
      </c>
      <c r="T144" s="63" t="s">
        <v>194</v>
      </c>
      <c r="U144" s="63" t="s">
        <v>212</v>
      </c>
    </row>
    <row r="145" spans="14:27" x14ac:dyDescent="0.25">
      <c r="N145">
        <v>3</v>
      </c>
      <c r="R145" s="257">
        <v>3</v>
      </c>
      <c r="S145" s="107" t="s">
        <v>185</v>
      </c>
      <c r="T145" s="59" t="s">
        <v>192</v>
      </c>
      <c r="U145" s="59" t="s">
        <v>198</v>
      </c>
    </row>
    <row r="146" spans="14:27" x14ac:dyDescent="0.25">
      <c r="N146">
        <v>4</v>
      </c>
      <c r="R146" s="257"/>
      <c r="S146" s="108" t="s">
        <v>186</v>
      </c>
      <c r="T146" s="61" t="s">
        <v>207</v>
      </c>
      <c r="U146" s="61" t="s">
        <v>199</v>
      </c>
    </row>
    <row r="147" spans="14:27" x14ac:dyDescent="0.25">
      <c r="N147">
        <v>5</v>
      </c>
      <c r="R147" s="257"/>
      <c r="S147" s="108" t="s">
        <v>187</v>
      </c>
      <c r="T147" s="61" t="s">
        <v>208</v>
      </c>
      <c r="U147" s="61" t="s">
        <v>200</v>
      </c>
    </row>
    <row r="148" spans="14:27" x14ac:dyDescent="0.25">
      <c r="R148" s="257"/>
      <c r="S148" s="109" t="s">
        <v>188</v>
      </c>
      <c r="T148" s="63" t="s">
        <v>209</v>
      </c>
      <c r="U148" s="63" t="s">
        <v>201</v>
      </c>
    </row>
    <row r="149" spans="14:27" x14ac:dyDescent="0.25">
      <c r="R149" s="257">
        <v>4</v>
      </c>
      <c r="S149" s="107" t="s">
        <v>185</v>
      </c>
      <c r="T149" s="59" t="s">
        <v>192</v>
      </c>
      <c r="U149" s="59" t="s">
        <v>202</v>
      </c>
    </row>
    <row r="150" spans="14:27" x14ac:dyDescent="0.25">
      <c r="R150" s="257"/>
      <c r="S150" s="108" t="s">
        <v>186</v>
      </c>
      <c r="T150" s="61" t="s">
        <v>207</v>
      </c>
      <c r="U150" s="61" t="s">
        <v>213</v>
      </c>
    </row>
    <row r="151" spans="14:27" x14ac:dyDescent="0.25">
      <c r="R151" s="257"/>
      <c r="S151" s="108" t="s">
        <v>187</v>
      </c>
      <c r="T151" s="61" t="s">
        <v>208</v>
      </c>
      <c r="U151" s="61" t="s">
        <v>214</v>
      </c>
    </row>
    <row r="152" spans="14:27" x14ac:dyDescent="0.25">
      <c r="R152" s="257"/>
      <c r="S152" s="109" t="s">
        <v>188</v>
      </c>
      <c r="T152" s="63" t="s">
        <v>209</v>
      </c>
      <c r="U152" s="63" t="s">
        <v>215</v>
      </c>
    </row>
    <row r="153" spans="14:27" x14ac:dyDescent="0.25">
      <c r="R153" s="257">
        <v>5</v>
      </c>
      <c r="S153" s="108" t="s">
        <v>185</v>
      </c>
      <c r="T153" s="61" t="s">
        <v>194</v>
      </c>
      <c r="U153" s="61" t="s">
        <v>216</v>
      </c>
    </row>
    <row r="154" spans="14:27" x14ac:dyDescent="0.25">
      <c r="R154" s="257"/>
      <c r="S154" s="108" t="s">
        <v>186</v>
      </c>
      <c r="T154" s="61" t="s">
        <v>192</v>
      </c>
      <c r="U154" s="61" t="s">
        <v>203</v>
      </c>
    </row>
    <row r="155" spans="14:27" x14ac:dyDescent="0.25">
      <c r="R155" s="257"/>
      <c r="S155" s="108" t="s">
        <v>187</v>
      </c>
      <c r="T155" s="61" t="s">
        <v>195</v>
      </c>
      <c r="U155" s="61" t="s">
        <v>204</v>
      </c>
    </row>
    <row r="156" spans="14:27" x14ac:dyDescent="0.25">
      <c r="R156" s="257"/>
      <c r="S156" s="109" t="s">
        <v>188</v>
      </c>
      <c r="T156" s="63" t="s">
        <v>194</v>
      </c>
      <c r="U156" s="63" t="s">
        <v>217</v>
      </c>
    </row>
    <row r="159" spans="14:27" x14ac:dyDescent="0.25">
      <c r="R159" s="102" t="s">
        <v>165</v>
      </c>
      <c r="S159" s="102" t="s">
        <v>269</v>
      </c>
      <c r="T159" s="102" t="s">
        <v>4</v>
      </c>
      <c r="U159" s="102" t="s">
        <v>218</v>
      </c>
      <c r="X159" s="102" t="s">
        <v>165</v>
      </c>
      <c r="Y159" s="102" t="s">
        <v>269</v>
      </c>
      <c r="Z159" s="102" t="s">
        <v>4</v>
      </c>
      <c r="AA159" s="102" t="s">
        <v>218</v>
      </c>
    </row>
    <row r="160" spans="14:27" x14ac:dyDescent="0.25">
      <c r="R160" s="257">
        <v>1</v>
      </c>
      <c r="S160" s="107" t="s">
        <v>185</v>
      </c>
      <c r="T160" s="59" t="s">
        <v>219</v>
      </c>
      <c r="U160" s="59" t="s">
        <v>238</v>
      </c>
      <c r="X160" s="257">
        <v>1</v>
      </c>
      <c r="Y160" s="107" t="s">
        <v>185</v>
      </c>
      <c r="Z160" s="59" t="s">
        <v>219</v>
      </c>
      <c r="AA160" s="59" t="s">
        <v>238</v>
      </c>
    </row>
    <row r="161" spans="18:27" x14ac:dyDescent="0.25">
      <c r="R161" s="257"/>
      <c r="S161" s="108" t="s">
        <v>186</v>
      </c>
      <c r="T161" s="61" t="s">
        <v>222</v>
      </c>
      <c r="U161" s="61" t="s">
        <v>239</v>
      </c>
      <c r="X161" s="257"/>
      <c r="Y161" s="108" t="s">
        <v>186</v>
      </c>
      <c r="Z161" s="61" t="s">
        <v>222</v>
      </c>
      <c r="AA161" s="61" t="s">
        <v>239</v>
      </c>
    </row>
    <row r="162" spans="18:27" x14ac:dyDescent="0.25">
      <c r="R162" s="257"/>
      <c r="S162" s="108" t="s">
        <v>187</v>
      </c>
      <c r="T162" s="61" t="s">
        <v>223</v>
      </c>
      <c r="U162" s="61" t="s">
        <v>240</v>
      </c>
      <c r="X162" s="257"/>
      <c r="Y162" s="108" t="s">
        <v>187</v>
      </c>
      <c r="Z162" s="61" t="s">
        <v>223</v>
      </c>
      <c r="AA162" s="61" t="s">
        <v>240</v>
      </c>
    </row>
    <row r="163" spans="18:27" x14ac:dyDescent="0.25">
      <c r="R163" s="257"/>
      <c r="S163" s="108" t="s">
        <v>188</v>
      </c>
      <c r="T163" s="61" t="s">
        <v>224</v>
      </c>
      <c r="U163" s="61" t="s">
        <v>241</v>
      </c>
      <c r="X163" s="257"/>
      <c r="Y163" s="108" t="s">
        <v>188</v>
      </c>
      <c r="Z163" s="61" t="s">
        <v>224</v>
      </c>
      <c r="AA163" s="61" t="s">
        <v>241</v>
      </c>
    </row>
    <row r="164" spans="18:27" x14ac:dyDescent="0.25">
      <c r="R164" s="257">
        <v>2</v>
      </c>
      <c r="S164" s="107" t="s">
        <v>185</v>
      </c>
      <c r="T164" s="59" t="s">
        <v>220</v>
      </c>
      <c r="U164" s="59" t="s">
        <v>242</v>
      </c>
      <c r="X164" s="257">
        <v>2</v>
      </c>
      <c r="Y164" s="107" t="s">
        <v>185</v>
      </c>
      <c r="Z164" s="59" t="s">
        <v>220</v>
      </c>
      <c r="AA164" s="59" t="s">
        <v>242</v>
      </c>
    </row>
    <row r="165" spans="18:27" x14ac:dyDescent="0.25">
      <c r="R165" s="257"/>
      <c r="S165" s="108" t="s">
        <v>186</v>
      </c>
      <c r="T165" s="61" t="s">
        <v>225</v>
      </c>
      <c r="U165" s="61" t="s">
        <v>243</v>
      </c>
      <c r="X165" s="257"/>
      <c r="Y165" s="108" t="s">
        <v>186</v>
      </c>
      <c r="Z165" s="61" t="s">
        <v>225</v>
      </c>
      <c r="AA165" s="61" t="s">
        <v>243</v>
      </c>
    </row>
    <row r="166" spans="18:27" x14ac:dyDescent="0.25">
      <c r="R166" s="257"/>
      <c r="S166" s="108" t="s">
        <v>187</v>
      </c>
      <c r="T166" s="61" t="s">
        <v>222</v>
      </c>
      <c r="U166" s="61" t="s">
        <v>244</v>
      </c>
      <c r="X166" s="257"/>
      <c r="Y166" s="108" t="s">
        <v>187</v>
      </c>
      <c r="Z166" s="61" t="s">
        <v>222</v>
      </c>
      <c r="AA166" s="61" t="s">
        <v>244</v>
      </c>
    </row>
    <row r="167" spans="18:27" x14ac:dyDescent="0.25">
      <c r="R167" s="257"/>
      <c r="S167" s="109" t="s">
        <v>188</v>
      </c>
      <c r="T167" s="63" t="s">
        <v>226</v>
      </c>
      <c r="U167" s="63" t="s">
        <v>245</v>
      </c>
      <c r="X167" s="257"/>
      <c r="Y167" s="109" t="s">
        <v>188</v>
      </c>
      <c r="Z167" s="63" t="s">
        <v>226</v>
      </c>
      <c r="AA167" s="63" t="s">
        <v>245</v>
      </c>
    </row>
    <row r="168" spans="18:27" x14ac:dyDescent="0.25">
      <c r="R168" s="257">
        <v>3</v>
      </c>
      <c r="S168" s="107" t="s">
        <v>185</v>
      </c>
      <c r="T168" s="59" t="s">
        <v>221</v>
      </c>
      <c r="U168" s="59" t="s">
        <v>246</v>
      </c>
      <c r="X168" s="257">
        <v>3</v>
      </c>
      <c r="Y168" s="107" t="s">
        <v>185</v>
      </c>
      <c r="Z168" s="59" t="s">
        <v>221</v>
      </c>
      <c r="AA168" s="59" t="s">
        <v>246</v>
      </c>
    </row>
    <row r="169" spans="18:27" x14ac:dyDescent="0.25">
      <c r="R169" s="257"/>
      <c r="S169" s="108" t="s">
        <v>186</v>
      </c>
      <c r="T169" s="61" t="s">
        <v>227</v>
      </c>
      <c r="U169" s="61" t="s">
        <v>247</v>
      </c>
      <c r="X169" s="257"/>
      <c r="Y169" s="108" t="s">
        <v>186</v>
      </c>
      <c r="Z169" s="61" t="s">
        <v>227</v>
      </c>
      <c r="AA169" s="61" t="s">
        <v>247</v>
      </c>
    </row>
    <row r="170" spans="18:27" x14ac:dyDescent="0.25">
      <c r="R170" s="257"/>
      <c r="S170" s="108" t="s">
        <v>187</v>
      </c>
      <c r="T170" s="61" t="s">
        <v>228</v>
      </c>
      <c r="U170" s="61" t="s">
        <v>248</v>
      </c>
      <c r="X170" s="257"/>
      <c r="Y170" s="108" t="s">
        <v>187</v>
      </c>
      <c r="Z170" s="61" t="s">
        <v>228</v>
      </c>
      <c r="AA170" s="61" t="s">
        <v>248</v>
      </c>
    </row>
    <row r="171" spans="18:27" x14ac:dyDescent="0.25">
      <c r="R171" s="257"/>
      <c r="S171" s="109" t="s">
        <v>188</v>
      </c>
      <c r="T171" s="63" t="s">
        <v>229</v>
      </c>
      <c r="U171" s="63" t="s">
        <v>249</v>
      </c>
      <c r="X171" s="257"/>
      <c r="Y171" s="109" t="s">
        <v>188</v>
      </c>
      <c r="Z171" s="63" t="s">
        <v>229</v>
      </c>
      <c r="AA171" s="63" t="s">
        <v>249</v>
      </c>
    </row>
    <row r="172" spans="18:27" x14ac:dyDescent="0.25">
      <c r="R172" s="257">
        <v>4</v>
      </c>
      <c r="S172" s="107" t="s">
        <v>185</v>
      </c>
      <c r="T172" s="59" t="s">
        <v>230</v>
      </c>
      <c r="U172" s="59" t="s">
        <v>250</v>
      </c>
      <c r="X172" s="257">
        <v>4</v>
      </c>
      <c r="Y172" s="107" t="s">
        <v>185</v>
      </c>
      <c r="Z172" s="59" t="s">
        <v>230</v>
      </c>
      <c r="AA172" s="59" t="s">
        <v>250</v>
      </c>
    </row>
    <row r="173" spans="18:27" x14ac:dyDescent="0.25">
      <c r="R173" s="257"/>
      <c r="S173" s="108" t="s">
        <v>186</v>
      </c>
      <c r="T173" s="61" t="s">
        <v>231</v>
      </c>
      <c r="U173" s="61" t="s">
        <v>251</v>
      </c>
      <c r="X173" s="257"/>
      <c r="Y173" s="108" t="s">
        <v>186</v>
      </c>
      <c r="Z173" s="61" t="s">
        <v>231</v>
      </c>
      <c r="AA173" s="61" t="s">
        <v>251</v>
      </c>
    </row>
    <row r="174" spans="18:27" x14ac:dyDescent="0.25">
      <c r="R174" s="257"/>
      <c r="S174" s="108" t="s">
        <v>187</v>
      </c>
      <c r="T174" s="61" t="s">
        <v>232</v>
      </c>
      <c r="U174" s="61" t="s">
        <v>252</v>
      </c>
      <c r="X174" s="257"/>
      <c r="Y174" s="108" t="s">
        <v>187</v>
      </c>
      <c r="Z174" s="61" t="s">
        <v>232</v>
      </c>
      <c r="AA174" s="61" t="s">
        <v>252</v>
      </c>
    </row>
    <row r="175" spans="18:27" x14ac:dyDescent="0.25">
      <c r="R175" s="257"/>
      <c r="S175" s="109" t="s">
        <v>188</v>
      </c>
      <c r="T175" s="63" t="s">
        <v>233</v>
      </c>
      <c r="U175" s="63" t="s">
        <v>253</v>
      </c>
      <c r="X175" s="257"/>
      <c r="Y175" s="109" t="s">
        <v>188</v>
      </c>
      <c r="Z175" s="63" t="s">
        <v>233</v>
      </c>
      <c r="AA175" s="63" t="s">
        <v>253</v>
      </c>
    </row>
    <row r="176" spans="18:27" x14ac:dyDescent="0.25">
      <c r="R176" s="257">
        <v>5</v>
      </c>
      <c r="S176" s="108" t="s">
        <v>185</v>
      </c>
      <c r="T176" s="61" t="s">
        <v>234</v>
      </c>
      <c r="U176" s="61" t="s">
        <v>254</v>
      </c>
      <c r="X176" s="257">
        <v>5</v>
      </c>
      <c r="Y176" s="108" t="s">
        <v>185</v>
      </c>
      <c r="Z176" s="61" t="s">
        <v>234</v>
      </c>
      <c r="AA176" s="61" t="s">
        <v>254</v>
      </c>
    </row>
    <row r="177" spans="18:38" x14ac:dyDescent="0.25">
      <c r="R177" s="257"/>
      <c r="S177" s="108" t="s">
        <v>186</v>
      </c>
      <c r="T177" s="61" t="s">
        <v>235</v>
      </c>
      <c r="U177" s="61" t="s">
        <v>255</v>
      </c>
      <c r="X177" s="257"/>
      <c r="Y177" s="108" t="s">
        <v>186</v>
      </c>
      <c r="Z177" s="61" t="s">
        <v>235</v>
      </c>
      <c r="AA177" s="61" t="s">
        <v>255</v>
      </c>
    </row>
    <row r="178" spans="18:38" x14ac:dyDescent="0.25">
      <c r="R178" s="257"/>
      <c r="S178" s="108" t="s">
        <v>187</v>
      </c>
      <c r="T178" s="61" t="s">
        <v>236</v>
      </c>
      <c r="U178" s="61" t="s">
        <v>256</v>
      </c>
      <c r="X178" s="257"/>
      <c r="Y178" s="108" t="s">
        <v>187</v>
      </c>
      <c r="Z178" s="61" t="s">
        <v>236</v>
      </c>
      <c r="AA178" s="61" t="s">
        <v>256</v>
      </c>
    </row>
    <row r="179" spans="18:38" x14ac:dyDescent="0.25">
      <c r="R179" s="257"/>
      <c r="S179" s="109" t="s">
        <v>188</v>
      </c>
      <c r="T179" s="63" t="s">
        <v>237</v>
      </c>
      <c r="U179" s="63" t="s">
        <v>257</v>
      </c>
      <c r="X179" s="257"/>
      <c r="Y179" s="109" t="s">
        <v>188</v>
      </c>
      <c r="Z179" s="63" t="s">
        <v>237</v>
      </c>
      <c r="AA179" s="63" t="s">
        <v>257</v>
      </c>
    </row>
    <row r="181" spans="18:38" x14ac:dyDescent="0.25">
      <c r="X181" t="s">
        <v>264</v>
      </c>
      <c r="AG181" s="135" t="s">
        <v>265</v>
      </c>
      <c r="AH181" s="135"/>
      <c r="AI181" s="135"/>
      <c r="AJ181" s="135"/>
      <c r="AK181" s="94"/>
      <c r="AL181" s="94" t="s">
        <v>266</v>
      </c>
    </row>
    <row r="182" spans="18:38" x14ac:dyDescent="0.25">
      <c r="X182" s="116" t="s">
        <v>260</v>
      </c>
      <c r="Y182" s="116" t="s">
        <v>259</v>
      </c>
      <c r="Z182" s="116" t="s">
        <v>189</v>
      </c>
      <c r="AA182" s="116" t="s">
        <v>269</v>
      </c>
      <c r="AB182" s="116" t="s">
        <v>4</v>
      </c>
      <c r="AC182" s="116" t="s">
        <v>218</v>
      </c>
      <c r="AG182" s="136" t="s">
        <v>14</v>
      </c>
      <c r="AH182" s="136" t="s">
        <v>261</v>
      </c>
      <c r="AI182" s="136" t="s">
        <v>269</v>
      </c>
      <c r="AJ182" s="136" t="s">
        <v>189</v>
      </c>
      <c r="AK182" s="143" t="s">
        <v>262</v>
      </c>
      <c r="AL182" s="143" t="s">
        <v>4</v>
      </c>
    </row>
    <row r="183" spans="18:38" x14ac:dyDescent="0.25">
      <c r="X183" s="277">
        <v>1</v>
      </c>
      <c r="Y183" s="277">
        <v>7</v>
      </c>
      <c r="Z183" s="117" t="s">
        <v>190</v>
      </c>
      <c r="AA183" s="118" t="s">
        <v>185</v>
      </c>
      <c r="AB183" s="117" t="s">
        <v>219</v>
      </c>
      <c r="AC183" s="117" t="s">
        <v>238</v>
      </c>
      <c r="AG183" s="278">
        <v>1</v>
      </c>
      <c r="AH183" s="278">
        <v>7</v>
      </c>
      <c r="AI183" s="137" t="s">
        <v>185</v>
      </c>
      <c r="AJ183" s="138" t="s">
        <v>190</v>
      </c>
      <c r="AK183" s="144" t="s">
        <v>238</v>
      </c>
      <c r="AL183" s="144" t="s">
        <v>219</v>
      </c>
    </row>
    <row r="184" spans="18:38" x14ac:dyDescent="0.25">
      <c r="X184" s="277"/>
      <c r="Y184" s="277"/>
      <c r="Z184" s="119" t="s">
        <v>191</v>
      </c>
      <c r="AA184" s="120" t="s">
        <v>186</v>
      </c>
      <c r="AB184" s="119" t="s">
        <v>222</v>
      </c>
      <c r="AC184" s="119" t="s">
        <v>239</v>
      </c>
      <c r="AG184" s="278"/>
      <c r="AH184" s="278"/>
      <c r="AI184" s="139" t="s">
        <v>186</v>
      </c>
      <c r="AJ184" s="140" t="s">
        <v>191</v>
      </c>
      <c r="AK184" s="145" t="s">
        <v>239</v>
      </c>
      <c r="AL184" s="145" t="s">
        <v>222</v>
      </c>
    </row>
    <row r="185" spans="18:38" x14ac:dyDescent="0.25">
      <c r="X185" s="277"/>
      <c r="Y185" s="277"/>
      <c r="Z185" s="119" t="s">
        <v>194</v>
      </c>
      <c r="AA185" s="120" t="s">
        <v>187</v>
      </c>
      <c r="AB185" s="119" t="s">
        <v>223</v>
      </c>
      <c r="AC185" s="119" t="s">
        <v>240</v>
      </c>
      <c r="AG185" s="278"/>
      <c r="AH185" s="278"/>
      <c r="AI185" s="139" t="s">
        <v>187</v>
      </c>
      <c r="AJ185" s="140" t="s">
        <v>194</v>
      </c>
      <c r="AK185" s="145" t="s">
        <v>240</v>
      </c>
      <c r="AL185" s="145" t="s">
        <v>223</v>
      </c>
    </row>
    <row r="186" spans="18:38" x14ac:dyDescent="0.25">
      <c r="X186" s="277"/>
      <c r="Y186" s="277"/>
      <c r="Z186" s="119" t="s">
        <v>194</v>
      </c>
      <c r="AA186" s="120" t="s">
        <v>188</v>
      </c>
      <c r="AB186" s="119" t="s">
        <v>224</v>
      </c>
      <c r="AC186" s="119" t="s">
        <v>241</v>
      </c>
      <c r="AG186" s="278"/>
      <c r="AH186" s="278"/>
      <c r="AI186" s="139" t="s">
        <v>188</v>
      </c>
      <c r="AJ186" s="140" t="s">
        <v>194</v>
      </c>
      <c r="AK186" s="145" t="s">
        <v>241</v>
      </c>
      <c r="AL186" s="145" t="s">
        <v>224</v>
      </c>
    </row>
    <row r="187" spans="18:38" x14ac:dyDescent="0.25">
      <c r="X187" s="277">
        <v>2</v>
      </c>
      <c r="Y187" s="277">
        <v>14</v>
      </c>
      <c r="Z187" s="117" t="s">
        <v>197</v>
      </c>
      <c r="AA187" s="118" t="s">
        <v>185</v>
      </c>
      <c r="AB187" s="117" t="s">
        <v>220</v>
      </c>
      <c r="AC187" s="117" t="s">
        <v>242</v>
      </c>
      <c r="AG187" s="278">
        <v>2</v>
      </c>
      <c r="AH187" s="278">
        <v>14</v>
      </c>
      <c r="AI187" s="137" t="s">
        <v>185</v>
      </c>
      <c r="AJ187" s="138" t="s">
        <v>197</v>
      </c>
      <c r="AK187" s="144" t="s">
        <v>242</v>
      </c>
      <c r="AL187" s="144" t="s">
        <v>220</v>
      </c>
    </row>
    <row r="188" spans="18:38" x14ac:dyDescent="0.25">
      <c r="X188" s="277"/>
      <c r="Y188" s="277"/>
      <c r="Z188" s="119" t="s">
        <v>210</v>
      </c>
      <c r="AA188" s="120" t="s">
        <v>186</v>
      </c>
      <c r="AB188" s="119" t="s">
        <v>225</v>
      </c>
      <c r="AC188" s="119" t="s">
        <v>243</v>
      </c>
      <c r="AG188" s="278"/>
      <c r="AH188" s="278"/>
      <c r="AI188" s="139" t="s">
        <v>186</v>
      </c>
      <c r="AJ188" s="140" t="s">
        <v>210</v>
      </c>
      <c r="AK188" s="145" t="s">
        <v>243</v>
      </c>
      <c r="AL188" s="145" t="s">
        <v>225</v>
      </c>
    </row>
    <row r="189" spans="18:38" x14ac:dyDescent="0.25">
      <c r="X189" s="277"/>
      <c r="Y189" s="277"/>
      <c r="Z189" s="119" t="s">
        <v>211</v>
      </c>
      <c r="AA189" s="120" t="s">
        <v>187</v>
      </c>
      <c r="AB189" s="119" t="s">
        <v>222</v>
      </c>
      <c r="AC189" s="119" t="s">
        <v>244</v>
      </c>
      <c r="AG189" s="278"/>
      <c r="AH189" s="278"/>
      <c r="AI189" s="139" t="s">
        <v>187</v>
      </c>
      <c r="AJ189" s="140" t="s">
        <v>211</v>
      </c>
      <c r="AK189" s="145" t="s">
        <v>244</v>
      </c>
      <c r="AL189" s="145" t="s">
        <v>222</v>
      </c>
    </row>
    <row r="190" spans="18:38" x14ac:dyDescent="0.25">
      <c r="X190" s="277"/>
      <c r="Y190" s="277"/>
      <c r="Z190" s="121" t="s">
        <v>212</v>
      </c>
      <c r="AA190" s="122" t="s">
        <v>188</v>
      </c>
      <c r="AB190" s="121" t="s">
        <v>226</v>
      </c>
      <c r="AC190" s="121" t="s">
        <v>245</v>
      </c>
      <c r="AG190" s="278"/>
      <c r="AH190" s="278"/>
      <c r="AI190" s="141" t="s">
        <v>188</v>
      </c>
      <c r="AJ190" s="142" t="s">
        <v>212</v>
      </c>
      <c r="AK190" s="146" t="s">
        <v>245</v>
      </c>
      <c r="AL190" s="146" t="s">
        <v>226</v>
      </c>
    </row>
    <row r="191" spans="18:38" x14ac:dyDescent="0.25">
      <c r="X191" s="277">
        <v>3</v>
      </c>
      <c r="Y191" s="277">
        <v>21</v>
      </c>
      <c r="Z191" s="117" t="s">
        <v>198</v>
      </c>
      <c r="AA191" s="118" t="s">
        <v>185</v>
      </c>
      <c r="AB191" s="117" t="s">
        <v>221</v>
      </c>
      <c r="AC191" s="117" t="s">
        <v>246</v>
      </c>
      <c r="AG191" s="278">
        <v>3</v>
      </c>
      <c r="AH191" s="278">
        <v>21</v>
      </c>
      <c r="AI191" s="137" t="s">
        <v>185</v>
      </c>
      <c r="AJ191" s="138" t="s">
        <v>198</v>
      </c>
      <c r="AK191" s="144" t="s">
        <v>246</v>
      </c>
      <c r="AL191" s="144" t="s">
        <v>221</v>
      </c>
    </row>
    <row r="192" spans="18:38" x14ac:dyDescent="0.25">
      <c r="X192" s="277"/>
      <c r="Y192" s="277"/>
      <c r="Z192" s="119" t="s">
        <v>199</v>
      </c>
      <c r="AA192" s="120" t="s">
        <v>186</v>
      </c>
      <c r="AB192" s="119" t="s">
        <v>227</v>
      </c>
      <c r="AC192" s="119" t="s">
        <v>247</v>
      </c>
      <c r="AG192" s="278"/>
      <c r="AH192" s="278"/>
      <c r="AI192" s="139" t="s">
        <v>186</v>
      </c>
      <c r="AJ192" s="140" t="s">
        <v>199</v>
      </c>
      <c r="AK192" s="145" t="s">
        <v>247</v>
      </c>
      <c r="AL192" s="145" t="s">
        <v>227</v>
      </c>
    </row>
    <row r="193" spans="24:38" x14ac:dyDescent="0.25">
      <c r="X193" s="277"/>
      <c r="Y193" s="277"/>
      <c r="Z193" s="119" t="s">
        <v>200</v>
      </c>
      <c r="AA193" s="120" t="s">
        <v>187</v>
      </c>
      <c r="AB193" s="119" t="s">
        <v>228</v>
      </c>
      <c r="AC193" s="119" t="s">
        <v>248</v>
      </c>
      <c r="AG193" s="278"/>
      <c r="AH193" s="278"/>
      <c r="AI193" s="139" t="s">
        <v>187</v>
      </c>
      <c r="AJ193" s="140" t="s">
        <v>200</v>
      </c>
      <c r="AK193" s="145" t="s">
        <v>248</v>
      </c>
      <c r="AL193" s="145" t="s">
        <v>228</v>
      </c>
    </row>
    <row r="194" spans="24:38" x14ac:dyDescent="0.25">
      <c r="X194" s="277"/>
      <c r="Y194" s="277"/>
      <c r="Z194" s="121" t="s">
        <v>201</v>
      </c>
      <c r="AA194" s="122" t="s">
        <v>188</v>
      </c>
      <c r="AB194" s="121" t="s">
        <v>229</v>
      </c>
      <c r="AC194" s="121" t="s">
        <v>249</v>
      </c>
      <c r="AG194" s="278"/>
      <c r="AH194" s="278"/>
      <c r="AI194" s="141" t="s">
        <v>188</v>
      </c>
      <c r="AJ194" s="142" t="s">
        <v>201</v>
      </c>
      <c r="AK194" s="146" t="s">
        <v>249</v>
      </c>
      <c r="AL194" s="146" t="s">
        <v>229</v>
      </c>
    </row>
    <row r="195" spans="24:38" x14ac:dyDescent="0.25">
      <c r="X195" s="277">
        <v>4</v>
      </c>
      <c r="Y195" s="277">
        <v>27</v>
      </c>
      <c r="Z195" s="117" t="s">
        <v>202</v>
      </c>
      <c r="AA195" s="118" t="s">
        <v>185</v>
      </c>
      <c r="AB195" s="117" t="s">
        <v>230</v>
      </c>
      <c r="AC195" s="117" t="s">
        <v>250</v>
      </c>
      <c r="AG195" s="278">
        <v>4</v>
      </c>
      <c r="AH195" s="278">
        <v>28</v>
      </c>
      <c r="AI195" s="137" t="s">
        <v>185</v>
      </c>
      <c r="AJ195" s="138" t="s">
        <v>202</v>
      </c>
      <c r="AK195" s="144" t="s">
        <v>250</v>
      </c>
      <c r="AL195" s="144" t="s">
        <v>230</v>
      </c>
    </row>
    <row r="196" spans="24:38" x14ac:dyDescent="0.25">
      <c r="X196" s="277"/>
      <c r="Y196" s="277"/>
      <c r="Z196" s="119" t="s">
        <v>213</v>
      </c>
      <c r="AA196" s="120" t="s">
        <v>186</v>
      </c>
      <c r="AB196" s="119" t="s">
        <v>231</v>
      </c>
      <c r="AC196" s="119" t="s">
        <v>251</v>
      </c>
      <c r="AG196" s="278"/>
      <c r="AH196" s="278"/>
      <c r="AI196" s="139" t="s">
        <v>186</v>
      </c>
      <c r="AJ196" s="140" t="s">
        <v>213</v>
      </c>
      <c r="AK196" s="145" t="s">
        <v>251</v>
      </c>
      <c r="AL196" s="145" t="s">
        <v>231</v>
      </c>
    </row>
    <row r="197" spans="24:38" x14ac:dyDescent="0.25">
      <c r="X197" s="277"/>
      <c r="Y197" s="277"/>
      <c r="Z197" s="119" t="s">
        <v>214</v>
      </c>
      <c r="AA197" s="120" t="s">
        <v>187</v>
      </c>
      <c r="AB197" s="119" t="s">
        <v>232</v>
      </c>
      <c r="AC197" s="119" t="s">
        <v>252</v>
      </c>
      <c r="AG197" s="278"/>
      <c r="AH197" s="278"/>
      <c r="AI197" s="139" t="s">
        <v>187</v>
      </c>
      <c r="AJ197" s="140" t="s">
        <v>214</v>
      </c>
      <c r="AK197" s="145" t="s">
        <v>252</v>
      </c>
      <c r="AL197" s="145" t="s">
        <v>232</v>
      </c>
    </row>
    <row r="198" spans="24:38" x14ac:dyDescent="0.25">
      <c r="X198" s="277"/>
      <c r="Y198" s="277"/>
      <c r="Z198" s="121" t="s">
        <v>215</v>
      </c>
      <c r="AA198" s="122" t="s">
        <v>188</v>
      </c>
      <c r="AB198" s="121" t="s">
        <v>233</v>
      </c>
      <c r="AC198" s="121" t="s">
        <v>253</v>
      </c>
      <c r="AG198" s="278"/>
      <c r="AH198" s="278"/>
      <c r="AI198" s="141" t="s">
        <v>188</v>
      </c>
      <c r="AJ198" s="142" t="s">
        <v>215</v>
      </c>
      <c r="AK198" s="146" t="s">
        <v>253</v>
      </c>
      <c r="AL198" s="146" t="s">
        <v>233</v>
      </c>
    </row>
    <row r="199" spans="24:38" x14ac:dyDescent="0.25">
      <c r="X199" s="277">
        <v>5</v>
      </c>
      <c r="Y199" s="277">
        <v>32</v>
      </c>
      <c r="Z199" s="119" t="s">
        <v>216</v>
      </c>
      <c r="AA199" s="120" t="s">
        <v>185</v>
      </c>
      <c r="AB199" s="119" t="s">
        <v>234</v>
      </c>
      <c r="AC199" s="119" t="s">
        <v>254</v>
      </c>
      <c r="AG199" s="278">
        <v>5</v>
      </c>
      <c r="AH199" s="278">
        <v>35</v>
      </c>
      <c r="AI199" s="139" t="s">
        <v>185</v>
      </c>
      <c r="AJ199" s="140" t="s">
        <v>216</v>
      </c>
      <c r="AK199" s="145" t="s">
        <v>254</v>
      </c>
      <c r="AL199" s="145" t="s">
        <v>234</v>
      </c>
    </row>
    <row r="200" spans="24:38" x14ac:dyDescent="0.25">
      <c r="X200" s="277"/>
      <c r="Y200" s="277"/>
      <c r="Z200" s="119" t="s">
        <v>203</v>
      </c>
      <c r="AA200" s="120" t="s">
        <v>186</v>
      </c>
      <c r="AB200" s="119" t="s">
        <v>235</v>
      </c>
      <c r="AC200" s="119" t="s">
        <v>255</v>
      </c>
      <c r="AG200" s="278"/>
      <c r="AH200" s="278"/>
      <c r="AI200" s="139" t="s">
        <v>186</v>
      </c>
      <c r="AJ200" s="140" t="s">
        <v>203</v>
      </c>
      <c r="AK200" s="145" t="s">
        <v>255</v>
      </c>
      <c r="AL200" s="145" t="s">
        <v>235</v>
      </c>
    </row>
    <row r="201" spans="24:38" x14ac:dyDescent="0.25">
      <c r="X201" s="277"/>
      <c r="Y201" s="277"/>
      <c r="Z201" s="119" t="s">
        <v>204</v>
      </c>
      <c r="AA201" s="120" t="s">
        <v>187</v>
      </c>
      <c r="AB201" s="119" t="s">
        <v>236</v>
      </c>
      <c r="AC201" s="119" t="s">
        <v>256</v>
      </c>
      <c r="AG201" s="278"/>
      <c r="AH201" s="278"/>
      <c r="AI201" s="139" t="s">
        <v>187</v>
      </c>
      <c r="AJ201" s="140" t="s">
        <v>204</v>
      </c>
      <c r="AK201" s="145" t="s">
        <v>256</v>
      </c>
      <c r="AL201" s="145" t="s">
        <v>236</v>
      </c>
    </row>
    <row r="202" spans="24:38" x14ac:dyDescent="0.25">
      <c r="X202" s="277"/>
      <c r="Y202" s="277"/>
      <c r="Z202" s="121" t="s">
        <v>217</v>
      </c>
      <c r="AA202" s="122" t="s">
        <v>188</v>
      </c>
      <c r="AB202" s="121" t="s">
        <v>237</v>
      </c>
      <c r="AC202" s="121" t="s">
        <v>257</v>
      </c>
      <c r="AG202" s="278"/>
      <c r="AH202" s="278"/>
      <c r="AI202" s="141" t="s">
        <v>188</v>
      </c>
      <c r="AJ202" s="142" t="s">
        <v>217</v>
      </c>
      <c r="AK202" s="146" t="s">
        <v>257</v>
      </c>
      <c r="AL202" s="146" t="s">
        <v>237</v>
      </c>
    </row>
    <row r="207" spans="24:38" x14ac:dyDescent="0.25">
      <c r="X207" s="152" t="s">
        <v>260</v>
      </c>
      <c r="Y207" s="152" t="s">
        <v>259</v>
      </c>
      <c r="Z207" s="151" t="s">
        <v>184</v>
      </c>
      <c r="AA207" s="152" t="s">
        <v>189</v>
      </c>
    </row>
    <row r="208" spans="24:38" x14ac:dyDescent="0.25">
      <c r="X208" s="277">
        <v>1</v>
      </c>
      <c r="Y208" s="277">
        <v>7</v>
      </c>
      <c r="Z208" s="59" t="s">
        <v>190</v>
      </c>
      <c r="AA208" s="117" t="s">
        <v>190</v>
      </c>
    </row>
    <row r="209" spans="24:27" x14ac:dyDescent="0.25">
      <c r="X209" s="277"/>
      <c r="Y209" s="277"/>
      <c r="Z209" s="61" t="s">
        <v>191</v>
      </c>
      <c r="AA209" s="119" t="s">
        <v>191</v>
      </c>
    </row>
    <row r="210" spans="24:27" x14ac:dyDescent="0.25">
      <c r="X210" s="277"/>
      <c r="Y210" s="277"/>
      <c r="Z210" s="61" t="s">
        <v>194</v>
      </c>
      <c r="AA210" s="119" t="s">
        <v>194</v>
      </c>
    </row>
    <row r="211" spans="24:27" x14ac:dyDescent="0.25">
      <c r="X211" s="277"/>
      <c r="Y211" s="277"/>
      <c r="Z211" s="61" t="s">
        <v>194</v>
      </c>
      <c r="AA211" s="119" t="s">
        <v>194</v>
      </c>
    </row>
    <row r="212" spans="24:27" x14ac:dyDescent="0.25">
      <c r="X212" s="277">
        <v>2</v>
      </c>
      <c r="Y212" s="277">
        <v>14</v>
      </c>
      <c r="Z212" s="59" t="s">
        <v>205</v>
      </c>
      <c r="AA212" s="117" t="s">
        <v>197</v>
      </c>
    </row>
    <row r="213" spans="24:27" x14ac:dyDescent="0.25">
      <c r="X213" s="277"/>
      <c r="Y213" s="277"/>
      <c r="Z213" s="61" t="s">
        <v>206</v>
      </c>
      <c r="AA213" s="119" t="s">
        <v>210</v>
      </c>
    </row>
    <row r="214" spans="24:27" x14ac:dyDescent="0.25">
      <c r="X214" s="277"/>
      <c r="Y214" s="277"/>
      <c r="Z214" s="61" t="s">
        <v>193</v>
      </c>
      <c r="AA214" s="119" t="s">
        <v>211</v>
      </c>
    </row>
    <row r="215" spans="24:27" x14ac:dyDescent="0.25">
      <c r="X215" s="277"/>
      <c r="Y215" s="277"/>
      <c r="Z215" s="63" t="s">
        <v>194</v>
      </c>
      <c r="AA215" s="121" t="s">
        <v>212</v>
      </c>
    </row>
    <row r="216" spans="24:27" x14ac:dyDescent="0.25">
      <c r="X216" s="277">
        <v>3</v>
      </c>
      <c r="Y216" s="277">
        <v>21</v>
      </c>
      <c r="Z216" s="59" t="s">
        <v>192</v>
      </c>
      <c r="AA216" s="117" t="s">
        <v>198</v>
      </c>
    </row>
    <row r="217" spans="24:27" x14ac:dyDescent="0.25">
      <c r="X217" s="277"/>
      <c r="Y217" s="277"/>
      <c r="Z217" s="61" t="s">
        <v>207</v>
      </c>
      <c r="AA217" s="119" t="s">
        <v>199</v>
      </c>
    </row>
    <row r="218" spans="24:27" x14ac:dyDescent="0.25">
      <c r="X218" s="277"/>
      <c r="Y218" s="277"/>
      <c r="Z218" s="61" t="s">
        <v>208</v>
      </c>
      <c r="AA218" s="119" t="s">
        <v>200</v>
      </c>
    </row>
    <row r="219" spans="24:27" x14ac:dyDescent="0.25">
      <c r="X219" s="277"/>
      <c r="Y219" s="277"/>
      <c r="Z219" s="63" t="s">
        <v>209</v>
      </c>
      <c r="AA219" s="121" t="s">
        <v>201</v>
      </c>
    </row>
    <row r="220" spans="24:27" x14ac:dyDescent="0.25">
      <c r="X220" s="277">
        <v>4</v>
      </c>
      <c r="Y220" s="277">
        <v>27</v>
      </c>
      <c r="Z220" s="59" t="s">
        <v>192</v>
      </c>
      <c r="AA220" s="117" t="s">
        <v>202</v>
      </c>
    </row>
    <row r="221" spans="24:27" x14ac:dyDescent="0.25">
      <c r="X221" s="277"/>
      <c r="Y221" s="277"/>
      <c r="Z221" s="61" t="s">
        <v>207</v>
      </c>
      <c r="AA221" s="119" t="s">
        <v>213</v>
      </c>
    </row>
    <row r="222" spans="24:27" x14ac:dyDescent="0.25">
      <c r="X222" s="277"/>
      <c r="Y222" s="277"/>
      <c r="Z222" s="61" t="s">
        <v>208</v>
      </c>
      <c r="AA222" s="119" t="s">
        <v>214</v>
      </c>
    </row>
    <row r="223" spans="24:27" x14ac:dyDescent="0.25">
      <c r="X223" s="277"/>
      <c r="Y223" s="277"/>
      <c r="Z223" s="63" t="s">
        <v>209</v>
      </c>
      <c r="AA223" s="121" t="s">
        <v>215</v>
      </c>
    </row>
    <row r="224" spans="24:27" x14ac:dyDescent="0.25">
      <c r="X224" s="277">
        <v>5</v>
      </c>
      <c r="Y224" s="277">
        <v>32</v>
      </c>
      <c r="Z224" s="61" t="s">
        <v>194</v>
      </c>
      <c r="AA224" s="119" t="s">
        <v>216</v>
      </c>
    </row>
    <row r="225" spans="24:32" x14ac:dyDescent="0.25">
      <c r="X225" s="277"/>
      <c r="Y225" s="277"/>
      <c r="Z225" s="61" t="s">
        <v>192</v>
      </c>
      <c r="AA225" s="119" t="s">
        <v>203</v>
      </c>
    </row>
    <row r="226" spans="24:32" x14ac:dyDescent="0.25">
      <c r="X226" s="277"/>
      <c r="Y226" s="277"/>
      <c r="Z226" s="61" t="s">
        <v>195</v>
      </c>
      <c r="AA226" s="119" t="s">
        <v>204</v>
      </c>
    </row>
    <row r="227" spans="24:32" x14ac:dyDescent="0.25">
      <c r="X227" s="277"/>
      <c r="Y227" s="277"/>
      <c r="Z227" s="63" t="s">
        <v>194</v>
      </c>
      <c r="AA227" s="121" t="s">
        <v>217</v>
      </c>
    </row>
    <row r="229" spans="24:32" ht="16.5" thickBot="1" x14ac:dyDescent="0.3"/>
    <row r="230" spans="24:32" ht="16.5" thickBot="1" x14ac:dyDescent="0.3">
      <c r="X230" s="153" t="s">
        <v>14</v>
      </c>
      <c r="Y230" s="154" t="s">
        <v>261</v>
      </c>
      <c r="Z230" s="158" t="s">
        <v>269</v>
      </c>
      <c r="AA230" s="154" t="s">
        <v>189</v>
      </c>
      <c r="AB230" s="158" t="s">
        <v>262</v>
      </c>
      <c r="AC230" s="158" t="s">
        <v>4</v>
      </c>
      <c r="AE230" s="143" t="s">
        <v>262</v>
      </c>
      <c r="AF230" s="143" t="s">
        <v>4</v>
      </c>
    </row>
    <row r="231" spans="24:32" x14ac:dyDescent="0.25">
      <c r="X231" s="279">
        <v>1</v>
      </c>
      <c r="Y231" s="279">
        <v>7</v>
      </c>
      <c r="Z231" s="159" t="s">
        <v>185</v>
      </c>
      <c r="AA231" s="155" t="s">
        <v>190</v>
      </c>
      <c r="AB231" s="162" t="s">
        <v>238</v>
      </c>
      <c r="AC231" s="162" t="s">
        <v>219</v>
      </c>
      <c r="AE231" s="144" t="s">
        <v>238</v>
      </c>
      <c r="AF231" s="144" t="s">
        <v>219</v>
      </c>
    </row>
    <row r="232" spans="24:32" x14ac:dyDescent="0.25">
      <c r="X232" s="280"/>
      <c r="Y232" s="280"/>
      <c r="Z232" s="160" t="s">
        <v>186</v>
      </c>
      <c r="AA232" s="155" t="s">
        <v>191</v>
      </c>
      <c r="AB232" s="163" t="s">
        <v>239</v>
      </c>
      <c r="AC232" s="163" t="s">
        <v>222</v>
      </c>
      <c r="AE232" s="145" t="s">
        <v>239</v>
      </c>
      <c r="AF232" s="145" t="s">
        <v>222</v>
      </c>
    </row>
    <row r="233" spans="24:32" x14ac:dyDescent="0.25">
      <c r="X233" s="280"/>
      <c r="Y233" s="280"/>
      <c r="Z233" s="160" t="s">
        <v>187</v>
      </c>
      <c r="AA233" s="155" t="s">
        <v>194</v>
      </c>
      <c r="AB233" s="163" t="s">
        <v>240</v>
      </c>
      <c r="AC233" s="163" t="s">
        <v>223</v>
      </c>
      <c r="AE233" s="145" t="s">
        <v>240</v>
      </c>
      <c r="AF233" s="145" t="s">
        <v>223</v>
      </c>
    </row>
    <row r="234" spans="24:32" ht="16.5" thickBot="1" x14ac:dyDescent="0.3">
      <c r="X234" s="281"/>
      <c r="Y234" s="281"/>
      <c r="Z234" s="160" t="s">
        <v>188</v>
      </c>
      <c r="AA234" s="155" t="s">
        <v>194</v>
      </c>
      <c r="AB234" s="163" t="s">
        <v>241</v>
      </c>
      <c r="AC234" s="163" t="s">
        <v>224</v>
      </c>
      <c r="AE234" s="145" t="s">
        <v>241</v>
      </c>
      <c r="AF234" s="145" t="s">
        <v>224</v>
      </c>
    </row>
    <row r="235" spans="24:32" x14ac:dyDescent="0.25">
      <c r="X235" s="279">
        <v>2</v>
      </c>
      <c r="Y235" s="279">
        <v>14</v>
      </c>
      <c r="Z235" s="159" t="s">
        <v>185</v>
      </c>
      <c r="AA235" s="156" t="s">
        <v>197</v>
      </c>
      <c r="AB235" s="162" t="s">
        <v>242</v>
      </c>
      <c r="AC235" s="162" t="s">
        <v>220</v>
      </c>
      <c r="AE235" s="144" t="s">
        <v>242</v>
      </c>
      <c r="AF235" s="144" t="s">
        <v>220</v>
      </c>
    </row>
    <row r="236" spans="24:32" x14ac:dyDescent="0.25">
      <c r="X236" s="280"/>
      <c r="Y236" s="280"/>
      <c r="Z236" s="160" t="s">
        <v>186</v>
      </c>
      <c r="AA236" s="155" t="s">
        <v>210</v>
      </c>
      <c r="AB236" s="163" t="s">
        <v>243</v>
      </c>
      <c r="AC236" s="163" t="s">
        <v>225</v>
      </c>
      <c r="AE236" s="145" t="s">
        <v>243</v>
      </c>
      <c r="AF236" s="145" t="s">
        <v>225</v>
      </c>
    </row>
    <row r="237" spans="24:32" x14ac:dyDescent="0.25">
      <c r="X237" s="280"/>
      <c r="Y237" s="280"/>
      <c r="Z237" s="160" t="s">
        <v>187</v>
      </c>
      <c r="AA237" s="155" t="s">
        <v>211</v>
      </c>
      <c r="AB237" s="163" t="s">
        <v>244</v>
      </c>
      <c r="AC237" s="163" t="s">
        <v>222</v>
      </c>
      <c r="AE237" s="145" t="s">
        <v>244</v>
      </c>
      <c r="AF237" s="145" t="s">
        <v>222</v>
      </c>
    </row>
    <row r="238" spans="24:32" ht="16.5" thickBot="1" x14ac:dyDescent="0.3">
      <c r="X238" s="281"/>
      <c r="Y238" s="281"/>
      <c r="Z238" s="161" t="s">
        <v>188</v>
      </c>
      <c r="AA238" s="157" t="s">
        <v>212</v>
      </c>
      <c r="AB238" s="164" t="s">
        <v>245</v>
      </c>
      <c r="AC238" s="164" t="s">
        <v>226</v>
      </c>
      <c r="AE238" s="146" t="s">
        <v>245</v>
      </c>
      <c r="AF238" s="146" t="s">
        <v>226</v>
      </c>
    </row>
    <row r="239" spans="24:32" x14ac:dyDescent="0.25">
      <c r="X239" s="279">
        <v>3</v>
      </c>
      <c r="Y239" s="279">
        <v>21</v>
      </c>
      <c r="Z239" s="159" t="s">
        <v>185</v>
      </c>
      <c r="AA239" s="155" t="s">
        <v>198</v>
      </c>
      <c r="AB239" s="162" t="s">
        <v>246</v>
      </c>
      <c r="AC239" s="162" t="s">
        <v>221</v>
      </c>
      <c r="AE239" s="144" t="s">
        <v>246</v>
      </c>
      <c r="AF239" s="144" t="s">
        <v>221</v>
      </c>
    </row>
    <row r="240" spans="24:32" x14ac:dyDescent="0.25">
      <c r="X240" s="280"/>
      <c r="Y240" s="280"/>
      <c r="Z240" s="160" t="s">
        <v>186</v>
      </c>
      <c r="AA240" s="155" t="s">
        <v>199</v>
      </c>
      <c r="AB240" s="163" t="s">
        <v>247</v>
      </c>
      <c r="AC240" s="163" t="s">
        <v>227</v>
      </c>
      <c r="AE240" s="145" t="s">
        <v>247</v>
      </c>
      <c r="AF240" s="145" t="s">
        <v>227</v>
      </c>
    </row>
    <row r="241" spans="24:32" x14ac:dyDescent="0.25">
      <c r="X241" s="280"/>
      <c r="Y241" s="280"/>
      <c r="Z241" s="160" t="s">
        <v>187</v>
      </c>
      <c r="AA241" s="155" t="s">
        <v>200</v>
      </c>
      <c r="AB241" s="163" t="s">
        <v>248</v>
      </c>
      <c r="AC241" s="163" t="s">
        <v>228</v>
      </c>
      <c r="AE241" s="145" t="s">
        <v>248</v>
      </c>
      <c r="AF241" s="145" t="s">
        <v>228</v>
      </c>
    </row>
    <row r="242" spans="24:32" ht="16.5" thickBot="1" x14ac:dyDescent="0.3">
      <c r="X242" s="281"/>
      <c r="Y242" s="281"/>
      <c r="Z242" s="161" t="s">
        <v>188</v>
      </c>
      <c r="AA242" s="157" t="s">
        <v>201</v>
      </c>
      <c r="AB242" s="164" t="s">
        <v>249</v>
      </c>
      <c r="AC242" s="164" t="s">
        <v>229</v>
      </c>
      <c r="AE242" s="146" t="s">
        <v>249</v>
      </c>
      <c r="AF242" s="146" t="s">
        <v>229</v>
      </c>
    </row>
    <row r="243" spans="24:32" x14ac:dyDescent="0.25">
      <c r="X243" s="279">
        <v>4</v>
      </c>
      <c r="Y243" s="279">
        <v>27</v>
      </c>
      <c r="Z243" s="159" t="s">
        <v>185</v>
      </c>
      <c r="AA243" s="155" t="s">
        <v>202</v>
      </c>
      <c r="AB243" s="162" t="s">
        <v>250</v>
      </c>
      <c r="AC243" s="162" t="s">
        <v>230</v>
      </c>
      <c r="AE243" s="144" t="s">
        <v>250</v>
      </c>
      <c r="AF243" s="144" t="s">
        <v>230</v>
      </c>
    </row>
    <row r="244" spans="24:32" x14ac:dyDescent="0.25">
      <c r="X244" s="280"/>
      <c r="Y244" s="280"/>
      <c r="Z244" s="160" t="s">
        <v>186</v>
      </c>
      <c r="AA244" s="155" t="s">
        <v>213</v>
      </c>
      <c r="AB244" s="163" t="s">
        <v>251</v>
      </c>
      <c r="AC244" s="163" t="s">
        <v>231</v>
      </c>
      <c r="AE244" s="145" t="s">
        <v>251</v>
      </c>
      <c r="AF244" s="145" t="s">
        <v>231</v>
      </c>
    </row>
    <row r="245" spans="24:32" x14ac:dyDescent="0.25">
      <c r="X245" s="280"/>
      <c r="Y245" s="280"/>
      <c r="Z245" s="160" t="s">
        <v>187</v>
      </c>
      <c r="AA245" s="155" t="s">
        <v>214</v>
      </c>
      <c r="AB245" s="163" t="s">
        <v>252</v>
      </c>
      <c r="AC245" s="163" t="s">
        <v>232</v>
      </c>
      <c r="AE245" s="145" t="s">
        <v>252</v>
      </c>
      <c r="AF245" s="145" t="s">
        <v>232</v>
      </c>
    </row>
    <row r="246" spans="24:32" ht="16.5" thickBot="1" x14ac:dyDescent="0.3">
      <c r="X246" s="281"/>
      <c r="Y246" s="281"/>
      <c r="Z246" s="161" t="s">
        <v>188</v>
      </c>
      <c r="AA246" s="157" t="s">
        <v>215</v>
      </c>
      <c r="AB246" s="164" t="s">
        <v>253</v>
      </c>
      <c r="AC246" s="164" t="s">
        <v>233</v>
      </c>
      <c r="AE246" s="146" t="s">
        <v>253</v>
      </c>
      <c r="AF246" s="146" t="s">
        <v>233</v>
      </c>
    </row>
    <row r="247" spans="24:32" x14ac:dyDescent="0.25">
      <c r="X247" s="279">
        <v>5</v>
      </c>
      <c r="Y247" s="279">
        <v>32</v>
      </c>
      <c r="Z247" s="160" t="s">
        <v>185</v>
      </c>
      <c r="AA247" s="155" t="s">
        <v>216</v>
      </c>
      <c r="AB247" s="163" t="s">
        <v>254</v>
      </c>
      <c r="AC247" s="163" t="s">
        <v>234</v>
      </c>
      <c r="AE247" s="145" t="s">
        <v>254</v>
      </c>
      <c r="AF247" s="145" t="s">
        <v>234</v>
      </c>
    </row>
    <row r="248" spans="24:32" x14ac:dyDescent="0.25">
      <c r="X248" s="280"/>
      <c r="Y248" s="280"/>
      <c r="Z248" s="160" t="s">
        <v>186</v>
      </c>
      <c r="AA248" s="155" t="s">
        <v>203</v>
      </c>
      <c r="AB248" s="163" t="s">
        <v>255</v>
      </c>
      <c r="AC248" s="163" t="s">
        <v>235</v>
      </c>
      <c r="AE248" s="145" t="s">
        <v>255</v>
      </c>
      <c r="AF248" s="145" t="s">
        <v>235</v>
      </c>
    </row>
    <row r="249" spans="24:32" x14ac:dyDescent="0.25">
      <c r="X249" s="280"/>
      <c r="Y249" s="280"/>
      <c r="Z249" s="160" t="s">
        <v>187</v>
      </c>
      <c r="AA249" s="155" t="s">
        <v>204</v>
      </c>
      <c r="AB249" s="163" t="s">
        <v>256</v>
      </c>
      <c r="AC249" s="163" t="s">
        <v>236</v>
      </c>
      <c r="AE249" s="145" t="s">
        <v>256</v>
      </c>
      <c r="AF249" s="145" t="s">
        <v>236</v>
      </c>
    </row>
    <row r="250" spans="24:32" ht="16.5" thickBot="1" x14ac:dyDescent="0.3">
      <c r="X250" s="281"/>
      <c r="Y250" s="281"/>
      <c r="Z250" s="161" t="s">
        <v>188</v>
      </c>
      <c r="AA250" s="157" t="s">
        <v>217</v>
      </c>
      <c r="AB250" s="164" t="s">
        <v>257</v>
      </c>
      <c r="AC250" s="164" t="s">
        <v>237</v>
      </c>
      <c r="AE250" s="146" t="s">
        <v>257</v>
      </c>
      <c r="AF250" s="146" t="s">
        <v>237</v>
      </c>
    </row>
  </sheetData>
  <mergeCells count="311">
    <mergeCell ref="X231:X234"/>
    <mergeCell ref="Y231:Y234"/>
    <mergeCell ref="X235:X238"/>
    <mergeCell ref="Y235:Y238"/>
    <mergeCell ref="X239:X242"/>
    <mergeCell ref="Y239:Y242"/>
    <mergeCell ref="X243:X246"/>
    <mergeCell ref="Y243:Y246"/>
    <mergeCell ref="X247:X250"/>
    <mergeCell ref="Y247:Y250"/>
    <mergeCell ref="X208:X211"/>
    <mergeCell ref="Y208:Y211"/>
    <mergeCell ref="X212:X215"/>
    <mergeCell ref="Y212:Y215"/>
    <mergeCell ref="X216:X219"/>
    <mergeCell ref="Y216:Y219"/>
    <mergeCell ref="X220:X223"/>
    <mergeCell ref="Y220:Y223"/>
    <mergeCell ref="X224:X227"/>
    <mergeCell ref="Y224:Y227"/>
    <mergeCell ref="AG183:AG186"/>
    <mergeCell ref="AH183:AH186"/>
    <mergeCell ref="AG187:AG190"/>
    <mergeCell ref="AH187:AH190"/>
    <mergeCell ref="AG191:AG194"/>
    <mergeCell ref="AH191:AH194"/>
    <mergeCell ref="AG195:AG198"/>
    <mergeCell ref="AH195:AH198"/>
    <mergeCell ref="AG199:AG202"/>
    <mergeCell ref="AH199:AH202"/>
    <mergeCell ref="Y183:Y186"/>
    <mergeCell ref="Y187:Y190"/>
    <mergeCell ref="Y191:Y194"/>
    <mergeCell ref="Y195:Y198"/>
    <mergeCell ref="Y199:Y202"/>
    <mergeCell ref="X183:X186"/>
    <mergeCell ref="X187:X190"/>
    <mergeCell ref="X191:X194"/>
    <mergeCell ref="X195:X198"/>
    <mergeCell ref="X199:X202"/>
    <mergeCell ref="R160:R163"/>
    <mergeCell ref="R164:R167"/>
    <mergeCell ref="R168:R171"/>
    <mergeCell ref="R172:R175"/>
    <mergeCell ref="R176:R179"/>
    <mergeCell ref="X160:X163"/>
    <mergeCell ref="X164:X167"/>
    <mergeCell ref="X168:X171"/>
    <mergeCell ref="X172:X175"/>
    <mergeCell ref="X176:X179"/>
    <mergeCell ref="I142:I144"/>
    <mergeCell ref="J142:J144"/>
    <mergeCell ref="K142:K144"/>
    <mergeCell ref="L142:L144"/>
    <mergeCell ref="M142:M144"/>
    <mergeCell ref="N142:N144"/>
    <mergeCell ref="O142:O144"/>
    <mergeCell ref="Q133:Q135"/>
    <mergeCell ref="P136:P138"/>
    <mergeCell ref="Q136:Q138"/>
    <mergeCell ref="J139:J141"/>
    <mergeCell ref="K139:K141"/>
    <mergeCell ref="L139:L141"/>
    <mergeCell ref="M139:M141"/>
    <mergeCell ref="N139:N141"/>
    <mergeCell ref="O139:O141"/>
    <mergeCell ref="P139:P141"/>
    <mergeCell ref="J133:J135"/>
    <mergeCell ref="K133:K135"/>
    <mergeCell ref="L133:L135"/>
    <mergeCell ref="M133:M135"/>
    <mergeCell ref="N133:N135"/>
    <mergeCell ref="O133:O135"/>
    <mergeCell ref="Q142:Q144"/>
    <mergeCell ref="H133:H135"/>
    <mergeCell ref="I133:I135"/>
    <mergeCell ref="R153:R156"/>
    <mergeCell ref="R119:R122"/>
    <mergeCell ref="R123:R126"/>
    <mergeCell ref="R127:R130"/>
    <mergeCell ref="R131:R134"/>
    <mergeCell ref="R137:R140"/>
    <mergeCell ref="R141:R144"/>
    <mergeCell ref="R145:R148"/>
    <mergeCell ref="R149:R152"/>
    <mergeCell ref="H136:H138"/>
    <mergeCell ref="I136:I138"/>
    <mergeCell ref="J136:J138"/>
    <mergeCell ref="K136:K138"/>
    <mergeCell ref="L136:L138"/>
    <mergeCell ref="M136:M138"/>
    <mergeCell ref="N136:N138"/>
    <mergeCell ref="O136:O138"/>
    <mergeCell ref="H139:H141"/>
    <mergeCell ref="I139:I141"/>
    <mergeCell ref="Q139:Q141"/>
    <mergeCell ref="P142:P144"/>
    <mergeCell ref="H142:H144"/>
    <mergeCell ref="U81:U83"/>
    <mergeCell ref="V81:V83"/>
    <mergeCell ref="U84:U86"/>
    <mergeCell ref="V84:V86"/>
    <mergeCell ref="U87:U89"/>
    <mergeCell ref="V87:V89"/>
    <mergeCell ref="U90:U92"/>
    <mergeCell ref="V90:V92"/>
    <mergeCell ref="R115:R118"/>
    <mergeCell ref="R87:R89"/>
    <mergeCell ref="R90:R92"/>
    <mergeCell ref="S81:S83"/>
    <mergeCell ref="T81:T83"/>
    <mergeCell ref="S84:S86"/>
    <mergeCell ref="T84:T86"/>
    <mergeCell ref="S87:S89"/>
    <mergeCell ref="T87:T89"/>
    <mergeCell ref="S90:S92"/>
    <mergeCell ref="T90:T92"/>
    <mergeCell ref="R81:R83"/>
    <mergeCell ref="R84:R86"/>
    <mergeCell ref="P97:Q97"/>
    <mergeCell ref="P133:P135"/>
    <mergeCell ref="L113:M113"/>
    <mergeCell ref="N113:O113"/>
    <mergeCell ref="M81:M83"/>
    <mergeCell ref="N81:N83"/>
    <mergeCell ref="M84:M86"/>
    <mergeCell ref="M87:M89"/>
    <mergeCell ref="M90:M92"/>
    <mergeCell ref="N84:N86"/>
    <mergeCell ref="N87:N89"/>
    <mergeCell ref="N90:N92"/>
    <mergeCell ref="O81:O83"/>
    <mergeCell ref="P81:P83"/>
    <mergeCell ref="O84:O86"/>
    <mergeCell ref="P84:P86"/>
    <mergeCell ref="O87:O89"/>
    <mergeCell ref="P87:P89"/>
    <mergeCell ref="O90:O92"/>
    <mergeCell ref="P90:P92"/>
    <mergeCell ref="Q81:Q83"/>
    <mergeCell ref="Q84:Q86"/>
    <mergeCell ref="Q87:Q89"/>
    <mergeCell ref="Q90:Q92"/>
    <mergeCell ref="V19:V21"/>
    <mergeCell ref="V22:V24"/>
    <mergeCell ref="S10:S12"/>
    <mergeCell ref="T10:T12"/>
    <mergeCell ref="S13:S15"/>
    <mergeCell ref="S16:S18"/>
    <mergeCell ref="S19:S21"/>
    <mergeCell ref="S22:S24"/>
    <mergeCell ref="T13:T15"/>
    <mergeCell ref="T16:T18"/>
    <mergeCell ref="T19:T21"/>
    <mergeCell ref="T22:T24"/>
    <mergeCell ref="S26:S28"/>
    <mergeCell ref="T26:T28"/>
    <mergeCell ref="U26:U28"/>
    <mergeCell ref="V26:V28"/>
    <mergeCell ref="W26:W28"/>
    <mergeCell ref="X26:X28"/>
    <mergeCell ref="W10:W12"/>
    <mergeCell ref="W13:W15"/>
    <mergeCell ref="W16:W18"/>
    <mergeCell ref="W19:W21"/>
    <mergeCell ref="W22:W24"/>
    <mergeCell ref="X10:X12"/>
    <mergeCell ref="X13:X15"/>
    <mergeCell ref="X16:X18"/>
    <mergeCell ref="X19:X21"/>
    <mergeCell ref="X22:X24"/>
    <mergeCell ref="U10:U12"/>
    <mergeCell ref="U13:U15"/>
    <mergeCell ref="U16:U18"/>
    <mergeCell ref="U19:U21"/>
    <mergeCell ref="U22:U24"/>
    <mergeCell ref="V10:V12"/>
    <mergeCell ref="V13:V15"/>
    <mergeCell ref="V16:V18"/>
    <mergeCell ref="S32:S34"/>
    <mergeCell ref="T32:T34"/>
    <mergeCell ref="U32:U34"/>
    <mergeCell ref="V32:V34"/>
    <mergeCell ref="W32:W34"/>
    <mergeCell ref="X32:X34"/>
    <mergeCell ref="S29:S31"/>
    <mergeCell ref="T29:T31"/>
    <mergeCell ref="U29:U31"/>
    <mergeCell ref="V29:V31"/>
    <mergeCell ref="W29:W31"/>
    <mergeCell ref="X29:X31"/>
    <mergeCell ref="S38:S40"/>
    <mergeCell ref="T38:T40"/>
    <mergeCell ref="U38:U40"/>
    <mergeCell ref="V38:V40"/>
    <mergeCell ref="W38:W40"/>
    <mergeCell ref="X38:X40"/>
    <mergeCell ref="S35:S37"/>
    <mergeCell ref="T35:T37"/>
    <mergeCell ref="U35:U37"/>
    <mergeCell ref="V35:V37"/>
    <mergeCell ref="W35:W37"/>
    <mergeCell ref="X35:X37"/>
    <mergeCell ref="S45:S47"/>
    <mergeCell ref="T45:T47"/>
    <mergeCell ref="U45:U47"/>
    <mergeCell ref="V45:V47"/>
    <mergeCell ref="W45:W47"/>
    <mergeCell ref="X45:X47"/>
    <mergeCell ref="S42:S44"/>
    <mergeCell ref="T42:T44"/>
    <mergeCell ref="U42:U44"/>
    <mergeCell ref="V42:V44"/>
    <mergeCell ref="W42:W44"/>
    <mergeCell ref="X42:X44"/>
    <mergeCell ref="S51:S53"/>
    <mergeCell ref="T51:T53"/>
    <mergeCell ref="U51:U53"/>
    <mergeCell ref="V51:V53"/>
    <mergeCell ref="W51:W53"/>
    <mergeCell ref="X51:X53"/>
    <mergeCell ref="S48:S50"/>
    <mergeCell ref="T48:T50"/>
    <mergeCell ref="U48:U50"/>
    <mergeCell ref="V48:V50"/>
    <mergeCell ref="W48:W50"/>
    <mergeCell ref="X48:X50"/>
    <mergeCell ref="S58:S60"/>
    <mergeCell ref="T58:T60"/>
    <mergeCell ref="U58:U60"/>
    <mergeCell ref="V58:V60"/>
    <mergeCell ref="W58:W60"/>
    <mergeCell ref="X58:X60"/>
    <mergeCell ref="S54:S56"/>
    <mergeCell ref="T54:T56"/>
    <mergeCell ref="U54:U56"/>
    <mergeCell ref="V54:V56"/>
    <mergeCell ref="W54:W56"/>
    <mergeCell ref="X54:X56"/>
    <mergeCell ref="S64:S66"/>
    <mergeCell ref="T64:T66"/>
    <mergeCell ref="U64:U66"/>
    <mergeCell ref="V64:V66"/>
    <mergeCell ref="W64:W66"/>
    <mergeCell ref="X64:X66"/>
    <mergeCell ref="S61:S63"/>
    <mergeCell ref="T61:T63"/>
    <mergeCell ref="U61:U63"/>
    <mergeCell ref="V61:V63"/>
    <mergeCell ref="W61:W63"/>
    <mergeCell ref="X61:X63"/>
    <mergeCell ref="N10:N12"/>
    <mergeCell ref="N13:N15"/>
    <mergeCell ref="N16:N18"/>
    <mergeCell ref="N19:N21"/>
    <mergeCell ref="N22:N24"/>
    <mergeCell ref="N26:N28"/>
    <mergeCell ref="F97:G97"/>
    <mergeCell ref="H97:I97"/>
    <mergeCell ref="F113:G113"/>
    <mergeCell ref="H113:I113"/>
    <mergeCell ref="J113:K113"/>
    <mergeCell ref="J97:K97"/>
    <mergeCell ref="L97:M97"/>
    <mergeCell ref="N97:O97"/>
    <mergeCell ref="N48:N50"/>
    <mergeCell ref="N51:N53"/>
    <mergeCell ref="N54:N56"/>
    <mergeCell ref="N58:N60"/>
    <mergeCell ref="N61:N63"/>
    <mergeCell ref="N64:N66"/>
    <mergeCell ref="N29:N31"/>
    <mergeCell ref="N32:N34"/>
    <mergeCell ref="N35:N37"/>
    <mergeCell ref="N38:N40"/>
    <mergeCell ref="N42:N44"/>
    <mergeCell ref="N45:N47"/>
    <mergeCell ref="W93:W95"/>
    <mergeCell ref="X81:X83"/>
    <mergeCell ref="X84:X86"/>
    <mergeCell ref="X87:X89"/>
    <mergeCell ref="X90:X92"/>
    <mergeCell ref="X93:X95"/>
    <mergeCell ref="N67:N69"/>
    <mergeCell ref="N70:N72"/>
    <mergeCell ref="W81:W83"/>
    <mergeCell ref="W84:W86"/>
    <mergeCell ref="W87:W89"/>
    <mergeCell ref="W90:W92"/>
    <mergeCell ref="S70:S72"/>
    <mergeCell ref="T70:T72"/>
    <mergeCell ref="U70:U72"/>
    <mergeCell ref="V70:V72"/>
    <mergeCell ref="W70:W72"/>
    <mergeCell ref="X70:X72"/>
    <mergeCell ref="S67:S69"/>
    <mergeCell ref="T67:T69"/>
    <mergeCell ref="U67:U69"/>
    <mergeCell ref="V67:V69"/>
    <mergeCell ref="W67:W69"/>
    <mergeCell ref="X67:X69"/>
    <mergeCell ref="W98:W100"/>
    <mergeCell ref="W101:W103"/>
    <mergeCell ref="W104:W106"/>
    <mergeCell ref="W107:W109"/>
    <mergeCell ref="W110:W112"/>
    <mergeCell ref="X98:X100"/>
    <mergeCell ref="X101:X103"/>
    <mergeCell ref="X104:X106"/>
    <mergeCell ref="X107:X109"/>
    <mergeCell ref="X110:X112"/>
  </mergeCells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69"/>
  <sheetViews>
    <sheetView tabSelected="1" zoomScale="50" workbookViewId="0">
      <selection activeCell="C77" sqref="C77"/>
    </sheetView>
  </sheetViews>
  <sheetFormatPr defaultColWidth="11" defaultRowHeight="15.75" x14ac:dyDescent="0.25"/>
  <cols>
    <col min="5" max="5" width="12.125" bestFit="1" customWidth="1"/>
    <col min="11" max="11" width="12.125" bestFit="1" customWidth="1"/>
  </cols>
  <sheetData>
    <row r="4" spans="2:26" x14ac:dyDescent="0.25"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</row>
    <row r="5" spans="2:26" x14ac:dyDescent="0.25">
      <c r="B5" s="124"/>
      <c r="C5" s="124"/>
      <c r="D5" s="124"/>
      <c r="E5" s="124"/>
      <c r="F5" s="124"/>
      <c r="G5" s="124"/>
      <c r="H5" s="124"/>
      <c r="I5" s="124" t="s">
        <v>154</v>
      </c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Z5" s="150"/>
    </row>
    <row r="6" spans="2:26" x14ac:dyDescent="0.25">
      <c r="B6" s="124" t="s">
        <v>72</v>
      </c>
      <c r="C6" s="125" t="s">
        <v>0</v>
      </c>
      <c r="D6" s="126" t="s">
        <v>4</v>
      </c>
      <c r="E6" s="26" t="s">
        <v>76</v>
      </c>
      <c r="F6" s="126"/>
      <c r="G6" s="124"/>
      <c r="H6" s="124"/>
      <c r="I6" s="127" t="s">
        <v>165</v>
      </c>
      <c r="J6" s="125" t="s">
        <v>0</v>
      </c>
      <c r="K6" s="126" t="str">
        <f>E6</f>
        <v>Alk meq/Kgw</v>
      </c>
      <c r="L6" s="126" t="s">
        <v>4</v>
      </c>
      <c r="M6" s="126" t="s">
        <v>73</v>
      </c>
      <c r="N6" s="126" t="s">
        <v>74</v>
      </c>
      <c r="O6" s="128" t="s">
        <v>270</v>
      </c>
      <c r="P6" s="128" t="s">
        <v>271</v>
      </c>
      <c r="Q6" s="128" t="s">
        <v>155</v>
      </c>
      <c r="R6" s="128" t="s">
        <v>156</v>
      </c>
      <c r="S6" s="128" t="s">
        <v>157</v>
      </c>
      <c r="T6" s="128" t="s">
        <v>158</v>
      </c>
      <c r="U6" s="128" t="s">
        <v>159</v>
      </c>
      <c r="V6" s="128" t="s">
        <v>160</v>
      </c>
      <c r="Z6" s="150"/>
    </row>
    <row r="7" spans="2:26" x14ac:dyDescent="0.25">
      <c r="B7" s="129">
        <v>1</v>
      </c>
      <c r="C7" s="130" t="s">
        <v>77</v>
      </c>
      <c r="D7" s="131">
        <v>11.98</v>
      </c>
      <c r="E7" s="147">
        <v>16.14</v>
      </c>
      <c r="F7" s="131"/>
      <c r="G7" s="124"/>
      <c r="H7" s="124"/>
      <c r="I7" s="283">
        <v>10</v>
      </c>
      <c r="J7" s="131" t="s">
        <v>77</v>
      </c>
      <c r="K7" s="148" cm="1">
        <f t="array" ref="K7:K9">E7:E9</f>
        <v>16.14</v>
      </c>
      <c r="L7" s="131">
        <v>11.98</v>
      </c>
      <c r="M7" s="131">
        <v>3290</v>
      </c>
      <c r="N7" s="131">
        <v>24.4</v>
      </c>
      <c r="O7" s="284">
        <f>AVERAGE(_xlfn.ANCHORARRAY(K7))</f>
        <v>13.986666666666666</v>
      </c>
      <c r="P7" s="285">
        <f>STDEV(_xlfn.ANCHORARRAY(K7))</f>
        <v>1.9051859051896685</v>
      </c>
      <c r="Q7" s="284">
        <v>11.99</v>
      </c>
      <c r="R7" s="285">
        <v>0.02</v>
      </c>
      <c r="S7" s="286">
        <v>3290</v>
      </c>
      <c r="T7" s="285">
        <v>20</v>
      </c>
      <c r="U7" s="286">
        <v>26</v>
      </c>
      <c r="V7" s="282">
        <v>1.56</v>
      </c>
      <c r="Z7" s="150"/>
    </row>
    <row r="8" spans="2:26" x14ac:dyDescent="0.25">
      <c r="B8" s="129">
        <v>2</v>
      </c>
      <c r="C8" s="130" t="s">
        <v>78</v>
      </c>
      <c r="D8" s="132">
        <v>12.01</v>
      </c>
      <c r="E8" s="147">
        <v>13.3</v>
      </c>
      <c r="F8" s="131"/>
      <c r="G8" s="124"/>
      <c r="H8" s="124"/>
      <c r="I8" s="283"/>
      <c r="J8" s="131" t="s">
        <v>78</v>
      </c>
      <c r="K8" s="148">
        <v>13.3</v>
      </c>
      <c r="L8" s="132">
        <v>12.01</v>
      </c>
      <c r="M8" s="131">
        <v>3310</v>
      </c>
      <c r="N8" s="131">
        <v>27.5</v>
      </c>
      <c r="O8" s="284"/>
      <c r="P8" s="285"/>
      <c r="Q8" s="284"/>
      <c r="R8" s="285"/>
      <c r="S8" s="286"/>
      <c r="T8" s="285"/>
      <c r="U8" s="286"/>
      <c r="V8" s="282"/>
      <c r="Z8" s="150"/>
    </row>
    <row r="9" spans="2:26" x14ac:dyDescent="0.25">
      <c r="B9" s="129">
        <v>3</v>
      </c>
      <c r="C9" s="130" t="s">
        <v>79</v>
      </c>
      <c r="D9" s="132">
        <v>11.97</v>
      </c>
      <c r="E9" s="147">
        <v>12.52</v>
      </c>
      <c r="F9" s="131"/>
      <c r="G9" s="124"/>
      <c r="H9" s="124"/>
      <c r="I9" s="283"/>
      <c r="J9" s="131" t="s">
        <v>79</v>
      </c>
      <c r="K9" s="148">
        <v>12.52</v>
      </c>
      <c r="L9" s="132">
        <v>11.97</v>
      </c>
      <c r="M9" s="131">
        <v>3270</v>
      </c>
      <c r="N9" s="131">
        <v>26.3</v>
      </c>
      <c r="O9" s="284"/>
      <c r="P9" s="285"/>
      <c r="Q9" s="284"/>
      <c r="R9" s="285"/>
      <c r="S9" s="286"/>
      <c r="T9" s="285"/>
      <c r="U9" s="286"/>
      <c r="V9" s="282"/>
      <c r="Z9" s="150"/>
    </row>
    <row r="10" spans="2:26" x14ac:dyDescent="0.25">
      <c r="B10" s="129">
        <v>4</v>
      </c>
      <c r="C10" s="130" t="s">
        <v>80</v>
      </c>
      <c r="D10" s="132">
        <v>11.77</v>
      </c>
      <c r="E10" s="147">
        <v>6.79</v>
      </c>
      <c r="F10" s="131"/>
      <c r="G10" s="124"/>
      <c r="H10" s="124"/>
      <c r="I10" s="283">
        <v>20</v>
      </c>
      <c r="J10" s="131" t="s">
        <v>89</v>
      </c>
      <c r="K10" s="148" cm="1">
        <f t="array" ref="K10:K12">E19:E21</f>
        <v>10.08</v>
      </c>
      <c r="L10" s="132">
        <v>11.82</v>
      </c>
      <c r="M10" s="131">
        <v>1896</v>
      </c>
      <c r="N10" s="131">
        <v>29.8</v>
      </c>
      <c r="O10" s="284">
        <f>AVERAGE(_xlfn.ANCHORARRAY(K10))</f>
        <v>8.2533333333333321</v>
      </c>
      <c r="P10" s="285">
        <f>STDEV(_xlfn.ANCHORARRAY(K10))</f>
        <v>1.6180646876232565</v>
      </c>
      <c r="Q10" s="284">
        <v>11.82</v>
      </c>
      <c r="R10" s="285">
        <v>0.01</v>
      </c>
      <c r="S10" s="286">
        <v>1767</v>
      </c>
      <c r="T10" s="285">
        <v>111.65</v>
      </c>
      <c r="U10" s="286">
        <v>30</v>
      </c>
      <c r="V10" s="282">
        <v>0.4</v>
      </c>
      <c r="Z10" s="150"/>
    </row>
    <row r="11" spans="2:26" x14ac:dyDescent="0.25">
      <c r="B11" s="129">
        <v>5</v>
      </c>
      <c r="C11" s="130" t="s">
        <v>81</v>
      </c>
      <c r="D11" s="132">
        <v>11.76</v>
      </c>
      <c r="E11" s="147">
        <v>6</v>
      </c>
      <c r="F11" s="131"/>
      <c r="G11" s="124"/>
      <c r="H11" s="124"/>
      <c r="I11" s="283"/>
      <c r="J11" s="131" t="s">
        <v>90</v>
      </c>
      <c r="K11" s="148">
        <v>7.68</v>
      </c>
      <c r="L11" s="132">
        <v>11.81</v>
      </c>
      <c r="M11" s="131">
        <v>1710</v>
      </c>
      <c r="N11" s="131">
        <v>30.6</v>
      </c>
      <c r="O11" s="284"/>
      <c r="P11" s="285"/>
      <c r="Q11" s="284"/>
      <c r="R11" s="285"/>
      <c r="S11" s="286"/>
      <c r="T11" s="285"/>
      <c r="U11" s="286"/>
      <c r="V11" s="282"/>
      <c r="Z11" s="150"/>
    </row>
    <row r="12" spans="2:26" x14ac:dyDescent="0.25">
      <c r="B12" s="129">
        <v>6</v>
      </c>
      <c r="C12" s="130" t="s">
        <v>82</v>
      </c>
      <c r="D12" s="132">
        <v>11.76</v>
      </c>
      <c r="E12" s="147">
        <v>6.46</v>
      </c>
      <c r="F12" s="131"/>
      <c r="G12" s="124"/>
      <c r="H12" s="124"/>
      <c r="I12" s="283"/>
      <c r="J12" s="131" t="s">
        <v>91</v>
      </c>
      <c r="K12" s="148">
        <v>7</v>
      </c>
      <c r="L12" s="132">
        <v>11.83</v>
      </c>
      <c r="M12" s="131">
        <v>1696</v>
      </c>
      <c r="N12" s="131">
        <v>30.2</v>
      </c>
      <c r="O12" s="284"/>
      <c r="P12" s="285"/>
      <c r="Q12" s="284"/>
      <c r="R12" s="285"/>
      <c r="S12" s="286"/>
      <c r="T12" s="285"/>
      <c r="U12" s="286"/>
      <c r="V12" s="282"/>
      <c r="Z12" s="150"/>
    </row>
    <row r="13" spans="2:26" x14ac:dyDescent="0.25">
      <c r="B13" s="129">
        <v>7</v>
      </c>
      <c r="C13" s="130" t="s">
        <v>83</v>
      </c>
      <c r="D13" s="132">
        <v>11.93</v>
      </c>
      <c r="E13" s="147">
        <v>13.36</v>
      </c>
      <c r="F13" s="131"/>
      <c r="G13" s="124"/>
      <c r="H13" s="124"/>
      <c r="I13" s="283">
        <v>30</v>
      </c>
      <c r="J13" s="131" t="s">
        <v>101</v>
      </c>
      <c r="K13" s="149" cm="1">
        <f t="array" ref="K13:K15">D31:D33</f>
        <v>11.72</v>
      </c>
      <c r="L13" s="132">
        <v>11.72</v>
      </c>
      <c r="M13" s="131">
        <v>1325</v>
      </c>
      <c r="N13" s="131">
        <v>30.2</v>
      </c>
      <c r="O13" s="284">
        <f>AVERAGE(_xlfn.ANCHORARRAY(K13))</f>
        <v>11.693333333333333</v>
      </c>
      <c r="P13" s="285">
        <f>STDEV(_xlfn.ANCHORARRAY(K13))</f>
        <v>2.5166114784236238E-2</v>
      </c>
      <c r="Q13" s="284">
        <v>11.69</v>
      </c>
      <c r="R13" s="285">
        <v>0.03</v>
      </c>
      <c r="S13" s="286">
        <v>1241</v>
      </c>
      <c r="T13" s="285">
        <v>73.08</v>
      </c>
      <c r="U13" s="286">
        <v>30</v>
      </c>
      <c r="V13" s="282">
        <v>0.28999999999999998</v>
      </c>
      <c r="Z13" s="150"/>
    </row>
    <row r="14" spans="2:26" x14ac:dyDescent="0.25">
      <c r="B14" s="129">
        <v>8</v>
      </c>
      <c r="C14" s="130" t="s">
        <v>84</v>
      </c>
      <c r="D14" s="132">
        <v>11.97</v>
      </c>
      <c r="E14" s="147">
        <v>8</v>
      </c>
      <c r="F14" s="131"/>
      <c r="G14" s="124"/>
      <c r="H14" s="124"/>
      <c r="I14" s="283"/>
      <c r="J14" s="131" t="s">
        <v>102</v>
      </c>
      <c r="K14" s="148">
        <v>11.69</v>
      </c>
      <c r="L14" s="132">
        <v>11.69</v>
      </c>
      <c r="M14" s="131">
        <v>1206</v>
      </c>
      <c r="N14" s="131">
        <v>30.2</v>
      </c>
      <c r="O14" s="284"/>
      <c r="P14" s="285"/>
      <c r="Q14" s="284"/>
      <c r="R14" s="285"/>
      <c r="S14" s="286"/>
      <c r="T14" s="285"/>
      <c r="U14" s="286"/>
      <c r="V14" s="282"/>
      <c r="Z14" s="150"/>
    </row>
    <row r="15" spans="2:26" x14ac:dyDescent="0.25">
      <c r="B15" s="129">
        <v>9</v>
      </c>
      <c r="C15" s="130" t="s">
        <v>85</v>
      </c>
      <c r="D15" s="132">
        <v>11.93</v>
      </c>
      <c r="E15" s="147">
        <v>10.09</v>
      </c>
      <c r="F15" s="131"/>
      <c r="G15" s="124"/>
      <c r="H15" s="124"/>
      <c r="I15" s="283"/>
      <c r="J15" s="131" t="s">
        <v>103</v>
      </c>
      <c r="K15" s="148">
        <v>11.67</v>
      </c>
      <c r="L15" s="132">
        <v>11.67</v>
      </c>
      <c r="M15" s="131">
        <v>1192</v>
      </c>
      <c r="N15" s="131">
        <v>29.7</v>
      </c>
      <c r="O15" s="284"/>
      <c r="P15" s="285"/>
      <c r="Q15" s="284"/>
      <c r="R15" s="285"/>
      <c r="S15" s="286"/>
      <c r="T15" s="285"/>
      <c r="U15" s="286"/>
      <c r="V15" s="282"/>
      <c r="Z15" s="150"/>
    </row>
    <row r="16" spans="2:26" x14ac:dyDescent="0.25">
      <c r="B16" s="129">
        <v>10</v>
      </c>
      <c r="C16" s="130" t="s">
        <v>86</v>
      </c>
      <c r="D16" s="132">
        <v>10.93</v>
      </c>
      <c r="E16" s="147">
        <v>0.38</v>
      </c>
      <c r="F16" s="131"/>
      <c r="G16" s="124"/>
      <c r="H16" s="124"/>
      <c r="I16" s="283">
        <v>40</v>
      </c>
      <c r="J16" s="131" t="s">
        <v>114</v>
      </c>
      <c r="K16" s="149" cm="1">
        <f t="array" ref="K16:K18">D43:D45</f>
        <v>11.63</v>
      </c>
      <c r="L16" s="132">
        <v>11.63</v>
      </c>
      <c r="M16" s="131">
        <v>997</v>
      </c>
      <c r="N16" s="131">
        <v>29.8</v>
      </c>
      <c r="O16" s="284">
        <f>AVERAGE(_xlfn.ANCHORARRAY(K16))</f>
        <v>11.61</v>
      </c>
      <c r="P16" s="285">
        <f>STDEV(_xlfn.ANCHORARRAY(K16))</f>
        <v>1.7320508075689429E-2</v>
      </c>
      <c r="Q16" s="284">
        <v>11.61</v>
      </c>
      <c r="R16" s="285">
        <v>0.02</v>
      </c>
      <c r="S16" s="286">
        <v>953</v>
      </c>
      <c r="T16" s="285">
        <v>38.94</v>
      </c>
      <c r="U16" s="286">
        <v>30</v>
      </c>
      <c r="V16" s="282">
        <v>0.06</v>
      </c>
      <c r="Z16" s="150"/>
    </row>
    <row r="17" spans="2:26" x14ac:dyDescent="0.25">
      <c r="B17" s="129">
        <v>11</v>
      </c>
      <c r="C17" s="130" t="s">
        <v>87</v>
      </c>
      <c r="D17" s="132">
        <v>10.92</v>
      </c>
      <c r="E17" s="147">
        <v>0.95</v>
      </c>
      <c r="F17" s="131"/>
      <c r="G17" s="124"/>
      <c r="H17" s="124"/>
      <c r="I17" s="283"/>
      <c r="J17" s="131" t="s">
        <v>115</v>
      </c>
      <c r="K17" s="148">
        <v>11.6</v>
      </c>
      <c r="L17" s="132">
        <v>11.6</v>
      </c>
      <c r="M17" s="131">
        <v>939</v>
      </c>
      <c r="N17" s="131">
        <v>29.9</v>
      </c>
      <c r="O17" s="284"/>
      <c r="P17" s="285"/>
      <c r="Q17" s="284"/>
      <c r="R17" s="285"/>
      <c r="S17" s="286"/>
      <c r="T17" s="285"/>
      <c r="U17" s="286"/>
      <c r="V17" s="282"/>
      <c r="Z17" s="150"/>
    </row>
    <row r="18" spans="2:26" x14ac:dyDescent="0.25">
      <c r="B18" s="129">
        <v>12</v>
      </c>
      <c r="C18" s="130" t="s">
        <v>88</v>
      </c>
      <c r="D18" s="132">
        <v>10.9</v>
      </c>
      <c r="E18" s="147">
        <v>1.27</v>
      </c>
      <c r="F18" s="131"/>
      <c r="G18" s="124"/>
      <c r="H18" s="124"/>
      <c r="I18" s="283"/>
      <c r="J18" s="131" t="s">
        <v>116</v>
      </c>
      <c r="K18" s="148">
        <v>11.6</v>
      </c>
      <c r="L18" s="132">
        <v>11.6</v>
      </c>
      <c r="M18" s="131">
        <v>923</v>
      </c>
      <c r="N18" s="131">
        <v>29.9</v>
      </c>
      <c r="O18" s="284"/>
      <c r="P18" s="285"/>
      <c r="Q18" s="284"/>
      <c r="R18" s="285"/>
      <c r="S18" s="286"/>
      <c r="T18" s="285"/>
      <c r="U18" s="286"/>
      <c r="V18" s="282"/>
      <c r="Z18" s="150"/>
    </row>
    <row r="19" spans="2:26" x14ac:dyDescent="0.25">
      <c r="B19" s="129">
        <v>13</v>
      </c>
      <c r="C19" s="130" t="s">
        <v>89</v>
      </c>
      <c r="D19" s="132">
        <v>11.82</v>
      </c>
      <c r="E19" s="147">
        <v>10.08</v>
      </c>
      <c r="F19" s="131"/>
      <c r="G19" s="124"/>
      <c r="H19" s="124"/>
      <c r="I19" s="283">
        <v>50</v>
      </c>
      <c r="J19" s="131" t="s">
        <v>126</v>
      </c>
      <c r="K19" s="149" cm="1">
        <f t="array" ref="K19:K21">D55:D57</f>
        <v>11.54</v>
      </c>
      <c r="L19" s="132">
        <v>11.54</v>
      </c>
      <c r="M19" s="131">
        <v>790</v>
      </c>
      <c r="N19" s="131">
        <v>30.5</v>
      </c>
      <c r="O19" s="284">
        <f>AVERAGE(_xlfn.ANCHORARRAY(K19))</f>
        <v>11.520000000000001</v>
      </c>
      <c r="P19" s="285">
        <f>STDEV(_xlfn.ANCHORARRAY(K19))</f>
        <v>1.9999999999999574E-2</v>
      </c>
      <c r="Q19" s="284">
        <v>11.52</v>
      </c>
      <c r="R19" s="285">
        <v>0.02</v>
      </c>
      <c r="S19" s="286">
        <v>777</v>
      </c>
      <c r="T19" s="285">
        <v>12.53</v>
      </c>
      <c r="U19" s="286">
        <v>31</v>
      </c>
      <c r="V19" s="282">
        <v>0.1</v>
      </c>
      <c r="Z19" s="150"/>
    </row>
    <row r="20" spans="2:26" x14ac:dyDescent="0.25">
      <c r="B20" s="129">
        <v>14</v>
      </c>
      <c r="C20" s="130" t="s">
        <v>90</v>
      </c>
      <c r="D20" s="132">
        <v>11.81</v>
      </c>
      <c r="E20" s="147">
        <v>7.68</v>
      </c>
      <c r="F20" s="131"/>
      <c r="G20" s="124"/>
      <c r="H20" s="124"/>
      <c r="I20" s="283"/>
      <c r="J20" s="131" t="s">
        <v>127</v>
      </c>
      <c r="K20" s="148">
        <v>11.52</v>
      </c>
      <c r="L20" s="132">
        <v>11.52</v>
      </c>
      <c r="M20" s="131">
        <v>776</v>
      </c>
      <c r="N20" s="131">
        <v>30.4</v>
      </c>
      <c r="O20" s="284"/>
      <c r="P20" s="285"/>
      <c r="Q20" s="284"/>
      <c r="R20" s="285"/>
      <c r="S20" s="286"/>
      <c r="T20" s="285"/>
      <c r="U20" s="286"/>
      <c r="V20" s="282"/>
      <c r="Z20" s="150"/>
    </row>
    <row r="21" spans="2:26" x14ac:dyDescent="0.25">
      <c r="B21" s="129">
        <v>15</v>
      </c>
      <c r="C21" s="130" t="s">
        <v>91</v>
      </c>
      <c r="D21" s="132">
        <v>11.83</v>
      </c>
      <c r="E21" s="147">
        <v>7</v>
      </c>
      <c r="F21" s="131"/>
      <c r="G21" s="124"/>
      <c r="H21" s="124"/>
      <c r="I21" s="283"/>
      <c r="J21" s="131" t="s">
        <v>128</v>
      </c>
      <c r="K21" s="148">
        <v>11.5</v>
      </c>
      <c r="L21" s="132">
        <v>11.5</v>
      </c>
      <c r="M21" s="131">
        <v>765</v>
      </c>
      <c r="N21" s="131">
        <v>30.6</v>
      </c>
      <c r="O21" s="284"/>
      <c r="P21" s="285"/>
      <c r="Q21" s="284"/>
      <c r="R21" s="285"/>
      <c r="S21" s="286"/>
      <c r="T21" s="285"/>
      <c r="U21" s="286"/>
      <c r="V21" s="282"/>
      <c r="Z21" s="150"/>
    </row>
    <row r="22" spans="2:26" x14ac:dyDescent="0.25">
      <c r="B22" s="129">
        <v>16</v>
      </c>
      <c r="C22" s="130" t="s">
        <v>92</v>
      </c>
      <c r="D22" s="132">
        <v>11.54</v>
      </c>
      <c r="E22" s="147">
        <v>4.3</v>
      </c>
      <c r="F22" s="131"/>
      <c r="G22" s="124"/>
      <c r="H22" s="124"/>
      <c r="I22" s="124"/>
      <c r="J22" s="124"/>
      <c r="K22" s="124"/>
      <c r="L22" s="124"/>
      <c r="M22" s="124"/>
      <c r="N22" s="124"/>
      <c r="P22" s="124"/>
      <c r="Q22" s="124"/>
      <c r="R22" s="124"/>
      <c r="S22" s="124"/>
      <c r="T22" s="124"/>
      <c r="U22" s="124"/>
      <c r="V22" s="124"/>
      <c r="Z22" s="150"/>
    </row>
    <row r="23" spans="2:26" x14ac:dyDescent="0.25">
      <c r="B23" s="129">
        <v>17</v>
      </c>
      <c r="C23" s="130" t="s">
        <v>93</v>
      </c>
      <c r="D23" s="132">
        <v>11.53</v>
      </c>
      <c r="E23" s="147">
        <v>4.1399999999999997</v>
      </c>
      <c r="F23" s="131"/>
      <c r="G23" s="124"/>
      <c r="H23" s="124"/>
      <c r="I23" s="283">
        <v>1</v>
      </c>
      <c r="J23" s="133" t="s">
        <v>80</v>
      </c>
      <c r="K23" s="148" cm="1">
        <f t="array" ref="K23:K25">E10:E12</f>
        <v>6.79</v>
      </c>
      <c r="L23" s="134">
        <v>11.77</v>
      </c>
      <c r="M23" s="133">
        <v>2440</v>
      </c>
      <c r="N23" s="133">
        <v>25.8</v>
      </c>
      <c r="O23" s="284">
        <f>AVERAGE(_xlfn.ANCHORARRAY(K23))</f>
        <v>6.416666666666667</v>
      </c>
      <c r="P23" s="285">
        <f>STDEV(_xlfn.ANCHORARRAY(K23))</f>
        <v>0.39677869566464041</v>
      </c>
      <c r="Q23" s="284">
        <v>11.76</v>
      </c>
      <c r="R23" s="285">
        <v>0.01</v>
      </c>
      <c r="S23" s="286">
        <v>2403</v>
      </c>
      <c r="T23" s="285">
        <v>35.119999999999997</v>
      </c>
      <c r="U23" s="286">
        <v>26</v>
      </c>
      <c r="V23" s="282">
        <v>0.12</v>
      </c>
      <c r="Z23" s="150"/>
    </row>
    <row r="24" spans="2:26" x14ac:dyDescent="0.25">
      <c r="B24" s="129">
        <v>18</v>
      </c>
      <c r="C24" s="130" t="s">
        <v>94</v>
      </c>
      <c r="D24" s="132">
        <v>11.57</v>
      </c>
      <c r="E24" s="147">
        <v>4.0199999999999996</v>
      </c>
      <c r="F24" s="131"/>
      <c r="G24" s="124"/>
      <c r="H24" s="124"/>
      <c r="I24" s="283"/>
      <c r="J24" s="131" t="s">
        <v>81</v>
      </c>
      <c r="K24" s="148">
        <v>6</v>
      </c>
      <c r="L24" s="132">
        <v>11.76</v>
      </c>
      <c r="M24" s="131">
        <v>2370</v>
      </c>
      <c r="N24" s="131">
        <v>25.6</v>
      </c>
      <c r="O24" s="284"/>
      <c r="P24" s="285"/>
      <c r="Q24" s="284"/>
      <c r="R24" s="285"/>
      <c r="S24" s="286"/>
      <c r="T24" s="285"/>
      <c r="U24" s="286"/>
      <c r="V24" s="282"/>
      <c r="Z24" s="150"/>
    </row>
    <row r="25" spans="2:26" x14ac:dyDescent="0.25">
      <c r="B25" s="129">
        <v>19</v>
      </c>
      <c r="C25" s="130" t="s">
        <v>95</v>
      </c>
      <c r="D25" s="132">
        <v>11.76</v>
      </c>
      <c r="E25" s="147">
        <v>6.57</v>
      </c>
      <c r="F25" s="131"/>
      <c r="G25" s="124"/>
      <c r="H25" s="124"/>
      <c r="I25" s="283"/>
      <c r="J25" s="131" t="s">
        <v>82</v>
      </c>
      <c r="K25" s="148">
        <v>6.46</v>
      </c>
      <c r="L25" s="132">
        <v>11.76</v>
      </c>
      <c r="M25" s="131">
        <v>2400</v>
      </c>
      <c r="N25" s="131">
        <v>25.8</v>
      </c>
      <c r="O25" s="284"/>
      <c r="P25" s="285"/>
      <c r="Q25" s="284"/>
      <c r="R25" s="285"/>
      <c r="S25" s="286"/>
      <c r="T25" s="285"/>
      <c r="U25" s="286"/>
      <c r="V25" s="282"/>
      <c r="Z25" s="150"/>
    </row>
    <row r="26" spans="2:26" x14ac:dyDescent="0.25">
      <c r="B26" s="129">
        <v>20</v>
      </c>
      <c r="C26" s="130" t="s">
        <v>96</v>
      </c>
      <c r="D26" s="132">
        <v>11.77</v>
      </c>
      <c r="E26" s="147">
        <v>6.75</v>
      </c>
      <c r="F26" s="131"/>
      <c r="G26" s="124"/>
      <c r="H26" s="124"/>
      <c r="I26" s="283">
        <v>2</v>
      </c>
      <c r="J26" s="131" t="s">
        <v>92</v>
      </c>
      <c r="K26" s="148" cm="1">
        <f t="array" ref="K26:K28">E22:E24</f>
        <v>4.3</v>
      </c>
      <c r="L26" s="132">
        <v>11.54</v>
      </c>
      <c r="M26" s="131">
        <v>1378</v>
      </c>
      <c r="N26" s="131">
        <v>30.1</v>
      </c>
      <c r="O26" s="284">
        <f>AVERAGE(_xlfn.ANCHORARRAY(K26))</f>
        <v>4.1533333333333333</v>
      </c>
      <c r="P26" s="285">
        <f>STDEV(_xlfn.ANCHORARRAY(K26))</f>
        <v>0.14047538337136997</v>
      </c>
      <c r="Q26" s="284">
        <v>11.55</v>
      </c>
      <c r="R26" s="285">
        <v>0.02</v>
      </c>
      <c r="S26" s="286">
        <v>1340</v>
      </c>
      <c r="T26" s="285">
        <v>32.619999999999997</v>
      </c>
      <c r="U26" s="286">
        <v>30</v>
      </c>
      <c r="V26" s="282">
        <v>0.44</v>
      </c>
      <c r="Z26" s="150"/>
    </row>
    <row r="27" spans="2:26" x14ac:dyDescent="0.25">
      <c r="B27" s="129">
        <v>21</v>
      </c>
      <c r="C27" s="130" t="s">
        <v>97</v>
      </c>
      <c r="D27" s="132">
        <v>11.75</v>
      </c>
      <c r="E27" s="147">
        <v>6.29</v>
      </c>
      <c r="F27" s="131"/>
      <c r="G27" s="124"/>
      <c r="H27" s="124"/>
      <c r="I27" s="283"/>
      <c r="J27" s="131" t="s">
        <v>93</v>
      </c>
      <c r="K27" s="148">
        <v>4.1399999999999997</v>
      </c>
      <c r="L27" s="132">
        <v>11.53</v>
      </c>
      <c r="M27" s="131">
        <v>1321</v>
      </c>
      <c r="N27" s="131">
        <v>30.2</v>
      </c>
      <c r="O27" s="284"/>
      <c r="P27" s="285"/>
      <c r="Q27" s="284"/>
      <c r="R27" s="285"/>
      <c r="S27" s="286"/>
      <c r="T27" s="285"/>
      <c r="U27" s="286"/>
      <c r="V27" s="282"/>
      <c r="Z27" s="150"/>
    </row>
    <row r="28" spans="2:26" x14ac:dyDescent="0.25">
      <c r="B28" s="129">
        <v>22</v>
      </c>
      <c r="C28" s="130" t="s">
        <v>98</v>
      </c>
      <c r="D28" s="132">
        <v>10.94</v>
      </c>
      <c r="E28" s="147">
        <v>0.05</v>
      </c>
      <c r="F28" s="131"/>
      <c r="G28" s="124"/>
      <c r="H28" s="124"/>
      <c r="I28" s="283"/>
      <c r="J28" s="131" t="s">
        <v>94</v>
      </c>
      <c r="K28" s="148">
        <v>4.0199999999999996</v>
      </c>
      <c r="L28" s="132">
        <v>11.57</v>
      </c>
      <c r="M28" s="131">
        <v>1322</v>
      </c>
      <c r="N28" s="131">
        <v>29.4</v>
      </c>
      <c r="O28" s="284"/>
      <c r="P28" s="285"/>
      <c r="Q28" s="284"/>
      <c r="R28" s="285"/>
      <c r="S28" s="286"/>
      <c r="T28" s="285"/>
      <c r="U28" s="286"/>
      <c r="V28" s="282"/>
      <c r="Z28" s="150"/>
    </row>
    <row r="29" spans="2:26" x14ac:dyDescent="0.25">
      <c r="B29" s="129">
        <v>23</v>
      </c>
      <c r="C29" s="130" t="s">
        <v>99</v>
      </c>
      <c r="D29" s="132">
        <v>10.95</v>
      </c>
      <c r="E29" s="147">
        <v>0.22</v>
      </c>
      <c r="F29" s="131"/>
      <c r="G29" s="124"/>
      <c r="H29" s="124"/>
      <c r="I29" s="283">
        <v>3</v>
      </c>
      <c r="J29" s="131" t="s">
        <v>104</v>
      </c>
      <c r="K29" s="148" cm="1">
        <f t="array" ref="K29:K31">E34:E36</f>
        <v>6.1</v>
      </c>
      <c r="L29" s="132">
        <v>11.35</v>
      </c>
      <c r="M29" s="131">
        <v>895</v>
      </c>
      <c r="N29" s="131">
        <v>29.8</v>
      </c>
      <c r="O29" s="284">
        <f>AVERAGE(_xlfn.ANCHORARRAY(K29))</f>
        <v>4.3</v>
      </c>
      <c r="P29" s="285">
        <f>STDEV(_xlfn.ANCHORARRAY(K29))</f>
        <v>1.6118622769951527</v>
      </c>
      <c r="Q29" s="284">
        <v>11.33</v>
      </c>
      <c r="R29" s="285">
        <v>0.02</v>
      </c>
      <c r="S29" s="286">
        <v>896</v>
      </c>
      <c r="T29" s="285">
        <v>6.56</v>
      </c>
      <c r="U29" s="286">
        <v>29</v>
      </c>
      <c r="V29" s="282">
        <v>0.47</v>
      </c>
      <c r="Z29" s="150"/>
    </row>
    <row r="30" spans="2:26" x14ac:dyDescent="0.25">
      <c r="B30" s="129">
        <v>24</v>
      </c>
      <c r="C30" s="130" t="s">
        <v>100</v>
      </c>
      <c r="D30" s="132">
        <v>10.93</v>
      </c>
      <c r="E30" s="147">
        <v>0.3</v>
      </c>
      <c r="F30" s="131"/>
      <c r="G30" s="124"/>
      <c r="H30" s="124"/>
      <c r="I30" s="283"/>
      <c r="J30" s="131" t="s">
        <v>105</v>
      </c>
      <c r="K30" s="148">
        <v>3.81</v>
      </c>
      <c r="L30" s="132">
        <v>11.33</v>
      </c>
      <c r="M30" s="131">
        <v>903</v>
      </c>
      <c r="N30" s="131">
        <v>29.6</v>
      </c>
      <c r="O30" s="284"/>
      <c r="P30" s="285"/>
      <c r="Q30" s="284"/>
      <c r="R30" s="285"/>
      <c r="S30" s="286"/>
      <c r="T30" s="285"/>
      <c r="U30" s="286"/>
      <c r="V30" s="282"/>
      <c r="Z30" s="150"/>
    </row>
    <row r="31" spans="2:26" x14ac:dyDescent="0.25">
      <c r="B31" s="129">
        <v>25</v>
      </c>
      <c r="C31" s="130" t="s">
        <v>101</v>
      </c>
      <c r="D31" s="132">
        <v>11.72</v>
      </c>
      <c r="E31" s="147">
        <v>7.74</v>
      </c>
      <c r="F31" s="131"/>
      <c r="G31" s="124"/>
      <c r="H31" s="124"/>
      <c r="I31" s="283"/>
      <c r="J31" s="131" t="s">
        <v>106</v>
      </c>
      <c r="K31" s="148">
        <v>2.99</v>
      </c>
      <c r="L31" s="132">
        <v>11.32</v>
      </c>
      <c r="M31" s="131">
        <v>890</v>
      </c>
      <c r="N31" s="131">
        <v>28.9</v>
      </c>
      <c r="O31" s="284"/>
      <c r="P31" s="285"/>
      <c r="Q31" s="284"/>
      <c r="R31" s="285"/>
      <c r="S31" s="286"/>
      <c r="T31" s="285"/>
      <c r="U31" s="286"/>
      <c r="V31" s="282"/>
      <c r="Z31" s="150"/>
    </row>
    <row r="32" spans="2:26" x14ac:dyDescent="0.25">
      <c r="B32" s="129">
        <v>26</v>
      </c>
      <c r="C32" s="130" t="s">
        <v>102</v>
      </c>
      <c r="D32" s="132">
        <v>11.69</v>
      </c>
      <c r="E32" s="147">
        <v>6.26</v>
      </c>
      <c r="F32" s="131"/>
      <c r="G32" s="124"/>
      <c r="H32" s="124"/>
      <c r="I32" s="283">
        <v>4</v>
      </c>
      <c r="J32" s="131" t="s">
        <v>117</v>
      </c>
      <c r="K32" s="148" cm="1">
        <f t="array" ref="K32:K34">E43:E45</f>
        <v>3</v>
      </c>
      <c r="L32" s="132">
        <v>11.31</v>
      </c>
      <c r="M32" s="131">
        <v>689</v>
      </c>
      <c r="N32" s="131">
        <v>29.5</v>
      </c>
      <c r="O32" s="284">
        <f>AVERAGE(_xlfn.ANCHORARRAY(K32))</f>
        <v>5.1499999999999995</v>
      </c>
      <c r="P32" s="285">
        <f>STDEV(_xlfn.ANCHORARRAY(K32))</f>
        <v>1.8624983221468947</v>
      </c>
      <c r="Q32" s="284">
        <v>11.28</v>
      </c>
      <c r="R32" s="285">
        <v>0.03</v>
      </c>
      <c r="S32" s="286">
        <v>688</v>
      </c>
      <c r="T32" s="285">
        <v>8.5399999999999991</v>
      </c>
      <c r="U32" s="286">
        <v>29</v>
      </c>
      <c r="V32" s="282">
        <v>0.31</v>
      </c>
      <c r="Z32" s="150"/>
    </row>
    <row r="33" spans="2:26" x14ac:dyDescent="0.25">
      <c r="B33" s="129">
        <v>27</v>
      </c>
      <c r="C33" s="130" t="s">
        <v>103</v>
      </c>
      <c r="D33" s="132">
        <v>11.67</v>
      </c>
      <c r="E33" s="147">
        <v>5.85</v>
      </c>
      <c r="F33" s="131"/>
      <c r="G33" s="124"/>
      <c r="H33" s="124"/>
      <c r="I33" s="283"/>
      <c r="J33" s="131" t="s">
        <v>118</v>
      </c>
      <c r="K33" s="148">
        <v>6.27</v>
      </c>
      <c r="L33" s="132">
        <v>11.29</v>
      </c>
      <c r="M33" s="131">
        <v>679</v>
      </c>
      <c r="N33" s="131">
        <v>29.3</v>
      </c>
      <c r="O33" s="284"/>
      <c r="P33" s="285"/>
      <c r="Q33" s="284"/>
      <c r="R33" s="285"/>
      <c r="S33" s="286"/>
      <c r="T33" s="285"/>
      <c r="U33" s="286"/>
      <c r="V33" s="282"/>
      <c r="Z33" s="150"/>
    </row>
    <row r="34" spans="2:26" x14ac:dyDescent="0.25">
      <c r="B34" s="129">
        <v>28</v>
      </c>
      <c r="C34" s="130" t="s">
        <v>104</v>
      </c>
      <c r="D34" s="132">
        <v>11.35</v>
      </c>
      <c r="E34" s="147">
        <v>6.1</v>
      </c>
      <c r="F34" s="131"/>
      <c r="G34" s="124"/>
      <c r="H34" s="124"/>
      <c r="I34" s="283"/>
      <c r="J34" s="131" t="s">
        <v>119</v>
      </c>
      <c r="K34" s="148">
        <v>6.18</v>
      </c>
      <c r="L34" s="132">
        <v>11.25</v>
      </c>
      <c r="M34" s="131">
        <v>696</v>
      </c>
      <c r="N34" s="131">
        <v>28.9</v>
      </c>
      <c r="O34" s="284"/>
      <c r="P34" s="285"/>
      <c r="Q34" s="284"/>
      <c r="R34" s="285"/>
      <c r="S34" s="286"/>
      <c r="T34" s="285"/>
      <c r="U34" s="286"/>
      <c r="V34" s="282"/>
      <c r="Z34" s="150"/>
    </row>
    <row r="35" spans="2:26" x14ac:dyDescent="0.25">
      <c r="B35" s="129">
        <v>29</v>
      </c>
      <c r="C35" s="130" t="s">
        <v>105</v>
      </c>
      <c r="D35" s="132">
        <v>11.33</v>
      </c>
      <c r="E35" s="147">
        <v>3.81</v>
      </c>
      <c r="F35" s="131"/>
      <c r="G35" s="124"/>
      <c r="H35" s="124"/>
      <c r="I35" s="283">
        <v>5</v>
      </c>
      <c r="J35" s="131" t="s">
        <v>129</v>
      </c>
      <c r="K35" s="148" cm="1">
        <f t="array" ref="K35:K37">E58:E60</f>
        <v>2.0299999999999998</v>
      </c>
      <c r="L35" s="132">
        <v>11.23</v>
      </c>
      <c r="M35" s="131">
        <v>580</v>
      </c>
      <c r="N35" s="131">
        <v>30.3</v>
      </c>
      <c r="O35" s="284">
        <f>AVERAGE(_xlfn.ANCHORARRAY(K35))</f>
        <v>1.9933333333333332</v>
      </c>
      <c r="P35" s="285">
        <f>STDEV(_xlfn.ANCHORARRAY(K35))</f>
        <v>4.0414518843273739E-2</v>
      </c>
      <c r="Q35" s="284">
        <v>11.21</v>
      </c>
      <c r="R35" s="285">
        <v>0.03</v>
      </c>
      <c r="S35" s="286">
        <v>580</v>
      </c>
      <c r="T35" s="285">
        <v>3.51</v>
      </c>
      <c r="U35" s="286">
        <v>30</v>
      </c>
      <c r="V35" s="282">
        <v>0.49</v>
      </c>
      <c r="Z35" s="150"/>
    </row>
    <row r="36" spans="2:26" x14ac:dyDescent="0.25">
      <c r="B36" s="129">
        <v>30</v>
      </c>
      <c r="C36" s="130" t="s">
        <v>106</v>
      </c>
      <c r="D36" s="132">
        <v>11.32</v>
      </c>
      <c r="E36" s="147">
        <v>2.99</v>
      </c>
      <c r="F36" s="131"/>
      <c r="G36" s="124"/>
      <c r="H36" s="124"/>
      <c r="I36" s="283"/>
      <c r="J36" s="131" t="s">
        <v>130</v>
      </c>
      <c r="K36" s="148">
        <v>1.95</v>
      </c>
      <c r="L36" s="132">
        <v>11.23</v>
      </c>
      <c r="M36" s="131">
        <v>577</v>
      </c>
      <c r="N36" s="131">
        <v>30.2</v>
      </c>
      <c r="O36" s="284"/>
      <c r="P36" s="285"/>
      <c r="Q36" s="284"/>
      <c r="R36" s="285"/>
      <c r="S36" s="286"/>
      <c r="T36" s="285"/>
      <c r="U36" s="286"/>
      <c r="V36" s="282"/>
      <c r="Z36" s="150"/>
    </row>
    <row r="37" spans="2:26" x14ac:dyDescent="0.25">
      <c r="B37" s="129">
        <v>31</v>
      </c>
      <c r="C37" s="130" t="s">
        <v>107</v>
      </c>
      <c r="D37" s="132">
        <v>11.58</v>
      </c>
      <c r="E37" s="147">
        <v>8.76</v>
      </c>
      <c r="F37" s="131"/>
      <c r="G37" s="124"/>
      <c r="H37" s="124"/>
      <c r="I37" s="283"/>
      <c r="J37" s="131" t="s">
        <v>131</v>
      </c>
      <c r="K37" s="148">
        <v>2</v>
      </c>
      <c r="L37" s="132">
        <v>11.17</v>
      </c>
      <c r="M37" s="131">
        <v>584</v>
      </c>
      <c r="N37" s="131">
        <v>29.4</v>
      </c>
      <c r="O37" s="284"/>
      <c r="P37" s="285"/>
      <c r="Q37" s="284"/>
      <c r="R37" s="285"/>
      <c r="S37" s="286"/>
      <c r="T37" s="285"/>
      <c r="U37" s="286"/>
      <c r="V37" s="282"/>
      <c r="Z37" s="150"/>
    </row>
    <row r="38" spans="2:26" x14ac:dyDescent="0.25">
      <c r="B38" s="129">
        <v>32</v>
      </c>
      <c r="C38" s="130" t="s">
        <v>108</v>
      </c>
      <c r="D38" s="132">
        <v>11.61</v>
      </c>
      <c r="E38" s="147">
        <v>4</v>
      </c>
      <c r="F38" s="131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Z38" s="150"/>
    </row>
    <row r="39" spans="2:26" x14ac:dyDescent="0.25">
      <c r="B39" s="129">
        <v>33</v>
      </c>
      <c r="C39" s="130" t="s">
        <v>109</v>
      </c>
      <c r="D39" s="132">
        <v>11.62</v>
      </c>
      <c r="E39" s="147">
        <v>6</v>
      </c>
      <c r="F39" s="131"/>
      <c r="G39" s="124"/>
      <c r="H39" s="124"/>
      <c r="I39" s="283">
        <v>1</v>
      </c>
      <c r="J39" s="133" t="s">
        <v>83</v>
      </c>
      <c r="K39" s="133" cm="1">
        <f t="array" ref="K39:K41">E13:E15</f>
        <v>13.36</v>
      </c>
      <c r="L39" s="134">
        <v>11.93</v>
      </c>
      <c r="M39" s="133">
        <v>2990</v>
      </c>
      <c r="N39" s="133">
        <v>29.3</v>
      </c>
      <c r="O39" s="284">
        <f>AVERAGE(_xlfn.ANCHORARRAY(K39))</f>
        <v>10.483333333333333</v>
      </c>
      <c r="P39" s="285">
        <f>STDEV(_xlfn.ANCHORARRAY(K39))</f>
        <v>2.7015612769902742</v>
      </c>
      <c r="Q39" s="284">
        <v>11.94</v>
      </c>
      <c r="R39" s="285">
        <v>0.02</v>
      </c>
      <c r="S39" s="286">
        <v>2923</v>
      </c>
      <c r="T39" s="285">
        <v>98.66</v>
      </c>
      <c r="U39" s="286">
        <v>30</v>
      </c>
      <c r="V39" s="282">
        <v>0.53</v>
      </c>
      <c r="Z39" s="150"/>
    </row>
    <row r="40" spans="2:26" x14ac:dyDescent="0.25">
      <c r="B40" s="129">
        <v>34</v>
      </c>
      <c r="C40" s="130" t="s">
        <v>110</v>
      </c>
      <c r="D40" s="132">
        <v>11.39</v>
      </c>
      <c r="E40" s="147">
        <v>0.06</v>
      </c>
      <c r="F40" s="131"/>
      <c r="G40" s="124"/>
      <c r="H40" s="124"/>
      <c r="I40" s="283"/>
      <c r="J40" s="131" t="s">
        <v>84</v>
      </c>
      <c r="K40" s="131">
        <v>8</v>
      </c>
      <c r="L40" s="132">
        <v>11.97</v>
      </c>
      <c r="M40" s="131">
        <v>2970</v>
      </c>
      <c r="N40" s="131">
        <v>30.3</v>
      </c>
      <c r="O40" s="284"/>
      <c r="P40" s="285"/>
      <c r="Q40" s="284"/>
      <c r="R40" s="285"/>
      <c r="S40" s="286"/>
      <c r="T40" s="285"/>
      <c r="U40" s="286"/>
      <c r="V40" s="282"/>
      <c r="Z40" s="150"/>
    </row>
    <row r="41" spans="2:26" x14ac:dyDescent="0.25">
      <c r="B41" s="129">
        <v>35</v>
      </c>
      <c r="C41" s="130" t="s">
        <v>111</v>
      </c>
      <c r="D41" s="132">
        <v>11.43</v>
      </c>
      <c r="E41" s="147">
        <v>0.31</v>
      </c>
      <c r="F41" s="131"/>
      <c r="G41" s="124"/>
      <c r="H41" s="124"/>
      <c r="I41" s="283"/>
      <c r="J41" s="131" t="s">
        <v>85</v>
      </c>
      <c r="K41" s="131">
        <v>10.09</v>
      </c>
      <c r="L41" s="132">
        <v>11.93</v>
      </c>
      <c r="M41" s="131">
        <v>2810</v>
      </c>
      <c r="N41" s="131">
        <v>30.1</v>
      </c>
      <c r="O41" s="284"/>
      <c r="P41" s="285"/>
      <c r="Q41" s="284"/>
      <c r="R41" s="285"/>
      <c r="S41" s="286"/>
      <c r="T41" s="285"/>
      <c r="U41" s="286"/>
      <c r="V41" s="282"/>
      <c r="Z41" s="150"/>
    </row>
    <row r="42" spans="2:26" x14ac:dyDescent="0.25">
      <c r="B42" s="129">
        <v>36</v>
      </c>
      <c r="C42" s="130" t="s">
        <v>112</v>
      </c>
      <c r="D42" s="132">
        <v>11.41</v>
      </c>
      <c r="E42" s="147" t="s">
        <v>113</v>
      </c>
      <c r="F42" s="131"/>
      <c r="G42" s="124"/>
      <c r="H42" s="124"/>
      <c r="I42" s="283">
        <v>2</v>
      </c>
      <c r="J42" s="131" t="s">
        <v>95</v>
      </c>
      <c r="K42" s="131" cm="1">
        <f t="array" ref="K42:K44">E25:E27</f>
        <v>6.57</v>
      </c>
      <c r="L42" s="132">
        <v>11.76</v>
      </c>
      <c r="M42" s="131">
        <v>1648</v>
      </c>
      <c r="N42" s="131">
        <v>30.1</v>
      </c>
      <c r="O42" s="284">
        <f>AVERAGE(_xlfn.ANCHORARRAY(K42))</f>
        <v>6.5366666666666662</v>
      </c>
      <c r="P42" s="285">
        <f>STDEV(_xlfn.ANCHORARRAY(K42))</f>
        <v>0.23180451534284946</v>
      </c>
      <c r="Q42" s="284">
        <v>11.76</v>
      </c>
      <c r="R42" s="285">
        <v>0.01</v>
      </c>
      <c r="S42" s="286">
        <v>1638</v>
      </c>
      <c r="T42" s="285">
        <v>31.22</v>
      </c>
      <c r="U42" s="286">
        <v>30</v>
      </c>
      <c r="V42" s="282">
        <v>0.21</v>
      </c>
      <c r="Z42" s="150"/>
    </row>
    <row r="43" spans="2:26" x14ac:dyDescent="0.25">
      <c r="B43" s="129">
        <v>37</v>
      </c>
      <c r="C43" s="130" t="s">
        <v>114</v>
      </c>
      <c r="D43" s="132">
        <v>11.63</v>
      </c>
      <c r="E43" s="147">
        <v>3</v>
      </c>
      <c r="F43" s="131"/>
      <c r="G43" s="124"/>
      <c r="H43" s="124"/>
      <c r="I43" s="283"/>
      <c r="J43" s="131" t="s">
        <v>96</v>
      </c>
      <c r="K43" s="131">
        <v>6.75</v>
      </c>
      <c r="L43" s="132">
        <v>11.77</v>
      </c>
      <c r="M43" s="131">
        <v>1663</v>
      </c>
      <c r="N43" s="131">
        <v>30.4</v>
      </c>
      <c r="O43" s="284"/>
      <c r="P43" s="285"/>
      <c r="Q43" s="284"/>
      <c r="R43" s="285"/>
      <c r="S43" s="286"/>
      <c r="T43" s="285"/>
      <c r="U43" s="286"/>
      <c r="V43" s="282"/>
      <c r="Z43" s="150"/>
    </row>
    <row r="44" spans="2:26" x14ac:dyDescent="0.25">
      <c r="B44" s="129">
        <v>38</v>
      </c>
      <c r="C44" s="130" t="s">
        <v>115</v>
      </c>
      <c r="D44" s="132">
        <v>11.6</v>
      </c>
      <c r="E44" s="147">
        <v>6.27</v>
      </c>
      <c r="F44" s="131"/>
      <c r="G44" s="124"/>
      <c r="H44" s="124"/>
      <c r="I44" s="283"/>
      <c r="J44" s="131" t="s">
        <v>97</v>
      </c>
      <c r="K44" s="131">
        <v>6.29</v>
      </c>
      <c r="L44" s="132">
        <v>11.75</v>
      </c>
      <c r="M44" s="131">
        <v>1603</v>
      </c>
      <c r="N44" s="131">
        <v>30</v>
      </c>
      <c r="O44" s="284"/>
      <c r="P44" s="285"/>
      <c r="Q44" s="284"/>
      <c r="R44" s="285"/>
      <c r="S44" s="286"/>
      <c r="T44" s="285"/>
      <c r="U44" s="286"/>
      <c r="V44" s="282"/>
      <c r="Z44" s="150"/>
    </row>
    <row r="45" spans="2:26" x14ac:dyDescent="0.25">
      <c r="B45" s="129">
        <v>39</v>
      </c>
      <c r="C45" s="130" t="s">
        <v>116</v>
      </c>
      <c r="D45" s="132">
        <v>11.6</v>
      </c>
      <c r="E45" s="147">
        <v>6.18</v>
      </c>
      <c r="F45" s="131"/>
      <c r="G45" s="124"/>
      <c r="H45" s="124"/>
      <c r="I45" s="283">
        <v>3</v>
      </c>
      <c r="J45" s="131" t="s">
        <v>107</v>
      </c>
      <c r="K45" s="132" cm="1">
        <f t="array" ref="K45:K47">D37:D39</f>
        <v>11.58</v>
      </c>
      <c r="L45" s="132">
        <v>11.58</v>
      </c>
      <c r="M45" s="131">
        <v>1138</v>
      </c>
      <c r="N45" s="131">
        <v>31.1</v>
      </c>
      <c r="O45" s="284">
        <f>AVERAGE(_xlfn.ANCHORARRAY(K45))</f>
        <v>11.603333333333332</v>
      </c>
      <c r="P45" s="285">
        <f>STDEV(_xlfn.ANCHORARRAY(K45))</f>
        <v>2.0816659994660883E-2</v>
      </c>
      <c r="Q45" s="284">
        <v>11.6</v>
      </c>
      <c r="R45" s="285">
        <v>0.02</v>
      </c>
      <c r="S45" s="286">
        <v>1125</v>
      </c>
      <c r="T45" s="285">
        <v>11.27</v>
      </c>
      <c r="U45" s="286">
        <v>31</v>
      </c>
      <c r="V45" s="282">
        <v>0.46</v>
      </c>
      <c r="Z45" s="150"/>
    </row>
    <row r="46" spans="2:26" x14ac:dyDescent="0.25">
      <c r="B46" s="129">
        <v>40</v>
      </c>
      <c r="C46" s="130" t="s">
        <v>117</v>
      </c>
      <c r="D46" s="132">
        <v>11.31</v>
      </c>
      <c r="E46" s="147">
        <v>0.75</v>
      </c>
      <c r="F46" s="131"/>
      <c r="G46" s="124"/>
      <c r="H46" s="124"/>
      <c r="I46" s="283"/>
      <c r="J46" s="131" t="s">
        <v>108</v>
      </c>
      <c r="K46" s="131">
        <v>11.61</v>
      </c>
      <c r="L46" s="132">
        <v>11.61</v>
      </c>
      <c r="M46" s="131">
        <v>1118</v>
      </c>
      <c r="N46" s="131">
        <v>31.4</v>
      </c>
      <c r="O46" s="284"/>
      <c r="P46" s="285"/>
      <c r="Q46" s="284"/>
      <c r="R46" s="285"/>
      <c r="S46" s="286"/>
      <c r="T46" s="285"/>
      <c r="U46" s="286"/>
      <c r="V46" s="282"/>
      <c r="Z46" s="150"/>
    </row>
    <row r="47" spans="2:26" x14ac:dyDescent="0.25">
      <c r="B47" s="129">
        <v>41</v>
      </c>
      <c r="C47" s="130" t="s">
        <v>118</v>
      </c>
      <c r="D47" s="132">
        <v>11.29</v>
      </c>
      <c r="E47" s="147">
        <v>1.44</v>
      </c>
      <c r="F47" s="131"/>
      <c r="G47" s="124"/>
      <c r="H47" s="124"/>
      <c r="I47" s="283"/>
      <c r="J47" s="131" t="s">
        <v>109</v>
      </c>
      <c r="K47" s="131">
        <v>11.62</v>
      </c>
      <c r="L47" s="132">
        <v>11.62</v>
      </c>
      <c r="M47" s="131">
        <v>1119</v>
      </c>
      <c r="N47" s="131">
        <v>30.5</v>
      </c>
      <c r="O47" s="284"/>
      <c r="P47" s="285"/>
      <c r="Q47" s="284"/>
      <c r="R47" s="285"/>
      <c r="S47" s="286"/>
      <c r="T47" s="285"/>
      <c r="U47" s="286"/>
      <c r="V47" s="282"/>
      <c r="Z47" s="150"/>
    </row>
    <row r="48" spans="2:26" x14ac:dyDescent="0.25">
      <c r="B48" s="129">
        <v>42</v>
      </c>
      <c r="C48" s="130" t="s">
        <v>119</v>
      </c>
      <c r="D48" s="132">
        <v>11.25</v>
      </c>
      <c r="E48" s="147">
        <v>1.65</v>
      </c>
      <c r="F48" s="131"/>
      <c r="G48" s="124"/>
      <c r="H48" s="124"/>
      <c r="I48" s="283">
        <v>4</v>
      </c>
      <c r="J48" s="131" t="s">
        <v>120</v>
      </c>
      <c r="K48" s="131" cm="1">
        <f t="array" ref="K48:K50">E49:E51</f>
        <v>3.24</v>
      </c>
      <c r="L48" s="132">
        <v>11.35</v>
      </c>
      <c r="M48" s="131">
        <v>832</v>
      </c>
      <c r="N48" s="131">
        <v>30.7</v>
      </c>
      <c r="O48" s="284">
        <f>AVERAGE(_xlfn.ANCHORARRAY(K48))</f>
        <v>3.2733333333333334</v>
      </c>
      <c r="P48" s="285">
        <f>STDEV(_xlfn.ANCHORARRAY(K48))</f>
        <v>3.5118845842842389E-2</v>
      </c>
      <c r="Q48" s="284">
        <v>11.32</v>
      </c>
      <c r="R48" s="285">
        <v>0.1</v>
      </c>
      <c r="S48" s="286">
        <v>835</v>
      </c>
      <c r="T48" s="285">
        <v>4.3600000000000003</v>
      </c>
      <c r="U48" s="286">
        <v>31</v>
      </c>
      <c r="V48" s="282">
        <v>0.17</v>
      </c>
      <c r="Z48" s="150"/>
    </row>
    <row r="49" spans="2:26" x14ac:dyDescent="0.25">
      <c r="B49" s="129">
        <v>43</v>
      </c>
      <c r="C49" s="130" t="s">
        <v>120</v>
      </c>
      <c r="D49" s="132">
        <v>11.35</v>
      </c>
      <c r="E49" s="147">
        <v>3.24</v>
      </c>
      <c r="F49" s="131"/>
      <c r="G49" s="124"/>
      <c r="H49" s="124"/>
      <c r="I49" s="283"/>
      <c r="J49" s="131" t="s">
        <v>121</v>
      </c>
      <c r="K49" s="131">
        <v>3.27</v>
      </c>
      <c r="L49" s="132">
        <v>11.4</v>
      </c>
      <c r="M49" s="131">
        <v>840</v>
      </c>
      <c r="N49" s="131">
        <v>30.7</v>
      </c>
      <c r="O49" s="284"/>
      <c r="P49" s="285"/>
      <c r="Q49" s="284"/>
      <c r="R49" s="285"/>
      <c r="S49" s="286"/>
      <c r="T49" s="285"/>
      <c r="U49" s="286"/>
      <c r="V49" s="282"/>
      <c r="Z49" s="150"/>
    </row>
    <row r="50" spans="2:26" x14ac:dyDescent="0.25">
      <c r="B50" s="129">
        <v>44</v>
      </c>
      <c r="C50" s="130" t="s">
        <v>121</v>
      </c>
      <c r="D50" s="132">
        <v>11.4</v>
      </c>
      <c r="E50" s="147">
        <v>3.27</v>
      </c>
      <c r="F50" s="131"/>
      <c r="G50" s="124"/>
      <c r="H50" s="124"/>
      <c r="I50" s="283"/>
      <c r="J50" s="131" t="s">
        <v>122</v>
      </c>
      <c r="K50" s="131">
        <v>3.31</v>
      </c>
      <c r="L50" s="132">
        <v>11.21</v>
      </c>
      <c r="M50" s="131">
        <v>833</v>
      </c>
      <c r="N50" s="131">
        <v>30.4</v>
      </c>
      <c r="O50" s="284"/>
      <c r="P50" s="285"/>
      <c r="Q50" s="284"/>
      <c r="R50" s="285"/>
      <c r="S50" s="286"/>
      <c r="T50" s="285"/>
      <c r="U50" s="286"/>
      <c r="V50" s="282"/>
      <c r="Z50" s="150"/>
    </row>
    <row r="51" spans="2:26" x14ac:dyDescent="0.25">
      <c r="B51" s="129">
        <v>45</v>
      </c>
      <c r="C51" s="130" t="s">
        <v>122</v>
      </c>
      <c r="D51" s="132">
        <v>11.21</v>
      </c>
      <c r="E51" s="147">
        <v>3.31</v>
      </c>
      <c r="F51" s="131"/>
      <c r="G51" s="124"/>
      <c r="H51" s="124"/>
      <c r="I51" s="283">
        <v>5</v>
      </c>
      <c r="J51" s="131" t="s">
        <v>132</v>
      </c>
      <c r="K51" s="131" cm="1">
        <f t="array" ref="K51:K53">E61:E63</f>
        <v>3.06</v>
      </c>
      <c r="L51" s="132">
        <v>11.32</v>
      </c>
      <c r="M51" s="131">
        <v>693</v>
      </c>
      <c r="N51" s="131">
        <v>31.3</v>
      </c>
      <c r="O51" s="284">
        <f>AVERAGE(_xlfn.ANCHORARRAY(K51))</f>
        <v>2.92</v>
      </c>
      <c r="P51" s="285">
        <f>STDEV(_xlfn.ANCHORARRAY(K51))</f>
        <v>0.13527749258468683</v>
      </c>
      <c r="Q51" s="284">
        <v>11.32</v>
      </c>
      <c r="R51" s="285">
        <v>0.01</v>
      </c>
      <c r="S51" s="286">
        <v>705</v>
      </c>
      <c r="T51" s="285">
        <v>10.69</v>
      </c>
      <c r="U51" s="286">
        <v>31</v>
      </c>
      <c r="V51" s="282">
        <v>0.31</v>
      </c>
      <c r="Z51" s="150"/>
    </row>
    <row r="52" spans="2:26" x14ac:dyDescent="0.25">
      <c r="B52" s="129">
        <v>46</v>
      </c>
      <c r="C52" s="130" t="s">
        <v>123</v>
      </c>
      <c r="D52" s="132">
        <v>11.53</v>
      </c>
      <c r="E52" s="147" t="s">
        <v>113</v>
      </c>
      <c r="F52" s="131"/>
      <c r="G52" s="124"/>
      <c r="H52" s="124"/>
      <c r="I52" s="283"/>
      <c r="J52" s="131" t="s">
        <v>133</v>
      </c>
      <c r="K52" s="131">
        <v>2.79</v>
      </c>
      <c r="L52" s="132">
        <v>11.32</v>
      </c>
      <c r="M52" s="131">
        <v>712</v>
      </c>
      <c r="N52" s="131">
        <v>30.9</v>
      </c>
      <c r="O52" s="284"/>
      <c r="P52" s="285"/>
      <c r="Q52" s="284"/>
      <c r="R52" s="285"/>
      <c r="S52" s="286"/>
      <c r="T52" s="285"/>
      <c r="U52" s="286"/>
      <c r="V52" s="282"/>
      <c r="Z52" s="150"/>
    </row>
    <row r="53" spans="2:26" x14ac:dyDescent="0.25">
      <c r="B53" s="129">
        <v>47</v>
      </c>
      <c r="C53" s="130" t="s">
        <v>124</v>
      </c>
      <c r="D53" s="132">
        <v>11.55</v>
      </c>
      <c r="E53" s="147" t="s">
        <v>113</v>
      </c>
      <c r="F53" s="131"/>
      <c r="G53" s="124"/>
      <c r="H53" s="124"/>
      <c r="I53" s="283"/>
      <c r="J53" s="131" t="s">
        <v>134</v>
      </c>
      <c r="K53" s="131">
        <v>2.91</v>
      </c>
      <c r="L53" s="132">
        <v>11.33</v>
      </c>
      <c r="M53" s="131">
        <v>711</v>
      </c>
      <c r="N53" s="131">
        <v>30.7</v>
      </c>
      <c r="O53" s="284"/>
      <c r="P53" s="285"/>
      <c r="Q53" s="284"/>
      <c r="R53" s="285"/>
      <c r="S53" s="286"/>
      <c r="T53" s="285"/>
      <c r="U53" s="286"/>
      <c r="V53" s="282"/>
      <c r="Z53" s="150"/>
    </row>
    <row r="54" spans="2:26" x14ac:dyDescent="0.25">
      <c r="B54" s="129">
        <v>48</v>
      </c>
      <c r="C54" s="130" t="s">
        <v>125</v>
      </c>
      <c r="D54" s="132">
        <v>11.55</v>
      </c>
      <c r="E54" s="147" t="s">
        <v>113</v>
      </c>
      <c r="F54" s="131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Z54" s="150"/>
    </row>
    <row r="55" spans="2:26" x14ac:dyDescent="0.25">
      <c r="B55" s="129">
        <v>49</v>
      </c>
      <c r="C55" s="130" t="s">
        <v>126</v>
      </c>
      <c r="D55" s="132">
        <v>11.54</v>
      </c>
      <c r="E55" s="147">
        <v>3.71</v>
      </c>
      <c r="F55" s="131"/>
      <c r="G55" s="124"/>
      <c r="H55" s="124"/>
      <c r="I55" s="283">
        <v>10</v>
      </c>
      <c r="J55" s="133" t="s">
        <v>86</v>
      </c>
      <c r="K55" s="133" cm="1">
        <f t="array" ref="K55:K57">E16:E18</f>
        <v>0.38</v>
      </c>
      <c r="L55" s="134">
        <v>10.93</v>
      </c>
      <c r="M55" s="133">
        <v>4450</v>
      </c>
      <c r="N55" s="133">
        <v>29.9</v>
      </c>
      <c r="O55" s="284">
        <f>AVERAGE(_xlfn.ANCHORARRAY(K55))</f>
        <v>0.8666666666666667</v>
      </c>
      <c r="P55" s="285">
        <f>STDEV(_xlfn.ANCHORARRAY(K55))</f>
        <v>0.4508140784551134</v>
      </c>
      <c r="Q55" s="284">
        <v>10.92</v>
      </c>
      <c r="R55" s="285">
        <v>0.02</v>
      </c>
      <c r="S55" s="286">
        <v>4430</v>
      </c>
      <c r="T55" s="285">
        <v>43.59</v>
      </c>
      <c r="U55" s="286">
        <v>30</v>
      </c>
      <c r="V55" s="282">
        <v>0.51</v>
      </c>
      <c r="Z55" s="150"/>
    </row>
    <row r="56" spans="2:26" x14ac:dyDescent="0.25">
      <c r="B56" s="129">
        <v>50</v>
      </c>
      <c r="C56" s="130" t="s">
        <v>127</v>
      </c>
      <c r="D56" s="132">
        <v>11.52</v>
      </c>
      <c r="E56" s="27" t="s">
        <v>113</v>
      </c>
      <c r="F56" s="131"/>
      <c r="G56" s="124"/>
      <c r="H56" s="124"/>
      <c r="I56" s="283"/>
      <c r="J56" s="131" t="s">
        <v>87</v>
      </c>
      <c r="K56" s="131">
        <v>0.95</v>
      </c>
      <c r="L56" s="132">
        <v>10.92</v>
      </c>
      <c r="M56" s="131">
        <v>4380</v>
      </c>
      <c r="N56" s="131">
        <v>30.2</v>
      </c>
      <c r="O56" s="284"/>
      <c r="P56" s="285"/>
      <c r="Q56" s="284"/>
      <c r="R56" s="285"/>
      <c r="S56" s="286"/>
      <c r="T56" s="285"/>
      <c r="U56" s="286"/>
      <c r="V56" s="282"/>
      <c r="Z56" s="150"/>
    </row>
    <row r="57" spans="2:26" x14ac:dyDescent="0.25">
      <c r="B57" s="129">
        <v>51</v>
      </c>
      <c r="C57" s="130" t="s">
        <v>128</v>
      </c>
      <c r="D57" s="132">
        <v>11.5</v>
      </c>
      <c r="E57" s="147">
        <v>3.2</v>
      </c>
      <c r="F57" s="131"/>
      <c r="G57" s="124"/>
      <c r="H57" s="124"/>
      <c r="I57" s="283"/>
      <c r="J57" s="131" t="s">
        <v>88</v>
      </c>
      <c r="K57" s="131">
        <v>1.27</v>
      </c>
      <c r="L57" s="132">
        <v>10.9</v>
      </c>
      <c r="M57" s="131">
        <v>4460</v>
      </c>
      <c r="N57" s="131">
        <v>29.2</v>
      </c>
      <c r="O57" s="284"/>
      <c r="P57" s="285"/>
      <c r="Q57" s="284"/>
      <c r="R57" s="285"/>
      <c r="S57" s="286"/>
      <c r="T57" s="285"/>
      <c r="U57" s="286"/>
      <c r="V57" s="282"/>
      <c r="Z57" s="150"/>
    </row>
    <row r="58" spans="2:26" x14ac:dyDescent="0.25">
      <c r="B58" s="129">
        <v>52</v>
      </c>
      <c r="C58" s="130" t="s">
        <v>129</v>
      </c>
      <c r="D58" s="132">
        <v>11.23</v>
      </c>
      <c r="E58" s="147">
        <v>2.0299999999999998</v>
      </c>
      <c r="F58" s="131"/>
      <c r="G58" s="124"/>
      <c r="H58" s="124"/>
      <c r="I58" s="283">
        <v>20</v>
      </c>
      <c r="J58" s="131" t="s">
        <v>98</v>
      </c>
      <c r="K58" s="131" cm="1">
        <f t="array" ref="K58:K60">E28:E30</f>
        <v>0.05</v>
      </c>
      <c r="L58" s="132">
        <v>10.94</v>
      </c>
      <c r="M58" s="131">
        <v>2920</v>
      </c>
      <c r="N58" s="131">
        <v>29.6</v>
      </c>
      <c r="O58" s="284">
        <f>AVERAGE(_xlfn.ANCHORARRAY(K58))</f>
        <v>0.19000000000000003</v>
      </c>
      <c r="P58" s="285">
        <f>STDEV(_xlfn.ANCHORARRAY(K58))</f>
        <v>0.12767145334803701</v>
      </c>
      <c r="Q58" s="284">
        <v>10.94</v>
      </c>
      <c r="R58" s="285">
        <v>0.01</v>
      </c>
      <c r="S58" s="286">
        <v>3010</v>
      </c>
      <c r="T58" s="285">
        <v>85.44</v>
      </c>
      <c r="U58" s="286">
        <v>29</v>
      </c>
      <c r="V58" s="282">
        <v>0.4</v>
      </c>
      <c r="Z58" s="150"/>
    </row>
    <row r="59" spans="2:26" x14ac:dyDescent="0.25">
      <c r="B59" s="129">
        <v>53</v>
      </c>
      <c r="C59" s="130" t="s">
        <v>130</v>
      </c>
      <c r="D59" s="132">
        <v>11.23</v>
      </c>
      <c r="E59" s="147">
        <v>1.95</v>
      </c>
      <c r="F59" s="131"/>
      <c r="G59" s="124"/>
      <c r="H59" s="124"/>
      <c r="I59" s="283"/>
      <c r="J59" s="131" t="s">
        <v>99</v>
      </c>
      <c r="K59" s="131">
        <v>0.22</v>
      </c>
      <c r="L59" s="132">
        <v>10.95</v>
      </c>
      <c r="M59" s="131">
        <v>3020</v>
      </c>
      <c r="N59" s="131">
        <v>29.6</v>
      </c>
      <c r="O59" s="284"/>
      <c r="P59" s="285"/>
      <c r="Q59" s="284"/>
      <c r="R59" s="285"/>
      <c r="S59" s="286"/>
      <c r="T59" s="285"/>
      <c r="U59" s="286"/>
      <c r="V59" s="282"/>
      <c r="Z59" s="150"/>
    </row>
    <row r="60" spans="2:26" x14ac:dyDescent="0.25">
      <c r="B60" s="129">
        <v>54</v>
      </c>
      <c r="C60" s="130" t="s">
        <v>131</v>
      </c>
      <c r="D60" s="132">
        <v>11.17</v>
      </c>
      <c r="E60" s="147">
        <v>2</v>
      </c>
      <c r="F60" s="131"/>
      <c r="G60" s="124"/>
      <c r="H60" s="124"/>
      <c r="I60" s="283"/>
      <c r="J60" s="131" t="s">
        <v>100</v>
      </c>
      <c r="K60" s="131">
        <v>0.3</v>
      </c>
      <c r="L60" s="132">
        <v>10.93</v>
      </c>
      <c r="M60" s="131">
        <v>3090</v>
      </c>
      <c r="N60" s="131">
        <v>28.9</v>
      </c>
      <c r="O60" s="284"/>
      <c r="P60" s="285"/>
      <c r="Q60" s="284"/>
      <c r="R60" s="285"/>
      <c r="S60" s="286"/>
      <c r="T60" s="285"/>
      <c r="U60" s="286"/>
      <c r="V60" s="282"/>
      <c r="Z60" s="150"/>
    </row>
    <row r="61" spans="2:26" x14ac:dyDescent="0.25">
      <c r="B61" s="129">
        <v>55</v>
      </c>
      <c r="C61" s="130" t="s">
        <v>132</v>
      </c>
      <c r="D61" s="132">
        <v>11.32</v>
      </c>
      <c r="E61" s="147">
        <v>3.06</v>
      </c>
      <c r="F61" s="131"/>
      <c r="G61" s="124"/>
      <c r="H61" s="124"/>
      <c r="I61" s="283">
        <v>30</v>
      </c>
      <c r="J61" s="131" t="s">
        <v>110</v>
      </c>
      <c r="K61" s="131" cm="1">
        <f t="array" ref="K61:K62">E40:E41</f>
        <v>0.06</v>
      </c>
      <c r="L61" s="132">
        <v>11.39</v>
      </c>
      <c r="M61" s="131">
        <v>1105</v>
      </c>
      <c r="N61" s="131">
        <v>30.3</v>
      </c>
      <c r="O61" s="284">
        <f>AVERAGE(_xlfn.ANCHORARRAY(K61))</f>
        <v>0.185</v>
      </c>
      <c r="P61" s="285">
        <f>STDEV(_xlfn.ANCHORARRAY(K61))</f>
        <v>0.17677669529663692</v>
      </c>
      <c r="Q61" s="284">
        <v>11.41</v>
      </c>
      <c r="R61" s="285">
        <v>0.02</v>
      </c>
      <c r="S61" s="286">
        <v>1130</v>
      </c>
      <c r="T61" s="285">
        <v>28.59</v>
      </c>
      <c r="U61" s="286">
        <v>30</v>
      </c>
      <c r="V61" s="282">
        <v>0.42</v>
      </c>
      <c r="Z61" s="150"/>
    </row>
    <row r="62" spans="2:26" x14ac:dyDescent="0.25">
      <c r="B62" s="129">
        <v>56</v>
      </c>
      <c r="C62" s="130" t="s">
        <v>133</v>
      </c>
      <c r="D62" s="132">
        <v>11.32</v>
      </c>
      <c r="E62" s="147">
        <v>2.79</v>
      </c>
      <c r="F62" s="131"/>
      <c r="G62" s="124"/>
      <c r="H62" s="124"/>
      <c r="I62" s="283"/>
      <c r="J62" s="131" t="s">
        <v>111</v>
      </c>
      <c r="K62" s="131">
        <v>0.31</v>
      </c>
      <c r="L62" s="132">
        <v>11.43</v>
      </c>
      <c r="M62" s="131">
        <v>1123</v>
      </c>
      <c r="N62" s="131">
        <v>30.5</v>
      </c>
      <c r="O62" s="284"/>
      <c r="P62" s="285"/>
      <c r="Q62" s="284"/>
      <c r="R62" s="285"/>
      <c r="S62" s="286"/>
      <c r="T62" s="285"/>
      <c r="U62" s="286"/>
      <c r="V62" s="282"/>
      <c r="Z62" s="150"/>
    </row>
    <row r="63" spans="2:26" x14ac:dyDescent="0.25">
      <c r="B63" s="129">
        <v>57</v>
      </c>
      <c r="C63" s="130" t="s">
        <v>134</v>
      </c>
      <c r="D63" s="132">
        <v>11.33</v>
      </c>
      <c r="E63" s="147">
        <v>2.91</v>
      </c>
      <c r="F63" s="131"/>
      <c r="G63" s="124"/>
      <c r="H63" s="124"/>
      <c r="I63" s="283"/>
      <c r="J63" s="131" t="s">
        <v>112</v>
      </c>
      <c r="K63" s="131"/>
      <c r="L63" s="132">
        <v>11.41</v>
      </c>
      <c r="M63" s="131">
        <v>1161</v>
      </c>
      <c r="N63" s="131">
        <v>29.7</v>
      </c>
      <c r="O63" s="284"/>
      <c r="P63" s="285"/>
      <c r="Q63" s="284"/>
      <c r="R63" s="285"/>
      <c r="S63" s="286"/>
      <c r="T63" s="285"/>
      <c r="U63" s="286"/>
      <c r="V63" s="282"/>
      <c r="Z63" s="150"/>
    </row>
    <row r="64" spans="2:26" x14ac:dyDescent="0.25">
      <c r="B64" s="129">
        <v>58</v>
      </c>
      <c r="C64" s="130" t="s">
        <v>135</v>
      </c>
      <c r="D64" s="132">
        <v>11.35</v>
      </c>
      <c r="E64" s="147">
        <v>2.0299999999999998</v>
      </c>
      <c r="F64" s="131"/>
      <c r="G64" s="124"/>
      <c r="H64" s="124"/>
      <c r="I64" s="283">
        <v>40</v>
      </c>
      <c r="J64" s="131" t="s">
        <v>123</v>
      </c>
      <c r="K64" s="131"/>
      <c r="L64" s="132">
        <v>11.53</v>
      </c>
      <c r="M64" s="131">
        <v>910</v>
      </c>
      <c r="N64" s="131">
        <v>29.4</v>
      </c>
      <c r="O64" s="284"/>
      <c r="P64" s="285"/>
      <c r="Q64" s="284">
        <v>11.54</v>
      </c>
      <c r="R64" s="285">
        <v>0.01</v>
      </c>
      <c r="S64" s="286">
        <v>919</v>
      </c>
      <c r="T64" s="285">
        <v>11.37</v>
      </c>
      <c r="U64" s="286">
        <v>29</v>
      </c>
      <c r="V64" s="282">
        <v>0.66</v>
      </c>
      <c r="Z64" s="150"/>
    </row>
    <row r="65" spans="2:26" x14ac:dyDescent="0.25">
      <c r="B65" s="129">
        <v>59</v>
      </c>
      <c r="C65" s="130" t="s">
        <v>136</v>
      </c>
      <c r="D65" s="132">
        <v>11.47</v>
      </c>
      <c r="E65" s="147">
        <v>2.42</v>
      </c>
      <c r="F65" s="131"/>
      <c r="G65" s="124"/>
      <c r="H65" s="124"/>
      <c r="I65" s="283"/>
      <c r="J65" s="131" t="s">
        <v>124</v>
      </c>
      <c r="K65" s="131"/>
      <c r="L65" s="132">
        <v>11.55</v>
      </c>
      <c r="M65" s="131">
        <v>932</v>
      </c>
      <c r="N65" s="131">
        <v>28.1</v>
      </c>
      <c r="O65" s="284"/>
      <c r="P65" s="285"/>
      <c r="Q65" s="284"/>
      <c r="R65" s="285"/>
      <c r="S65" s="286"/>
      <c r="T65" s="285"/>
      <c r="U65" s="286"/>
      <c r="V65" s="282"/>
      <c r="Z65" s="150"/>
    </row>
    <row r="66" spans="2:26" x14ac:dyDescent="0.25">
      <c r="B66" s="129">
        <v>60</v>
      </c>
      <c r="C66" s="130" t="s">
        <v>137</v>
      </c>
      <c r="D66" s="132">
        <v>11.49</v>
      </c>
      <c r="E66" s="147">
        <v>2.25</v>
      </c>
      <c r="F66" s="131"/>
      <c r="G66" s="124"/>
      <c r="H66" s="124"/>
      <c r="I66" s="283"/>
      <c r="J66" s="131" t="s">
        <v>125</v>
      </c>
      <c r="K66" s="131"/>
      <c r="L66" s="132">
        <v>11.55</v>
      </c>
      <c r="M66" s="131">
        <v>916</v>
      </c>
      <c r="N66" s="131">
        <v>28.6</v>
      </c>
      <c r="O66" s="284"/>
      <c r="P66" s="285"/>
      <c r="Q66" s="284"/>
      <c r="R66" s="285"/>
      <c r="S66" s="286"/>
      <c r="T66" s="285"/>
      <c r="U66" s="286"/>
      <c r="V66" s="282"/>
    </row>
    <row r="67" spans="2:26" x14ac:dyDescent="0.25">
      <c r="B67" s="124"/>
      <c r="C67" s="124"/>
      <c r="D67" s="124"/>
      <c r="E67" s="124"/>
      <c r="F67" s="124"/>
      <c r="G67" s="124"/>
      <c r="H67" s="124"/>
      <c r="I67" s="283">
        <v>50</v>
      </c>
      <c r="J67" s="131" t="s">
        <v>135</v>
      </c>
      <c r="K67" s="131" cm="1">
        <f t="array" ref="K67:K69">E64:E66</f>
        <v>2.0299999999999998</v>
      </c>
      <c r="L67" s="132">
        <v>11.35</v>
      </c>
      <c r="M67" s="131">
        <v>817</v>
      </c>
      <c r="N67" s="131">
        <v>31</v>
      </c>
      <c r="O67" s="284">
        <f>AVERAGE(_xlfn.ANCHORARRAY(K67))</f>
        <v>2.2333333333333329</v>
      </c>
      <c r="P67" s="285">
        <f>STDEV(_xlfn.ANCHORARRAY(K67))</f>
        <v>0.19553345834749958</v>
      </c>
      <c r="Q67" s="284">
        <v>11.44</v>
      </c>
      <c r="R67" s="285">
        <v>0.08</v>
      </c>
      <c r="S67" s="286">
        <v>829</v>
      </c>
      <c r="T67" s="285">
        <v>11.53</v>
      </c>
      <c r="U67" s="286">
        <v>30</v>
      </c>
      <c r="V67" s="282">
        <v>0.6</v>
      </c>
    </row>
    <row r="68" spans="2:26" x14ac:dyDescent="0.25">
      <c r="B68" s="124"/>
      <c r="C68" s="124"/>
      <c r="D68" s="124"/>
      <c r="E68" s="124"/>
      <c r="F68" s="124"/>
      <c r="G68" s="124"/>
      <c r="H68" s="124"/>
      <c r="I68" s="283"/>
      <c r="J68" s="131" t="s">
        <v>136</v>
      </c>
      <c r="K68" s="131">
        <v>2.42</v>
      </c>
      <c r="L68" s="132">
        <v>11.47</v>
      </c>
      <c r="M68" s="131">
        <v>830</v>
      </c>
      <c r="N68" s="131">
        <v>30.3</v>
      </c>
      <c r="O68" s="284"/>
      <c r="P68" s="285"/>
      <c r="Q68" s="284"/>
      <c r="R68" s="285"/>
      <c r="S68" s="286"/>
      <c r="T68" s="285"/>
      <c r="U68" s="286"/>
      <c r="V68" s="282"/>
    </row>
    <row r="69" spans="2:26" x14ac:dyDescent="0.25">
      <c r="B69" s="124"/>
      <c r="C69" s="124"/>
      <c r="D69" s="124"/>
      <c r="E69" s="124"/>
      <c r="F69" s="124"/>
      <c r="G69" s="124"/>
      <c r="H69" s="124"/>
      <c r="I69" s="283"/>
      <c r="J69" s="131" t="s">
        <v>137</v>
      </c>
      <c r="K69" s="131">
        <v>2.25</v>
      </c>
      <c r="L69" s="132">
        <v>11.49</v>
      </c>
      <c r="M69" s="131">
        <v>840</v>
      </c>
      <c r="N69" s="131">
        <v>29.8</v>
      </c>
      <c r="O69" s="284"/>
      <c r="P69" s="285"/>
      <c r="Q69" s="284"/>
      <c r="R69" s="285"/>
      <c r="S69" s="286"/>
      <c r="T69" s="285"/>
      <c r="U69" s="286"/>
      <c r="V69" s="282"/>
    </row>
  </sheetData>
  <mergeCells count="180">
    <mergeCell ref="V64:V66"/>
    <mergeCell ref="I67:I69"/>
    <mergeCell ref="Q67:Q69"/>
    <mergeCell ref="R67:R69"/>
    <mergeCell ref="S67:S69"/>
    <mergeCell ref="T67:T69"/>
    <mergeCell ref="U67:U69"/>
    <mergeCell ref="V67:V69"/>
    <mergeCell ref="I64:I66"/>
    <mergeCell ref="Q64:Q66"/>
    <mergeCell ref="R64:R66"/>
    <mergeCell ref="S64:S66"/>
    <mergeCell ref="T64:T66"/>
    <mergeCell ref="U64:U66"/>
    <mergeCell ref="O64:O66"/>
    <mergeCell ref="O67:O69"/>
    <mergeCell ref="P64:P66"/>
    <mergeCell ref="P67:P69"/>
    <mergeCell ref="V58:V60"/>
    <mergeCell ref="I61:I63"/>
    <mergeCell ref="Q61:Q63"/>
    <mergeCell ref="R61:R63"/>
    <mergeCell ref="S61:S63"/>
    <mergeCell ref="T61:T63"/>
    <mergeCell ref="U61:U63"/>
    <mergeCell ref="V61:V63"/>
    <mergeCell ref="I58:I60"/>
    <mergeCell ref="Q58:Q60"/>
    <mergeCell ref="R58:R60"/>
    <mergeCell ref="S58:S60"/>
    <mergeCell ref="T58:T60"/>
    <mergeCell ref="U58:U60"/>
    <mergeCell ref="O58:O60"/>
    <mergeCell ref="O61:O63"/>
    <mergeCell ref="P58:P60"/>
    <mergeCell ref="P61:P63"/>
    <mergeCell ref="V51:V53"/>
    <mergeCell ref="I55:I57"/>
    <mergeCell ref="Q55:Q57"/>
    <mergeCell ref="R55:R57"/>
    <mergeCell ref="S55:S57"/>
    <mergeCell ref="T55:T57"/>
    <mergeCell ref="U55:U57"/>
    <mergeCell ref="V55:V57"/>
    <mergeCell ref="I51:I53"/>
    <mergeCell ref="Q51:Q53"/>
    <mergeCell ref="R51:R53"/>
    <mergeCell ref="S51:S53"/>
    <mergeCell ref="T51:T53"/>
    <mergeCell ref="U51:U53"/>
    <mergeCell ref="O51:O53"/>
    <mergeCell ref="O55:O57"/>
    <mergeCell ref="P51:P53"/>
    <mergeCell ref="P55:P57"/>
    <mergeCell ref="V45:V47"/>
    <mergeCell ref="I48:I50"/>
    <mergeCell ref="Q48:Q50"/>
    <mergeCell ref="R48:R50"/>
    <mergeCell ref="S48:S50"/>
    <mergeCell ref="T48:T50"/>
    <mergeCell ref="U48:U50"/>
    <mergeCell ref="V48:V50"/>
    <mergeCell ref="I45:I47"/>
    <mergeCell ref="Q45:Q47"/>
    <mergeCell ref="R45:R47"/>
    <mergeCell ref="S45:S47"/>
    <mergeCell ref="T45:T47"/>
    <mergeCell ref="U45:U47"/>
    <mergeCell ref="O45:O47"/>
    <mergeCell ref="O48:O50"/>
    <mergeCell ref="P45:P47"/>
    <mergeCell ref="P48:P50"/>
    <mergeCell ref="V39:V41"/>
    <mergeCell ref="I42:I44"/>
    <mergeCell ref="Q42:Q44"/>
    <mergeCell ref="R42:R44"/>
    <mergeCell ref="S42:S44"/>
    <mergeCell ref="T42:T44"/>
    <mergeCell ref="U42:U44"/>
    <mergeCell ref="V42:V44"/>
    <mergeCell ref="I39:I41"/>
    <mergeCell ref="Q39:Q41"/>
    <mergeCell ref="R39:R41"/>
    <mergeCell ref="S39:S41"/>
    <mergeCell ref="T39:T41"/>
    <mergeCell ref="U39:U41"/>
    <mergeCell ref="O39:O41"/>
    <mergeCell ref="O42:O44"/>
    <mergeCell ref="P39:P41"/>
    <mergeCell ref="P42:P44"/>
    <mergeCell ref="V32:V34"/>
    <mergeCell ref="I35:I37"/>
    <mergeCell ref="Q35:Q37"/>
    <mergeCell ref="R35:R37"/>
    <mergeCell ref="S35:S37"/>
    <mergeCell ref="T35:T37"/>
    <mergeCell ref="U35:U37"/>
    <mergeCell ref="V35:V37"/>
    <mergeCell ref="I32:I34"/>
    <mergeCell ref="Q32:Q34"/>
    <mergeCell ref="R32:R34"/>
    <mergeCell ref="S32:S34"/>
    <mergeCell ref="T32:T34"/>
    <mergeCell ref="U32:U34"/>
    <mergeCell ref="O32:O34"/>
    <mergeCell ref="O35:O37"/>
    <mergeCell ref="P32:P34"/>
    <mergeCell ref="P35:P37"/>
    <mergeCell ref="V26:V28"/>
    <mergeCell ref="I29:I31"/>
    <mergeCell ref="Q29:Q31"/>
    <mergeCell ref="R29:R31"/>
    <mergeCell ref="S29:S31"/>
    <mergeCell ref="T29:T31"/>
    <mergeCell ref="U29:U31"/>
    <mergeCell ref="V29:V31"/>
    <mergeCell ref="I26:I28"/>
    <mergeCell ref="Q26:Q28"/>
    <mergeCell ref="R26:R28"/>
    <mergeCell ref="S26:S28"/>
    <mergeCell ref="T26:T28"/>
    <mergeCell ref="U26:U28"/>
    <mergeCell ref="O26:O28"/>
    <mergeCell ref="O29:O31"/>
    <mergeCell ref="P26:P28"/>
    <mergeCell ref="P29:P31"/>
    <mergeCell ref="V19:V21"/>
    <mergeCell ref="I23:I25"/>
    <mergeCell ref="Q23:Q25"/>
    <mergeCell ref="R23:R25"/>
    <mergeCell ref="S23:S25"/>
    <mergeCell ref="T23:T25"/>
    <mergeCell ref="U23:U25"/>
    <mergeCell ref="V23:V25"/>
    <mergeCell ref="I19:I21"/>
    <mergeCell ref="Q19:Q21"/>
    <mergeCell ref="R19:R21"/>
    <mergeCell ref="S19:S21"/>
    <mergeCell ref="T19:T21"/>
    <mergeCell ref="U19:U21"/>
    <mergeCell ref="O19:O21"/>
    <mergeCell ref="O23:O25"/>
    <mergeCell ref="P19:P21"/>
    <mergeCell ref="P23:P25"/>
    <mergeCell ref="V13:V15"/>
    <mergeCell ref="I16:I18"/>
    <mergeCell ref="Q16:Q18"/>
    <mergeCell ref="R16:R18"/>
    <mergeCell ref="S16:S18"/>
    <mergeCell ref="T16:T18"/>
    <mergeCell ref="U16:U18"/>
    <mergeCell ref="V16:V18"/>
    <mergeCell ref="I13:I15"/>
    <mergeCell ref="Q13:Q15"/>
    <mergeCell ref="R13:R15"/>
    <mergeCell ref="S13:S15"/>
    <mergeCell ref="T13:T15"/>
    <mergeCell ref="U13:U15"/>
    <mergeCell ref="O13:O15"/>
    <mergeCell ref="O16:O18"/>
    <mergeCell ref="P13:P15"/>
    <mergeCell ref="P16:P18"/>
    <mergeCell ref="V7:V9"/>
    <mergeCell ref="I10:I12"/>
    <mergeCell ref="Q10:Q12"/>
    <mergeCell ref="R10:R12"/>
    <mergeCell ref="S10:S12"/>
    <mergeCell ref="T10:T12"/>
    <mergeCell ref="U10:U12"/>
    <mergeCell ref="V10:V12"/>
    <mergeCell ref="I7:I9"/>
    <mergeCell ref="Q7:Q9"/>
    <mergeCell ref="R7:R9"/>
    <mergeCell ref="S7:S9"/>
    <mergeCell ref="T7:T9"/>
    <mergeCell ref="U7:U9"/>
    <mergeCell ref="O7:O9"/>
    <mergeCell ref="P7:P9"/>
    <mergeCell ref="O10:O12"/>
    <mergeCell ref="P10:P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Moisture contained</vt:lpstr>
      <vt:lpstr>Sequential batch leaching test </vt:lpstr>
      <vt:lpstr>Liquid-solid chemical eq.</vt:lpstr>
      <vt:lpstr>AFTER DRY</vt:lpstr>
      <vt:lpstr>Dilution_factor</vt:lpstr>
      <vt:lpstr>time leaching </vt:lpstr>
      <vt:lpstr>EC,pH 60 samples</vt:lpstr>
      <vt:lpstr>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Jorge Felipe Torres Ortiz</cp:lastModifiedBy>
  <dcterms:created xsi:type="dcterms:W3CDTF">2020-09-29T11:15:21Z</dcterms:created>
  <dcterms:modified xsi:type="dcterms:W3CDTF">2021-05-11T09:51:34Z</dcterms:modified>
</cp:coreProperties>
</file>